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66925"/>
  <mc:AlternateContent xmlns:mc="http://schemas.openxmlformats.org/markup-compatibility/2006">
    <mc:Choice Requires="x15">
      <x15ac:absPath xmlns:x15ac="http://schemas.microsoft.com/office/spreadsheetml/2010/11/ac" url="D:\THOA\NĂM 2026\VỐN ĐẦU TƯ\DA TRƯỜNG CĐ CLC\BÁO CÁO\BC gửi STNMT\"/>
    </mc:Choice>
  </mc:AlternateContent>
  <xr:revisionPtr revIDLastSave="0" documentId="13_ncr:1_{ECD28B17-681D-419F-9075-8705A3EB8A0A}" xr6:coauthVersionLast="36" xr6:coauthVersionMax="47" xr10:uidLastSave="{00000000-0000-0000-0000-000000000000}"/>
  <bookViews>
    <workbookView xWindow="0" yWindow="0" windowWidth="17520" windowHeight="9525" firstSheet="5" activeTab="5" xr2:uid="{00000000-000D-0000-FFFF-FFFF00000000}"/>
  </bookViews>
  <sheets>
    <sheet name="TH NGUON" sheetId="1" state="hidden" r:id="rId1"/>
    <sheet name="TH NGUON (2)" sheetId="2" state="hidden" r:id="rId2"/>
    <sheet name="Chi tiết 23.7" sheetId="3" state="hidden" r:id="rId3"/>
    <sheet name="SX" sheetId="5" state="hidden" r:id="rId4"/>
    <sheet name="PL1. CĐT" sheetId="6" state="hidden" r:id="rId5"/>
    <sheet name="Phân khai vốn năm 2026" sheetId="10" r:id="rId6"/>
    <sheet name="SXEP" sheetId="4" state="hidden" r:id="rId7"/>
  </sheets>
  <externalReferences>
    <externalReference r:id="rId8"/>
  </externalReferences>
  <definedNames>
    <definedName name="\0" localSheetId="2">#REF!</definedName>
    <definedName name="\0" localSheetId="5">#REF!</definedName>
    <definedName name="\0" localSheetId="4">#REF!</definedName>
    <definedName name="\0" localSheetId="3">#REF!</definedName>
    <definedName name="\0" localSheetId="6">#REF!</definedName>
    <definedName name="\0" localSheetId="0">#REF!</definedName>
    <definedName name="\0" localSheetId="1">#REF!</definedName>
    <definedName name="\0">#REF!</definedName>
    <definedName name="\c" localSheetId="2">#REF!</definedName>
    <definedName name="\c" localSheetId="5">#REF!</definedName>
    <definedName name="\c" localSheetId="4">#REF!</definedName>
    <definedName name="\c" localSheetId="3">#REF!</definedName>
    <definedName name="\c" localSheetId="6">#REF!</definedName>
    <definedName name="\c" localSheetId="0">#REF!</definedName>
    <definedName name="\c" localSheetId="1">#REF!</definedName>
    <definedName name="\c">#REF!</definedName>
    <definedName name="\d" localSheetId="0">#REF!</definedName>
    <definedName name="\d" localSheetId="1">#REF!</definedName>
    <definedName name="\d">#REF!</definedName>
    <definedName name="\e" localSheetId="0">#REF!</definedName>
    <definedName name="\e" localSheetId="1">#REF!</definedName>
    <definedName name="\e">#REF!</definedName>
    <definedName name="\f" localSheetId="0">#REF!</definedName>
    <definedName name="\f" localSheetId="1">#REF!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v">#REF!</definedName>
    <definedName name="\z">#REF!</definedName>
    <definedName name="_">#REF!</definedName>
    <definedName name="_\" hidden="1">#REF!</definedName>
    <definedName name="_\0">#REF!</definedName>
    <definedName name="_________a1" hidden="1">{"'Sheet1'!$L$16"}</definedName>
    <definedName name="_________PA3" hidden="1">{"'Sheet1'!$L$16"}</definedName>
    <definedName name="_______a1" hidden="1">{"'Sheet1'!$L$16"}</definedName>
    <definedName name="_______PA3" hidden="1">{"'Sheet1'!$L$16"}</definedName>
    <definedName name="______a1" hidden="1">{"'Sheet1'!$L$16"}</definedName>
    <definedName name="______h1" hidden="1">{"'Sheet1'!$L$16"}</definedName>
    <definedName name="______h10" hidden="1">{#N/A,#N/A,FALSE,"Chi tiÆt"}</definedName>
    <definedName name="______h2" hidden="1">{"'Sheet1'!$L$16"}</definedName>
    <definedName name="______h3" hidden="1">{"'Sheet1'!$L$16"}</definedName>
    <definedName name="______h5" hidden="1">{"'Sheet1'!$L$16"}</definedName>
    <definedName name="______h6" hidden="1">{"'Sheet1'!$L$16"}</definedName>
    <definedName name="______h7" hidden="1">{"'Sheet1'!$L$16"}</definedName>
    <definedName name="______h8" hidden="1">{"'Sheet1'!$L$16"}</definedName>
    <definedName name="______h9" hidden="1">{"'Sheet1'!$L$16"}</definedName>
    <definedName name="______NSO2" hidden="1">{"'Sheet1'!$L$16"}</definedName>
    <definedName name="______PA3" hidden="1">{"'Sheet1'!$L$16"}</definedName>
    <definedName name="______vl2" hidden="1">{"'Sheet1'!$L$16"}</definedName>
    <definedName name="_____a1" hidden="1">{"'Sheet1'!$L$16"}</definedName>
    <definedName name="_____h1" hidden="1">{"'Sheet1'!$L$16"}</definedName>
    <definedName name="_____h10" hidden="1">{#N/A,#N/A,FALSE,"Chi tiÆt"}</definedName>
    <definedName name="_____h2" hidden="1">{"'Sheet1'!$L$16"}</definedName>
    <definedName name="_____h3" hidden="1">{"'Sheet1'!$L$16"}</definedName>
    <definedName name="_____h5" hidden="1">{"'Sheet1'!$L$16"}</definedName>
    <definedName name="_____h6" hidden="1">{"'Sheet1'!$L$16"}</definedName>
    <definedName name="_____h7" hidden="1">{"'Sheet1'!$L$16"}</definedName>
    <definedName name="_____h8" hidden="1">{"'Sheet1'!$L$16"}</definedName>
    <definedName name="_____h9" hidden="1">{"'Sheet1'!$L$16"}</definedName>
    <definedName name="_____NSO2" hidden="1">{"'Sheet1'!$L$16"}</definedName>
    <definedName name="_____PA3" hidden="1">{"'Sheet1'!$L$16"}</definedName>
    <definedName name="_____vl2" hidden="1">{"'Sheet1'!$L$16"}</definedName>
    <definedName name="____ban2" hidden="1">{"'Sheet1'!$L$16"}</definedName>
    <definedName name="____cep1" hidden="1">{"'Sheet1'!$L$16"}</definedName>
    <definedName name="____Coc39" hidden="1">{"'Sheet1'!$L$16"}</definedName>
    <definedName name="____CON1">#REF!</definedName>
    <definedName name="____CON2">#REF!</definedName>
    <definedName name="____Goi8" hidden="1">{"'Sheet1'!$L$16"}</definedName>
    <definedName name="____h1" hidden="1">{"'Sheet1'!$L$16"}</definedName>
    <definedName name="____h10" hidden="1">{#N/A,#N/A,FALSE,"Chi tiÆt"}</definedName>
    <definedName name="____h2" hidden="1">{"'Sheet1'!$L$16"}</definedName>
    <definedName name="____h3" hidden="1">{"'Sheet1'!$L$16"}</definedName>
    <definedName name="____h5" hidden="1">{"'Sheet1'!$L$16"}</definedName>
    <definedName name="____h6" hidden="1">{"'Sheet1'!$L$16"}</definedName>
    <definedName name="____h7" hidden="1">{"'Sheet1'!$L$16"}</definedName>
    <definedName name="____h8" hidden="1">{"'Sheet1'!$L$16"}</definedName>
    <definedName name="____h9" hidden="1">{"'Sheet1'!$L$16"}</definedName>
    <definedName name="____hom2">#REF!</definedName>
    <definedName name="____HUY1" hidden="1">{"'Sheet1'!$L$16"}</definedName>
    <definedName name="____HUY2" hidden="1">{"'Sheet1'!$L$16"}</definedName>
    <definedName name="____KM188">#REF!</definedName>
    <definedName name="____km189">#REF!</definedName>
    <definedName name="____km193">#REF!</definedName>
    <definedName name="____km194">#REF!</definedName>
    <definedName name="____km195">#REF!</definedName>
    <definedName name="____km196">#REF!</definedName>
    <definedName name="____km197">#REF!</definedName>
    <definedName name="____km198">#REF!</definedName>
    <definedName name="____Lan1" hidden="1">{"'Sheet1'!$L$16"}</definedName>
    <definedName name="____LAN3" hidden="1">{"'Sheet1'!$L$16"}</definedName>
    <definedName name="____lk2" hidden="1">{"'Sheet1'!$L$16"}</definedName>
    <definedName name="____NCL100">#REF!</definedName>
    <definedName name="____NCL200">#REF!</definedName>
    <definedName name="____NCL250">#REF!</definedName>
    <definedName name="____nin190">#REF!</definedName>
    <definedName name="____NSO2" hidden="1">{"'Sheet1'!$L$16"}</definedName>
    <definedName name="____PA3" hidden="1">{"'Sheet1'!$L$16"}</definedName>
    <definedName name="____Pl2" hidden="1">{"'Sheet1'!$L$16"}</definedName>
    <definedName name="____SN3">#REF!</definedName>
    <definedName name="____sua20">#REF!</definedName>
    <definedName name="____sua30">#REF!</definedName>
    <definedName name="____TB1">#REF!</definedName>
    <definedName name="____TL3">#REF!</definedName>
    <definedName name="____Tru21" hidden="1">{"'Sheet1'!$L$16"}</definedName>
    <definedName name="____tt3" hidden="1">{"'Sheet1'!$L$16"}</definedName>
    <definedName name="____TT31" hidden="1">{"'Sheet1'!$L$16"}</definedName>
    <definedName name="____VL100">#REF!</definedName>
    <definedName name="____vl2" hidden="1">{"'Sheet1'!$L$16"}</definedName>
    <definedName name="____VL250">#REF!</definedName>
    <definedName name="____VM2" hidden="1">{"'Sheet1'!$L$16"}</definedName>
    <definedName name="___a1" hidden="1">{"'Sheet1'!$L$16"}</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an2" hidden="1">{"'Sheet1'!$L$16"}</definedName>
    <definedName name="___boi1">#REF!</definedName>
    <definedName name="___boi2">#REF!</definedName>
    <definedName name="___BTH3" hidden="1">{"'Sheet1'!$L$16"}</definedName>
    <definedName name="___btm10">#REF!</definedName>
    <definedName name="___btm100">#REF!</definedName>
    <definedName name="___BTM250">#REF!</definedName>
    <definedName name="___btM300">#REF!</definedName>
    <definedName name="___cao1">#REF!</definedName>
    <definedName name="___cao2">#REF!</definedName>
    <definedName name="___cao3">#REF!</definedName>
    <definedName name="___cao4">#REF!</definedName>
    <definedName name="___cao5">#REF!</definedName>
    <definedName name="___cao6">#REF!</definedName>
    <definedName name="___cep1" hidden="1">{"'Sheet1'!$L$16"}</definedName>
    <definedName name="___Coc39" hidden="1">{"'Sheet1'!$L$16"}</definedName>
    <definedName name="___CON1">#REF!</definedName>
    <definedName name="___CON2">#REF!</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Goi8" hidden="1">{"'Sheet1'!$L$16"}</definedName>
    <definedName name="___gon4">#REF!</definedName>
    <definedName name="___h1" hidden="1">{"'Sheet1'!$L$16"}</definedName>
    <definedName name="___h10" hidden="1">{#N/A,#N/A,FALSE,"Chi tiÆt"}</definedName>
    <definedName name="___h2" hidden="1">{"'Sheet1'!$L$16"}</definedName>
    <definedName name="___h3" hidden="1">{"'Sheet1'!$L$16"}</definedName>
    <definedName name="___h5" hidden="1">{"'Sheet1'!$L$16"}</definedName>
    <definedName name="___h6" hidden="1">{"'Sheet1'!$L$16"}</definedName>
    <definedName name="___h7" hidden="1">{"'Sheet1'!$L$16"}</definedName>
    <definedName name="___h8" hidden="1">{"'Sheet1'!$L$16"}</definedName>
    <definedName name="___h9" hidden="1">{"'Sheet1'!$L$16"}</definedName>
    <definedName name="___HUY1" hidden="1">{"'Sheet1'!$L$16"}</definedName>
    <definedName name="___HUY2" hidden="1">{"'Sheet1'!$L$16"}</definedName>
    <definedName name="___km190">#REF!</definedName>
    <definedName name="___km191">#REF!</definedName>
    <definedName name="___km192">#REF!</definedName>
    <definedName name="___Lan1" hidden="1">{"'Sheet1'!$L$16"}</definedName>
    <definedName name="___LAN3" hidden="1">{"'Sheet1'!$L$16"}</definedName>
    <definedName name="___lap1">#REF!</definedName>
    <definedName name="___lap2">#REF!</definedName>
    <definedName name="___lk2" hidden="1">{"'Sheet1'!$L$16"}</definedName>
    <definedName name="___MAC12">#REF!</definedName>
    <definedName name="___MAC46">#REF!</definedName>
    <definedName name="___NET2">#REF!</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l2" hidden="1">{"'Sheet1'!$L$16"}</definedName>
    <definedName name="___PL3">#REF!</definedName>
    <definedName name="___sat16">#REF!</definedName>
    <definedName name="___sat20">#REF!</definedName>
    <definedName name="___sc1">#REF!</definedName>
    <definedName name="___SC2">#REF!</definedName>
    <definedName name="___sc3">#REF!</definedName>
    <definedName name="___slg1">#REF!</definedName>
    <definedName name="___slg2">#REF!</definedName>
    <definedName name="___slg3">#REF!</definedName>
    <definedName name="___slg4">#REF!</definedName>
    <definedName name="___slg5">#REF!</definedName>
    <definedName name="___slg6">#REF!</definedName>
    <definedName name="___td1" hidden="1">{"'Sheet1'!$L$16"}</definedName>
    <definedName name="___TL1">#REF!</definedName>
    <definedName name="___TL2">#REF!</definedName>
    <definedName name="___TLA120">#REF!</definedName>
    <definedName name="___TLA35">#REF!</definedName>
    <definedName name="___TLA50">#REF!</definedName>
    <definedName name="___TLA70">#REF!</definedName>
    <definedName name="___TLA95">#REF!</definedName>
    <definedName name="___Tru21" hidden="1">{"'Sheet1'!$L$16"}</definedName>
    <definedName name="___tt3" hidden="1">{"'Sheet1'!$L$16"}</definedName>
    <definedName name="___TT31" hidden="1">{"'Sheet1'!$L$16"}</definedName>
    <definedName name="___vl2" hidden="1">{"'Sheet1'!$L$16"}</definedName>
    <definedName name="___VM2" hidden="1">{"'Sheet1'!$L$16"}</definedName>
    <definedName name="__a1" hidden="1">{"'Sheet1'!$L$16"}</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n1">#REF!</definedName>
    <definedName name="__ban2" hidden="1">{"'Sheet1'!$L$16"}</definedName>
    <definedName name="__bat1">#REF!</definedName>
    <definedName name="__boi1">#REF!</definedName>
    <definedName name="__boi2">#REF!</definedName>
    <definedName name="__boi3">#REF!</definedName>
    <definedName name="__boi4">#REF!</definedName>
    <definedName name="__btc20">#REF!</definedName>
    <definedName name="__btc30">#REF!</definedName>
    <definedName name="__btc35">#REF!</definedName>
    <definedName name="__BTH3" hidden="1">{"'Sheet1'!$L$16"}</definedName>
    <definedName name="__btm10" localSheetId="0">#REF!</definedName>
    <definedName name="__btm10" localSheetId="1">#REF!</definedName>
    <definedName name="__btm10">#REF!</definedName>
    <definedName name="__btm100" localSheetId="0">#REF!</definedName>
    <definedName name="__btm100" localSheetId="1">#REF!</definedName>
    <definedName name="__btm100">#REF!</definedName>
    <definedName name="__btm150" localSheetId="0">#REF!</definedName>
    <definedName name="__btm150" localSheetId="1">#REF!</definedName>
    <definedName name="__btm150">#REF!</definedName>
    <definedName name="__btm200" localSheetId="0">#REF!</definedName>
    <definedName name="__btm200" localSheetId="1">#REF!</definedName>
    <definedName name="__btm200">#REF!</definedName>
    <definedName name="__BTM250">#REF!</definedName>
    <definedName name="__btM300">#REF!</definedName>
    <definedName name="__btm50">#REF!</definedName>
    <definedName name="__bua25">#REF!</definedName>
    <definedName name="__but1">#REF!</definedName>
    <definedName name="__but11">#REF!</definedName>
    <definedName name="__but2">#REF!</definedName>
    <definedName name="__but22">#REF!</definedName>
    <definedName name="__but3">#REF!</definedName>
    <definedName name="__but33">#REF!</definedName>
    <definedName name="__but4">#REF!</definedName>
    <definedName name="__but44">#REF!</definedName>
    <definedName name="__but5">#REF!</definedName>
    <definedName name="__but55">#REF!</definedName>
    <definedName name="__but6">#REF!</definedName>
    <definedName name="__but66">#REF!</definedName>
    <definedName name="__Can2">#REF!</definedName>
    <definedName name="__cao1">#REF!</definedName>
    <definedName name="__cao2">#REF!</definedName>
    <definedName name="__cao3">#REF!</definedName>
    <definedName name="__cao4">#REF!</definedName>
    <definedName name="__cao5">#REF!</definedName>
    <definedName name="__cao6">#REF!</definedName>
    <definedName name="__cat2">#REF!</definedName>
    <definedName name="__cat3">#REF!</definedName>
    <definedName name="__cat4">#REF!</definedName>
    <definedName name="__cat5">#REF!</definedName>
    <definedName name="__cau10">#REF!</definedName>
    <definedName name="__cau16">#REF!</definedName>
    <definedName name="__cau25">#REF!</definedName>
    <definedName name="__cau40">#REF!</definedName>
    <definedName name="__cau5">#REF!</definedName>
    <definedName name="__cau50">#REF!</definedName>
    <definedName name="__cep1" hidden="1">{"'Sheet1'!$L$16"}</definedName>
    <definedName name="__ckn12">#REF!</definedName>
    <definedName name="__CNA50">#REF!</definedName>
    <definedName name="__Coc39" hidden="1">{"'Sheet1'!$L$16"}</definedName>
    <definedName name="__CON1">#REF!</definedName>
    <definedName name="__CON2">#REF!</definedName>
    <definedName name="__cpd1">#REF!</definedName>
    <definedName name="__cpd2">#REF!</definedName>
    <definedName name="__CT250">#REF!</definedName>
    <definedName name="__CVC1">#REF!</definedName>
    <definedName name="__dai1">#REF!</definedName>
    <definedName name="__dai2">#REF!</definedName>
    <definedName name="__dai3">#REF!</definedName>
    <definedName name="__dai4">#REF!</definedName>
    <definedName name="__dai5">#REF!</definedName>
    <definedName name="__dai6">#REF!</definedName>
    <definedName name="__dam18">#REF!</definedName>
    <definedName name="__dan1">#REF!</definedName>
    <definedName name="__dan2">#REF!</definedName>
    <definedName name="__dao1">#REF!</definedName>
    <definedName name="__day1">#REF!</definedName>
    <definedName name="__dbu1">#REF!</definedName>
    <definedName name="__dbu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gt100">#REF!</definedName>
    <definedName name="__DT12" hidden="1">{"'Sheet1'!$L$16"}</definedName>
    <definedName name="__E99999">#REF!</definedName>
    <definedName name="__ech2">#REF!</definedName>
    <definedName name="__FIL2">#REF!</definedName>
    <definedName name="__gis150">#REF!</definedName>
    <definedName name="__Goi8" hidden="1">{"'Sheet1'!$L$16"}</definedName>
    <definedName name="__gon4">#REF!</definedName>
    <definedName name="__h1" hidden="1">{"'Sheet1'!$L$16"}</definedName>
    <definedName name="__h10" hidden="1">{#N/A,#N/A,FALSE,"Chi tiÆt"}</definedName>
    <definedName name="__h2" hidden="1">{"'Sheet1'!$L$16"}</definedName>
    <definedName name="__h3" hidden="1">{"'Sheet1'!$L$16"}</definedName>
    <definedName name="__h5" hidden="1">{"'Sheet1'!$L$16"}</definedName>
    <definedName name="__H500866">#REF!</definedName>
    <definedName name="__h6" hidden="1">{"'Sheet1'!$L$16"}</definedName>
    <definedName name="__h7" hidden="1">{"'Sheet1'!$L$16"}</definedName>
    <definedName name="__h8" hidden="1">{"'Sheet1'!$L$16"}</definedName>
    <definedName name="__h9" hidden="1">{"'Sheet1'!$L$16"}</definedName>
    <definedName name="__han23">#REF!</definedName>
    <definedName name="__hau1">#REF!</definedName>
    <definedName name="__hau12">#REF!</definedName>
    <definedName name="__hau2">#REF!</definedName>
    <definedName name="__hom2" localSheetId="0">#REF!</definedName>
    <definedName name="__hom2" localSheetId="1">#REF!</definedName>
    <definedName name="__hom2">#REF!</definedName>
    <definedName name="__hom4" localSheetId="0">#REF!</definedName>
    <definedName name="__hom4" localSheetId="1">#REF!</definedName>
    <definedName name="__hom4">#REF!</definedName>
    <definedName name="__hso2">#REF!</definedName>
    <definedName name="__HUY1" hidden="1">{"'Sheet1'!$L$16"}</definedName>
    <definedName name="__HUY2" hidden="1">{"'Sheet1'!$L$16"}</definedName>
    <definedName name="__hvk1">#REF!</definedName>
    <definedName name="__hvk2">#REF!</definedName>
    <definedName name="__hvk3">#REF!</definedName>
    <definedName name="__IntlFixup" hidden="1">TRUE</definedName>
    <definedName name="__JK4">#REF!</definedName>
    <definedName name="__kl1">#REF!</definedName>
    <definedName name="__KL2">#REF!</definedName>
    <definedName name="__KL3">#REF!</definedName>
    <definedName name="__KL4">#REF!</definedName>
    <definedName name="__KL5">#REF!</definedName>
    <definedName name="__KL6">#REF!</definedName>
    <definedName name="__KL7">#REF!</definedName>
    <definedName name="__KM188" localSheetId="0">#REF!</definedName>
    <definedName name="__KM188" localSheetId="1">#REF!</definedName>
    <definedName name="__KM188">#REF!</definedName>
    <definedName name="__km189" localSheetId="0">#REF!</definedName>
    <definedName name="__km189" localSheetId="1">#REF!</definedName>
    <definedName name="__km189">#REF!</definedName>
    <definedName name="__km190">#REF!</definedName>
    <definedName name="__km191">#REF!</definedName>
    <definedName name="__km192">#REF!</definedName>
    <definedName name="__km193" localSheetId="0">#REF!</definedName>
    <definedName name="__km193" localSheetId="1">#REF!</definedName>
    <definedName name="__km193">#REF!</definedName>
    <definedName name="__km194">#REF!</definedName>
    <definedName name="__km195">#REF!</definedName>
    <definedName name="__km196">#REF!</definedName>
    <definedName name="__km197">#REF!</definedName>
    <definedName name="__km198">#REF!</definedName>
    <definedName name="__kn12">#REF!</definedName>
    <definedName name="__Lan1" hidden="1">{"'Sheet1'!$L$16"}</definedName>
    <definedName name="__LAN3" hidden="1">{"'Sheet1'!$L$16"}</definedName>
    <definedName name="__lap1">#REF!</definedName>
    <definedName name="__lap2">#REF!</definedName>
    <definedName name="__lk2" hidden="1">{"'Sheet1'!$L$16"}</definedName>
    <definedName name="__lop16">#REF!</definedName>
    <definedName name="__lop25">#REF!</definedName>
    <definedName name="__lop9">#REF!</definedName>
    <definedName name="__lu13">#REF!</definedName>
    <definedName name="__lu85">#REF!</definedName>
    <definedName name="__ma1">#REF!</definedName>
    <definedName name="__ma10">#REF!</definedName>
    <definedName name="__ma2">#REF!</definedName>
    <definedName name="__ma3">#REF!</definedName>
    <definedName name="__ma4">#REF!</definedName>
    <definedName name="__ma5">#REF!</definedName>
    <definedName name="__ma6">#REF!</definedName>
    <definedName name="__ma7">#REF!</definedName>
    <definedName name="__ma8">#REF!</definedName>
    <definedName name="__ma9">#REF!</definedName>
    <definedName name="__MAC12">#REF!</definedName>
    <definedName name="__MAC46">#REF!</definedName>
    <definedName name="__may2">#REF!</definedName>
    <definedName name="__may3">#REF!</definedName>
    <definedName name="__MDL1">#REF!</definedName>
    <definedName name="__Mgh2">#REF!</definedName>
    <definedName name="__mh1">#REF!</definedName>
    <definedName name="__Mh2">#REF!</definedName>
    <definedName name="__mh3">#REF!</definedName>
    <definedName name="__mh4">#REF!</definedName>
    <definedName name="__mix6">#REF!</definedName>
    <definedName name="__msl100">#REF!</definedName>
    <definedName name="__msl200">#REF!</definedName>
    <definedName name="__msl250">#REF!</definedName>
    <definedName name="__msl300">#REF!</definedName>
    <definedName name="__msl400">#REF!</definedName>
    <definedName name="__msl800">#REF!</definedName>
    <definedName name="__mt2">#REF!</definedName>
    <definedName name="__mt3">#REF!</definedName>
    <definedName name="__mt4">#REF!</definedName>
    <definedName name="__mt5">#REF!</definedName>
    <definedName name="__mt6">#REF!</definedName>
    <definedName name="__mt7">#REF!</definedName>
    <definedName name="__mt8">#REF!</definedName>
    <definedName name="__mtc1">#REF!</definedName>
    <definedName name="__mtc2">#REF!</definedName>
    <definedName name="__mtc3">#REF!</definedName>
    <definedName name="__mui100">#REF!</definedName>
    <definedName name="__mui105">#REF!</definedName>
    <definedName name="__mui108">#REF!</definedName>
    <definedName name="__mui130">#REF!</definedName>
    <definedName name="__mui140">#REF!</definedName>
    <definedName name="__mui160">#REF!</definedName>
    <definedName name="__mui180">#REF!</definedName>
    <definedName name="__mui250">#REF!</definedName>
    <definedName name="__mui271">#REF!</definedName>
    <definedName name="__mui320">#REF!</definedName>
    <definedName name="__mui45">#REF!</definedName>
    <definedName name="__mui50">#REF!</definedName>
    <definedName name="__mui54">#REF!</definedName>
    <definedName name="__mui65">#REF!</definedName>
    <definedName name="__mui75">#REF!</definedName>
    <definedName name="__mui80">#REF!</definedName>
    <definedName name="__mx1">#REF!</definedName>
    <definedName name="__mx2">#REF!</definedName>
    <definedName name="__mx3">#REF!</definedName>
    <definedName name="__mx4">#REF!</definedName>
    <definedName name="__nc1">#REF!</definedName>
    <definedName name="__nc10">#REF!</definedName>
    <definedName name="__nc151">#REF!</definedName>
    <definedName name="__nc2">#REF!</definedName>
    <definedName name="__NC200" localSheetId="0">#REF!</definedName>
    <definedName name="__NC200" localSheetId="1">#REF!</definedName>
    <definedName name="__NC200">#REF!</definedName>
    <definedName name="__nc3">#REF!</definedName>
    <definedName name="__nc6">#REF!</definedName>
    <definedName name="__nc7">#REF!</definedName>
    <definedName name="__nc8">#REF!</definedName>
    <definedName name="__nc9">#REF!</definedName>
    <definedName name="__NCL100" localSheetId="0">#REF!</definedName>
    <definedName name="__NCL100" localSheetId="1">#REF!</definedName>
    <definedName name="__NCL100">#REF!</definedName>
    <definedName name="__NCL200" localSheetId="0">#REF!</definedName>
    <definedName name="__NCL200" localSheetId="1">#REF!</definedName>
    <definedName name="__NCL200">#REF!</definedName>
    <definedName name="__NCL250" localSheetId="0">#REF!</definedName>
    <definedName name="__NCL250" localSheetId="1">#REF!</definedName>
    <definedName name="__NCL250">#REF!</definedName>
    <definedName name="__nct2">#REF!</definedName>
    <definedName name="__nct3">#REF!</definedName>
    <definedName name="__nct4">#REF!</definedName>
    <definedName name="__nct5">#REF!</definedName>
    <definedName name="__nct6">#REF!</definedName>
    <definedName name="__nct7">#REF!</definedName>
    <definedName name="__nct8">#REF!</definedName>
    <definedName name="__NET2">#REF!</definedName>
    <definedName name="__nin190">#REF!</definedName>
    <definedName name="__NSO2" hidden="1">{"'Sheet1'!$L$16"}</definedName>
    <definedName name="__off1">#REF!</definedName>
    <definedName name="__oto10" localSheetId="0">#REF!</definedName>
    <definedName name="__oto10" localSheetId="1">#REF!</definedName>
    <definedName name="__oto10">#REF!</definedName>
    <definedName name="__oto12">#REF!</definedName>
    <definedName name="__oto5">#REF!</definedName>
    <definedName name="__oto7">#REF!</definedName>
    <definedName name="__PA3" hidden="1">{"'Sheet1'!$L$16"}</definedName>
    <definedName name="__pb30">#REF!</definedName>
    <definedName name="__pb80">#REF!</definedName>
    <definedName name="__Ph30">#REF!</definedName>
    <definedName name="__phi10">#REF!</definedName>
    <definedName name="__phi1000">#REF!</definedName>
    <definedName name="__phi12">#REF!</definedName>
    <definedName name="__phi14">#REF!</definedName>
    <definedName name="__phi1500">#REF!</definedName>
    <definedName name="__phi16">#REF!</definedName>
    <definedName name="__phi18">#REF!</definedName>
    <definedName name="__phi20">#REF!</definedName>
    <definedName name="__phi2000">#REF!</definedName>
    <definedName name="__phi22">#REF!</definedName>
    <definedName name="__phi25">#REF!</definedName>
    <definedName name="__phi28">#REF!</definedName>
    <definedName name="__phi50">#REF!</definedName>
    <definedName name="__phi6">#REF!</definedName>
    <definedName name="__phi750">#REF!</definedName>
    <definedName name="__phi8">#REF!</definedName>
    <definedName name="__PL1">#REF!</definedName>
    <definedName name="__PL1242">#REF!</definedName>
    <definedName name="__Pl2" hidden="1">{"'Sheet1'!$L$16"}</definedName>
    <definedName name="__ptk89" localSheetId="0">#REF!</definedName>
    <definedName name="__ptk89" localSheetId="1">#REF!</definedName>
    <definedName name="__ptk89">#REF!</definedName>
    <definedName name="__PXB80">#REF!</definedName>
    <definedName name="__qa7">#REF!</definedName>
    <definedName name="__qh1">#REF!</definedName>
    <definedName name="__qh2">#REF!</definedName>
    <definedName name="__qh3">#REF!</definedName>
    <definedName name="__qH30">#REF!</definedName>
    <definedName name="__qh4">#REF!</definedName>
    <definedName name="__qt1">#REF!</definedName>
    <definedName name="__qt2">#REF!</definedName>
    <definedName name="__qx1">#REF!</definedName>
    <definedName name="__qx2">#REF!</definedName>
    <definedName name="__qx3">#REF!</definedName>
    <definedName name="__qx4">#REF!</definedName>
    <definedName name="__qXB80">#REF!</definedName>
    <definedName name="__RF3">#REF!</definedName>
    <definedName name="__rp95">#REF!</definedName>
    <definedName name="__rt1">#REF!</definedName>
    <definedName name="__san108">#REF!</definedName>
    <definedName name="__san180">#REF!</definedName>
    <definedName name="__san250">#REF!</definedName>
    <definedName name="__san54">#REF!</definedName>
    <definedName name="__san90">#REF!</definedName>
    <definedName name="__sat10">#REF!</definedName>
    <definedName name="__sat12" localSheetId="0">#REF!</definedName>
    <definedName name="__sat12" localSheetId="1">#REF!</definedName>
    <definedName name="__sat12">#REF!</definedName>
    <definedName name="__sat14">#REF!</definedName>
    <definedName name="__sat16">#REF!</definedName>
    <definedName name="__sat20">#REF!</definedName>
    <definedName name="__Sat27" localSheetId="0">#REF!</definedName>
    <definedName name="__Sat27" localSheetId="1">#REF!</definedName>
    <definedName name="__Sat27">#REF!</definedName>
    <definedName name="__Sat6">#REF!</definedName>
    <definedName name="__sat8">#REF!</definedName>
    <definedName name="__sc1">#REF!</definedName>
    <definedName name="__SC2">#REF!</definedName>
    <definedName name="__sc3">#REF!</definedName>
    <definedName name="__Sdd24">#REF!</definedName>
    <definedName name="__Sdd33">#REF!</definedName>
    <definedName name="__Sdh24">#REF!</definedName>
    <definedName name="__Sdh33">#REF!</definedName>
    <definedName name="__sl2">#REF!</definedName>
    <definedName name="__slg1">#REF!</definedName>
    <definedName name="__slg2">#REF!</definedName>
    <definedName name="__slg3">#REF!</definedName>
    <definedName name="__slg4">#REF!</definedName>
    <definedName name="__slg5">#REF!</definedName>
    <definedName name="__slg6">#REF!</definedName>
    <definedName name="__SN3" localSheetId="0">#REF!</definedName>
    <definedName name="__SN3" localSheetId="1">#REF!</definedName>
    <definedName name="__SN3">#REF!</definedName>
    <definedName name="__so1517">#REF!</definedName>
    <definedName name="__so1717">#REF!</definedName>
    <definedName name="__soi2">#REF!</definedName>
    <definedName name="__soi3">#REF!</definedName>
    <definedName name="__Stb24">#REF!</definedName>
    <definedName name="__Stb33">#REF!</definedName>
    <definedName name="__su12" localSheetId="0">#REF!</definedName>
    <definedName name="__su12" localSheetId="1">#REF!</definedName>
    <definedName name="__su12">#REF!</definedName>
    <definedName name="__Su70">#REF!</definedName>
    <definedName name="__sua20" localSheetId="0">#REF!</definedName>
    <definedName name="__sua20" localSheetId="1">#REF!</definedName>
    <definedName name="__sua20">#REF!</definedName>
    <definedName name="__sua30" localSheetId="0">#REF!</definedName>
    <definedName name="__sua30" localSheetId="1">#REF!</definedName>
    <definedName name="__sua30">#REF!</definedName>
    <definedName name="__ta1">#REF!</definedName>
    <definedName name="__ta2">#REF!</definedName>
    <definedName name="__ta3">#REF!</definedName>
    <definedName name="__ta4">#REF!</definedName>
    <definedName name="__ta5">#REF!</definedName>
    <definedName name="__ta6">#REF!</definedName>
    <definedName name="__TB1" localSheetId="0">#REF!</definedName>
    <definedName name="__TB1" localSheetId="1">#REF!</definedName>
    <definedName name="__TB1">#REF!</definedName>
    <definedName name="__tb2">#REF!</definedName>
    <definedName name="__tb3">#REF!</definedName>
    <definedName name="__tb4">#REF!</definedName>
    <definedName name="__tc1">#REF!</definedName>
    <definedName name="__td1">#REF!</definedName>
    <definedName name="__te1">#REF!</definedName>
    <definedName name="__te2">#REF!</definedName>
    <definedName name="__tg1">#REF!</definedName>
    <definedName name="__tg427">#REF!</definedName>
    <definedName name="__TH1">#REF!</definedName>
    <definedName name="__th100" localSheetId="0">#REF!</definedName>
    <definedName name="__th100" localSheetId="1">#REF!</definedName>
    <definedName name="__th100">#REF!</definedName>
    <definedName name="__TH160" localSheetId="0">#REF!</definedName>
    <definedName name="__TH160" localSheetId="1">#REF!</definedName>
    <definedName name="__TH160">#REF!</definedName>
    <definedName name="__TH2">#REF!</definedName>
    <definedName name="__TH20">#REF!</definedName>
    <definedName name="__TH3">#REF!</definedName>
    <definedName name="__TH35">#REF!</definedName>
    <definedName name="__TH50">#REF!</definedName>
    <definedName name="__TK155">#REF!</definedName>
    <definedName name="__TK422">#REF!</definedName>
    <definedName name="__TL1">#REF!</definedName>
    <definedName name="__TL2">#REF!</definedName>
    <definedName name="__TL3" localSheetId="0">#REF!</definedName>
    <definedName name="__TL3" localSheetId="1">#REF!</definedName>
    <definedName name="__TL3">#REF!</definedName>
    <definedName name="__TLA120">#REF!</definedName>
    <definedName name="__TLA35">#REF!</definedName>
    <definedName name="__TLA50">#REF!</definedName>
    <definedName name="__TLA70">#REF!</definedName>
    <definedName name="__TLA95">#REF!</definedName>
    <definedName name="__tld2">#REF!</definedName>
    <definedName name="__tlp3">#REF!</definedName>
    <definedName name="__tp2">#REF!</definedName>
    <definedName name="__TR250" localSheetId="0">#REF!</definedName>
    <definedName name="__TR250" localSheetId="1">#REF!</definedName>
    <definedName name="__TR250">#REF!</definedName>
    <definedName name="__tr375" localSheetId="0">#REF!</definedName>
    <definedName name="__tr375" localSheetId="1">#REF!</definedName>
    <definedName name="__tr375">#REF!</definedName>
    <definedName name="__tra100">#REF!</definedName>
    <definedName name="__tra102">#REF!</definedName>
    <definedName name="__tra104">#REF!</definedName>
    <definedName name="__tra106">#REF!</definedName>
    <definedName name="__tra108">#REF!</definedName>
    <definedName name="__tra110">#REF!</definedName>
    <definedName name="__tra112">#REF!</definedName>
    <definedName name="__tra114">#REF!</definedName>
    <definedName name="__tra116">#REF!</definedName>
    <definedName name="__tra118">#REF!</definedName>
    <definedName name="__tra120">#REF!</definedName>
    <definedName name="__tra122">#REF!</definedName>
    <definedName name="__tra124">#REF!</definedName>
    <definedName name="__tra126">#REF!</definedName>
    <definedName name="__tra128">#REF!</definedName>
    <definedName name="__tra130">#REF!</definedName>
    <definedName name="__tra132">#REF!</definedName>
    <definedName name="__tra134">#REF!</definedName>
    <definedName name="__tra136">#REF!</definedName>
    <definedName name="__tra138">#REF!</definedName>
    <definedName name="__tra140">#REF!</definedName>
    <definedName name="__tra2005">#REF!</definedName>
    <definedName name="__tra70">#REF!</definedName>
    <definedName name="__tra72">#REF!</definedName>
    <definedName name="__tra74">#REF!</definedName>
    <definedName name="__tra76">#REF!</definedName>
    <definedName name="__tra78">#REF!</definedName>
    <definedName name="__tra79">#REF!</definedName>
    <definedName name="__tra80">#REF!</definedName>
    <definedName name="__tra82">#REF!</definedName>
    <definedName name="__tra84">#REF!</definedName>
    <definedName name="__tra86">#REF!</definedName>
    <definedName name="__tra88">#REF!</definedName>
    <definedName name="__tra90">#REF!</definedName>
    <definedName name="__tra92">#REF!</definedName>
    <definedName name="__tra94">#REF!</definedName>
    <definedName name="__tra96">#REF!</definedName>
    <definedName name="__tra98">#REF!</definedName>
    <definedName name="__Tru21" hidden="1">{"'Sheet1'!$L$16"}</definedName>
    <definedName name="__TS2">#REF!</definedName>
    <definedName name="__tt3" hidden="1">{"'Sheet1'!$L$16"}</definedName>
    <definedName name="__TT31" hidden="1">{"'Sheet1'!$L$16"}</definedName>
    <definedName name="__TVL1">#REF!</definedName>
    <definedName name="__tz593">#REF!</definedName>
    <definedName name="__ui100">#REF!</definedName>
    <definedName name="__ui105">#REF!</definedName>
    <definedName name="__ui108">#REF!</definedName>
    <definedName name="__ui130">#REF!</definedName>
    <definedName name="__ui140">#REF!</definedName>
    <definedName name="__ui160">#REF!</definedName>
    <definedName name="__ui180">#REF!</definedName>
    <definedName name="__ui250">#REF!</definedName>
    <definedName name="__ui271">#REF!</definedName>
    <definedName name="__ui320">#REF!</definedName>
    <definedName name="__ui45">#REF!</definedName>
    <definedName name="__ui50">#REF!</definedName>
    <definedName name="__ui54">#REF!</definedName>
    <definedName name="__ui65">#REF!</definedName>
    <definedName name="__ui75">#REF!</definedName>
    <definedName name="__ui80">#REF!</definedName>
    <definedName name="__un76" localSheetId="0">#REF!</definedName>
    <definedName name="__un76" localSheetId="1">#REF!</definedName>
    <definedName name="__un76">#REF!</definedName>
    <definedName name="__UT2">#REF!</definedName>
    <definedName name="__VAN1" localSheetId="0">#REF!</definedName>
    <definedName name="__VAN1" localSheetId="1">#REF!</definedName>
    <definedName name="__VAN1">#REF!</definedName>
    <definedName name="__vc1">#REF!</definedName>
    <definedName name="__vc2">#REF!</definedName>
    <definedName name="__vc3">#REF!</definedName>
    <definedName name="__Vh2">#REF!</definedName>
    <definedName name="__VL1">#REF!</definedName>
    <definedName name="__vl10">#REF!</definedName>
    <definedName name="__VL100" localSheetId="0">#REF!</definedName>
    <definedName name="__VL100" localSheetId="1">#REF!</definedName>
    <definedName name="__VL100">#REF!</definedName>
    <definedName name="__vl2" hidden="1">{"'Sheet1'!$L$16"}</definedName>
    <definedName name="__VL200" localSheetId="0">#REF!</definedName>
    <definedName name="__VL200" localSheetId="1">#REF!</definedName>
    <definedName name="__VL200">#REF!</definedName>
    <definedName name="__VL250" localSheetId="0">#REF!</definedName>
    <definedName name="__VL250" localSheetId="1">#REF!</definedName>
    <definedName name="__VL250">#REF!</definedName>
    <definedName name="__vl3">#REF!</definedName>
    <definedName name="__vl4">#REF!</definedName>
    <definedName name="__vl5">#REF!</definedName>
    <definedName name="__vl6">#REF!</definedName>
    <definedName name="__vl7">#REF!</definedName>
    <definedName name="__vl8">#REF!</definedName>
    <definedName name="__vl9">#REF!</definedName>
    <definedName name="__vlt2">#REF!</definedName>
    <definedName name="__vlt3">#REF!</definedName>
    <definedName name="__vlt4">#REF!</definedName>
    <definedName name="__vlt5">#REF!</definedName>
    <definedName name="__vlt6">#REF!</definedName>
    <definedName name="__vlt7">#REF!</definedName>
    <definedName name="__vlt8">#REF!</definedName>
    <definedName name="__VM2" hidden="1">{"'Sheet1'!$L$16"}</definedName>
    <definedName name="__xb80">#REF!</definedName>
    <definedName name="__xl150">#REF!</definedName>
    <definedName name="__xm3">#REF!</definedName>
    <definedName name="__xm4">#REF!</definedName>
    <definedName name="__xm5">#REF!</definedName>
    <definedName name="_02">#REF!</definedName>
    <definedName name="_1">#N/A</definedName>
    <definedName name="_1__xl150">#REF!</definedName>
    <definedName name="_1000A01">#N/A</definedName>
    <definedName name="_12SOÁ_CTÖØ">#REF!</definedName>
    <definedName name="_15SOÁ_LÖÔÏNG">#REF!</definedName>
    <definedName name="_18TEÂN_HAØNG">#REF!</definedName>
    <definedName name="_1BA2500">#REF!</definedName>
    <definedName name="_1BA3250">#REF!</definedName>
    <definedName name="_1BA400P">#REF!</definedName>
    <definedName name="_1CAP001">#REF!</definedName>
    <definedName name="_1CAP002" localSheetId="0">#REF!</definedName>
    <definedName name="_1CAP002" localSheetId="1">#REF!</definedName>
    <definedName name="_1CAP002">#REF!</definedName>
    <definedName name="_1CAP011">#REF!</definedName>
    <definedName name="_1CAP012">#REF!</definedName>
    <definedName name="_1CDHT03">#REF!</definedName>
    <definedName name="_1CHANG2">#REF!</definedName>
    <definedName name="_1DADOI1">#REF!</definedName>
    <definedName name="_1DAU002">#REF!</definedName>
    <definedName name="_1DDAY03">#REF!</definedName>
    <definedName name="_1DDTT01">#REF!</definedName>
    <definedName name="_1FCO101">#REF!</definedName>
    <definedName name="_1GIA101">#REF!</definedName>
    <definedName name="_1LA1001">#REF!</definedName>
    <definedName name="_1MCCBO2">#REF!</definedName>
    <definedName name="_1PKCAP1">#REF!</definedName>
    <definedName name="_1PKIEN2">#REF!</definedName>
    <definedName name="_1PKTT01">#REF!</definedName>
    <definedName name="_1TCD101">#REF!</definedName>
    <definedName name="_1TCD201">#REF!</definedName>
    <definedName name="_1TCD203">#REF!</definedName>
    <definedName name="_1TD2001">#REF!</definedName>
    <definedName name="_1TIHT01">#REF!</definedName>
    <definedName name="_1TIHT06">#REF!</definedName>
    <definedName name="_1TIHT07">#REF!</definedName>
    <definedName name="_1TRU121">#REF!</definedName>
    <definedName name="_2">#N/A</definedName>
    <definedName name="_21TEÂN_KHAÙCH_HAØ">#REF!</definedName>
    <definedName name="_24THAØNH_TIEÀN">#REF!</definedName>
    <definedName name="_27_02_01">#REF!</definedName>
    <definedName name="_27TRÒ_GIAÙ">#REF!</definedName>
    <definedName name="_2BLA100">#REF!</definedName>
    <definedName name="_2CHANG1">#REF!</definedName>
    <definedName name="_2CHANG2">#REF!</definedName>
    <definedName name="_2DADOI1">#REF!</definedName>
    <definedName name="_2DAL201">#REF!</definedName>
    <definedName name="_2KD0222">#REF!</definedName>
    <definedName name="_2STREO7" localSheetId="0">#REF!</definedName>
    <definedName name="_2STREO7" localSheetId="1">#REF!</definedName>
    <definedName name="_2STREO7">#REF!</definedName>
    <definedName name="_2TD2001">#REF!</definedName>
    <definedName name="_30TRÒ_GIAÙ__VAT">#REF!</definedName>
    <definedName name="_3BLXMD">#REF!</definedName>
    <definedName name="_3BOAG01">#REF!</definedName>
    <definedName name="_3COSSE1">#REF!</definedName>
    <definedName name="_3CTKHAC">#REF!</definedName>
    <definedName name="_3DMINO1">#REF!</definedName>
    <definedName name="_3DMINO2">#REF!</definedName>
    <definedName name="_3DUPSSS">#REF!</definedName>
    <definedName name="_3HTTR01">#REF!</definedName>
    <definedName name="_3HTTR02">#REF!</definedName>
    <definedName name="_3HTTR03">#REF!</definedName>
    <definedName name="_3HTTR04">#REF!</definedName>
    <definedName name="_3HTTR05">#REF!</definedName>
    <definedName name="_3PKDOM1">#REF!</definedName>
    <definedName name="_3PKDOM2">#REF!</definedName>
    <definedName name="_3TRU122">#REF!</definedName>
    <definedName name="_3TU0609">#REF!</definedName>
    <definedName name="_40x4">5100</definedName>
    <definedName name="_430.001">#REF!</definedName>
    <definedName name="_4CNT240">#REF!</definedName>
    <definedName name="_4CTL240">#REF!</definedName>
    <definedName name="_4FCO100">#REF!</definedName>
    <definedName name="_4GOIC01" localSheetId="0">#REF!</definedName>
    <definedName name="_4GOIC01" localSheetId="1">#REF!</definedName>
    <definedName name="_4GOIC01">#REF!</definedName>
    <definedName name="_4HDCTT4">#REF!</definedName>
    <definedName name="_4HNCTT4">#REF!</definedName>
    <definedName name="_4LBCO01">#REF!</definedName>
    <definedName name="_4OSLCTT">#REF!</definedName>
    <definedName name="_5080591">#REF!</definedName>
    <definedName name="_5MAÕ_HAØNG">#REF!</definedName>
    <definedName name="_6BNTTTH">#REF!</definedName>
    <definedName name="_6DCTTBO">#REF!</definedName>
    <definedName name="_6DD24TT">#REF!</definedName>
    <definedName name="_6FCOTBU">#REF!</definedName>
    <definedName name="_6LATUBU">#REF!</definedName>
    <definedName name="_6MAÕ_SOÁ_THUEÁ">#REF!</definedName>
    <definedName name="_6SDTT24">#REF!</definedName>
    <definedName name="_6TBUDTT">#REF!</definedName>
    <definedName name="_6TDDDTT">#REF!</definedName>
    <definedName name="_6TLTTTH">#REF!</definedName>
    <definedName name="_6TUBUTT">#REF!</definedName>
    <definedName name="_6UCLVIS">#REF!</definedName>
    <definedName name="_7DNCABC">#REF!</definedName>
    <definedName name="_7HDCTBU">#REF!</definedName>
    <definedName name="_7PKTUBU">#REF!</definedName>
    <definedName name="_7TBHT20">#REF!</definedName>
    <definedName name="_7TBHT30">#REF!</definedName>
    <definedName name="_7TDCABC">#REF!</definedName>
    <definedName name="_9ÑÔN_GIAÙ">#REF!</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#REF!</definedName>
    <definedName name="_ban1">#REF!</definedName>
    <definedName name="_ban2" hidden="1">{"'Sheet1'!$L$16"}</definedName>
    <definedName name="_bat1">#REF!</definedName>
    <definedName name="_Bia2">#REF!</definedName>
    <definedName name="_boi1" localSheetId="0">#REF!</definedName>
    <definedName name="_boi1" localSheetId="1">#REF!</definedName>
    <definedName name="_boi1">#REF!</definedName>
    <definedName name="_boi2" localSheetId="0">#REF!</definedName>
    <definedName name="_boi2" localSheetId="1">#REF!</definedName>
    <definedName name="_boi2">#REF!</definedName>
    <definedName name="_boi3" localSheetId="0">#REF!</definedName>
    <definedName name="_boi3" localSheetId="1">#REF!</definedName>
    <definedName name="_boi3">#REF!</definedName>
    <definedName name="_boi4">#REF!</definedName>
    <definedName name="_btc20">#REF!</definedName>
    <definedName name="_btc30">#REF!</definedName>
    <definedName name="_btc35">#REF!</definedName>
    <definedName name="_BTH3" hidden="1">{"'Sheet1'!$L$16"}</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bua25">#REF!</definedName>
    <definedName name="_Builtin155">#REF!</definedName>
    <definedName name="_but1">#REF!</definedName>
    <definedName name="_but11">#REF!</definedName>
    <definedName name="_but2">#REF!</definedName>
    <definedName name="_but22">#REF!</definedName>
    <definedName name="_but3">#REF!</definedName>
    <definedName name="_but33">#REF!</definedName>
    <definedName name="_but4">#REF!</definedName>
    <definedName name="_but44">#REF!</definedName>
    <definedName name="_but5">#REF!</definedName>
    <definedName name="_but55">#REF!</definedName>
    <definedName name="_but6">#REF!</definedName>
    <definedName name="_but66">#REF!</definedName>
    <definedName name="_C_Lphi_4ab">#REF!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t2">#REF!</definedName>
    <definedName name="_cat3">#REF!</definedName>
    <definedName name="_cat4">#REF!</definedName>
    <definedName name="_cat5">#REF!</definedName>
    <definedName name="_cau10">#REF!</definedName>
    <definedName name="_cau16">#REF!</definedName>
    <definedName name="_cau25">#REF!</definedName>
    <definedName name="_cau40">#REF!</definedName>
    <definedName name="_cau5">#REF!</definedName>
    <definedName name="_cau50">#REF!</definedName>
    <definedName name="_cep1" hidden="1">{"'Sheet1'!$L$16"}</definedName>
    <definedName name="_chk1">#REF!</definedName>
    <definedName name="_ckn12">#REF!</definedName>
    <definedName name="_CNA50">#REF!</definedName>
    <definedName name="_Coc39" hidden="1">{"'Sheet1'!$L$16"}</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VC1">#REF!</definedName>
    <definedName name="_d2">#REF!</definedName>
    <definedName name="_dai1">#REF!</definedName>
    <definedName name="_dai2">#REF!</definedName>
    <definedName name="_dai3">#REF!</definedName>
    <definedName name="_dai4">#REF!</definedName>
    <definedName name="_dai5">#REF!</definedName>
    <definedName name="_dai6">#REF!</definedName>
    <definedName name="_dam18">#REF!</definedName>
    <definedName name="_dan1">#REF!</definedName>
    <definedName name="_dan2">#REF!</definedName>
    <definedName name="_dao1">#REF!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CT">#REF!</definedName>
    <definedName name="_E99999">#REF!</definedName>
    <definedName name="_ech2">#REF!</definedName>
    <definedName name="_FIL2">#REF!</definedName>
    <definedName name="_Fill" hidden="1">#REF!</definedName>
    <definedName name="_xlnm._FilterDatabase" localSheetId="2" hidden="1">'Chi tiết 23.7'!$A$13:$DG$590</definedName>
    <definedName name="_xlnm._FilterDatabase" localSheetId="5" hidden="1">'Phân khai vốn năm 2026'!#REF!</definedName>
    <definedName name="_xlnm._FilterDatabase" localSheetId="4" hidden="1">'PL1. CĐT'!$A$13:$DM$127</definedName>
    <definedName name="_xlnm._FilterDatabase" localSheetId="3" hidden="1">SX!$A$13:$DG$586</definedName>
    <definedName name="_xlnm._FilterDatabase" localSheetId="6" hidden="1">SXEP!$A$14:$DL$14</definedName>
    <definedName name="_xlnm._FilterDatabase" hidden="1">'[1]TL than'!#REF!</definedName>
    <definedName name="_g1">#REF!</definedName>
    <definedName name="_g2">#REF!</definedName>
    <definedName name="_GID1">#REF!</definedName>
    <definedName name="_gis150">#REF!</definedName>
    <definedName name="_Goi8" hidden="1">{"'Sheet1'!$L$16"}</definedName>
    <definedName name="_gon4" localSheetId="2">#REF!</definedName>
    <definedName name="_gon4" localSheetId="5">#REF!</definedName>
    <definedName name="_gon4" localSheetId="4">#REF!</definedName>
    <definedName name="_gon4" localSheetId="3">#REF!</definedName>
    <definedName name="_gon4" localSheetId="6">#REF!</definedName>
    <definedName name="_gon4" localSheetId="0">#REF!</definedName>
    <definedName name="_gon4" localSheetId="1">#REF!</definedName>
    <definedName name="_gon4">#REF!</definedName>
    <definedName name="_h1" hidden="1">{"'Sheet1'!$L$16"}</definedName>
    <definedName name="_h10" hidden="1">{#N/A,#N/A,FALSE,"Chi tiÆt"}</definedName>
    <definedName name="_h2" hidden="1">{"'Sheet1'!$L$16"}</definedName>
    <definedName name="_h3" hidden="1">{"'Sheet1'!$L$16"}</definedName>
    <definedName name="_h5" hidden="1">{"'Sheet1'!$L$16"}</definedName>
    <definedName name="_H500866">#REF!</definedName>
    <definedName name="_h6" hidden="1">{"'Sheet1'!$L$16"}</definedName>
    <definedName name="_h7" hidden="1">{"'Sheet1'!$L$16"}</definedName>
    <definedName name="_h8" hidden="1">{"'Sheet1'!$L$16"}</definedName>
    <definedName name="_h9" hidden="1">{"'Sheet1'!$L$16"}</definedName>
    <definedName name="_han23">#REF!</definedName>
    <definedName name="_hau1">#REF!</definedName>
    <definedName name="_hau12">#REF!</definedName>
    <definedName name="_hau2">#REF!</definedName>
    <definedName name="_Hlk535242006">#REF!</definedName>
    <definedName name="_Hlk535242273">#REF!</definedName>
    <definedName name="_hom2">#REF!</definedName>
    <definedName name="_hso2">#REF!</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vk1">#REF!</definedName>
    <definedName name="_hvk2">#REF!</definedName>
    <definedName name="_hvk3">#REF!</definedName>
    <definedName name="_JK4">#REF!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n12">#REF!</definedName>
    <definedName name="_L">#REF!</definedName>
    <definedName name="_Lan1" hidden="1">{"'Sheet1'!$L$16"}</definedName>
    <definedName name="_LAN3" hidden="1">{"'Sheet1'!$L$16"}</definedName>
    <definedName name="_lap1">#REF!</definedName>
    <definedName name="_lap2">#REF!</definedName>
    <definedName name="_lk2" hidden="1">{"'Sheet1'!$L$16"}</definedName>
    <definedName name="_lop16">#REF!</definedName>
    <definedName name="_lop25">#REF!</definedName>
    <definedName name="_lop9">#REF!</definedName>
    <definedName name="_Ls">#REF!</definedName>
    <definedName name="_lu13">#REF!</definedName>
    <definedName name="_lu85">#REF!</definedName>
    <definedName name="_M1">#REF!</definedName>
    <definedName name="_M36"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2">#REF!</definedName>
    <definedName name="_MAC12" localSheetId="5">#REF!</definedName>
    <definedName name="_MAC12" localSheetId="4">#REF!</definedName>
    <definedName name="_MAC12" localSheetId="3">#REF!</definedName>
    <definedName name="_MAC12" localSheetId="6">#REF!</definedName>
    <definedName name="_MAC12" localSheetId="0">#REF!</definedName>
    <definedName name="_MAC12" localSheetId="1">#REF!</definedName>
    <definedName name="_MAC12">#REF!</definedName>
    <definedName name="_MAC46" localSheetId="0">#REF!</definedName>
    <definedName name="_MAC46" localSheetId="1">#REF!</definedName>
    <definedName name="_MAC46">#REF!</definedName>
    <definedName name="_may2">#REF!</definedName>
    <definedName name="_may3">#REF!</definedName>
    <definedName name="_MDL1">#REF!</definedName>
    <definedName name="_Mgh2">#REF!</definedName>
    <definedName name="_mh1">#REF!</definedName>
    <definedName name="_Mh2">#REF!</definedName>
    <definedName name="_mh3">#REF!</definedName>
    <definedName name="_mh4">#REF!</definedName>
    <definedName name="_mix6">#REF!</definedName>
    <definedName name="_msl100">#REF!</definedName>
    <definedName name="_msl200">#REF!</definedName>
    <definedName name="_msl250">#REF!</definedName>
    <definedName name="_msl300">#REF!</definedName>
    <definedName name="_msl400">#REF!</definedName>
    <definedName name="_msl80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c1">#REF!</definedName>
    <definedName name="_mtc2">#REF!</definedName>
    <definedName name="_mtc3">#REF!</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x1">#REF!</definedName>
    <definedName name="_mx2">#REF!</definedName>
    <definedName name="_mx3">#REF!</definedName>
    <definedName name="_mx4">#REF!</definedName>
    <definedName name="_nc1">#REF!</definedName>
    <definedName name="_nc10">#REF!</definedName>
    <definedName name="_nc151">#REF!</definedName>
    <definedName name="_nc2">#REF!</definedName>
    <definedName name="_nc3">#REF!</definedName>
    <definedName name="_nc3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ct2">#REF!</definedName>
    <definedName name="_nct3">#REF!</definedName>
    <definedName name="_nct4">#REF!</definedName>
    <definedName name="_nct5">#REF!</definedName>
    <definedName name="_nct6">#REF!</definedName>
    <definedName name="_nct7">#REF!</definedName>
    <definedName name="_nct8">#REF!</definedName>
    <definedName name="_NET2" localSheetId="2">#REF!</definedName>
    <definedName name="_NET2" localSheetId="5">#REF!</definedName>
    <definedName name="_NET2" localSheetId="4">#REF!</definedName>
    <definedName name="_NET2" localSheetId="3">#REF!</definedName>
    <definedName name="_NET2" localSheetId="6">#REF!</definedName>
    <definedName name="_NET2" localSheetId="0">#REF!</definedName>
    <definedName name="_NET2" localSheetId="1">#REF!</definedName>
    <definedName name="_NET2">#REF!</definedName>
    <definedName name="_nin190">#REF!</definedName>
    <definedName name="_NSO2" localSheetId="2" hidden="1">{"'Sheet1'!$L$16"}</definedName>
    <definedName name="_NSO2" localSheetId="5" hidden="1">{"'Sheet1'!$L$16"}</definedName>
    <definedName name="_NSO2" localSheetId="4" hidden="1">{"'Sheet1'!$L$16"}</definedName>
    <definedName name="_NSO2" localSheetId="3" hidden="1">{"'Sheet1'!$L$16"}</definedName>
    <definedName name="_NSO2" localSheetId="6" hidden="1">{"'Sheet1'!$L$16"}</definedName>
    <definedName name="_NSO2" localSheetId="0" hidden="1">{"'Sheet1'!$L$16"}</definedName>
    <definedName name="_NSO2" localSheetId="1" hidden="1">{"'Sheet1'!$L$16"}</definedName>
    <definedName name="_NSO2" hidden="1">{"'Sheet1'!$L$16"}</definedName>
    <definedName name="_off1">#REF!</definedName>
    <definedName name="_Order1" hidden="1">255</definedName>
    <definedName name="_Order2" hidden="1">255</definedName>
    <definedName name="_oto12">#REF!</definedName>
    <definedName name="_oto5">#REF!</definedName>
    <definedName name="_oto7">#REF!</definedName>
    <definedName name="_PA3" hidden="1">{"'Sheet1'!$L$16"}</definedName>
    <definedName name="_Parse_Out" hidden="1">#REF!</definedName>
    <definedName name="_pb30">#REF!</definedName>
    <definedName name="_pb80">#REF!</definedName>
    <definedName name="_Ph30">#REF!</definedName>
    <definedName name="_phi10" localSheetId="2">#REF!</definedName>
    <definedName name="_phi10" localSheetId="5">#REF!</definedName>
    <definedName name="_phi10" localSheetId="4">#REF!</definedName>
    <definedName name="_phi10" localSheetId="3">#REF!</definedName>
    <definedName name="_phi10" localSheetId="6">#REF!</definedName>
    <definedName name="_phi10" localSheetId="0">#REF!</definedName>
    <definedName name="_phi10" localSheetId="1">#REF!</definedName>
    <definedName name="_phi10">#REF!</definedName>
    <definedName name="_phi1000">#REF!</definedName>
    <definedName name="_phi12" localSheetId="0">#REF!</definedName>
    <definedName name="_phi12" localSheetId="1">#REF!</definedName>
    <definedName name="_phi12">#REF!</definedName>
    <definedName name="_phi14" localSheetId="0">#REF!</definedName>
    <definedName name="_phi14" localSheetId="1">#REF!</definedName>
    <definedName name="_phi14">#REF!</definedName>
    <definedName name="_phi1500">#REF!</definedName>
    <definedName name="_phi16">#REF!</definedName>
    <definedName name="_phi18">#REF!</definedName>
    <definedName name="_phi20">#REF!</definedName>
    <definedName name="_phi2000">#REF!</definedName>
    <definedName name="_phi22">#REF!</definedName>
    <definedName name="_phi25">#REF!</definedName>
    <definedName name="_phi28">#REF!</definedName>
    <definedName name="_phi50">#REF!</definedName>
    <definedName name="_phi6">#REF!</definedName>
    <definedName name="_phi750">#REF!</definedName>
    <definedName name="_phi8">#REF!</definedName>
    <definedName name="_PL1">#REF!</definedName>
    <definedName name="_PL1242">#REF!</definedName>
    <definedName name="_Pl2" hidden="1">{"'Sheet1'!$L$16"}</definedName>
    <definedName name="_PL3">#REF!</definedName>
    <definedName name="_PXB80">#REF!</definedName>
    <definedName name="_qa7">#REF!</definedName>
    <definedName name="_qh1">#REF!</definedName>
    <definedName name="_qh2">#REF!</definedName>
    <definedName name="_qh3">#REF!</definedName>
    <definedName name="_qH30">#REF!</definedName>
    <definedName name="_qh4">#REF!</definedName>
    <definedName name="_QLO7">#REF!</definedName>
    <definedName name="_qt1">#REF!</definedName>
    <definedName name="_qt2">#REF!</definedName>
    <definedName name="_qx1">#REF!</definedName>
    <definedName name="_qx2">#REF!</definedName>
    <definedName name="_qx3">#REF!</definedName>
    <definedName name="_qx4">#REF!</definedName>
    <definedName name="_qXB80">#REF!</definedName>
    <definedName name="_R">#REF!</definedName>
    <definedName name="_RF3">#REF!</definedName>
    <definedName name="_rp95">#REF!</definedName>
    <definedName name="_rt1">#REF!</definedName>
    <definedName name="_san108">#REF!</definedName>
    <definedName name="_san180">#REF!</definedName>
    <definedName name="_san250">#REF!</definedName>
    <definedName name="_san54">#REF!</definedName>
    <definedName name="_san90">#REF!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dd24">#REF!</definedName>
    <definedName name="_Sdd33">#REF!</definedName>
    <definedName name="_Sdh24">#REF!</definedName>
    <definedName name="_Sdh33">#REF!</definedName>
    <definedName name="_sl2">#REF!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i2">#REF!</definedName>
    <definedName name="_soi3">#REF!</definedName>
    <definedName name="_Sort" hidden="1">#REF!</definedName>
    <definedName name="_Sortmoi">#REF!</definedName>
    <definedName name="_Stb24">#REF!</definedName>
    <definedName name="_Stb33">#REF!</definedName>
    <definedName name="_sua20">#REF!</definedName>
    <definedName name="_sua30">#REF!</definedName>
    <definedName name="_ta1">#REF!</definedName>
    <definedName name="_ta2">#REF!</definedName>
    <definedName name="_ta3">#REF!</definedName>
    <definedName name="_ta4">#REF!</definedName>
    <definedName name="_ta5">#REF!</definedName>
    <definedName name="_ta6">#REF!</definedName>
    <definedName name="_TB1">#REF!</definedName>
    <definedName name="_tb2">#REF!</definedName>
    <definedName name="_tb3">#REF!</definedName>
    <definedName name="_tb4">#REF!</definedName>
    <definedName name="_tc1">#REF!</definedName>
    <definedName name="_tct3">#REF!</definedName>
    <definedName name="_tct5">#REF!</definedName>
    <definedName name="_td1">#REF!</definedName>
    <definedName name="_te1">#REF!</definedName>
    <definedName name="_te2">#REF!</definedName>
    <definedName name="_tg1">#REF!</definedName>
    <definedName name="_tg427">#REF!</definedName>
    <definedName name="_TH1" localSheetId="2">#REF!</definedName>
    <definedName name="_TH1" localSheetId="5">#REF!</definedName>
    <definedName name="_TH1" localSheetId="4">#REF!</definedName>
    <definedName name="_TH1" localSheetId="3">#REF!</definedName>
    <definedName name="_TH1" localSheetId="6">#REF!</definedName>
    <definedName name="_TH1" localSheetId="0">#REF!</definedName>
    <definedName name="_TH1" localSheetId="1">#REF!</definedName>
    <definedName name="_TH1">#REF!</definedName>
    <definedName name="_TH2" localSheetId="0">#REF!</definedName>
    <definedName name="_TH2" localSheetId="1">#REF!</definedName>
    <definedName name="_TH2">#REF!</definedName>
    <definedName name="_TH20">#REF!</definedName>
    <definedName name="_TH3" localSheetId="0">#REF!</definedName>
    <definedName name="_TH3" localSheetId="1">#REF!</definedName>
    <definedName name="_TH3">#REF!</definedName>
    <definedName name="_TH35">#REF!</definedName>
    <definedName name="_TH50">#REF!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ld2">#REF!</definedName>
    <definedName name="_tlp3">#REF!</definedName>
    <definedName name="_tp2">#REF!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2005">#REF!</definedName>
    <definedName name="_tra70">#REF!</definedName>
    <definedName name="_tra72">#REF!</definedName>
    <definedName name="_tra74">#REF!</definedName>
    <definedName name="_tra76">#REF!</definedName>
    <definedName name="_tra78">#REF!</definedName>
    <definedName name="_tra79">#REF!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ru21" hidden="1">{"'Sheet1'!$L$16"}</definedName>
    <definedName name="_TS2">#REF!</definedName>
    <definedName name="_tt3" hidden="1">{"'Sheet1'!$L$16"}</definedName>
    <definedName name="_TT31" hidden="1">{"'Sheet1'!$L$16"}</definedName>
    <definedName name="_TVL1">#REF!</definedName>
    <definedName name="_tz593">#REF!</definedName>
    <definedName name="_ui100">#REF!</definedName>
    <definedName name="_ui105">#REF!</definedName>
    <definedName name="_ui108">#REF!</definedName>
    <definedName name="_ui130">#REF!</definedName>
    <definedName name="_ui140">#REF!</definedName>
    <definedName name="_ui160">#REF!</definedName>
    <definedName name="_ui180">#REF!</definedName>
    <definedName name="_ui250">#REF!</definedName>
    <definedName name="_ui271">#REF!</definedName>
    <definedName name="_ui320">#REF!</definedName>
    <definedName name="_ui45">#REF!</definedName>
    <definedName name="_ui50">#REF!</definedName>
    <definedName name="_ui54">#REF!</definedName>
    <definedName name="_ui65">#REF!</definedName>
    <definedName name="_ui75">#REF!</definedName>
    <definedName name="_ui80">#REF!</definedName>
    <definedName name="_UT2">#REF!</definedName>
    <definedName name="_vc1">#REF!</definedName>
    <definedName name="_vc2">#REF!</definedName>
    <definedName name="_vc3">#REF!</definedName>
    <definedName name="_Vh2">#REF!</definedName>
    <definedName name="_VL1">#REF!</definedName>
    <definedName name="_vl10">#REF!</definedName>
    <definedName name="_VL100">#REF!</definedName>
    <definedName name="_vl2" localSheetId="2" hidden="1">{"'Sheet1'!$L$16"}</definedName>
    <definedName name="_vl2" localSheetId="5" hidden="1">{"'Sheet1'!$L$16"}</definedName>
    <definedName name="_vl2" localSheetId="4" hidden="1">{"'Sheet1'!$L$16"}</definedName>
    <definedName name="_vl2" localSheetId="3" hidden="1">{"'Sheet1'!$L$16"}</definedName>
    <definedName name="_vl2" localSheetId="6" hidden="1">{"'Sheet1'!$L$16"}</definedName>
    <definedName name="_vl2" localSheetId="0" hidden="1">{"'Sheet1'!$L$16"}</definedName>
    <definedName name="_vl2" localSheetId="1" hidden="1">{"'Sheet1'!$L$16"}</definedName>
    <definedName name="_vl2" hidden="1">{"'Sheet1'!$L$16"}</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vlt2">#REF!</definedName>
    <definedName name="_vlt3">#REF!</definedName>
    <definedName name="_vlt4">#REF!</definedName>
    <definedName name="_vlt5">#REF!</definedName>
    <definedName name="_vlt6">#REF!</definedName>
    <definedName name="_vlt7">#REF!</definedName>
    <definedName name="_vlt8">#REF!</definedName>
    <definedName name="_VM2" hidden="1">{"'Sheet1'!$L$16"}</definedName>
    <definedName name="_xb80">#REF!</definedName>
    <definedName name="_xl150">#REF!</definedName>
    <definedName name="_xm3">#REF!</definedName>
    <definedName name="_xm4">#REF!</definedName>
    <definedName name="_xm5">#REF!</definedName>
    <definedName name="A">#REF!</definedName>
    <definedName name="â" hidden="1">{"'Sheet1'!$L$16"}</definedName>
    <definedName name="A.">#REF!</definedName>
    <definedName name="A.1">#REF!</definedName>
    <definedName name="A.2">#REF!</definedName>
    <definedName name="a_">#REF!</definedName>
    <definedName name="a_s">#REF!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1">#REF!</definedName>
    <definedName name="a10.">#REF!</definedName>
    <definedName name="a11.">#REF!</definedName>
    <definedName name="a12.">#REF!</definedName>
    <definedName name="A120_" localSheetId="0">#REF!</definedName>
    <definedName name="A120_" localSheetId="1">#REF!</definedName>
    <definedName name="A120_">#REF!</definedName>
    <definedName name="a1t">#REF!</definedName>
    <definedName name="a2.">#REF!</definedName>
    <definedName name="a277Print_Titles" localSheetId="0">#REF!</definedName>
    <definedName name="a277Print_Titles" localSheetId="1">#REF!</definedName>
    <definedName name="a277Print_Titles">#REF!</definedName>
    <definedName name="a3.">#REF!</definedName>
    <definedName name="A35_" localSheetId="0">#REF!</definedName>
    <definedName name="A35_" localSheetId="1">#REF!</definedName>
    <definedName name="A35_">#REF!</definedName>
    <definedName name="a4.">#REF!</definedName>
    <definedName name="a5.">#REF!</definedName>
    <definedName name="A50_">#REF!</definedName>
    <definedName name="a6.">#REF!</definedName>
    <definedName name="A6N2">#REF!</definedName>
    <definedName name="A6N3">#REF!</definedName>
    <definedName name="a7.">#REF!</definedName>
    <definedName name="A70_">#REF!</definedName>
    <definedName name="a8.">#REF!</definedName>
    <definedName name="a9.">#REF!</definedName>
    <definedName name="A95_">#REF!</definedName>
    <definedName name="AA">#REF!</definedName>
    <definedName name="AAA" localSheetId="0">#REF!</definedName>
    <definedName name="AAA" localSheetId="1">#REF!</definedName>
    <definedName name="AAA">#REF!</definedName>
    <definedName name="aAAA">#REF!</definedName>
    <definedName name="aaaaa">#REF!</definedName>
    <definedName name="aaaaaa" hidden="1">{"'Sheet1'!$L$16"}</definedName>
    <definedName name="aaaaaaa" hidden="1">{"'Sheet1'!$L$16"}</definedName>
    <definedName name="aaaaaaaaaaaaaaaaaaaaa" hidden="1">{"'Sheet1'!$L$16"}</definedName>
    <definedName name="aaaaaaaaaaaaaaaaaaaaaa" hidden="1">{"'Sheet1'!$L$16"}</definedName>
    <definedName name="aan">#REF!</definedName>
    <definedName name="Ab">#REF!</definedName>
    <definedName name="abc" localSheetId="2">#REF!</definedName>
    <definedName name="abc" localSheetId="5">#REF!</definedName>
    <definedName name="abc" localSheetId="4">#REF!</definedName>
    <definedName name="abc" localSheetId="3">#REF!</definedName>
    <definedName name="abc" localSheetId="6">#REF!</definedName>
    <definedName name="abc" localSheetId="0">#REF!</definedName>
    <definedName name="abc" localSheetId="1">#REF!</definedName>
    <definedName name="abc">#REF!</definedName>
    <definedName name="abs">#REF!</definedName>
    <definedName name="ãc" localSheetId="2">#REF!</definedName>
    <definedName name="ãc" localSheetId="5">#REF!</definedName>
    <definedName name="ãc" localSheetId="4">#REF!</definedName>
    <definedName name="ãc" localSheetId="3">#REF!</definedName>
    <definedName name="ãc" localSheetId="6">#REF!</definedName>
    <definedName name="ãc" localSheetId="0">#REF!</definedName>
    <definedName name="ãc" localSheetId="1">#REF!</definedName>
    <definedName name="ãc">#REF!</definedName>
    <definedName name="Ac_">#REF!</definedName>
    <definedName name="AC120_" localSheetId="2">#REF!</definedName>
    <definedName name="AC120_" localSheetId="5">#REF!</definedName>
    <definedName name="AC120_" localSheetId="4">#REF!</definedName>
    <definedName name="AC120_" localSheetId="3">#REF!</definedName>
    <definedName name="AC120_" localSheetId="6">#REF!</definedName>
    <definedName name="AC120_" localSheetId="0">#REF!</definedName>
    <definedName name="AC120_" localSheetId="1">#REF!</definedName>
    <definedName name="AC120_">#REF!</definedName>
    <definedName name="AC35_" localSheetId="0">#REF!</definedName>
    <definedName name="AC35_" localSheetId="1">#REF!</definedName>
    <definedName name="AC35_">#REF!</definedName>
    <definedName name="AC50_" localSheetId="0">#REF!</definedName>
    <definedName name="AC50_" localSheetId="1">#REF!</definedName>
    <definedName name="AC50_">#REF!</definedName>
    <definedName name="AC70_">#REF!</definedName>
    <definedName name="AC95_">#REF!</definedName>
    <definedName name="AccessDatabase" hidden="1">"C:\My Documents\LeBinh\Xls\VP Cong ty\FORM.mdb"</definedName>
    <definedName name="acdc">#REF!</definedName>
    <definedName name="aco">#REF!</definedName>
    <definedName name="Acv">#REF!</definedName>
    <definedName name="ADADADD" hidden="1">{"'Sheet1'!$L$16"}</definedName>
    <definedName name="ADAY">#REF!</definedName>
    <definedName name="addd">#REF!</definedName>
    <definedName name="Address">#REF!</definedName>
    <definedName name="ADP">#REF!</definedName>
    <definedName name="ae" hidden="1">{"'Sheet1'!$L$16"}</definedName>
    <definedName name="Ag_">#REF!</definedName>
    <definedName name="ag142X42" localSheetId="0">#REF!</definedName>
    <definedName name="ag142X42" localSheetId="1">#REF!</definedName>
    <definedName name="ag142X42">#REF!</definedName>
    <definedName name="ag15F80">#REF!</definedName>
    <definedName name="ag267N59" localSheetId="0">#REF!</definedName>
    <definedName name="ag267N59" localSheetId="1">#REF!</definedName>
    <definedName name="ag267N59">#REF!</definedName>
    <definedName name="ấgsfag">#REF!</definedName>
    <definedName name="ah">#REF!</definedName>
    <definedName name="ai">#REF!</definedName>
    <definedName name="aii">#REF!</definedName>
    <definedName name="aiii">#REF!</definedName>
    <definedName name="AKHAC">#REF!</definedName>
    <definedName name="All_Item" localSheetId="0">#REF!</definedName>
    <definedName name="All_Item" localSheetId="1">#REF!</definedName>
    <definedName name="All_Item">#REF!</definedName>
    <definedName name="ALPIN">#N/A</definedName>
    <definedName name="ALPJYOU">#N/A</definedName>
    <definedName name="ALPTOI">#N/A</definedName>
    <definedName name="ALTINH">#REF!</definedName>
    <definedName name="am.">#REF!</definedName>
    <definedName name="amiang" localSheetId="0">#REF!</definedName>
    <definedName name="amiang" localSheetId="1">#REF!</definedName>
    <definedName name="amiang">#REF!</definedName>
    <definedName name="an">#REF!</definedName>
    <definedName name="anfa_s">#REF!</definedName>
    <definedName name="ang">#REF!</definedName>
    <definedName name="ANN">#REF!</definedName>
    <definedName name="anpha" localSheetId="2">#REF!</definedName>
    <definedName name="anpha" localSheetId="5">#REF!</definedName>
    <definedName name="anpha" localSheetId="4">#REF!</definedName>
    <definedName name="anpha" localSheetId="3">#REF!</definedName>
    <definedName name="anpha" localSheetId="6">#REF!</definedName>
    <definedName name="anpha" localSheetId="0">#REF!</definedName>
    <definedName name="anpha" localSheetId="1">#REF!</definedName>
    <definedName name="anpha">#REF!</definedName>
    <definedName name="ANQD">#REF!</definedName>
    <definedName name="anscount" hidden="1">6</definedName>
    <definedName name="Apstot">#REF!</definedName>
    <definedName name="Aq">#REF!</definedName>
    <definedName name="aqbnmjm">#REF!</definedName>
    <definedName name="As">#REF!</definedName>
    <definedName name="As_">#REF!</definedName>
    <definedName name="asb">#REF!</definedName>
    <definedName name="asd">#REF!</definedName>
    <definedName name="astr">#REF!</definedName>
    <definedName name="at">#REF!</definedName>
    <definedName name="ATGT" hidden="1">{"'Sheet1'!$L$16"}</definedName>
    <definedName name="ATRAM">#REF!</definedName>
    <definedName name="ATW">#REF!</definedName>
    <definedName name="Av">#REF!</definedName>
    <definedName name="Avf">#REF!</definedName>
    <definedName name="Avl">#REF!</definedName>
    <definedName name="B" localSheetId="2">#REF!</definedName>
    <definedName name="B" localSheetId="5">#REF!</definedName>
    <definedName name="B" localSheetId="4">#REF!</definedName>
    <definedName name="B" localSheetId="3">#REF!</definedName>
    <definedName name="B" localSheetId="6">#REF!</definedName>
    <definedName name="B" localSheetId="0">#REF!</definedName>
    <definedName name="B" localSheetId="1">#REF!</definedName>
    <definedName name="B">#REF!</definedName>
    <definedName name="B.4">#REF!</definedName>
    <definedName name="B.5">#REF!</definedName>
    <definedName name="B.6">#REF!</definedName>
    <definedName name="B.7">#REF!</definedName>
    <definedName name="b.8">#REF!</definedName>
    <definedName name="b.9">#REF!</definedName>
    <definedName name="b_240" localSheetId="2">#REF!</definedName>
    <definedName name="b_240" localSheetId="5">#REF!</definedName>
    <definedName name="b_240" localSheetId="4">#REF!</definedName>
    <definedName name="b_240" localSheetId="3">#REF!</definedName>
    <definedName name="b_240" localSheetId="6">#REF!</definedName>
    <definedName name="b_240" localSheetId="0">#REF!</definedName>
    <definedName name="b_240" localSheetId="1">#REF!</definedName>
    <definedName name="b_240">#REF!</definedName>
    <definedName name="b_260">#REF!</definedName>
    <definedName name="b_280" localSheetId="0">#REF!</definedName>
    <definedName name="b_280" localSheetId="1">#REF!</definedName>
    <definedName name="b_280">#REF!</definedName>
    <definedName name="b_320" localSheetId="0">#REF!</definedName>
    <definedName name="b_320" localSheetId="1">#REF!</definedName>
    <definedName name="b_320">#REF!</definedName>
    <definedName name="b_350">#REF!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ng_dÝnh">#REF!</definedName>
    <definedName name="B_tinh">#REF!</definedName>
    <definedName name="b_WL">#REF!</definedName>
    <definedName name="b_WL1">#REF!</definedName>
    <definedName name="b_WS">#REF!</definedName>
    <definedName name="b_ws1">#REF!</definedName>
    <definedName name="b1.">#REF!</definedName>
    <definedName name="b10.">#REF!</definedName>
    <definedName name="b11.">#REF!</definedName>
    <definedName name="b12.">#REF!</definedName>
    <definedName name="b1s">#REF!</definedName>
    <definedName name="b1s_">#REF!</definedName>
    <definedName name="b1t">#REF!</definedName>
    <definedName name="b2.">#REF!</definedName>
    <definedName name="b2t">#REF!</definedName>
    <definedName name="b3.">#REF!</definedName>
    <definedName name="B3a">#REF!</definedName>
    <definedName name="b3t">#REF!</definedName>
    <definedName name="b4.">#REF!</definedName>
    <definedName name="b4t">#REF!</definedName>
    <definedName name="b5.">#REF!</definedName>
    <definedName name="b6.">#REF!</definedName>
    <definedName name="b7.">#REF!</definedName>
    <definedName name="Bãc_chi_tiÕt_vËt_tu_D35kv_Son_TÞnh_Tra_Bång">#REF!</definedName>
    <definedName name="Bãc_chi_tiÕt_vËt_tu_dît_1_thang_10_96">#REF!</definedName>
    <definedName name="bac25d">#REF!</definedName>
    <definedName name="bac27d">#REF!</definedName>
    <definedName name="bac2d">#REF!</definedName>
    <definedName name="bac35d">#REF!</definedName>
    <definedName name="bac37d">#REF!</definedName>
    <definedName name="bac3d">#REF!</definedName>
    <definedName name="bac45d">#REF!</definedName>
    <definedName name="bac47d">#REF!</definedName>
    <definedName name="bac4d">#REF!</definedName>
    <definedName name="bac4d1">#REF!</definedName>
    <definedName name="bactham">#REF!</definedName>
    <definedName name="Bai_ducdam_coc">#REF!</definedName>
    <definedName name="BAMUA1">#REF!</definedName>
    <definedName name="BAMUA2">#REF!</definedName>
    <definedName name="ban">#REF!</definedName>
    <definedName name="ban_dan">#REF!</definedName>
    <definedName name="BANG_CHI_TIET_THI_NGHIEM_CONG_TO" localSheetId="2">#REF!</definedName>
    <definedName name="BANG_CHI_TIET_THI_NGHIEM_CONG_TO" localSheetId="5">#REF!</definedName>
    <definedName name="BANG_CHI_TIET_THI_NGHIEM_CONG_TO" localSheetId="4">#REF!</definedName>
    <definedName name="BANG_CHI_TIET_THI_NGHIEM_CONG_TO" localSheetId="3">#REF!</definedName>
    <definedName name="BANG_CHI_TIET_THI_NGHIEM_CONG_TO" localSheetId="6">#REF!</definedName>
    <definedName name="BANG_CHI_TIET_THI_NGHIEM_CONG_TO" localSheetId="0">#REF!</definedName>
    <definedName name="BANG_CHI_TIET_THI_NGHIEM_CONG_TO" localSheetId="1">#REF!</definedName>
    <definedName name="BANG_CHI_TIET_THI_NGHIEM_CONG_TO">#REF!</definedName>
    <definedName name="BANG_CHI_TIET_THI_NGHIEM_DZ0.4KV" localSheetId="0">#REF!</definedName>
    <definedName name="BANG_CHI_TIET_THI_NGHIEM_DZ0.4KV" localSheetId="1">#REF!</definedName>
    <definedName name="BANG_CHI_TIET_THI_NGHIEM_DZ0.4KV">#REF!</definedName>
    <definedName name="BANG_CHI_TIET_THI_NGHIEM_DZ22KV" localSheetId="0">#REF!</definedName>
    <definedName name="BANG_CHI_TIET_THI_NGHIEM_DZ22KV" localSheetId="1">#REF!</definedName>
    <definedName name="BANG_CHI_TIET_THI_NGHIEM_DZ22KV">#REF!</definedName>
    <definedName name="Bang_cly" localSheetId="2">#REF!</definedName>
    <definedName name="Bang_cly" localSheetId="5">#REF!</definedName>
    <definedName name="Bang_cly" localSheetId="4">#REF!</definedName>
    <definedName name="Bang_cly" localSheetId="3">#REF!</definedName>
    <definedName name="Bang_cly" localSheetId="6">#REF!</definedName>
    <definedName name="Bang_cly" localSheetId="0">#REF!</definedName>
    <definedName name="Bang_cly" localSheetId="1">#REF!</definedName>
    <definedName name="Bang_cly">#REF!</definedName>
    <definedName name="Bang_CVC" localSheetId="0">#REF!</definedName>
    <definedName name="Bang_CVC" localSheetId="1">#REF!</definedName>
    <definedName name="Bang_CVC">#REF!</definedName>
    <definedName name="bang_gia" localSheetId="0">#REF!</definedName>
    <definedName name="bang_gia" localSheetId="1">#REF!</definedName>
    <definedName name="bang_gia">#REF!</definedName>
    <definedName name="Bang_ke_hoan_cong">#REF!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ONG_HOP_VL_NC_MTC">#REF!</definedName>
    <definedName name="Bang_travl">#REF!</definedName>
    <definedName name="Bang_tÝnh_1_Chuçi_nÐo">#REF!</definedName>
    <definedName name="Bang1">#REF!</definedName>
    <definedName name="bangchu">#REF!</definedName>
    <definedName name="bangciti" localSheetId="0">#REF!</definedName>
    <definedName name="bangciti" localSheetId="1">#REF!</definedName>
    <definedName name="bangciti">#REF!</definedName>
    <definedName name="BangGiaVL_Q">#REF!</definedName>
    <definedName name="bangluong">#REF!</definedName>
    <definedName name="BangMa">#REF!</definedName>
    <definedName name="Bangtienluong">#REF!</definedName>
    <definedName name="bangtinh">#REF!</definedName>
    <definedName name="baotaibovay">#REF!</definedName>
    <definedName name="BarData">#REF!</definedName>
    <definedName name="Bardata1">#REF!</definedName>
    <definedName name="BB" localSheetId="0">#REF!</definedName>
    <definedName name="BB" localSheetId="1">#REF!</definedName>
    <definedName name="BB">#REF!</definedName>
    <definedName name="bbbb">#REF!</definedName>
    <definedName name="bbcn">#REF!</definedName>
    <definedName name="bbvuong">#REF!</definedName>
    <definedName name="bc_1">#REF!</definedName>
    <definedName name="bc_2">#REF!</definedName>
    <definedName name="BCBo" hidden="1">{"'Sheet1'!$L$16"}</definedName>
    <definedName name="BCT">#REF!</definedName>
    <definedName name="bd">#REF!</definedName>
    <definedName name="BDAY">#REF!</definedName>
    <definedName name="bdc">#REF!</definedName>
    <definedName name="bdht15nc" localSheetId="0">#REF!</definedName>
    <definedName name="bdht15nc" localSheetId="1">#REF!</definedName>
    <definedName name="bdht15nc">#REF!</definedName>
    <definedName name="bdht15vl" localSheetId="0">#REF!</definedName>
    <definedName name="bdht15vl" localSheetId="1">#REF!</definedName>
    <definedName name="bdht15vl">#REF!</definedName>
    <definedName name="bdht25nc" localSheetId="0">#REF!</definedName>
    <definedName name="bdht25nc" localSheetId="1">#REF!</definedName>
    <definedName name="bdht25nc">#REF!</definedName>
    <definedName name="bdht25vl" localSheetId="0">#REF!</definedName>
    <definedName name="bdht25vl" localSheetId="1">#REF!</definedName>
    <definedName name="bdht25vl">#REF!</definedName>
    <definedName name="bdht325nc">#REF!</definedName>
    <definedName name="bdht325vl">#REF!</definedName>
    <definedName name="BDIM">#REF!</definedName>
    <definedName name="bdw">#REF!</definedName>
    <definedName name="be">#REF!</definedName>
    <definedName name="Be_duc_dam">#REF!</definedName>
    <definedName name="Be1L">#REF!</definedName>
    <definedName name="beepsound">#REF!</definedName>
    <definedName name="bengam" localSheetId="2">#REF!</definedName>
    <definedName name="bengam" localSheetId="5">#REF!</definedName>
    <definedName name="bengam" localSheetId="4">#REF!</definedName>
    <definedName name="bengam" localSheetId="3">#REF!</definedName>
    <definedName name="bengam" localSheetId="6">#REF!</definedName>
    <definedName name="bengam" localSheetId="0">#REF!</definedName>
    <definedName name="bengam" localSheetId="1">#REF!</definedName>
    <definedName name="bengam">#REF!</definedName>
    <definedName name="benuoc" localSheetId="0">#REF!</definedName>
    <definedName name="benuoc" localSheetId="1">#REF!</definedName>
    <definedName name="benuoc">#REF!</definedName>
    <definedName name="beta" localSheetId="0">#REF!</definedName>
    <definedName name="beta" localSheetId="1">#REF!</definedName>
    <definedName name="beta">#REF!</definedName>
    <definedName name="betong100">#REF!</definedName>
    <definedName name="betong200" localSheetId="0">#REF!</definedName>
    <definedName name="betong200" localSheetId="1">#REF!</definedName>
    <definedName name="betong200">#REF!</definedName>
    <definedName name="BetongM150">#REF!,#REF!</definedName>
    <definedName name="BetongM200">#REF!,#REF!</definedName>
    <definedName name="BetongM50">#REF!,#REF!</definedName>
    <definedName name="Bezugsfeld">#REF!</definedName>
    <definedName name="Bgiang" hidden="1">{"'Sheet1'!$L$16"}</definedName>
    <definedName name="bia">#REF!</definedName>
    <definedName name="bienbao">#REF!</definedName>
    <definedName name="Bình_Định">#REF!</definedName>
    <definedName name="bit" localSheetId="0">#REF!</definedName>
    <definedName name="bit" localSheetId="1">#REF!</definedName>
    <definedName name="bit">#REF!</definedName>
    <definedName name="Bitum">#REF!</definedName>
    <definedName name="BKH">#REF!</definedName>
    <definedName name="BKinh">#REF!</definedName>
    <definedName name="BL240HT">#REF!</definedName>
    <definedName name="BL280HT">#REF!</definedName>
    <definedName name="BL320HT">#REF!</definedName>
    <definedName name="blang">#REF!</definedName>
    <definedName name="blkh" localSheetId="2">#REF!</definedName>
    <definedName name="blkh" localSheetId="5">#REF!</definedName>
    <definedName name="blkh" localSheetId="4">#REF!</definedName>
    <definedName name="blkh" localSheetId="3">#REF!</definedName>
    <definedName name="blkh" localSheetId="6">#REF!</definedName>
    <definedName name="blkh" localSheetId="0">#REF!</definedName>
    <definedName name="blkh" localSheetId="1">#REF!</definedName>
    <definedName name="blkh">#REF!</definedName>
    <definedName name="blkh1" localSheetId="0">#REF!</definedName>
    <definedName name="blkh1" localSheetId="1">#REF!</definedName>
    <definedName name="blkh1">#REF!</definedName>
    <definedName name="blneo">#REF!</definedName>
    <definedName name="BLOCK1">#REF!</definedName>
    <definedName name="BLOCK2">#REF!</definedName>
    <definedName name="BLOCK3">#REF!</definedName>
    <definedName name="blong">#REF!</definedName>
    <definedName name="blop" localSheetId="0">#REF!</definedName>
    <definedName name="blop" localSheetId="1">#REF!</definedName>
    <definedName name="blop">#REF!</definedName>
    <definedName name="Bmat">#REF!</definedName>
    <definedName name="bng">#REF!</definedName>
    <definedName name="BNV">#REF!</definedName>
    <definedName name="bom">#REF!</definedName>
    <definedName name="bombt50">#REF!</definedName>
    <definedName name="bombt60">#REF!</definedName>
    <definedName name="bomnuoc20kw">#REF!</definedName>
    <definedName name="bomnuocdau10">#REF!</definedName>
    <definedName name="bomnuocdau100">#REF!</definedName>
    <definedName name="bomnuocdau15">#REF!</definedName>
    <definedName name="bomnuocdau150">#REF!</definedName>
    <definedName name="bomnuocdau20">#REF!</definedName>
    <definedName name="bomnuocdau37">#REF!</definedName>
    <definedName name="bomnuocdau45">#REF!</definedName>
    <definedName name="bomnuocdau5">#REF!</definedName>
    <definedName name="bomnuocdau5.5">#REF!</definedName>
    <definedName name="bomnuocdau7">#REF!</definedName>
    <definedName name="bomnuocdau7.5">#REF!</definedName>
    <definedName name="bomnuocdau75">#REF!</definedName>
    <definedName name="bomnuocdien0.55">#REF!</definedName>
    <definedName name="bomnuocdien0.75">#REF!</definedName>
    <definedName name="bomnuocdien1.5">#REF!</definedName>
    <definedName name="bomnuocdien10">#REF!</definedName>
    <definedName name="bomnuocdien113">#REF!</definedName>
    <definedName name="bomnuocdien14">#REF!</definedName>
    <definedName name="bomnuocdien2">#REF!</definedName>
    <definedName name="bomnuocdien2.8">#REF!</definedName>
    <definedName name="bomnuocdien20">#REF!</definedName>
    <definedName name="bomnuocdien22">#REF!</definedName>
    <definedName name="bomnuocdien28">#REF!</definedName>
    <definedName name="bomnuocdien30">#REF!</definedName>
    <definedName name="bomnuocdien4">#REF!</definedName>
    <definedName name="bomnuocdien4.5">#REF!</definedName>
    <definedName name="bomnuocdien40">#REF!</definedName>
    <definedName name="bomnuocdien50">#REF!</definedName>
    <definedName name="bomnuocdien55">#REF!</definedName>
    <definedName name="bomnuocdien7">#REF!</definedName>
    <definedName name="bomnuocdien75">#REF!</definedName>
    <definedName name="bomnuocxang3">#REF!</definedName>
    <definedName name="bomnuocxang4">#REF!</definedName>
    <definedName name="bomnuocxang6">#REF!</definedName>
    <definedName name="bomnuocxang7">#REF!</definedName>
    <definedName name="bomnuocxang8">#REF!</definedName>
    <definedName name="bomvua1.5">#REF!</definedName>
    <definedName name="bonnuocdien1.1">#REF!</definedName>
    <definedName name="book1">#REF!</definedName>
    <definedName name="Book2" localSheetId="2">#REF!</definedName>
    <definedName name="Book2" localSheetId="5">#REF!</definedName>
    <definedName name="Book2" localSheetId="4">#REF!</definedName>
    <definedName name="Book2" localSheetId="3">#REF!</definedName>
    <definedName name="Book2" localSheetId="6">#REF!</definedName>
    <definedName name="Book2" localSheetId="0">#REF!</definedName>
    <definedName name="Book2" localSheetId="1">#REF!</definedName>
    <definedName name="Book2">#REF!</definedName>
    <definedName name="BOQ" localSheetId="0">#REF!</definedName>
    <definedName name="BOQ" localSheetId="1">#REF!</definedName>
    <definedName name="BOQ">#REF!</definedName>
    <definedName name="bp">#REF!</definedName>
    <definedName name="BQLTB">#REF!</definedName>
    <definedName name="BQLXL">#REF!</definedName>
    <definedName name="bson">#REF!</definedName>
    <definedName name="BT" localSheetId="0">#REF!</definedName>
    <definedName name="BT" localSheetId="1">#REF!</definedName>
    <definedName name="BT">#REF!</definedName>
    <definedName name="BT_125">#REF!</definedName>
    <definedName name="BT_CT_Mong_Mo_Tru_Cau">#REF!</definedName>
    <definedName name="BT200_50">#REF!</definedName>
    <definedName name="btabd">#REF!</definedName>
    <definedName name="btadn">#REF!</definedName>
    <definedName name="btah">#REF!</definedName>
    <definedName name="btah1">#REF!</definedName>
    <definedName name="btai">#REF!</definedName>
    <definedName name="btaqn">#REF!</definedName>
    <definedName name="btaqt">#REF!</definedName>
    <definedName name="btbdn">#REF!</definedName>
    <definedName name="btbh">#REF!</definedName>
    <definedName name="btbqn">#REF!</definedName>
    <definedName name="btbqt">#REF!</definedName>
    <definedName name="btcdn">#REF!</definedName>
    <definedName name="btch">#REF!</definedName>
    <definedName name="btch1">#REF!</definedName>
    <definedName name="btch2">#REF!</definedName>
    <definedName name="btchiuaxitm300" localSheetId="2">#REF!</definedName>
    <definedName name="btchiuaxitm300" localSheetId="5">#REF!</definedName>
    <definedName name="btchiuaxitm300" localSheetId="4">#REF!</definedName>
    <definedName name="btchiuaxitm300" localSheetId="3">#REF!</definedName>
    <definedName name="btchiuaxitm300" localSheetId="6">#REF!</definedName>
    <definedName name="btchiuaxitm300" localSheetId="0">#REF!</definedName>
    <definedName name="btchiuaxitm300" localSheetId="1">#REF!</definedName>
    <definedName name="btchiuaxitm300">#REF!</definedName>
    <definedName name="BTchiuaxm200" localSheetId="0">#REF!</definedName>
    <definedName name="BTchiuaxm200" localSheetId="1">#REF!</definedName>
    <definedName name="BTchiuaxm200">#REF!</definedName>
    <definedName name="btcocM400" localSheetId="0">#REF!</definedName>
    <definedName name="btcocM400" localSheetId="1">#REF!</definedName>
    <definedName name="btcocM400">#REF!</definedName>
    <definedName name="BTcot">#REF!</definedName>
    <definedName name="Btcot1">#REF!</definedName>
    <definedName name="btcqn">#REF!</definedName>
    <definedName name="btcqt">#REF!</definedName>
    <definedName name="btd">#REF!</definedName>
    <definedName name="btdbd">#REF!</definedName>
    <definedName name="btddn">#REF!</definedName>
    <definedName name="btdh">#REF!</definedName>
    <definedName name="btdqn">#REF!</definedName>
    <definedName name="btdqt">#REF!</definedName>
    <definedName name="bteqn">#REF!</definedName>
    <definedName name="btham">#REF!</definedName>
    <definedName name="btkn">#REF!</definedName>
    <definedName name="BTlotm100">#REF!</definedName>
    <definedName name="BTLT1pm">#REF!</definedName>
    <definedName name="BTLT3pm">#REF!</definedName>
    <definedName name="BTLTHTDL">#REF!</definedName>
    <definedName name="BTLTHTHH">#REF!</definedName>
    <definedName name="BTLY">#REF!</definedName>
    <definedName name="btm">#REF!</definedName>
    <definedName name="BTN_CPDD_tuoi_nhua_lot">#REF!</definedName>
    <definedName name="btnm3" hidden="1">{"'Sheet1'!$L$16"}</definedName>
    <definedName name="BTNmin">#REF!</definedName>
    <definedName name="BTNtrung">#REF!</definedName>
    <definedName name="BTP">#REF!</definedName>
    <definedName name="BTRAM">#REF!</definedName>
    <definedName name="btthuongpham150">#REF!</definedName>
    <definedName name="btthuongpham300">#REF!</definedName>
    <definedName name="BU_CHENH_LECH_DZ0.4KV" localSheetId="2">#REF!</definedName>
    <definedName name="BU_CHENH_LECH_DZ0.4KV" localSheetId="5">#REF!</definedName>
    <definedName name="BU_CHENH_LECH_DZ0.4KV" localSheetId="4">#REF!</definedName>
    <definedName name="BU_CHENH_LECH_DZ0.4KV" localSheetId="3">#REF!</definedName>
    <definedName name="BU_CHENH_LECH_DZ0.4KV" localSheetId="6">#REF!</definedName>
    <definedName name="BU_CHENH_LECH_DZ0.4KV" localSheetId="0">#REF!</definedName>
    <definedName name="BU_CHENH_LECH_DZ0.4KV" localSheetId="1">#REF!</definedName>
    <definedName name="BU_CHENH_LECH_DZ0.4KV">#REF!</definedName>
    <definedName name="BU_CHENH_LECH_DZ22KV" localSheetId="0">#REF!</definedName>
    <definedName name="BU_CHENH_LECH_DZ22KV" localSheetId="1">#REF!</definedName>
    <definedName name="BU_CHENH_LECH_DZ22KV">#REF!</definedName>
    <definedName name="BU_CHENH_LECH_TBA" localSheetId="0">#REF!</definedName>
    <definedName name="BU_CHENH_LECH_TBA" localSheetId="1">#REF!</definedName>
    <definedName name="BU_CHENH_LECH_TBA">#REF!</definedName>
    <definedName name="Bu_long" localSheetId="0">#REF!</definedName>
    <definedName name="Bu_long" localSheetId="1">#REF!</definedName>
    <definedName name="Bu_long">#REF!</definedName>
    <definedName name="bua1.2">#REF!</definedName>
    <definedName name="bua1.8">#REF!</definedName>
    <definedName name="buarung170">#REF!</definedName>
    <definedName name="BuGia">#REF!</definedName>
    <definedName name="Bulongma">8700</definedName>
    <definedName name="buoc" localSheetId="0">#REF!</definedName>
    <definedName name="buoc" localSheetId="1">#REF!</definedName>
    <definedName name="buoc">#REF!</definedName>
    <definedName name="BVCISUMMARY" localSheetId="0">#REF!</definedName>
    <definedName name="BVCISUMMARY" localSheetId="1">#REF!</definedName>
    <definedName name="BVCISUMMARY">#REF!</definedName>
    <definedName name="BŸo_cŸo_täng_hìp_giŸ_trÙ_t_i_s_n_câ__Ùnh" localSheetId="0">#REF!</definedName>
    <definedName name="BŸo_cŸo_täng_hìp_giŸ_trÙ_t_i_s_n_câ__Ùnh" localSheetId="1">#REF!</definedName>
    <definedName name="BŸo_cŸo_täng_hìp_giŸ_trÙ_t_i_s_n_câ__Ùnh">#REF!</definedName>
    <definedName name="C.">#REF!</definedName>
    <definedName name="c..">#REF!</definedName>
    <definedName name="C.1.1..Phat_tuyen" localSheetId="0">#REF!</definedName>
    <definedName name="C.1.1..Phat_tuyen" localSheetId="1">#REF!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 localSheetId="0">#REF!</definedName>
    <definedName name="C_" localSheetId="1">#REF!</definedName>
    <definedName name="C_">#REF!</definedName>
    <definedName name="c_comp">#REF!</definedName>
    <definedName name="C_LENGTH">#REF!</definedName>
    <definedName name="c_n">#REF!</definedName>
    <definedName name="C_WIDTH">#REF!</definedName>
    <definedName name="c1.">#REF!</definedName>
    <definedName name="c2.">#REF!</definedName>
    <definedName name="C2.7">#REF!</definedName>
    <definedName name="c3.">#REF!</definedName>
    <definedName name="C3.0">#REF!</definedName>
    <definedName name="C3.5">#REF!</definedName>
    <definedName name="C3.7">#REF!</definedName>
    <definedName name="c4.">#REF!</definedName>
    <definedName name="C4.0">#REF!</definedName>
    <definedName name="CA">#REF!</definedName>
    <definedName name="ca.1111" localSheetId="0">#REF!</definedName>
    <definedName name="ca.1111" localSheetId="1">#REF!</definedName>
    <definedName name="ca.1111">#REF!</definedName>
    <definedName name="ca.1111.th" localSheetId="0">#REF!</definedName>
    <definedName name="ca.1111.th" localSheetId="1">#REF!</definedName>
    <definedName name="ca.1111.th">#REF!</definedName>
    <definedName name="Cà_Mau">#REF!</definedName>
    <definedName name="CA_PTVT">#REF!</definedName>
    <definedName name="CABLE2">#REF!</definedName>
    <definedName name="CACAU">298161</definedName>
    <definedName name="cácte">#REF!</definedName>
    <definedName name="CAMAY">#REF!</definedName>
    <definedName name="CAMTC">#REF!</definedName>
    <definedName name="Can_doi">#REF!</definedName>
    <definedName name="CanBQL">#REF!</definedName>
    <definedName name="CanLePhi">#REF!</definedName>
    <definedName name="CanMT">#REF!</definedName>
    <definedName name="cao" localSheetId="2">#REF!</definedName>
    <definedName name="cao" localSheetId="5">#REF!</definedName>
    <definedName name="cao" localSheetId="4">#REF!</definedName>
    <definedName name="cao" localSheetId="3">#REF!</definedName>
    <definedName name="cao" localSheetId="6">#REF!</definedName>
    <definedName name="cao" localSheetId="0">#REF!</definedName>
    <definedName name="cao" localSheetId="1">#REF!</definedName>
    <definedName name="cao">#REF!</definedName>
    <definedName name="cap">#REF!</definedName>
    <definedName name="CAP_DIEN_AP">#REF!</definedName>
    <definedName name="cap_DUL_va_TC">#REF!</definedName>
    <definedName name="cap0.7">#REF!</definedName>
    <definedName name="CAPDAT" localSheetId="0">#REF!</definedName>
    <definedName name="CAPDAT" localSheetId="1">#REF!</definedName>
    <definedName name="CAPDAT">#REF!</definedName>
    <definedName name="capdul">#REF!</definedName>
    <definedName name="capphoithiennhien">#REF!</definedName>
    <definedName name="CAPT_2">#REF!</definedName>
    <definedName name="CAPT_3">#REF!</definedName>
    <definedName name="CAPT_4">#REF!</definedName>
    <definedName name="CAPT_5">#REF!</definedName>
    <definedName name="CAPT_6">#REF!</definedName>
    <definedName name="CAPT_7">#REF!</definedName>
    <definedName name="CAPT_8">#REF!</definedName>
    <definedName name="CAPT_9">#REF!</definedName>
    <definedName name="casing">#REF!</definedName>
    <definedName name="Cat" localSheetId="2">#REF!</definedName>
    <definedName name="Cat" localSheetId="5">#REF!</definedName>
    <definedName name="Cat" localSheetId="4">#REF!</definedName>
    <definedName name="Cat" localSheetId="3">#REF!</definedName>
    <definedName name="Cat" localSheetId="6">#REF!</definedName>
    <definedName name="Cat" localSheetId="0">#REF!</definedName>
    <definedName name="Cat" localSheetId="1">#REF!</definedName>
    <definedName name="Cat">#REF!</definedName>
    <definedName name="catcap">#REF!</definedName>
    <definedName name="catchuan">#REF!</definedName>
    <definedName name="catdem">#REF!</definedName>
    <definedName name="Category_All" localSheetId="0">#REF!</definedName>
    <definedName name="Category_All" localSheetId="1">#REF!</definedName>
    <definedName name="Category_All">#REF!</definedName>
    <definedName name="cathatnho">#REF!</definedName>
    <definedName name="CATIN">#N/A</definedName>
    <definedName name="CATJYOU">#N/A</definedName>
    <definedName name="catm" localSheetId="0">#REF!</definedName>
    <definedName name="catm" localSheetId="1">#REF!</definedName>
    <definedName name="catm">#REF!</definedName>
    <definedName name="catmin">#REF!</definedName>
    <definedName name="catn" localSheetId="0">#REF!</definedName>
    <definedName name="catn" localSheetId="1">#REF!</definedName>
    <definedName name="catn">#REF!</definedName>
    <definedName name="catnen">#REF!</definedName>
    <definedName name="CATREC">#N/A</definedName>
    <definedName name="catsan">#REF!</definedName>
    <definedName name="CATSYU">#N/A</definedName>
    <definedName name="catuon">#REF!</definedName>
    <definedName name="catvang" localSheetId="0">#REF!</definedName>
    <definedName name="catvang" localSheetId="1">#REF!</definedName>
    <definedName name="catvang">#REF!</definedName>
    <definedName name="CatVang_HamYen" localSheetId="0">#REF!</definedName>
    <definedName name="CatVang_HamYen" localSheetId="1">#REF!</definedName>
    <definedName name="CatVang_HamYen">#REF!</definedName>
    <definedName name="catxay">#REF!</definedName>
    <definedName name="cau10T">#REF!</definedName>
    <definedName name="caubanhhoi10">#REF!</definedName>
    <definedName name="caubanhhoi16">#REF!</definedName>
    <definedName name="caubanhhoi25">#REF!</definedName>
    <definedName name="caubanhhoi3">#REF!</definedName>
    <definedName name="caubanhhoi4">#REF!</definedName>
    <definedName name="caubanhhoi40">#REF!</definedName>
    <definedName name="caubanhhoi5">#REF!</definedName>
    <definedName name="caubanhhoi6">#REF!</definedName>
    <definedName name="caubanhhoi65">#REF!</definedName>
    <definedName name="caubanhhoi7">#REF!</definedName>
    <definedName name="caubanhhoi8">#REF!</definedName>
    <definedName name="caubanhhoi90">#REF!</definedName>
    <definedName name="caubanhxich10">#REF!</definedName>
    <definedName name="caubanhxich100">#REF!</definedName>
    <definedName name="caubanhxich16">#REF!</definedName>
    <definedName name="caubanhxich25">#REF!</definedName>
    <definedName name="caubanhxich28">#REF!</definedName>
    <definedName name="caubanhxich40">#REF!</definedName>
    <definedName name="caubanhxich5">#REF!</definedName>
    <definedName name="caubanhxich50">#REF!</definedName>
    <definedName name="caubanhxich63">#REF!</definedName>
    <definedName name="caubanhxich7">#REF!</definedName>
    <definedName name="caunoi30">#REF!</definedName>
    <definedName name="cauthap10">#REF!</definedName>
    <definedName name="cauthap12">#REF!</definedName>
    <definedName name="cauthap15">#REF!</definedName>
    <definedName name="cauthap20">#REF!</definedName>
    <definedName name="cauthap25">#REF!</definedName>
    <definedName name="cauthap3">#REF!</definedName>
    <definedName name="cauthap30">#REF!</definedName>
    <definedName name="cauthap40">#REF!</definedName>
    <definedName name="cauthap5">#REF!</definedName>
    <definedName name="cauthap50">#REF!</definedName>
    <definedName name="cauthap8">#REF!</definedName>
    <definedName name="CAVT">#REF!</definedName>
    <definedName name="Cb">#REF!</definedName>
    <definedName name="CBA35HT">#REF!</definedName>
    <definedName name="CBA50HT">#REF!</definedName>
    <definedName name="CBA70HT">#REF!</definedName>
    <definedName name="CBPT_2">#REF!</definedName>
    <definedName name="CBPT_3">#REF!</definedName>
    <definedName name="CBPT_4">#REF!</definedName>
    <definedName name="CBPT_5">#REF!</definedName>
    <definedName name="CBPT_6">#REF!</definedName>
    <definedName name="CBPT_7">#REF!</definedName>
    <definedName name="CBPT_8">#REF!</definedName>
    <definedName name="CBPT_9">#REF!</definedName>
    <definedName name="CBVT">#REF!</definedName>
    <definedName name="cc" localSheetId="0">#REF!</definedName>
    <definedName name="cc" localSheetId="1">#REF!</definedName>
    <definedName name="cc">#REF!</definedName>
    <definedName name="cch">#REF!</definedName>
    <definedName name="cchong">#REF!</definedName>
    <definedName name="CCNK" localSheetId="0">#REF!</definedName>
    <definedName name="CCNK" localSheetId="1">#REF!</definedName>
    <definedName name="CCNK">#REF!</definedName>
    <definedName name="CCS" localSheetId="2">#REF!</definedName>
    <definedName name="CCS" localSheetId="5">#REF!</definedName>
    <definedName name="CCS" localSheetId="4">#REF!</definedName>
    <definedName name="CCS" localSheetId="3">#REF!</definedName>
    <definedName name="CCS" localSheetId="6">#REF!</definedName>
    <definedName name="CCS" localSheetId="0">#REF!</definedName>
    <definedName name="CCS" localSheetId="1">#REF!</definedName>
    <definedName name="CCS">#REF!</definedName>
    <definedName name="cd">#REF!</definedName>
    <definedName name="CDADD">#REF!</definedName>
    <definedName name="CDAY">#REF!</definedName>
    <definedName name="CDCDZ22">#REF!</definedName>
    <definedName name="CDD" localSheetId="2">#REF!</definedName>
    <definedName name="CDD" localSheetId="5">#REF!</definedName>
    <definedName name="CDD" localSheetId="4">#REF!</definedName>
    <definedName name="CDD" localSheetId="3">#REF!</definedName>
    <definedName name="CDD" localSheetId="6">#REF!</definedName>
    <definedName name="CDD" localSheetId="0">#REF!</definedName>
    <definedName name="CDD" localSheetId="1">#REF!</definedName>
    <definedName name="CDD">#REF!</definedName>
    <definedName name="CDday">#REF!</definedName>
    <definedName name="cddc">#REF!</definedName>
    <definedName name="CDDD" localSheetId="0">#REF!</definedName>
    <definedName name="CDDD" localSheetId="1">#REF!</definedName>
    <definedName name="CDDD">#REF!</definedName>
    <definedName name="CDDD1P" localSheetId="0">#REF!</definedName>
    <definedName name="CDDD1P" localSheetId="1">#REF!</definedName>
    <definedName name="CDDD1P">#REF!</definedName>
    <definedName name="CDDD1PHA">#REF!</definedName>
    <definedName name="CDDD3PHA">#REF!</definedName>
    <definedName name="CDdinh">#REF!</definedName>
    <definedName name="CDEDZ04">#REF!</definedName>
    <definedName name="CDEDZ22">#REF!</definedName>
    <definedName name="CDHT">#REF!</definedName>
    <definedName name="cdn">#REF!</definedName>
    <definedName name="Cdnum">#REF!</definedName>
    <definedName name="CDVAÄN_CHUYEÅN">#REF!</definedName>
    <definedName name="CDVC">#REF!</definedName>
    <definedName name="cfk">#REF!</definedName>
    <definedName name="cg" localSheetId="0">#REF!</definedName>
    <definedName name="cg" localSheetId="1">#REF!</definedName>
    <definedName name="cg">#REF!</definedName>
    <definedName name="cgionc" localSheetId="0">#REF!</definedName>
    <definedName name="cgionc" localSheetId="1">#REF!</definedName>
    <definedName name="cgionc">#REF!</definedName>
    <definedName name="cgiovl" localSheetId="0">#REF!</definedName>
    <definedName name="cgiovl" localSheetId="1">#REF!</definedName>
    <definedName name="cgiovl">#REF!</definedName>
    <definedName name="CH" localSheetId="2">#REF!</definedName>
    <definedName name="CH" localSheetId="5">#REF!</definedName>
    <definedName name="CH" localSheetId="4">#REF!</definedName>
    <definedName name="CH" localSheetId="3">#REF!</definedName>
    <definedName name="CH" localSheetId="6">#REF!</definedName>
    <definedName name="CH" localSheetId="0">#REF!</definedName>
    <definedName name="CH" localSheetId="1">#REF!</definedName>
    <definedName name="CH">#REF!</definedName>
    <definedName name="Chang">#REF!</definedName>
    <definedName name="chang1pm">#REF!</definedName>
    <definedName name="chang3pm">#REF!</definedName>
    <definedName name="changht">#REF!</definedName>
    <definedName name="changHTDL">#REF!</definedName>
    <definedName name="changHTHH">#REF!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nh_lÖch_vËt_liÖu_phÇn_DZ35kv">#REF!</definedName>
    <definedName name="chhtnc" localSheetId="0">#REF!</definedName>
    <definedName name="chhtnc" localSheetId="1">#REF!</definedName>
    <definedName name="chhtnc">#REF!</definedName>
    <definedName name="chhtvl" localSheetId="0">#REF!</definedName>
    <definedName name="chhtvl" localSheetId="1">#REF!</definedName>
    <definedName name="chhtvl">#REF!</definedName>
    <definedName name="Chi_phÝ_do_tiÕp_dÞa_DZ35KV_ca_phat_sinh">#REF!</definedName>
    <definedName name="Chi_phÝ_khao_sat_kü_thuËt__thiÕt_kÕ">#REF!</definedName>
    <definedName name="Chi_phÝ_nghiÖm_thu_dãng_diÖn">#REF!</definedName>
    <definedName name="Chi_phÝ_thÈm_tra_tæ_chøc_xay_dùng">#REF!</definedName>
    <definedName name="Chi_tieát_phi">#REF!</definedName>
    <definedName name="Chi_tiÕT__kho_kÝn__kho_hë">#REF!</definedName>
    <definedName name="Chi_tiÕt_phat_tuyÕn_kho_bai_thi_cong">#REF!</definedName>
    <definedName name="chi_tiÕt_vËt_liÖu___nh_n_c_ng___m_y_thi_c_ng">#REF!</definedName>
    <definedName name="Chi_tiÕt_vl_nc_mtc_DZ35">#REF!</definedName>
    <definedName name="Chi_tiÕt_vl_nc_mtc_phÇn_thÝ_nghiÖm">#REF!</definedName>
    <definedName name="Chi_tiÕt_XM_cat_da_sái_dot4">#REF!</definedName>
    <definedName name="chialuong">#REF!</definedName>
    <definedName name="chiem" localSheetId="0">#REF!</definedName>
    <definedName name="chiem" localSheetId="1">#REF!</definedName>
    <definedName name="chiem">#REF!</definedName>
    <definedName name="chiemhoa" localSheetId="0">#REF!</definedName>
    <definedName name="chiemhoa" localSheetId="1">#REF!</definedName>
    <definedName name="chiemhoa">#REF!</definedName>
    <definedName name="ChiPhiChung">#REF!</definedName>
    <definedName name="chitietbgiang2" hidden="1">{"'Sheet1'!$L$16"}</definedName>
    <definedName name="chk">#REF!</definedName>
    <definedName name="chnc">#REF!</definedName>
    <definedName name="chon" localSheetId="2">#REF!</definedName>
    <definedName name="chon" localSheetId="5">#REF!</definedName>
    <definedName name="chon" localSheetId="4">#REF!</definedName>
    <definedName name="chon" localSheetId="3">#REF!</definedName>
    <definedName name="chon" localSheetId="6">#REF!</definedName>
    <definedName name="chon" localSheetId="0">#REF!</definedName>
    <definedName name="chon" localSheetId="1">#REF!</definedName>
    <definedName name="chon">#REF!</definedName>
    <definedName name="chon1" localSheetId="0">#REF!</definedName>
    <definedName name="chon1" localSheetId="1">#REF!</definedName>
    <definedName name="chon1">#REF!</definedName>
    <definedName name="chon2" localSheetId="0">#REF!</definedName>
    <definedName name="chon2" localSheetId="1">#REF!</definedName>
    <definedName name="chon2">#REF!</definedName>
    <definedName name="chon3">#REF!</definedName>
    <definedName name="Chu" localSheetId="0">#REF!</definedName>
    <definedName name="Chu" localSheetId="1">#REF!</definedName>
    <definedName name="Chu">#REF!</definedName>
    <definedName name="chudautu">#REF!</definedName>
    <definedName name="chvl" localSheetId="0">#REF!</definedName>
    <definedName name="chvl" localSheetId="1">#REF!</definedName>
    <definedName name="chvl">#REF!</definedName>
    <definedName name="CI_PTVT">#REF!</definedName>
    <definedName name="citidd" localSheetId="0">#REF!</definedName>
    <definedName name="citidd" localSheetId="1">#REF!</definedName>
    <definedName name="citidd">#REF!</definedName>
    <definedName name="City">#REF!</definedName>
    <definedName name="CK" localSheetId="0">#REF!</definedName>
    <definedName name="CK" localSheetId="1">#REF!</definedName>
    <definedName name="CK">#REF!</definedName>
    <definedName name="ckn">#REF!</definedName>
    <definedName name="ckna">#REF!</definedName>
    <definedName name="cknc" localSheetId="0">#REF!</definedName>
    <definedName name="cknc" localSheetId="1">#REF!</definedName>
    <definedName name="cknc">#REF!</definedName>
    <definedName name="ckvl" localSheetId="0">#REF!</definedName>
    <definedName name="ckvl" localSheetId="1">#REF!</definedName>
    <definedName name="ckvl">#REF!</definedName>
    <definedName name="CL">#REF!</definedName>
    <definedName name="CLECH_0.4" localSheetId="2">#REF!</definedName>
    <definedName name="CLECH_0.4" localSheetId="5">#REF!</definedName>
    <definedName name="CLECH_0.4" localSheetId="4">#REF!</definedName>
    <definedName name="CLECH_0.4" localSheetId="3">#REF!</definedName>
    <definedName name="CLECH_0.4" localSheetId="6">#REF!</definedName>
    <definedName name="CLECH_0.4" localSheetId="0">#REF!</definedName>
    <definedName name="CLECH_0.4" localSheetId="1">#REF!</definedName>
    <definedName name="CLECH_0.4">#REF!</definedName>
    <definedName name="Clech_o.4" localSheetId="2">#REF!</definedName>
    <definedName name="Clech_o.4" localSheetId="5">#REF!</definedName>
    <definedName name="Clech_o.4" localSheetId="4">#REF!</definedName>
    <definedName name="Clech_o.4" localSheetId="3">#REF!</definedName>
    <definedName name="Clech_o.4" localSheetId="6">#REF!</definedName>
    <definedName name="Clech_o.4" localSheetId="0">#REF!</definedName>
    <definedName name="Clech_o.4" localSheetId="1">#REF!</definedName>
    <definedName name="Clech_o.4">#REF!</definedName>
    <definedName name="CLGia">#REF!</definedName>
    <definedName name="CLTMP" localSheetId="0">#REF!</definedName>
    <definedName name="CLTMP" localSheetId="1">#REF!</definedName>
    <definedName name="CLTMP">#REF!</definedName>
    <definedName name="CLVC">#REF!</definedName>
    <definedName name="clvc1">#REF!</definedName>
    <definedName name="CLVC3">0.1</definedName>
    <definedName name="CLVC35" localSheetId="0">#REF!</definedName>
    <definedName name="CLVC35" localSheetId="1">#REF!</definedName>
    <definedName name="CLVC35">#REF!</definedName>
    <definedName name="CLVCTB" localSheetId="0">#REF!</definedName>
    <definedName name="CLVCTB" localSheetId="1">#REF!</definedName>
    <definedName name="CLVCTB">#REF!</definedName>
    <definedName name="clvl" localSheetId="0">#REF!</definedName>
    <definedName name="clvl" localSheetId="1">#REF!</definedName>
    <definedName name="clvl">#REF!</definedName>
    <definedName name="CLyTC">#REF!</definedName>
    <definedName name="cm" localSheetId="0">#REF!</definedName>
    <definedName name="cm" localSheetId="1">#REF!</definedName>
    <definedName name="cm">#REF!</definedName>
    <definedName name="cn" localSheetId="0">#REF!</definedName>
    <definedName name="cn" localSheetId="1">#REF!</definedName>
    <definedName name="cn">#REF!</definedName>
    <definedName name="CN3p">#REF!</definedName>
    <definedName name="CNC" localSheetId="2">#REF!</definedName>
    <definedName name="CNC" localSheetId="5">#REF!</definedName>
    <definedName name="CNC" localSheetId="4">#REF!</definedName>
    <definedName name="CNC" localSheetId="3">#REF!</definedName>
    <definedName name="CNC" localSheetId="6">#REF!</definedName>
    <definedName name="CNC" localSheetId="0">#REF!</definedName>
    <definedName name="CNC" localSheetId="1">#REF!</definedName>
    <definedName name="CNC">#REF!</definedName>
    <definedName name="CND" localSheetId="0">#REF!</definedName>
    <definedName name="CND" localSheetId="1">#REF!</definedName>
    <definedName name="CND">#REF!</definedName>
    <definedName name="CNG" localSheetId="0">#REF!</definedName>
    <definedName name="CNG" localSheetId="1">#REF!</definedName>
    <definedName name="CNG">#REF!</definedName>
    <definedName name="Cñi">#REF!</definedName>
    <definedName name="Co" localSheetId="2">#REF!</definedName>
    <definedName name="Co" localSheetId="5">#REF!</definedName>
    <definedName name="Co" localSheetId="4">#REF!</definedName>
    <definedName name="Co" localSheetId="3">#REF!</definedName>
    <definedName name="Co" localSheetId="6">#REF!</definedName>
    <definedName name="Co" localSheetId="0">#REF!</definedName>
    <definedName name="Co" localSheetId="1">#REF!</definedName>
    <definedName name="Co">#REF!</definedName>
    <definedName name="co.">#REF!</definedName>
    <definedName name="co..">#REF!</definedName>
    <definedName name="co_cau_ktqd">#REF!</definedName>
    <definedName name="COAT" localSheetId="2">#REF!</definedName>
    <definedName name="COAT" localSheetId="5">#REF!</definedName>
    <definedName name="COAT" localSheetId="4">#REF!</definedName>
    <definedName name="COAT" localSheetId="3">#REF!</definedName>
    <definedName name="COAT" localSheetId="6">#REF!</definedName>
    <definedName name="COAT" localSheetId="0">#REF!</definedName>
    <definedName name="COAT" localSheetId="1">#REF!</definedName>
    <definedName name="COAT">#REF!</definedName>
    <definedName name="coc" localSheetId="2">#REF!</definedName>
    <definedName name="coc" localSheetId="5">#REF!</definedName>
    <definedName name="coc" localSheetId="4">#REF!</definedName>
    <definedName name="coc" localSheetId="3">#REF!</definedName>
    <definedName name="coc" localSheetId="6">#REF!</definedName>
    <definedName name="coc" localSheetId="0">#REF!</definedName>
    <definedName name="coc" localSheetId="1">#REF!</definedName>
    <definedName name="coc">#REF!</definedName>
    <definedName name="Coc_60" hidden="1">{"'Sheet1'!$L$16"}</definedName>
    <definedName name="Coc_BTCT">#REF!</definedName>
    <definedName name="CoCauN" hidden="1">{"'Sheet1'!$L$16"}</definedName>
    <definedName name="cocbtct" localSheetId="0">#REF!</definedName>
    <definedName name="cocbtct" localSheetId="1">#REF!</definedName>
    <definedName name="cocbtct">#REF!</definedName>
    <definedName name="cocot" localSheetId="0">#REF!</definedName>
    <definedName name="cocot" localSheetId="1">#REF!</definedName>
    <definedName name="cocot">#REF!</definedName>
    <definedName name="cocott">#REF!</definedName>
    <definedName name="coctre">#REF!</definedName>
    <definedName name="cocvt">#REF!</definedName>
    <definedName name="Code" hidden="1">#REF!</definedName>
    <definedName name="Cöï_ly_vaän_chuyeãn">#REF!</definedName>
    <definedName name="CÖÏ_LY_VAÄN_CHUYEÅN">#REF!</definedName>
    <definedName name="COMMON">#REF!</definedName>
    <definedName name="comong">#REF!</definedName>
    <definedName name="Company">#REF!</definedName>
    <definedName name="con" localSheetId="0">#REF!</definedName>
    <definedName name="con" localSheetId="1">#REF!</definedName>
    <definedName name="con">#REF!</definedName>
    <definedName name="CON_DUCT">#REF!</definedName>
    <definedName name="CON_EQP_COS" localSheetId="0">#REF!</definedName>
    <definedName name="CON_EQP_COS" localSheetId="1">#REF!</definedName>
    <definedName name="CON_EQP_COS">#REF!</definedName>
    <definedName name="CON_EQP_COST" localSheetId="0">#REF!</definedName>
    <definedName name="CON_EQP_COST" localSheetId="1">#REF!</definedName>
    <definedName name="CON_EQP_COST">#REF!</definedName>
    <definedName name="Concrete" localSheetId="0">#REF!</definedName>
    <definedName name="Concrete" localSheetId="1">#REF!</definedName>
    <definedName name="Concrete">#REF!</definedName>
    <definedName name="Cong_HM_DTCT" localSheetId="2">#REF!</definedName>
    <definedName name="Cong_HM_DTCT" localSheetId="5">#REF!</definedName>
    <definedName name="Cong_HM_DTCT" localSheetId="4">#REF!</definedName>
    <definedName name="Cong_HM_DTCT" localSheetId="3">#REF!</definedName>
    <definedName name="Cong_HM_DTCT" localSheetId="6">#REF!</definedName>
    <definedName name="Cong_HM_DTCT" localSheetId="0">#REF!</definedName>
    <definedName name="Cong_HM_DTCT" localSheetId="1">#REF!</definedName>
    <definedName name="Cong_HM_DTCT">#REF!</definedName>
    <definedName name="Cong_M_DTCT" localSheetId="0">#REF!</definedName>
    <definedName name="Cong_M_DTCT" localSheetId="1">#REF!</definedName>
    <definedName name="Cong_M_DTCT">#REF!</definedName>
    <definedName name="Cong_NC_DTCT" localSheetId="0">#REF!</definedName>
    <definedName name="Cong_NC_DTCT" localSheetId="1">#REF!</definedName>
    <definedName name="Cong_NC_DTCT">#REF!</definedName>
    <definedName name="Cong_VL_DTCT">#REF!</definedName>
    <definedName name="cong1x15" localSheetId="0">#REF!</definedName>
    <definedName name="cong1x15" localSheetId="1">#REF!</definedName>
    <definedName name="cong1x15">#REF!</definedName>
    <definedName name="congbengam" localSheetId="0">#REF!</definedName>
    <definedName name="congbengam" localSheetId="1">#REF!</definedName>
    <definedName name="congbengam">#REF!</definedName>
    <definedName name="congbenuoc" localSheetId="0">#REF!</definedName>
    <definedName name="congbenuoc" localSheetId="1">#REF!</definedName>
    <definedName name="congbenuoc">#REF!</definedName>
    <definedName name="congcoc" localSheetId="0">#REF!</definedName>
    <definedName name="congcoc" localSheetId="1">#REF!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 localSheetId="2">#REF!</definedName>
    <definedName name="CONST_EQ" localSheetId="5">#REF!</definedName>
    <definedName name="CONST_EQ" localSheetId="4">#REF!</definedName>
    <definedName name="CONST_EQ" localSheetId="3">#REF!</definedName>
    <definedName name="CONST_EQ" localSheetId="6">#REF!</definedName>
    <definedName name="CONST_EQ" localSheetId="0">#REF!</definedName>
    <definedName name="CONST_EQ" localSheetId="1">#REF!</definedName>
    <definedName name="CONST_EQ">#REF!</definedName>
    <definedName name="CONT">#REF!</definedName>
    <definedName name="Continue">#REF!</definedName>
    <definedName name="Cost">#REF!</definedName>
    <definedName name="COT" localSheetId="0">#REF!</definedName>
    <definedName name="COT" localSheetId="1">#REF!</definedName>
    <definedName name="COT">#REF!</definedName>
    <definedName name="Cot_thep" localSheetId="0">#REF!</definedName>
    <definedName name="Cot_thep" localSheetId="1">#REF!</definedName>
    <definedName name="Cot_thep">#REF!</definedName>
    <definedName name="COT10DZ22">#REF!</definedName>
    <definedName name="COT12DZ22">#REF!</definedName>
    <definedName name="COT14DZ22">#REF!</definedName>
    <definedName name="COT20DZ22">#REF!</definedName>
    <definedName name="cot7.5" localSheetId="0">#REF!</definedName>
    <definedName name="cot7.5" localSheetId="1">#REF!</definedName>
    <definedName name="cot7.5">#REF!</definedName>
    <definedName name="cot8.5" localSheetId="0">#REF!</definedName>
    <definedName name="cot8.5" localSheetId="1">#REF!</definedName>
    <definedName name="cot8.5">#REF!</definedName>
    <definedName name="cotdo">#REF!</definedName>
    <definedName name="CotM">#REF!</definedName>
    <definedName name="cotpha">#REF!</definedName>
    <definedName name="COTPYLONEDZ04">#REF!</definedName>
    <definedName name="Cotsatma">9726</definedName>
    <definedName name="CotSau">#REF!</definedName>
    <definedName name="COTTHEP10DZ22">#REF!</definedName>
    <definedName name="COTTHEP12DZ22">#REF!</definedName>
    <definedName name="COTTHEP9DZ22">#REF!</definedName>
    <definedName name="Cotthepma">9726</definedName>
    <definedName name="cottra">#REF!</definedName>
    <definedName name="cottron" localSheetId="0">#REF!</definedName>
    <definedName name="cottron" localSheetId="1">#REF!</definedName>
    <definedName name="cottron">#REF!</definedName>
    <definedName name="cotvuong" localSheetId="0">#REF!</definedName>
    <definedName name="cotvuong" localSheetId="1">#REF!</definedName>
    <definedName name="cotvuong">#REF!</definedName>
    <definedName name="COTVUONGDZ04">#REF!</definedName>
    <definedName name="COÙ">#REF!</definedName>
    <definedName name="Country">#REF!</definedName>
    <definedName name="COVER" localSheetId="0">#REF!</definedName>
    <definedName name="COVER" localSheetId="1">#REF!</definedName>
    <definedName name="COVER">#REF!</definedName>
    <definedName name="CP">#REF!</definedName>
    <definedName name="cp.1">#REF!</definedName>
    <definedName name="cp.2">#REF!</definedName>
    <definedName name="CP.M10.1a">#REF!</definedName>
    <definedName name="CP.M10.1b">#REF!</definedName>
    <definedName name="CP.M10.1c">#REF!</definedName>
    <definedName name="CP.M10.1d">#REF!</definedName>
    <definedName name="CP.M10.1e">#REF!</definedName>
    <definedName name="CP.M10.2a">#REF!</definedName>
    <definedName name="CP.M10.2b">#REF!</definedName>
    <definedName name="CP.M10.2c">#REF!</definedName>
    <definedName name="CP.M10.2d">#REF!</definedName>
    <definedName name="CP.M10.2e">#REF!</definedName>
    <definedName name="CP.MDTa">#REF!</definedName>
    <definedName name="CP.MDTb">#REF!</definedName>
    <definedName name="CP.MDTc">#REF!</definedName>
    <definedName name="CP.MDTd">#REF!</definedName>
    <definedName name="CP.MDTe">#REF!</definedName>
    <definedName name="CP_SKC">#REF!</definedName>
    <definedName name="cpc">#REF!</definedName>
    <definedName name="cpd">#REF!</definedName>
    <definedName name="cpdd">#REF!</definedName>
    <definedName name="cpdd1">#REF!</definedName>
    <definedName name="cpdd2">#REF!</definedName>
    <definedName name="cpddhh">#REF!</definedName>
    <definedName name="cpk">#REF!</definedName>
    <definedName name="cpmtc" localSheetId="2">#REF!</definedName>
    <definedName name="cpmtc" localSheetId="5">#REF!</definedName>
    <definedName name="cpmtc" localSheetId="4">#REF!</definedName>
    <definedName name="cpmtc" localSheetId="3">#REF!</definedName>
    <definedName name="cpmtc" localSheetId="6">#REF!</definedName>
    <definedName name="cpmtc" localSheetId="0">#REF!</definedName>
    <definedName name="cpmtc" localSheetId="1">#REF!</definedName>
    <definedName name="cpmtc">#REF!</definedName>
    <definedName name="cpnc" localSheetId="0">#REF!</definedName>
    <definedName name="cpnc" localSheetId="1">#REF!</definedName>
    <definedName name="cpnc">#REF!</definedName>
    <definedName name="cps">#REF!</definedName>
    <definedName name="CPTK">#REF!</definedName>
    <definedName name="CPTKE" localSheetId="0">#REF!</definedName>
    <definedName name="CPTKE" localSheetId="1">#REF!</definedName>
    <definedName name="CPTKE">#REF!</definedName>
    <definedName name="cptt" localSheetId="2">#REF!</definedName>
    <definedName name="cptt" localSheetId="5">#REF!</definedName>
    <definedName name="cptt" localSheetId="4">#REF!</definedName>
    <definedName name="cptt" localSheetId="3">#REF!</definedName>
    <definedName name="cptt" localSheetId="6">#REF!</definedName>
    <definedName name="cptt" localSheetId="0">#REF!</definedName>
    <definedName name="cptt" localSheetId="1">#REF!</definedName>
    <definedName name="cptt">#REF!</definedName>
    <definedName name="CPVC100" localSheetId="2">#REF!</definedName>
    <definedName name="CPVC100" localSheetId="5">#REF!</definedName>
    <definedName name="CPVC100" localSheetId="4">#REF!</definedName>
    <definedName name="CPVC100" localSheetId="3">#REF!</definedName>
    <definedName name="CPVC100" localSheetId="6">#REF!</definedName>
    <definedName name="CPVC100" localSheetId="0">#REF!</definedName>
    <definedName name="CPVC100" localSheetId="1">#REF!</definedName>
    <definedName name="CPVC100">#REF!</definedName>
    <definedName name="CPVC1KM">#REF!</definedName>
    <definedName name="CPVC35" localSheetId="2">#REF!</definedName>
    <definedName name="CPVC35" localSheetId="5">#REF!</definedName>
    <definedName name="CPVC35" localSheetId="4">#REF!</definedName>
    <definedName name="CPVC35" localSheetId="3">#REF!</definedName>
    <definedName name="CPVC35" localSheetId="6">#REF!</definedName>
    <definedName name="CPVC35" localSheetId="0">#REF!</definedName>
    <definedName name="CPVC35" localSheetId="1">#REF!</definedName>
    <definedName name="CPVC35">#REF!</definedName>
    <definedName name="CPVCDN" localSheetId="0">#REF!</definedName>
    <definedName name="CPVCDN" localSheetId="1">#REF!</definedName>
    <definedName name="CPVCDN">#REF!</definedName>
    <definedName name="cpvl" localSheetId="0">#REF!</definedName>
    <definedName name="cpvl" localSheetId="1">#REF!</definedName>
    <definedName name="cpvl">#REF!</definedName>
    <definedName name="cr" localSheetId="0">#REF!</definedName>
    <definedName name="cr" localSheetId="1">#REF!</definedName>
    <definedName name="cr">#REF!</definedName>
    <definedName name="CRD" localSheetId="0">#REF!</definedName>
    <definedName name="CRD" localSheetId="1">#REF!</definedName>
    <definedName name="CRD">#REF!</definedName>
    <definedName name="_xlnm.Criteria" localSheetId="0">#REF!</definedName>
    <definedName name="_xlnm.Criteria" localSheetId="1">#REF!</definedName>
    <definedName name="_xlnm.Criteria">#REF!</definedName>
    <definedName name="CRITINST" localSheetId="2">#REF!</definedName>
    <definedName name="CRITINST" localSheetId="5">#REF!</definedName>
    <definedName name="CRITINST" localSheetId="4">#REF!</definedName>
    <definedName name="CRITINST" localSheetId="3">#REF!</definedName>
    <definedName name="CRITINST" localSheetId="6">#REF!</definedName>
    <definedName name="CRITINST" localSheetId="0">#REF!</definedName>
    <definedName name="CRITINST" localSheetId="1">#REF!</definedName>
    <definedName name="CRITINST">#REF!</definedName>
    <definedName name="CRITPURC" localSheetId="0">#REF!</definedName>
    <definedName name="CRITPURC" localSheetId="1">#REF!</definedName>
    <definedName name="CRITPURC">#REF!</definedName>
    <definedName name="CRS" localSheetId="0">#REF!</definedName>
    <definedName name="CRS" localSheetId="1">#REF!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61">#REF!</definedName>
    <definedName name="CS_6S">#REF!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t" localSheetId="0">#REF!</definedName>
    <definedName name="cst" localSheetId="1">#REF!</definedName>
    <definedName name="cst">#REF!</definedName>
    <definedName name="ct">#REF!</definedName>
    <definedName name="CT.M10.1">#REF!</definedName>
    <definedName name="CT.M10.2">#REF!</definedName>
    <definedName name="CT.MDT">#REF!</definedName>
    <definedName name="CT_03">#REF!</definedName>
    <definedName name="CT_50">#REF!</definedName>
    <definedName name="CT_MCX">#REF!</definedName>
    <definedName name="ctbb">#REF!</definedName>
    <definedName name="CTBT" localSheetId="0">#REF!</definedName>
    <definedName name="CTBT" localSheetId="1">#REF!</definedName>
    <definedName name="CTBT">#REF!</definedName>
    <definedName name="CTBT1" localSheetId="0">#REF!</definedName>
    <definedName name="CTBT1" localSheetId="1">#REF!</definedName>
    <definedName name="CTBT1">#REF!</definedName>
    <definedName name="CTBT2" localSheetId="0">#REF!</definedName>
    <definedName name="CTBT2" localSheetId="1">#REF!</definedName>
    <definedName name="CTBT2">#REF!</definedName>
    <definedName name="CTCT1" hidden="1">{"'Sheet1'!$L$16"}</definedName>
    <definedName name="ctdg" localSheetId="0">#REF!</definedName>
    <definedName name="ctdg" localSheetId="1">#REF!</definedName>
    <definedName name="ctdg">#REF!</definedName>
    <definedName name="ctdn9697">#REF!</definedName>
    <definedName name="ctg">#REF!</definedName>
    <definedName name="CTHT">#REF!</definedName>
    <definedName name="cti3x15">#REF!</definedName>
    <definedName name="ctiep" localSheetId="0">#REF!</definedName>
    <definedName name="ctiep" localSheetId="1">#REF!</definedName>
    <definedName name="ctiep">#REF!</definedName>
    <definedName name="CTIET" localSheetId="0">#REF!</definedName>
    <definedName name="CTIET" localSheetId="1">#REF!</definedName>
    <definedName name="CTIET">#REF!</definedName>
    <definedName name="ctkr" localSheetId="0">#REF!</definedName>
    <definedName name="ctkr" localSheetId="1">#REF!</definedName>
    <definedName name="ctkr">#REF!</definedName>
    <definedName name="ctmai">#REF!</definedName>
    <definedName name="cto" localSheetId="0">#REF!</definedName>
    <definedName name="cto" localSheetId="1">#REF!</definedName>
    <definedName name="cto">#REF!</definedName>
    <definedName name="ctong">#REF!</definedName>
    <definedName name="CTRAM">#REF!</definedName>
    <definedName name="ctre">#REF!</definedName>
    <definedName name="CTY_TNHH_SX_TM__NHÖ_QUYEÀN">#REF!</definedName>
    <definedName name="cu">#REF!</definedName>
    <definedName name="CU_LY">#REF!</definedName>
    <definedName name="cu_ly_1">#REF!</definedName>
    <definedName name="CU_LY_VAN_CHUYEN_GIA_QUYEN" localSheetId="2">#REF!</definedName>
    <definedName name="CU_LY_VAN_CHUYEN_GIA_QUYEN" localSheetId="5">#REF!</definedName>
    <definedName name="CU_LY_VAN_CHUYEN_GIA_QUYEN" localSheetId="4">#REF!</definedName>
    <definedName name="CU_LY_VAN_CHUYEN_GIA_QUYEN" localSheetId="3">#REF!</definedName>
    <definedName name="CU_LY_VAN_CHUYEN_GIA_QUYEN" localSheetId="6">#REF!</definedName>
    <definedName name="CU_LY_VAN_CHUYEN_GIA_QUYEN" localSheetId="0">#REF!</definedName>
    <definedName name="CU_LY_VAN_CHUYEN_GIA_QUYEN" localSheetId="1">#REF!</definedName>
    <definedName name="CU_LY_VAN_CHUYEN_GIA_QUYEN">#REF!</definedName>
    <definedName name="CU_LY_VAN_CHUYEN_THU_CONG" localSheetId="0">#REF!</definedName>
    <definedName name="CU_LY_VAN_CHUYEN_THU_CONG" localSheetId="1">#REF!</definedName>
    <definedName name="CU_LY_VAN_CHUYEN_THU_CONG">#REF!</definedName>
    <definedName name="Cù_ly_vËn_chuyÓn_thñ_cong">#REF!</definedName>
    <definedName name="cu_ly1">#REF!</definedName>
    <definedName name="cui">#REF!</definedName>
    <definedName name="CuLy">#REF!</definedName>
    <definedName name="CuLy_Q">#REF!</definedName>
    <definedName name="culy1" localSheetId="0">#REF!</definedName>
    <definedName name="culy1" localSheetId="1">#REF!</definedName>
    <definedName name="culy1">#REF!</definedName>
    <definedName name="culy2" localSheetId="0">#REF!</definedName>
    <definedName name="culy2" localSheetId="1">#REF!</definedName>
    <definedName name="culy2">#REF!</definedName>
    <definedName name="culy3" localSheetId="0">#REF!</definedName>
    <definedName name="culy3" localSheetId="1">#REF!</definedName>
    <definedName name="culy3">#REF!</definedName>
    <definedName name="culy4" localSheetId="0">#REF!</definedName>
    <definedName name="culy4" localSheetId="1">#REF!</definedName>
    <definedName name="culy4">#REF!</definedName>
    <definedName name="culy5">#REF!</definedName>
    <definedName name="cun">#REF!</definedName>
    <definedName name="cuoc">#REF!</definedName>
    <definedName name="cuoc_vc">#REF!</definedName>
    <definedName name="Cuoc_vc_1">#REF!</definedName>
    <definedName name="cuoc_vc1">#REF!</definedName>
    <definedName name="CuocVC">#REF!</definedName>
    <definedName name="CURRENCY" localSheetId="2">#REF!</definedName>
    <definedName name="CURRENCY" localSheetId="5">#REF!</definedName>
    <definedName name="CURRENCY" localSheetId="4">#REF!</definedName>
    <definedName name="CURRENCY" localSheetId="3">#REF!</definedName>
    <definedName name="CURRENCY" localSheetId="6">#REF!</definedName>
    <definedName name="CURRENCY" localSheetId="0">#REF!</definedName>
    <definedName name="CURRENCY" localSheetId="1">#REF!</definedName>
    <definedName name="CURRENCY">#REF!</definedName>
    <definedName name="cut" localSheetId="2">#REF!</definedName>
    <definedName name="cut" localSheetId="5">#REF!</definedName>
    <definedName name="cut" localSheetId="4">#REF!</definedName>
    <definedName name="cut" localSheetId="3">#REF!</definedName>
    <definedName name="cut" localSheetId="6">#REF!</definedName>
    <definedName name="cut" localSheetId="0">#REF!</definedName>
    <definedName name="cut" localSheetId="1">#REF!</definedName>
    <definedName name="cut">#REF!</definedName>
    <definedName name="cutback">#REF!</definedName>
    <definedName name="cv">#REF!</definedName>
    <definedName name="CV.M10.1">#REF!</definedName>
    <definedName name="CV.M10.2">#REF!</definedName>
    <definedName name="CV.MDT">#REF!</definedName>
    <definedName name="cvc">#REF!</definedName>
    <definedName name="CVC_Q">#REF!</definedName>
    <definedName name="cx" localSheetId="2">#REF!</definedName>
    <definedName name="cx" localSheetId="5">#REF!</definedName>
    <definedName name="cx" localSheetId="4">#REF!</definedName>
    <definedName name="cx" localSheetId="3">#REF!</definedName>
    <definedName name="cx" localSheetId="6">#REF!</definedName>
    <definedName name="cx" localSheetId="0">#REF!</definedName>
    <definedName name="cx" localSheetId="1">#REF!</definedName>
    <definedName name="cx">#REF!</definedName>
    <definedName name="cxhtnc" localSheetId="2">#REF!</definedName>
    <definedName name="cxhtnc" localSheetId="5">#REF!</definedName>
    <definedName name="cxhtnc" localSheetId="4">#REF!</definedName>
    <definedName name="cxhtnc" localSheetId="3">#REF!</definedName>
    <definedName name="cxhtnc" localSheetId="6">#REF!</definedName>
    <definedName name="cxhtnc" localSheetId="0">#REF!</definedName>
    <definedName name="cxhtnc" localSheetId="1">#REF!</definedName>
    <definedName name="cxhtnc">#REF!</definedName>
    <definedName name="cxhtvl" localSheetId="0">#REF!</definedName>
    <definedName name="cxhtvl" localSheetId="1">#REF!</definedName>
    <definedName name="cxhtvl">#REF!</definedName>
    <definedName name="cxnc" localSheetId="0">#REF!</definedName>
    <definedName name="cxnc" localSheetId="1">#REF!</definedName>
    <definedName name="cxnc">#REF!</definedName>
    <definedName name="cxvl">#REF!</definedName>
    <definedName name="cxxnc">#REF!</definedName>
    <definedName name="cxxvl">#REF!</definedName>
    <definedName name="Cy">#REF!</definedName>
    <definedName name="Cz">#REF!</definedName>
    <definedName name="D">#REF!</definedName>
    <definedName name="d.">#REF!</definedName>
    <definedName name="D.M10.1a">#REF!</definedName>
    <definedName name="D.M10.1b">#REF!</definedName>
    <definedName name="D.M10.2a">#REF!</definedName>
    <definedName name="D.M10.2b">#REF!</definedName>
    <definedName name="D.MDTa">#REF!</definedName>
    <definedName name="D.MDTb">#REF!</definedName>
    <definedName name="d_">#REF!</definedName>
    <definedName name="D_7101A_B" localSheetId="2">#REF!</definedName>
    <definedName name="D_7101A_B" localSheetId="5">#REF!</definedName>
    <definedName name="D_7101A_B" localSheetId="4">#REF!</definedName>
    <definedName name="D_7101A_B" localSheetId="3">#REF!</definedName>
    <definedName name="D_7101A_B" localSheetId="6">#REF!</definedName>
    <definedName name="D_7101A_B" localSheetId="0">#REF!</definedName>
    <definedName name="D_7101A_B" localSheetId="1">#REF!</definedName>
    <definedName name="D_7101A_B">#REF!</definedName>
    <definedName name="D_Gia">#REF!</definedName>
    <definedName name="D_giavt">#REF!</definedName>
    <definedName name="D_kien">#REF!</definedName>
    <definedName name="D_n">#REF!</definedName>
    <definedName name="D_y__ay">#REF!</definedName>
    <definedName name="d0.5">#REF!</definedName>
    <definedName name="d1.">#REF!</definedName>
    <definedName name="d1.2">#REF!</definedName>
    <definedName name="d1_">#REF!</definedName>
    <definedName name="D1x49" localSheetId="0">#REF!</definedName>
    <definedName name="D1x49" localSheetId="1">#REF!</definedName>
    <definedName name="D1x49">#REF!</definedName>
    <definedName name="D1x49x49" localSheetId="0">#REF!</definedName>
    <definedName name="D1x49x49" localSheetId="1">#REF!</definedName>
    <definedName name="D1x49x49">#REF!</definedName>
    <definedName name="d1x6" localSheetId="0">#REF!</definedName>
    <definedName name="d1x6" localSheetId="1">#REF!</definedName>
    <definedName name="d1x6">#REF!</definedName>
    <definedName name="d2.">#REF!</definedName>
    <definedName name="d2.4">#REF!</definedName>
    <definedName name="d2_">#REF!</definedName>
    <definedName name="d24nc" localSheetId="0">#REF!</definedName>
    <definedName name="d24nc" localSheetId="1">#REF!</definedName>
    <definedName name="d24nc">#REF!</definedName>
    <definedName name="d24vl">#REF!</definedName>
    <definedName name="d3.">#REF!</definedName>
    <definedName name="d3_">#REF!</definedName>
    <definedName name="d4.6">#REF!</definedName>
    <definedName name="d6.8">#REF!</definedName>
    <definedName name="da_hoc_xay">#REF!</definedName>
    <definedName name="da05.1">#REF!</definedName>
    <definedName name="da1.2">#REF!</definedName>
    <definedName name="da1x1">#REF!</definedName>
    <definedName name="da1x2" localSheetId="2">#REF!</definedName>
    <definedName name="da1x2" localSheetId="5">#REF!</definedName>
    <definedName name="da1x2" localSheetId="4">#REF!</definedName>
    <definedName name="da1x2" localSheetId="3">#REF!</definedName>
    <definedName name="da1x2" localSheetId="6">#REF!</definedName>
    <definedName name="da1x2" localSheetId="0">#REF!</definedName>
    <definedName name="da1x2" localSheetId="1">#REF!</definedName>
    <definedName name="da1x2">#REF!</definedName>
    <definedName name="da1x22">#REF!</definedName>
    <definedName name="da1x23">#REF!</definedName>
    <definedName name="da1x24">#REF!</definedName>
    <definedName name="da1x25">#REF!</definedName>
    <definedName name="da2.4">#REF!</definedName>
    <definedName name="da2x4" localSheetId="2">#REF!</definedName>
    <definedName name="da2x4" localSheetId="5">#REF!</definedName>
    <definedName name="da2x4" localSheetId="4">#REF!</definedName>
    <definedName name="da2x4" localSheetId="3">#REF!</definedName>
    <definedName name="da2x4" localSheetId="6">#REF!</definedName>
    <definedName name="da2x4" localSheetId="0">#REF!</definedName>
    <definedName name="da2x4" localSheetId="1">#REF!</definedName>
    <definedName name="da2x4">#REF!</definedName>
    <definedName name="da4.6">#REF!</definedName>
    <definedName name="da4x6">#REF!</definedName>
    <definedName name="DACAN">#REF!</definedName>
    <definedName name="dahoc" localSheetId="2">#REF!</definedName>
    <definedName name="dahoc" localSheetId="5">#REF!</definedName>
    <definedName name="dahoc" localSheetId="4">#REF!</definedName>
    <definedName name="dahoc" localSheetId="3">#REF!</definedName>
    <definedName name="dahoc" localSheetId="6">#REF!</definedName>
    <definedName name="dahoc" localSheetId="0">#REF!</definedName>
    <definedName name="dahoc" localSheetId="1">#REF!</definedName>
    <definedName name="dahoc">#REF!</definedName>
    <definedName name="dam" localSheetId="0">#REF!</definedName>
    <definedName name="dam" localSheetId="1">#REF!</definedName>
    <definedName name="dam">#REF!</definedName>
    <definedName name="dam_24">#REF!</definedName>
    <definedName name="dam_cau_BTCT">#REF!</definedName>
    <definedName name="damban0.4">#REF!</definedName>
    <definedName name="damban0.6">#REF!</definedName>
    <definedName name="damban0.8">#REF!</definedName>
    <definedName name="damban1kw">#REF!</definedName>
    <definedName name="dambaoGT">#REF!</definedName>
    <definedName name="damcanh1">#REF!</definedName>
    <definedName name="damchancuu5.5">#REF!</definedName>
    <definedName name="damchancuu9">#REF!</definedName>
    <definedName name="damcoc60">#REF!</definedName>
    <definedName name="damcoc80">#REF!</definedName>
    <definedName name="damdui1.5">#REF!</definedName>
    <definedName name="DamNgang">#REF!</definedName>
    <definedName name="damrung15">#REF!</definedName>
    <definedName name="damrung18">#REF!</definedName>
    <definedName name="damrung8">#REF!</definedName>
    <definedName name="damtay60">#REF!</definedName>
    <definedName name="damtay80">#REF!</definedName>
    <definedName name="Dan_dung">#REF!</definedName>
    <definedName name="danducsan" localSheetId="0">#REF!</definedName>
    <definedName name="danducsan" localSheetId="1">#REF!</definedName>
    <definedName name="danducsan">#REF!</definedName>
    <definedName name="Dang">#REF!</definedName>
    <definedName name="DANHMUC_NVL">#REF!</definedName>
    <definedName name="DANHMUC_TP">#REF!</definedName>
    <definedName name="dao">#REF!</definedName>
    <definedName name="dao_dap_dat">#REF!</definedName>
    <definedName name="dao0.65">#REF!</definedName>
    <definedName name="dao1.0">#REF!</definedName>
    <definedName name="dap">#REF!</definedName>
    <definedName name="DAT">#REF!</definedName>
    <definedName name="DATA">#REF!</definedName>
    <definedName name="DATA_DATA2_List">#REF!</definedName>
    <definedName name="data1" hidden="1">#REF!</definedName>
    <definedName name="Data11">#REF!</definedName>
    <definedName name="data2" hidden="1">#REF!</definedName>
    <definedName name="data3" hidden="1">#REF!</definedName>
    <definedName name="Data41">#REF!</definedName>
    <definedName name="data5">#REF!</definedName>
    <definedName name="data6">#REF!</definedName>
    <definedName name="data7">#REF!</definedName>
    <definedName name="data8">#REF!</definedName>
    <definedName name="_xlnm.Database">#REF!</definedName>
    <definedName name="DataFilter" localSheetId="2">#REF!</definedName>
    <definedName name="DataFilter" localSheetId="5">#REF!</definedName>
    <definedName name="DataFilter" localSheetId="4">#REF!</definedName>
    <definedName name="DataFilter" localSheetId="3">#REF!</definedName>
    <definedName name="DataFilter" localSheetId="6">#REF!</definedName>
    <definedName name="DataFilter" localSheetId="1">#REF!</definedName>
    <definedName name="DataFilter">#REF!</definedName>
    <definedName name="DataSort" localSheetId="2">#REF!</definedName>
    <definedName name="DataSort" localSheetId="5">#REF!</definedName>
    <definedName name="DataSort" localSheetId="4">#REF!</definedName>
    <definedName name="DataSort" localSheetId="3">#REF!</definedName>
    <definedName name="DataSort" localSheetId="6">#REF!</definedName>
    <definedName name="DataSort" localSheetId="1">#REF!</definedName>
    <definedName name="DataSort">#REF!</definedName>
    <definedName name="DATATKDT">#REF!</definedName>
    <definedName name="DATDAO">#REF!</definedName>
    <definedName name="datdo">#REF!</definedName>
    <definedName name="dathai">#REF!</definedName>
    <definedName name="datnen">#REF!</definedName>
    <definedName name="dauchi">#REF!</definedName>
    <definedName name="day">#REF!</definedName>
    <definedName name="daybuoc">#REF!</definedName>
    <definedName name="dayccham">#REF!</definedName>
    <definedName name="daydien">#REF!</definedName>
    <definedName name="dayno">#REF!</definedName>
    <definedName name="db">#REF!</definedName>
    <definedName name="dba">#REF!</definedName>
    <definedName name="dban">#REF!</definedName>
    <definedName name="dbhdkx12.5">#REF!</definedName>
    <definedName name="dbhdkx18">#REF!</definedName>
    <definedName name="dbhdkx25">#REF!</definedName>
    <definedName name="dbhdkx26.5">#REF!</definedName>
    <definedName name="dbhdkx9">#REF!</definedName>
    <definedName name="dbhth16">#REF!</definedName>
    <definedName name="dbhth17.5">#REF!</definedName>
    <definedName name="dbhth25">#REF!</definedName>
    <definedName name="dbs">#REF!</definedName>
    <definedName name="dc">#REF!</definedName>
    <definedName name="dcc">#REF!</definedName>
    <definedName name="dche">#REF!</definedName>
    <definedName name="dcl">#REF!</definedName>
    <definedName name="DCL_22">12117600</definedName>
    <definedName name="DCL_35">25490000</definedName>
    <definedName name="dcp">#REF!</definedName>
    <definedName name="dct">#REF!</definedName>
    <definedName name="DD" localSheetId="0">#REF!</definedName>
    <definedName name="DD" localSheetId="1">#REF!</definedName>
    <definedName name="DD">#REF!</definedName>
    <definedName name="DD.2002">#REF!</definedName>
    <definedName name="DD.T1">#REF!</definedName>
    <definedName name="DD.T2">#REF!</definedName>
    <definedName name="DD.T3">#REF!</definedName>
    <definedName name="DD.T4">#REF!</definedName>
    <definedName name="DD.T5">#REF!</definedName>
    <definedName name="DD.T6">#REF!</definedName>
    <definedName name="dd0.5x1">#REF!</definedName>
    <definedName name="dd1pnc">#REF!</definedName>
    <definedName name="dd1pvl">#REF!</definedName>
    <definedName name="dd1x2">#REF!</definedName>
    <definedName name="dd2x4">#REF!</definedName>
    <definedName name="dd3pctnc" localSheetId="0">#REF!</definedName>
    <definedName name="dd3pctnc" localSheetId="1">#REF!</definedName>
    <definedName name="dd3pctnc">#REF!</definedName>
    <definedName name="dd3pctvl" localSheetId="0">#REF!</definedName>
    <definedName name="dd3pctvl" localSheetId="1">#REF!</definedName>
    <definedName name="dd3pctvl">#REF!</definedName>
    <definedName name="dd3plmvl" localSheetId="0">#REF!</definedName>
    <definedName name="dd3plmvl" localSheetId="1">#REF!</definedName>
    <definedName name="dd3plmvl">#REF!</definedName>
    <definedName name="dd3pnc" localSheetId="0">#REF!</definedName>
    <definedName name="dd3pnc" localSheetId="1">#REF!</definedName>
    <definedName name="dd3pnc">#REF!</definedName>
    <definedName name="dd3pvl">#REF!</definedName>
    <definedName name="dd4x6">#REF!</definedName>
    <definedName name="ddam">#REF!</definedName>
    <definedName name="DDAY" localSheetId="2">#REF!</definedName>
    <definedName name="DDAY" localSheetId="5">#REF!</definedName>
    <definedName name="DDAY" localSheetId="4">#REF!</definedName>
    <definedName name="DDAY" localSheetId="3">#REF!</definedName>
    <definedName name="DDAY" localSheetId="6">#REF!</definedName>
    <definedName name="DDAY" localSheetId="0">#REF!</definedName>
    <definedName name="DDAY" localSheetId="1">#REF!</definedName>
    <definedName name="DDAY">#REF!</definedName>
    <definedName name="dden">#REF!</definedName>
    <definedName name="DDHT">#REF!</definedName>
    <definedName name="ddhtnc" localSheetId="2">#REF!</definedName>
    <definedName name="ddhtnc" localSheetId="5">#REF!</definedName>
    <definedName name="ddhtnc" localSheetId="4">#REF!</definedName>
    <definedName name="ddhtnc" localSheetId="3">#REF!</definedName>
    <definedName name="ddhtnc" localSheetId="6">#REF!</definedName>
    <definedName name="ddhtnc" localSheetId="0">#REF!</definedName>
    <definedName name="ddhtnc" localSheetId="1">#REF!</definedName>
    <definedName name="ddhtnc">#REF!</definedName>
    <definedName name="ddhtvl">#REF!</definedName>
    <definedName name="ddia">#REF!</definedName>
    <definedName name="ddien">#REF!</definedName>
    <definedName name="DDK" localSheetId="2">#REF!</definedName>
    <definedName name="DDK" localSheetId="5">#REF!</definedName>
    <definedName name="DDK" localSheetId="4">#REF!</definedName>
    <definedName name="DDK" localSheetId="3">#REF!</definedName>
    <definedName name="DDK" localSheetId="6">#REF!</definedName>
    <definedName name="DDK" localSheetId="0">#REF!</definedName>
    <definedName name="DDK" localSheetId="1">#REF!</definedName>
    <definedName name="DDK">#REF!</definedName>
    <definedName name="ddt2nc" localSheetId="2">#REF!</definedName>
    <definedName name="ddt2nc" localSheetId="5">#REF!</definedName>
    <definedName name="ddt2nc" localSheetId="4">#REF!</definedName>
    <definedName name="ddt2nc" localSheetId="3">#REF!</definedName>
    <definedName name="ddt2nc" localSheetId="6">#REF!</definedName>
    <definedName name="ddt2nc" localSheetId="0">#REF!</definedName>
    <definedName name="ddt2nc" localSheetId="1">#REF!</definedName>
    <definedName name="ddt2nc">#REF!</definedName>
    <definedName name="ddt2vl" localSheetId="0">#REF!</definedName>
    <definedName name="ddt2vl" localSheetId="1">#REF!</definedName>
    <definedName name="ddt2vl">#REF!</definedName>
    <definedName name="ddtd3pnc" localSheetId="0">#REF!</definedName>
    <definedName name="ddtd3pnc" localSheetId="1">#REF!</definedName>
    <definedName name="ddtd3pnc">#REF!</definedName>
    <definedName name="ddtt1pnc">#REF!</definedName>
    <definedName name="ddtt1pvl">#REF!</definedName>
    <definedName name="ddtt3pnc">#REF!</definedName>
    <definedName name="ddtt3pvl">#REF!</definedName>
    <definedName name="de">#REF!</definedName>
    <definedName name="de_">#REF!</definedName>
    <definedName name="Delta">#REF!</definedName>
    <definedName name="DEMI1">#REF!</definedName>
    <definedName name="DEMI2">#REF!</definedName>
    <definedName name="demunc">#REF!</definedName>
    <definedName name="den_bu" localSheetId="2">#REF!</definedName>
    <definedName name="den_bu" localSheetId="5">#REF!</definedName>
    <definedName name="den_bu" localSheetId="4">#REF!</definedName>
    <definedName name="den_bu" localSheetId="3">#REF!</definedName>
    <definedName name="den_bu" localSheetId="6">#REF!</definedName>
    <definedName name="den_bu" localSheetId="0">#REF!</definedName>
    <definedName name="den_bu" localSheetId="1">#REF!</definedName>
    <definedName name="den_bu">#REF!</definedName>
    <definedName name="denbu" localSheetId="0">#REF!</definedName>
    <definedName name="denbu" localSheetId="1">#REF!</definedName>
    <definedName name="denbu">#REF!</definedName>
    <definedName name="DenBuGiaiPhong">#REF!</definedName>
    <definedName name="DenDK" hidden="1">{"'Sheet1'!$L$16"}</definedName>
    <definedName name="DENEO">#REF!</definedName>
    <definedName name="DESC">#REF!</definedName>
    <definedName name="DESCRIPTION">#REF!</definedName>
    <definedName name="det" localSheetId="0">#REF!</definedName>
    <definedName name="det" localSheetId="1">#REF!</definedName>
    <definedName name="det">#REF!</definedName>
    <definedName name="Det32x3" localSheetId="2">#REF!</definedName>
    <definedName name="Det32x3" localSheetId="5">#REF!</definedName>
    <definedName name="Det32x3" localSheetId="4">#REF!</definedName>
    <definedName name="Det32x3" localSheetId="3">#REF!</definedName>
    <definedName name="Det32x3" localSheetId="6">#REF!</definedName>
    <definedName name="Det32x3" localSheetId="0">#REF!</definedName>
    <definedName name="Det32x3" localSheetId="1">#REF!</definedName>
    <definedName name="Det32x3">#REF!</definedName>
    <definedName name="Det35x3" localSheetId="0">#REF!</definedName>
    <definedName name="Det35x3" localSheetId="1">#REF!</definedName>
    <definedName name="Det35x3">#REF!</definedName>
    <definedName name="Det40x4" localSheetId="0">#REF!</definedName>
    <definedName name="Det40x4" localSheetId="1">#REF!</definedName>
    <definedName name="Det40x4">#REF!</definedName>
    <definedName name="Det50x5">#REF!</definedName>
    <definedName name="Det63x6">#REF!</definedName>
    <definedName name="Det75x6">#REF!</definedName>
    <definedName name="DEW">#REF!</definedName>
    <definedName name="df">#REF!</definedName>
    <definedName name="dfd">#REF!</definedName>
    <definedName name="dfdjkjp4546" hidden="1">{"'Sheet1'!$L$16"}</definedName>
    <definedName name="DFext">#REF!</definedName>
    <definedName name="dfg" hidden="1">{"'Sheet1'!$L$16"}</definedName>
    <definedName name="DFSDF" hidden="1">{"'Sheet1'!$L$16"}</definedName>
    <definedName name="DFvext">#REF!</definedName>
    <definedName name="dfvssd">#REF!</definedName>
    <definedName name="DG">#REF!</definedName>
    <definedName name="dg_5cau">#REF!</definedName>
    <definedName name="DG_M_C_X">#REF!</definedName>
    <definedName name="dgbdII" localSheetId="2">#REF!</definedName>
    <definedName name="dgbdII" localSheetId="5">#REF!</definedName>
    <definedName name="dgbdII" localSheetId="4">#REF!</definedName>
    <definedName name="dgbdII" localSheetId="3">#REF!</definedName>
    <definedName name="dgbdII" localSheetId="6">#REF!</definedName>
    <definedName name="dgbdII" localSheetId="0">#REF!</definedName>
    <definedName name="dgbdII" localSheetId="1">#REF!</definedName>
    <definedName name="dgbdII">#REF!</definedName>
    <definedName name="dgc">#REF!</definedName>
    <definedName name="DGCT">#REF!</definedName>
    <definedName name="DGCT_T.Quy_P.Thuy_Q">#REF!</definedName>
    <definedName name="DGCT_TRAUQUYPHUTHUY_HN">#REF!</definedName>
    <definedName name="DGCTI592" localSheetId="0">#REF!</definedName>
    <definedName name="DGCTI592" localSheetId="1">#REF!</definedName>
    <definedName name="DGCTI592">#REF!</definedName>
    <definedName name="dgctp2" hidden="1">{"'Sheet1'!$L$16"}</definedName>
    <definedName name="dgd">#REF!</definedName>
    <definedName name="dghp">#REF!</definedName>
    <definedName name="DGIA">#REF!</definedName>
    <definedName name="DGIA2">#REF!</definedName>
    <definedName name="DGiaDZ">#REF!</definedName>
    <definedName name="DGiaNCTr">#REF!</definedName>
    <definedName name="DGiaT">#REF!</definedName>
    <definedName name="DGiaTBA">#REF!</definedName>
    <definedName name="DGiaTN">#REF!</definedName>
    <definedName name="DGiaTr">#REF!</definedName>
    <definedName name="DGM">#REF!</definedName>
    <definedName name="DGNC" localSheetId="2">#REF!</definedName>
    <definedName name="DGNC" localSheetId="5">#REF!</definedName>
    <definedName name="DGNC" localSheetId="4">#REF!</definedName>
    <definedName name="DGNC" localSheetId="3">#REF!</definedName>
    <definedName name="DGNC" localSheetId="6">#REF!</definedName>
    <definedName name="DGNC" localSheetId="0">#REF!</definedName>
    <definedName name="DGNC" localSheetId="1">#REF!</definedName>
    <definedName name="DGNC">#REF!</definedName>
    <definedName name="dgqndn" localSheetId="0">#REF!</definedName>
    <definedName name="dgqndn" localSheetId="1">#REF!</definedName>
    <definedName name="dgqndn">#REF!</definedName>
    <definedName name="DGTH" localSheetId="0">#REF!</definedName>
    <definedName name="DGTH" localSheetId="1">#REF!</definedName>
    <definedName name="DGTH">#REF!</definedName>
    <definedName name="DGTH1">#REF!</definedName>
    <definedName name="dgth2">#REF!</definedName>
    <definedName name="dgthss3">#REF!</definedName>
    <definedName name="DGTN">#REF!</definedName>
    <definedName name="DGTR">#REF!</definedName>
    <definedName name="DGTV" localSheetId="2">#REF!</definedName>
    <definedName name="DGTV" localSheetId="5">#REF!</definedName>
    <definedName name="DGTV" localSheetId="4">#REF!</definedName>
    <definedName name="DGTV" localSheetId="3">#REF!</definedName>
    <definedName name="DGTV" localSheetId="6">#REF!</definedName>
    <definedName name="DGTV" localSheetId="0">#REF!</definedName>
    <definedName name="DGTV" localSheetId="1">#REF!</definedName>
    <definedName name="DGTV">#REF!</definedName>
    <definedName name="dgvc">#REF!</definedName>
    <definedName name="dgvl" localSheetId="2">#REF!</definedName>
    <definedName name="dgvl" localSheetId="5">#REF!</definedName>
    <definedName name="dgvl" localSheetId="4">#REF!</definedName>
    <definedName name="dgvl" localSheetId="3">#REF!</definedName>
    <definedName name="dgvl" localSheetId="6">#REF!</definedName>
    <definedName name="dgvl" localSheetId="0">#REF!</definedName>
    <definedName name="dgvl" localSheetId="1">#REF!</definedName>
    <definedName name="dgvl">#REF!</definedName>
    <definedName name="DGVL1">#REF!</definedName>
    <definedName name="DGVT" localSheetId="2">#REF!</definedName>
    <definedName name="DGVT" localSheetId="5">#REF!</definedName>
    <definedName name="DGVT" localSheetId="4">#REF!</definedName>
    <definedName name="DGVT" localSheetId="3">#REF!</definedName>
    <definedName name="DGVT" localSheetId="6">#REF!</definedName>
    <definedName name="DGVT" localSheetId="0">#REF!</definedName>
    <definedName name="DGVT" localSheetId="1">#REF!</definedName>
    <definedName name="DGVT">#REF!</definedName>
    <definedName name="DGVtu">#REF!</definedName>
    <definedName name="DGVUA">#REF!</definedName>
    <definedName name="DGXDTT">#REF!</definedName>
    <definedName name="dh">#REF!</definedName>
    <definedName name="dhb">#REF!</definedName>
    <definedName name="dhoc">#REF!</definedName>
    <definedName name="dhom" localSheetId="0">#REF!</definedName>
    <definedName name="dhom" localSheetId="1">#REF!</definedName>
    <definedName name="dhom">#REF!</definedName>
    <definedName name="Di_chuyÓn_bé_may_thi_cong">#REF!</definedName>
    <definedName name="DIABAN">#REF!</definedName>
    <definedName name="dien" localSheetId="2">#REF!</definedName>
    <definedName name="dien" localSheetId="5">#REF!</definedName>
    <definedName name="dien" localSheetId="4">#REF!</definedName>
    <definedName name="dien" localSheetId="3">#REF!</definedName>
    <definedName name="dien" localSheetId="6">#REF!</definedName>
    <definedName name="dien" localSheetId="0">#REF!</definedName>
    <definedName name="dien" localSheetId="1">#REF!</definedName>
    <definedName name="dien">#REF!</definedName>
    <definedName name="dientichck" localSheetId="0">#REF!</definedName>
    <definedName name="dientichck" localSheetId="1">#REF!</definedName>
    <definedName name="dientichck">#REF!</definedName>
    <definedName name="dim">#REF!</definedName>
    <definedName name="Dinh_muc_1_m3_beton_m200">#REF!</definedName>
    <definedName name="dinh2" localSheetId="0">#REF!</definedName>
    <definedName name="dinh2" localSheetId="1">#REF!</definedName>
    <definedName name="dinh2">#REF!</definedName>
    <definedName name="Dinhmuc">#REF!</definedName>
    <definedName name="dis_s">#REF!</definedName>
    <definedName name="Discount" hidden="1">#REF!</definedName>
    <definedName name="display_area_2" hidden="1">#REF!</definedName>
    <definedName name="dk">#REF!</definedName>
    <definedName name="dl">#REF!</definedName>
    <definedName name="DL10HT">#REF!</definedName>
    <definedName name="DL11HT">#REF!</definedName>
    <definedName name="DL12HT">#REF!</definedName>
    <definedName name="DL13HT">#REF!</definedName>
    <definedName name="DL14HT">#REF!</definedName>
    <definedName name="DL15HT" localSheetId="0">#REF!</definedName>
    <definedName name="DL15HT" localSheetId="1">#REF!</definedName>
    <definedName name="DL15HT">#REF!</definedName>
    <definedName name="DL16HT" localSheetId="0">#REF!</definedName>
    <definedName name="DL16HT" localSheetId="1">#REF!</definedName>
    <definedName name="DL16HT">#REF!</definedName>
    <definedName name="DL17HT">#REF!</definedName>
    <definedName name="DL18HT">#REF!</definedName>
    <definedName name="DL19HT" localSheetId="0">#REF!</definedName>
    <definedName name="DL19HT" localSheetId="1">#REF!</definedName>
    <definedName name="DL19HT">#REF!</definedName>
    <definedName name="DL1HT">#REF!</definedName>
    <definedName name="DL20HT" localSheetId="0">#REF!</definedName>
    <definedName name="DL20HT" localSheetId="1">#REF!</definedName>
    <definedName name="DL20HT">#REF!</definedName>
    <definedName name="DL21HT">#REF!</definedName>
    <definedName name="DL22HT">#REF!</definedName>
    <definedName name="DL23HT">#REF!</definedName>
    <definedName name="DL24HT">#REF!</definedName>
    <definedName name="DL25HT">#REF!</definedName>
    <definedName name="DL26HT">#REF!</definedName>
    <definedName name="DL2HT">#REF!</definedName>
    <definedName name="DL3HT">#REF!</definedName>
    <definedName name="DL4HT">#REF!</definedName>
    <definedName name="DL5HT">#REF!</definedName>
    <definedName name="DL6HT">#REF!</definedName>
    <definedName name="DL7HT">#REF!</definedName>
    <definedName name="DL8HT">#REF!</definedName>
    <definedName name="DL9HT">#REF!</definedName>
    <definedName name="DLCC" localSheetId="2">#REF!</definedName>
    <definedName name="DLCC" localSheetId="5">#REF!</definedName>
    <definedName name="DLCC" localSheetId="4">#REF!</definedName>
    <definedName name="DLCC" localSheetId="3">#REF!</definedName>
    <definedName name="DLCC" localSheetId="6">#REF!</definedName>
    <definedName name="DLCC" localSheetId="0">#REF!</definedName>
    <definedName name="DLCC" localSheetId="1">#REF!</definedName>
    <definedName name="DLCC">#REF!</definedName>
    <definedName name="DM" localSheetId="0">#REF!</definedName>
    <definedName name="DM" localSheetId="1">#REF!</definedName>
    <definedName name="DM">#REF!</definedName>
    <definedName name="DM_MaTruong" localSheetId="0">#REF!</definedName>
    <definedName name="DM_MaTruong" localSheetId="1">#REF!</definedName>
    <definedName name="DM_MaTruong">#REF!</definedName>
    <definedName name="dm56bxd" localSheetId="2">#REF!</definedName>
    <definedName name="dm56bxd" localSheetId="5">#REF!</definedName>
    <definedName name="dm56bxd" localSheetId="4">#REF!</definedName>
    <definedName name="dm56bxd" localSheetId="3">#REF!</definedName>
    <definedName name="dm56bxd" localSheetId="6">#REF!</definedName>
    <definedName name="dm56bxd" localSheetId="0">#REF!</definedName>
    <definedName name="dm56bxd" localSheetId="1">#REF!</definedName>
    <definedName name="dm56bxd">#REF!</definedName>
    <definedName name="dmat">#REF!</definedName>
    <definedName name="dmh">#REF!</definedName>
    <definedName name="dmoi">#REF!</definedName>
    <definedName name="dmz">#REF!</definedName>
    <definedName name="DN" localSheetId="2">#REF!</definedName>
    <definedName name="DN" localSheetId="5">#REF!</definedName>
    <definedName name="DN" localSheetId="4">#REF!</definedName>
    <definedName name="DN" localSheetId="3">#REF!</definedName>
    <definedName name="DN" localSheetId="6">#REF!</definedName>
    <definedName name="DN" localSheetId="0">#REF!</definedName>
    <definedName name="DN" localSheetId="1">#REF!</definedName>
    <definedName name="DN">#REF!</definedName>
    <definedName name="DNDZ22">#REF!</definedName>
    <definedName name="DNNN">#REF!</definedName>
    <definedName name="dno">#REF!</definedName>
    <definedName name="DÑt45x4" localSheetId="2">#REF!</definedName>
    <definedName name="DÑt45x4" localSheetId="5">#REF!</definedName>
    <definedName name="DÑt45x4" localSheetId="4">#REF!</definedName>
    <definedName name="DÑt45x4" localSheetId="3">#REF!</definedName>
    <definedName name="DÑt45x4" localSheetId="6">#REF!</definedName>
    <definedName name="DÑt45x4" localSheetId="0">#REF!</definedName>
    <definedName name="DÑt45x4" localSheetId="1">#REF!</definedName>
    <definedName name="DÑt45x4">#REF!</definedName>
    <definedName name="Do.dang.2001">#REF!</definedName>
    <definedName name="Do.dang.31.10">#REF!</definedName>
    <definedName name="doan1" localSheetId="0">#REF!</definedName>
    <definedName name="doan1" localSheetId="1">#REF!</definedName>
    <definedName name="doan1">#REF!</definedName>
    <definedName name="doan2" localSheetId="0">#REF!</definedName>
    <definedName name="doan2" localSheetId="1">#REF!</definedName>
    <definedName name="doan2">#REF!</definedName>
    <definedName name="doan3">#REF!</definedName>
    <definedName name="doan4">#REF!</definedName>
    <definedName name="doan5">#REF!</definedName>
    <definedName name="doan6">#REF!</definedName>
    <definedName name="dobt">#REF!</definedName>
    <definedName name="Doc">#REF!</definedName>
    <definedName name="Document_array" localSheetId="2">{"Thuxm2.xls","Sheet1"}</definedName>
    <definedName name="Document_array" localSheetId="5">{"Thuxm2.xls","Sheet1"}</definedName>
    <definedName name="Document_array" localSheetId="4">{"Thuxm2.xls","Sheet1"}</definedName>
    <definedName name="Document_array" localSheetId="3">{"Thuxm2.xls","Sheet1"}</definedName>
    <definedName name="Document_array" localSheetId="6">{"Thuxm2.xls","Sheet1"}</definedName>
    <definedName name="Document_array" localSheetId="0">{"Thuxm2.xls","Sheet1"}</definedName>
    <definedName name="Document_array" localSheetId="1">{"Thuxm2.xls","Sheet1"}</definedName>
    <definedName name="Document_array">{"Thuxm2.xls","Sheet1"}</definedName>
    <definedName name="Documents_array">#REF!</definedName>
    <definedName name="Doku">#REF!</definedName>
    <definedName name="Domgia4">#REF!</definedName>
    <definedName name="Don.gia">#REF!</definedName>
    <definedName name="DON_giA">#REF!</definedName>
    <definedName name="DON_GIA_3282" localSheetId="2">#REF!</definedName>
    <definedName name="DON_GIA_3282" localSheetId="5">#REF!</definedName>
    <definedName name="DON_GIA_3282" localSheetId="4">#REF!</definedName>
    <definedName name="DON_GIA_3282" localSheetId="3">#REF!</definedName>
    <definedName name="DON_GIA_3282" localSheetId="6">#REF!</definedName>
    <definedName name="DON_GIA_3282" localSheetId="0">#REF!</definedName>
    <definedName name="DON_GIA_3282" localSheetId="1">#REF!</definedName>
    <definedName name="DON_GIA_3282">#REF!</definedName>
    <definedName name="DON_GIA_3283" localSheetId="0">#REF!</definedName>
    <definedName name="DON_GIA_3283" localSheetId="1">#REF!</definedName>
    <definedName name="DON_GIA_3283">#REF!</definedName>
    <definedName name="DON_GIA_3285" localSheetId="0">#REF!</definedName>
    <definedName name="DON_GIA_3285" localSheetId="1">#REF!</definedName>
    <definedName name="DON_GIA_3285">#REF!</definedName>
    <definedName name="DON_GIA_VAN_CHUYEN_36">#REF!</definedName>
    <definedName name="DON_GIA_VAT_TU">#REF!</definedName>
    <definedName name="Don_gia_VCTC">#REF!</definedName>
    <definedName name="Don_giahanam">#REF!</definedName>
    <definedName name="Don_giaIII">#REF!</definedName>
    <definedName name="Don_gianhanam">#REF!</definedName>
    <definedName name="Don_giatp">#REF!</definedName>
    <definedName name="Don_giavl">#REF!</definedName>
    <definedName name="Dong_coc">#REF!</definedName>
    <definedName name="dongdongia" localSheetId="2">#REF!</definedName>
    <definedName name="dongdongia" localSheetId="5">#REF!</definedName>
    <definedName name="dongdongia" localSheetId="4">#REF!</definedName>
    <definedName name="dongdongia" localSheetId="3">#REF!</definedName>
    <definedName name="dongdongia" localSheetId="6">#REF!</definedName>
    <definedName name="dongdongia" localSheetId="1">#REF!</definedName>
    <definedName name="dongdongia">#REF!</definedName>
    <definedName name="dongia" localSheetId="2">#REF!</definedName>
    <definedName name="dongia" localSheetId="5">#REF!</definedName>
    <definedName name="dongia" localSheetId="4">#REF!</definedName>
    <definedName name="dongia" localSheetId="3">#REF!</definedName>
    <definedName name="dongia" localSheetId="6">#REF!</definedName>
    <definedName name="dongia" localSheetId="0">#REF!</definedName>
    <definedName name="dongia" localSheetId="1">#REF!</definedName>
    <definedName name="dongia">#REF!</definedName>
    <definedName name="Dongia_III">#REF!</definedName>
    <definedName name="dongia1">#REF!</definedName>
    <definedName name="DonGia2">#REF!</definedName>
    <definedName name="Dongia3">#REF!</definedName>
    <definedName name="Dongia4">#REF!</definedName>
    <definedName name="Dongia5">#REF!</definedName>
    <definedName name="Dongia6">#REF!</definedName>
    <definedName name="DoorWindow" localSheetId="0">#REF!</definedName>
    <definedName name="DoorWindow" localSheetId="1">#REF!</definedName>
    <definedName name="DoorWindow">#REF!</definedName>
    <definedName name="dp" localSheetId="0">#REF!</definedName>
    <definedName name="dp" localSheetId="1">#REF!</definedName>
    <definedName name="dp">#REF!</definedName>
    <definedName name="DPHT250">#REF!</definedName>
    <definedName name="DPHT350">#REF!</definedName>
    <definedName name="DPHT50">#REF!</definedName>
    <definedName name="dps">#REF!</definedName>
    <definedName name="drf">#REF!</definedName>
    <definedName name="drn">#REF!</definedName>
    <definedName name="dry..">#REF!</definedName>
    <definedName name="ds_">#REF!</definedName>
    <definedName name="DS1p1vc" localSheetId="0">#REF!</definedName>
    <definedName name="DS1p1vc" localSheetId="1">#REF!</definedName>
    <definedName name="DS1p1vc">#REF!</definedName>
    <definedName name="ds1p2nc" localSheetId="0">#REF!</definedName>
    <definedName name="ds1p2nc" localSheetId="1">#REF!</definedName>
    <definedName name="ds1p2nc">#REF!</definedName>
    <definedName name="ds1p2vc" localSheetId="0">#REF!</definedName>
    <definedName name="ds1p2vc" localSheetId="1">#REF!</definedName>
    <definedName name="ds1p2vc">#REF!</definedName>
    <definedName name="ds1p2vl" localSheetId="0">#REF!</definedName>
    <definedName name="ds1p2vl" localSheetId="1">#REF!</definedName>
    <definedName name="ds1p2vl">#REF!</definedName>
    <definedName name="ds1pnc" localSheetId="2">#REF!</definedName>
    <definedName name="ds1pnc" localSheetId="5">#REF!</definedName>
    <definedName name="ds1pnc" localSheetId="4">#REF!</definedName>
    <definedName name="ds1pnc" localSheetId="3">#REF!</definedName>
    <definedName name="ds1pnc" localSheetId="6">#REF!</definedName>
    <definedName name="ds1pnc" localSheetId="0">#REF!</definedName>
    <definedName name="ds1pnc" localSheetId="1">#REF!</definedName>
    <definedName name="ds1pnc">#REF!</definedName>
    <definedName name="ds1pvl" localSheetId="0">#REF!</definedName>
    <definedName name="ds1pvl" localSheetId="1">#REF!</definedName>
    <definedName name="ds1pvl">#REF!</definedName>
    <definedName name="ds3pctnc" localSheetId="0">#REF!</definedName>
    <definedName name="ds3pctnc" localSheetId="1">#REF!</definedName>
    <definedName name="ds3pctnc">#REF!</definedName>
    <definedName name="ds3pctvc">#REF!</definedName>
    <definedName name="ds3pctvl">#REF!</definedName>
    <definedName name="ds3pmnc" localSheetId="0">#REF!</definedName>
    <definedName name="ds3pmnc" localSheetId="1">#REF!</definedName>
    <definedName name="ds3pmnc">#REF!</definedName>
    <definedName name="ds3pmvc" localSheetId="0">#REF!</definedName>
    <definedName name="ds3pmvc" localSheetId="1">#REF!</definedName>
    <definedName name="ds3pmvc">#REF!</definedName>
    <definedName name="ds3pmvl" localSheetId="0">#REF!</definedName>
    <definedName name="ds3pmvl" localSheetId="1">#REF!</definedName>
    <definedName name="ds3pmvl">#REF!</definedName>
    <definedName name="ds3pnc" localSheetId="0">#REF!</definedName>
    <definedName name="ds3pnc" localSheetId="1">#REF!</definedName>
    <definedName name="ds3pnc">#REF!</definedName>
    <definedName name="ds3pvl">#REF!</definedName>
    <definedName name="dsc">#REF!</definedName>
    <definedName name="dsc_">#REF!</definedName>
    <definedName name="dsct3pnc">#REF!</definedName>
    <definedName name="dsct3pvl">#REF!</definedName>
    <definedName name="dsf">#REF!</definedName>
    <definedName name="dsfsd">#REF!</definedName>
    <definedName name="dsh" hidden="1">#REF!</definedName>
    <definedName name="DSPK1p1nc" localSheetId="2">#REF!</definedName>
    <definedName name="DSPK1p1nc" localSheetId="5">#REF!</definedName>
    <definedName name="DSPK1p1nc" localSheetId="4">#REF!</definedName>
    <definedName name="DSPK1p1nc" localSheetId="3">#REF!</definedName>
    <definedName name="DSPK1p1nc" localSheetId="6">#REF!</definedName>
    <definedName name="DSPK1p1nc" localSheetId="0">#REF!</definedName>
    <definedName name="DSPK1p1nc" localSheetId="1">#REF!</definedName>
    <definedName name="DSPK1p1nc">#REF!</definedName>
    <definedName name="DSPK1p1vl" localSheetId="0">#REF!</definedName>
    <definedName name="DSPK1p1vl" localSheetId="1">#REF!</definedName>
    <definedName name="DSPK1p1vl">#REF!</definedName>
    <definedName name="DSPK1pm">#REF!</definedName>
    <definedName name="DSPK1pnc" localSheetId="0">#REF!</definedName>
    <definedName name="DSPK1pnc" localSheetId="1">#REF!</definedName>
    <definedName name="DSPK1pnc">#REF!</definedName>
    <definedName name="DSPK1pvl">#REF!</definedName>
    <definedName name="DSPK3pct">#REF!</definedName>
    <definedName name="DSPK3pm">#REF!</definedName>
    <definedName name="DSPKhtdl">#REF!</definedName>
    <definedName name="DSPKhthh">#REF!</definedName>
    <definedName name="DSUMDATA">#REF!</definedName>
    <definedName name="DSVN">#REF!</definedName>
    <definedName name="dt">#REF!</definedName>
    <definedName name="DT_SKC">#REF!</definedName>
    <definedName name="DT_VKHNN">#REF!</definedName>
    <definedName name="dt10.1" hidden="1">{"'Sheet1'!$L$16"}</definedName>
    <definedName name="DT12Dluc" hidden="1">{"'Sheet1'!$L$16"}</definedName>
    <definedName name="DT12HoangThach" hidden="1">{"'Sheet1'!$L$16"}</definedName>
    <definedName name="DT8.1" hidden="1">{"'Sheet1'!$L$16"}</definedName>
    <definedName name="DT8.2" hidden="1">{"'Sheet1'!$L$16"}</definedName>
    <definedName name="DTCTANG_BD">#REF!</definedName>
    <definedName name="DTCTANG_HT_BD">#REF!</definedName>
    <definedName name="DTCTANG_HT_KT">#REF!</definedName>
    <definedName name="DTCTANG_KT">#REF!</definedName>
    <definedName name="dtdt">#REF!</definedName>
    <definedName name="dthaihh">#REF!</definedName>
    <definedName name="dthft" hidden="1">{"'Sheet1'!$L$16"}</definedName>
    <definedName name="dtich1" localSheetId="2">#REF!</definedName>
    <definedName name="dtich1" localSheetId="5">#REF!</definedName>
    <definedName name="dtich1" localSheetId="4">#REF!</definedName>
    <definedName name="dtich1" localSheetId="3">#REF!</definedName>
    <definedName name="dtich1" localSheetId="6">#REF!</definedName>
    <definedName name="dtich1" localSheetId="0">#REF!</definedName>
    <definedName name="dtich1" localSheetId="1">#REF!</definedName>
    <definedName name="dtich1">#REF!</definedName>
    <definedName name="dtich2" localSheetId="0">#REF!</definedName>
    <definedName name="dtich2" localSheetId="1">#REF!</definedName>
    <definedName name="dtich2">#REF!</definedName>
    <definedName name="dtich3" localSheetId="0">#REF!</definedName>
    <definedName name="dtich3" localSheetId="1">#REF!</definedName>
    <definedName name="dtich3">#REF!</definedName>
    <definedName name="dtich4">#REF!</definedName>
    <definedName name="dtich5">#REF!</definedName>
    <definedName name="dtich6">#REF!</definedName>
    <definedName name="DU_TOAN_CHI_TIET_CONG_TO">#REF!</definedName>
    <definedName name="DU_TOAN_CHI_TIET_DZ0.4KV" localSheetId="0">#REF!</definedName>
    <definedName name="DU_TOAN_CHI_TIET_DZ0.4KV" localSheetId="1">#REF!</definedName>
    <definedName name="DU_TOAN_CHI_TIET_DZ0.4KV">#REF!</definedName>
    <definedName name="DU_TOAN_CHI_TIET_DZ22KV" localSheetId="2">#REF!</definedName>
    <definedName name="DU_TOAN_CHI_TIET_DZ22KV" localSheetId="5">#REF!</definedName>
    <definedName name="DU_TOAN_CHI_TIET_DZ22KV" localSheetId="4">#REF!</definedName>
    <definedName name="DU_TOAN_CHI_TIET_DZ22KV" localSheetId="3">#REF!</definedName>
    <definedName name="DU_TOAN_CHI_TIET_DZ22KV" localSheetId="6">#REF!</definedName>
    <definedName name="DU_TOAN_CHI_TIET_DZ22KV" localSheetId="0">#REF!</definedName>
    <definedName name="DU_TOAN_CHI_TIET_DZ22KV" localSheetId="1">#REF!</definedName>
    <definedName name="DU_TOAN_CHI_TIET_DZ22KV">#REF!</definedName>
    <definedName name="DU_TOAN_CHI_TIET_KHO_BAI" localSheetId="0">#REF!</definedName>
    <definedName name="DU_TOAN_CHI_TIET_KHO_BAI" localSheetId="1">#REF!</definedName>
    <definedName name="DU_TOAN_CHI_TIET_KHO_BAI">#REF!</definedName>
    <definedName name="DU_TOAN_CHI_TIET_TBA">#REF!</definedName>
    <definedName name="DUCANH" hidden="1">{"'Sheet1'!$L$16"}</definedName>
    <definedName name="dui">#REF!</definedName>
    <definedName name="dukien">#REF!</definedName>
    <definedName name="dukienlan">#REF!</definedName>
    <definedName name="DUKIENLAN1111111111111">#REF!</definedName>
    <definedName name="dukienlan5">#REF!</definedName>
    <definedName name="dungkh" hidden="1">{"'Sheet1'!$L$16"}</definedName>
    <definedName name="duoi">#REF!</definedName>
    <definedName name="Duong_dau_cau">#REF!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ongnaco" hidden="1">{"'Sheet1'!$L$16"}</definedName>
    <definedName name="DuphongBGD">#REF!</definedName>
    <definedName name="DuphongBNV">#REF!</definedName>
    <definedName name="DuphongBTP">#REF!</definedName>
    <definedName name="DuphongCNCHL">#REF!</definedName>
    <definedName name="DuphongDHQGHN">#REF!</definedName>
    <definedName name="DuphongDSVN">#REF!</definedName>
    <definedName name="DuphongHCTD">#REF!</definedName>
    <definedName name="DuphongHVCT">#REF!</definedName>
    <definedName name="DuphongLVH">#REF!</definedName>
    <definedName name="DuphongNHCS">#REF!</definedName>
    <definedName name="DuphongNHNN">#REF!</definedName>
    <definedName name="DuphongNHPT">#REF!</definedName>
    <definedName name="dutoan">#REF!</definedName>
    <definedName name="DutoanDongmo" localSheetId="2">#REF!</definedName>
    <definedName name="DutoanDongmo" localSheetId="5">#REF!</definedName>
    <definedName name="DutoanDongmo" localSheetId="4">#REF!</definedName>
    <definedName name="DutoanDongmo" localSheetId="3">#REF!</definedName>
    <definedName name="DutoanDongmo" localSheetId="6">#REF!</definedName>
    <definedName name="DutoanDongmo" localSheetId="0">#REF!</definedName>
    <definedName name="DutoanDongmo" localSheetId="1">#REF!</definedName>
    <definedName name="DutoanDongmo">#REF!</definedName>
    <definedName name="dvgfsgdsdg">#REF!</definedName>
    <definedName name="DWPRICE" localSheetId="2" hidden="1">#REF!</definedName>
    <definedName name="DWPRICE" localSheetId="5" hidden="1">#REF!</definedName>
    <definedName name="DWPRICE" localSheetId="4" hidden="1">#REF!</definedName>
    <definedName name="DWPRICE" localSheetId="3" hidden="1">#REF!</definedName>
    <definedName name="DWPRICE" localSheetId="6" hidden="1">#REF!</definedName>
    <definedName name="DWPRICE" localSheetId="0" hidden="1">#REF!</definedName>
    <definedName name="DWPRICE" localSheetId="1" hidden="1">#REF!</definedName>
    <definedName name="DWPRICE" hidden="1">#REF!</definedName>
    <definedName name="dy" localSheetId="0">#REF!</definedName>
    <definedName name="dy" localSheetId="1">#REF!</definedName>
    <definedName name="dy">#REF!</definedName>
    <definedName name="DYÕ">#REF!</definedName>
    <definedName name="DZ6gd1">#REF!</definedName>
    <definedName name="dzgd1">#REF!</definedName>
    <definedName name="E" localSheetId="0">#REF!</definedName>
    <definedName name="E" localSheetId="1">#REF!</definedName>
    <definedName name="E">#REF!</definedName>
    <definedName name="Earthwork" localSheetId="0">#REF!</definedName>
    <definedName name="Earthwork" localSheetId="1">#REF!</definedName>
    <definedName name="Earthwork">#REF!</definedName>
    <definedName name="Ebdam">#REF!</definedName>
    <definedName name="Ec_">#REF!</definedName>
    <definedName name="Ecoc">#REF!</definedName>
    <definedName name="Ecot1">#REF!</definedName>
    <definedName name="eee">#REF!</definedName>
    <definedName name="EI">#REF!</definedName>
    <definedName name="elan">#REF!</definedName>
    <definedName name="Email">#REF!</definedName>
    <definedName name="emb" localSheetId="2">#REF!</definedName>
    <definedName name="emb" localSheetId="5">#REF!</definedName>
    <definedName name="emb" localSheetId="4">#REF!</definedName>
    <definedName name="emb" localSheetId="3">#REF!</definedName>
    <definedName name="emb" localSheetId="6">#REF!</definedName>
    <definedName name="emb" localSheetId="0">#REF!</definedName>
    <definedName name="emb" localSheetId="1">#REF!</definedName>
    <definedName name="emb">#REF!</definedName>
    <definedName name="end">#REF!</definedName>
    <definedName name="End_1" localSheetId="0">#REF!</definedName>
    <definedName name="End_1" localSheetId="1">#REF!</definedName>
    <definedName name="End_1">#REF!</definedName>
    <definedName name="End_10" localSheetId="0">#REF!</definedName>
    <definedName name="End_10" localSheetId="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#REF!</definedName>
    <definedName name="epsilon">#REF!</definedName>
    <definedName name="epsilond">#REF!</definedName>
    <definedName name="EQP">#REF!</definedName>
    <definedName name="Es">#REF!</definedName>
    <definedName name="Es_">#REF!</definedName>
    <definedName name="Est._Vol">#REF!</definedName>
    <definedName name="eta">#REF!</definedName>
    <definedName name="etad">#REF!</definedName>
    <definedName name="ewwegfbfb" hidden="1">{"'Sheet1'!$L$16"}</definedName>
    <definedName name="ex">#REF!</definedName>
    <definedName name="EXC">#REF!</definedName>
    <definedName name="EXCH">#REF!</definedName>
    <definedName name="EXPORT">#REF!</definedName>
    <definedName name="_xlnm.Extract" localSheetId="0">#REF!</definedName>
    <definedName name="_xlnm.Extract" localSheetId="1">#REF!</definedName>
    <definedName name="_xlnm.Extract">#REF!</definedName>
    <definedName name="ey">#REF!</definedName>
    <definedName name="f" localSheetId="2">#REF!</definedName>
    <definedName name="f" localSheetId="5">#REF!</definedName>
    <definedName name="f" localSheetId="4">#REF!</definedName>
    <definedName name="f" localSheetId="3">#REF!</definedName>
    <definedName name="f" localSheetId="6">#REF!</definedName>
    <definedName name="f" localSheetId="0">#REF!</definedName>
    <definedName name="f" localSheetId="1">#REF!</definedName>
    <definedName name="f">#REF!</definedName>
    <definedName name="f_cs">#REF!</definedName>
    <definedName name="F20B86">#REF!</definedName>
    <definedName name="f82E46">#REF!</definedName>
    <definedName name="f92F56" localSheetId="2">#REF!</definedName>
    <definedName name="f92F56" localSheetId="5">#REF!</definedName>
    <definedName name="f92F56" localSheetId="4">#REF!</definedName>
    <definedName name="f92F56" localSheetId="3">#REF!</definedName>
    <definedName name="f92F56" localSheetId="6">#REF!</definedName>
    <definedName name="f92F56" localSheetId="0">#REF!</definedName>
    <definedName name="f92F56" localSheetId="1">#REF!</definedName>
    <definedName name="f92F56">#REF!</definedName>
    <definedName name="faasdf">#REF!</definedName>
    <definedName name="FACTOR" localSheetId="2">#REF!</definedName>
    <definedName name="FACTOR" localSheetId="5">#REF!</definedName>
    <definedName name="FACTOR" localSheetId="4">#REF!</definedName>
    <definedName name="FACTOR" localSheetId="3">#REF!</definedName>
    <definedName name="FACTOR" localSheetId="6">#REF!</definedName>
    <definedName name="FACTOR" localSheetId="0">#REF!</definedName>
    <definedName name="FACTOR" localSheetId="1">#REF!</definedName>
    <definedName name="FACTOR">#REF!</definedName>
    <definedName name="factor_g">#REF!</definedName>
    <definedName name="Fax">#REF!</definedName>
    <definedName name="Fay">#REF!</definedName>
    <definedName name="fc_">#REF!</definedName>
    <definedName name="FC5_total">#REF!</definedName>
    <definedName name="FC6_total">#REF!</definedName>
    <definedName name="fci">#REF!</definedName>
    <definedName name="Fcoc">#REF!</definedName>
    <definedName name="FCode" hidden="1">#REF!</definedName>
    <definedName name="fcs">#REF!</definedName>
    <definedName name="fD">#REF!</definedName>
    <definedName name="Fdam">#REF!</definedName>
    <definedName name="Fdaymong">#REF!</definedName>
    <definedName name="fdfgdfhftg">#REF!</definedName>
    <definedName name="Fe">#REF!</definedName>
    <definedName name="ff">#REF!</definedName>
    <definedName name="fff" hidden="1">{"'Sheet1'!$L$16"}</definedName>
    <definedName name="fghghgh">#REF!</definedName>
    <definedName name="fgt" localSheetId="2">#REF!</definedName>
    <definedName name="fgt" localSheetId="5">#REF!</definedName>
    <definedName name="fgt" localSheetId="4">#REF!</definedName>
    <definedName name="fgt" localSheetId="3">#REF!</definedName>
    <definedName name="fgt" localSheetId="6">#REF!</definedName>
    <definedName name="fgt" localSheetId="0">#REF!</definedName>
    <definedName name="fgt" localSheetId="1">#REF!</definedName>
    <definedName name="fgt">#REF!</definedName>
    <definedName name="Fi">#REF!</definedName>
    <definedName name="FI_12">4820</definedName>
    <definedName name="FIL">#REF!</definedName>
    <definedName name="FILE">#REF!</definedName>
    <definedName name="FinishWork" localSheetId="2">#REF!</definedName>
    <definedName name="FinishWork" localSheetId="5">#REF!</definedName>
    <definedName name="FinishWork" localSheetId="4">#REF!</definedName>
    <definedName name="FinishWork" localSheetId="3">#REF!</definedName>
    <definedName name="FinishWork" localSheetId="6">#REF!</definedName>
    <definedName name="FinishWork" localSheetId="0">#REF!</definedName>
    <definedName name="FinishWork" localSheetId="1">#REF!</definedName>
    <definedName name="FinishWork">#REF!</definedName>
    <definedName name="fjh">#REF!</definedName>
    <definedName name="FL">#REF!</definedName>
    <definedName name="FO">#REF!</definedName>
    <definedName name="FP" localSheetId="0">#REF!</definedName>
    <definedName name="FP" localSheetId="1">#REF!</definedName>
    <definedName name="FP">#REF!</definedName>
    <definedName name="fpe">#REF!</definedName>
    <definedName name="fpy">#REF!</definedName>
    <definedName name="fr">#REF!</definedName>
    <definedName name="frame">#REF!</definedName>
    <definedName name="fs">#REF!</definedName>
    <definedName name="fsdfdsf" hidden="1">{"'Sheet1'!$L$16"}</definedName>
    <definedName name="fsdsds" hidden="1">{"'Sheet1'!$L$16"}</definedName>
    <definedName name="fse">#REF!</definedName>
    <definedName name="fso">#REF!</definedName>
    <definedName name="Ft">#REF!</definedName>
    <definedName name="fuji">#REF!</definedName>
    <definedName name="Full" localSheetId="0">#REF!</definedName>
    <definedName name="Full" localSheetId="1">#REF!</definedName>
    <definedName name="Full">#REF!</definedName>
    <definedName name="fv">#REF!</definedName>
    <definedName name="Fvn_fri">#REF!</definedName>
    <definedName name="fy">#REF!</definedName>
    <definedName name="fy_">#REF!</definedName>
    <definedName name="g">#REF!</definedName>
    <definedName name="g_">#REF!</definedName>
    <definedName name="g_1">#REF!</definedName>
    <definedName name="G_2">#REF!</definedName>
    <definedName name="g_3">#REF!</definedName>
    <definedName name="G_C">#REF!</definedName>
    <definedName name="G_ME" localSheetId="2">#REF!</definedName>
    <definedName name="G_ME" localSheetId="5">#REF!</definedName>
    <definedName name="G_ME" localSheetId="4">#REF!</definedName>
    <definedName name="G_ME" localSheetId="3">#REF!</definedName>
    <definedName name="G_ME" localSheetId="6">#REF!</definedName>
    <definedName name="G_ME" localSheetId="0">#REF!</definedName>
    <definedName name="G_ME" localSheetId="1">#REF!</definedName>
    <definedName name="G_ME">#REF!</definedName>
    <definedName name="g40g40" localSheetId="2">#REF!</definedName>
    <definedName name="g40g40" localSheetId="5">#REF!</definedName>
    <definedName name="g40g40" localSheetId="4">#REF!</definedName>
    <definedName name="g40g40" localSheetId="3">#REF!</definedName>
    <definedName name="g40g40" localSheetId="6">#REF!</definedName>
    <definedName name="g40g40" localSheetId="0">#REF!</definedName>
    <definedName name="g40g40" localSheetId="1">#REF!</definedName>
    <definedName name="g40g40">#REF!</definedName>
    <definedName name="Ga">#REF!</definedName>
    <definedName name="gach" localSheetId="2">#REF!</definedName>
    <definedName name="gach" localSheetId="5">#REF!</definedName>
    <definedName name="gach" localSheetId="4">#REF!</definedName>
    <definedName name="gach" localSheetId="3">#REF!</definedName>
    <definedName name="gach" localSheetId="6">#REF!</definedName>
    <definedName name="gach" localSheetId="0">#REF!</definedName>
    <definedName name="gach" localSheetId="1">#REF!</definedName>
    <definedName name="gach">#REF!</definedName>
    <definedName name="gachblock">#REF!</definedName>
    <definedName name="gachllatnen30x30" localSheetId="0">#REF!</definedName>
    <definedName name="gachllatnen30x30" localSheetId="1">#REF!</definedName>
    <definedName name="gachllatnen30x30">#REF!</definedName>
    <definedName name="gachllatnen40x40" localSheetId="0">#REF!</definedName>
    <definedName name="gachllatnen40x40" localSheetId="1">#REF!</definedName>
    <definedName name="gachllatnen40x40">#REF!</definedName>
    <definedName name="gachllatnen50x50" localSheetId="0">#REF!</definedName>
    <definedName name="gachllatnen50x50" localSheetId="1">#REF!</definedName>
    <definedName name="gachllatnen50x50">#REF!</definedName>
    <definedName name="gachvo">#REF!</definedName>
    <definedName name="Gald">#REF!</definedName>
    <definedName name="Gamadam">#REF!</definedName>
    <definedName name="gas">#REF!</definedName>
    <definedName name="GBT">#REF!</definedName>
    <definedName name="gc">#REF!</definedName>
    <definedName name="GC_CT">#REF!</definedName>
    <definedName name="GC_CT1">#REF!</definedName>
    <definedName name="gce">#REF!</definedName>
    <definedName name="gchi">#REF!</definedName>
    <definedName name="gcHT">#REF!</definedName>
    <definedName name="GCP" localSheetId="0">#REF!</definedName>
    <definedName name="GCP" localSheetId="1">#REF!</definedName>
    <definedName name="GCP">#REF!</definedName>
    <definedName name="Gcpk">#REF!</definedName>
    <definedName name="gcs">#REF!</definedName>
    <definedName name="gcscl" localSheetId="0">#REF!</definedName>
    <definedName name="gcscl" localSheetId="1">#REF!</definedName>
    <definedName name="gcscl">#REF!</definedName>
    <definedName name="gd">#REF!</definedName>
    <definedName name="GDDCLTDZ22">#REF!</definedName>
    <definedName name="gdgd">#REF!</definedName>
    <definedName name="gdhfjjf" hidden="1">{"'Sheet1'!$L$16"}</definedName>
    <definedName name="GDL">#REF!</definedName>
    <definedName name="gDst">#REF!</definedName>
    <definedName name="geff">#REF!</definedName>
    <definedName name="Gem_Ctiet">#REF!</definedName>
    <definedName name="Gem_Thop">#REF!</definedName>
    <definedName name="Gem_VC">#REF!</definedName>
    <definedName name="geo" localSheetId="2">#REF!</definedName>
    <definedName name="geo" localSheetId="5">#REF!</definedName>
    <definedName name="geo" localSheetId="4">#REF!</definedName>
    <definedName name="geo" localSheetId="3">#REF!</definedName>
    <definedName name="geo" localSheetId="6">#REF!</definedName>
    <definedName name="geo" localSheetId="0">#REF!</definedName>
    <definedName name="geo" localSheetId="1">#REF!</definedName>
    <definedName name="geo">#REF!</definedName>
    <definedName name="Gerät">#REF!</definedName>
    <definedName name="gfdgdfgd">#REF!</definedName>
    <definedName name="gg" localSheetId="0">#REF!</definedName>
    <definedName name="gg" localSheetId="1">#REF!</definedName>
    <definedName name="gg">#REF!</definedName>
    <definedName name="ggdgd">#REF!</definedName>
    <definedName name="ggsdg">#REF!</definedName>
    <definedName name="ggsf">#REF!</definedName>
    <definedName name="ghcgcfdhfg">#REF!</definedName>
    <definedName name="ghichu">#REF!</definedName>
    <definedName name="ghip" localSheetId="0">#REF!</definedName>
    <definedName name="ghip" localSheetId="1">#REF!</definedName>
    <definedName name="ghip">#REF!</definedName>
    <definedName name="Gi">#REF!</definedName>
    <definedName name="gia">#REF!</definedName>
    <definedName name="Gia_CT">#REF!</definedName>
    <definedName name="GIA_CU_LY_VAN_CHUYEN">#REF!</definedName>
    <definedName name="gia_den_bu">#REF!</definedName>
    <definedName name="Gia_thanh_1_m3_be_tong_chÌn">#REF!</definedName>
    <definedName name="Gia_thanh_vËn_chuyÓn_néi_bé">#REF!</definedName>
    <definedName name="gia_tien">#REF!</definedName>
    <definedName name="gia_tien_1">#REF!</definedName>
    <definedName name="gia_tien_2">#REF!</definedName>
    <definedName name="gia_tien_3">#REF!</definedName>
    <definedName name="gia_tien_BTN">#REF!</definedName>
    <definedName name="gia_tri_1BTN">#REF!</definedName>
    <definedName name="gia_tri_2BTN">#REF!</definedName>
    <definedName name="gia_tri_3BTN">#REF!</definedName>
    <definedName name="Gia_vËt_liÖu_dÕn_hiÖn_truêng">#REF!</definedName>
    <definedName name="Gia_VT">#REF!</definedName>
    <definedName name="giaca">#REF!</definedName>
    <definedName name="giacong" localSheetId="0">#REF!</definedName>
    <definedName name="giacong" localSheetId="1">#REF!</definedName>
    <definedName name="giacong">#REF!</definedName>
    <definedName name="GIADNEO">#REF!</definedName>
    <definedName name="giam">#REF!</definedName>
    <definedName name="giatien">#REF!</definedName>
    <definedName name="GIAVL_TRALY">#REF!</definedName>
    <definedName name="GIAVLIEUTN" localSheetId="2">#REF!</definedName>
    <definedName name="GIAVLIEUTN" localSheetId="5">#REF!</definedName>
    <definedName name="GIAVLIEUTN" localSheetId="4">#REF!</definedName>
    <definedName name="GIAVLIEUTN" localSheetId="3">#REF!</definedName>
    <definedName name="GIAVLIEUTN" localSheetId="6">#REF!</definedName>
    <definedName name="GIAVLIEUTN" localSheetId="0">#REF!</definedName>
    <definedName name="GIAVLIEUTN" localSheetId="1">#REF!</definedName>
    <definedName name="GIAVLIEUTN">#REF!</definedName>
    <definedName name="GiaVtu">#REF!</definedName>
    <definedName name="gielau">#REF!</definedName>
    <definedName name="Giocong" localSheetId="2">#REF!</definedName>
    <definedName name="Giocong" localSheetId="5">#REF!</definedName>
    <definedName name="Giocong" localSheetId="4">#REF!</definedName>
    <definedName name="Giocong" localSheetId="3">#REF!</definedName>
    <definedName name="Giocong" localSheetId="6">#REF!</definedName>
    <definedName name="Giocong" localSheetId="0">#REF!</definedName>
    <definedName name="Giocong" localSheetId="1">#REF!</definedName>
    <definedName name="Giocong">#REF!</definedName>
    <definedName name="gipa5" localSheetId="2">#REF!</definedName>
    <definedName name="gipa5" localSheetId="5">#REF!</definedName>
    <definedName name="gipa5" localSheetId="4">#REF!</definedName>
    <definedName name="gipa5" localSheetId="3">#REF!</definedName>
    <definedName name="gipa5" localSheetId="6">#REF!</definedName>
    <definedName name="gipa5" localSheetId="0">#REF!</definedName>
    <definedName name="gipa5" localSheetId="1">#REF!</definedName>
    <definedName name="gipa5">#REF!</definedName>
    <definedName name="gis">#REF!</definedName>
    <definedName name="gis150room">#REF!</definedName>
    <definedName name="gjh">#REF!</definedName>
    <definedName name="gkghk">#REF!</definedName>
    <definedName name="gkGTGT">#REF!</definedName>
    <definedName name="gl" localSheetId="0">#REF!</definedName>
    <definedName name="gl" localSheetId="1">#REF!</definedName>
    <definedName name="gl">#REF!</definedName>
    <definedName name="gl3p" localSheetId="0">#REF!</definedName>
    <definedName name="gl3p" localSheetId="1">#REF!</definedName>
    <definedName name="gl3p">#REF!</definedName>
    <definedName name="Glazing" localSheetId="0">#REF!</definedName>
    <definedName name="Glazing" localSheetId="1">#REF!</definedName>
    <definedName name="Glazing">#REF!</definedName>
    <definedName name="gld">#REF!</definedName>
    <definedName name="GLL">#REF!</definedName>
    <definedName name="gLst">#REF!</definedName>
    <definedName name="GMs">#REF!</definedName>
    <definedName name="GMSTC">#REF!</definedName>
    <definedName name="GNmd">#REF!</definedName>
    <definedName name="gntc">#REF!</definedName>
    <definedName name="Go" localSheetId="0">#REF!</definedName>
    <definedName name="Go" localSheetId="1">#REF!</definedName>
    <definedName name="Go">#REF!</definedName>
    <definedName name="GoBack" localSheetId="2">#REF!</definedName>
    <definedName name="GoBack" localSheetId="5">#REF!</definedName>
    <definedName name="GoBack" localSheetId="4">#REF!</definedName>
    <definedName name="GoBack" localSheetId="3">#REF!</definedName>
    <definedName name="GoBack" localSheetId="6">#REF!</definedName>
    <definedName name="GoBack" localSheetId="1">#REF!</definedName>
    <definedName name="GoBack">#REF!</definedName>
    <definedName name="goc" localSheetId="0">#REF!</definedName>
    <definedName name="goc" localSheetId="1">#REF!</definedName>
    <definedName name="goc">#REF!</definedName>
    <definedName name="Goc32x3" localSheetId="2">#REF!</definedName>
    <definedName name="Goc32x3" localSheetId="5">#REF!</definedName>
    <definedName name="Goc32x3" localSheetId="4">#REF!</definedName>
    <definedName name="Goc32x3" localSheetId="3">#REF!</definedName>
    <definedName name="Goc32x3" localSheetId="6">#REF!</definedName>
    <definedName name="Goc32x3" localSheetId="0">#REF!</definedName>
    <definedName name="Goc32x3" localSheetId="1">#REF!</definedName>
    <definedName name="Goc32x3">#REF!</definedName>
    <definedName name="Goc35x3" localSheetId="0">#REF!</definedName>
    <definedName name="Goc35x3" localSheetId="1">#REF!</definedName>
    <definedName name="Goc35x3">#REF!</definedName>
    <definedName name="Goc40x4" localSheetId="0">#REF!</definedName>
    <definedName name="Goc40x4" localSheetId="1">#REF!</definedName>
    <definedName name="Goc40x4">#REF!</definedName>
    <definedName name="Goc45x4">#REF!</definedName>
    <definedName name="Goc50x5">#REF!</definedName>
    <definedName name="Goc63x6">#REF!</definedName>
    <definedName name="Goc75x6">#REF!</definedName>
    <definedName name="gochongda">#REF!</definedName>
    <definedName name="gonhom4">#REF!</definedName>
    <definedName name="govankhuon">#REF!</definedName>
    <definedName name="gps">#REF!</definedName>
    <definedName name="GPT_GROUNDING_PT" localSheetId="0">#REF!</definedName>
    <definedName name="GPT_GROUNDING_PT" localSheetId="1">#REF!</definedName>
    <definedName name="GPT_GROUNDING_PT">#REF!</definedName>
    <definedName name="Gqlda">#REF!</definedName>
    <definedName name="gr" localSheetId="0">#REF!</definedName>
    <definedName name="gr" localSheetId="1">#REF!</definedName>
    <definedName name="gr">#REF!</definedName>
    <definedName name="grB">#REF!</definedName>
    <definedName name="gse">#REF!</definedName>
    <definedName name="gsgsg">#REF!</definedName>
    <definedName name="gsgsgs">#REF!</definedName>
    <definedName name="Gtb" localSheetId="0">#REF!</definedName>
    <definedName name="Gtb" localSheetId="1">#REF!</definedName>
    <definedName name="Gtb">#REF!</definedName>
    <definedName name="gtbtt" localSheetId="0">#REF!</definedName>
    <definedName name="gtbtt" localSheetId="1">#REF!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DTXL">#REF!</definedName>
    <definedName name="GTRI">#REF!</definedName>
    <definedName name="gtst" localSheetId="0">#REF!</definedName>
    <definedName name="gtst" localSheetId="1">#REF!</definedName>
    <definedName name="gtst">#REF!</definedName>
    <definedName name="GTTB">#REF!</definedName>
    <definedName name="GTXL">#REF!</definedName>
    <definedName name="GTXL_1">#REF!</definedName>
    <definedName name="GTXL3">#REF!</definedName>
    <definedName name="gv">#REF!</definedName>
    <definedName name="gvl">#REF!</definedName>
    <definedName name="GVL_LDT">#REF!</definedName>
    <definedName name="gWst">#REF!</definedName>
    <definedName name="gx">#REF!</definedName>
    <definedName name="Gxd">#REF!</definedName>
    <definedName name="Gxl" localSheetId="2">#REF!</definedName>
    <definedName name="Gxl" localSheetId="5">#REF!</definedName>
    <definedName name="Gxl" localSheetId="4">#REF!</definedName>
    <definedName name="Gxl" localSheetId="3">#REF!</definedName>
    <definedName name="Gxl" localSheetId="6">#REF!</definedName>
    <definedName name="Gxl" localSheetId="0">#REF!</definedName>
    <definedName name="Gxl" localSheetId="1">#REF!</definedName>
    <definedName name="Gxl">#REF!</definedName>
    <definedName name="gxltt" localSheetId="0">#REF!</definedName>
    <definedName name="gxltt" localSheetId="1">#REF!</definedName>
    <definedName name="gxltt">#REF!</definedName>
    <definedName name="gxm">#REF!</definedName>
    <definedName name="GXMAX">#REF!</definedName>
    <definedName name="GXMIN">#REF!</definedName>
    <definedName name="GYMAX">#REF!</definedName>
    <definedName name="GYMIN">#REF!</definedName>
    <definedName name="h" localSheetId="0">#REF!</definedName>
    <definedName name="h" localSheetId="1">#REF!</definedName>
    <definedName name="h">#REF!</definedName>
    <definedName name="H.4">#REF!</definedName>
    <definedName name="H.5">#REF!</definedName>
    <definedName name="H.6">#REF!</definedName>
    <definedName name="H.7">#REF!</definedName>
    <definedName name="h.8">#REF!</definedName>
    <definedName name="h.9">#REF!</definedName>
    <definedName name="h_">#REF!</definedName>
    <definedName name="h__">#REF!</definedName>
    <definedName name="h_0">#REF!</definedName>
    <definedName name="H_1">#REF!</definedName>
    <definedName name="H_2">#REF!</definedName>
    <definedName name="H_3">#REF!</definedName>
    <definedName name="H_30">#REF!</definedName>
    <definedName name="h_d">#REF!</definedName>
    <definedName name="H_THUCHTHH">#REF!</definedName>
    <definedName name="H_THUCTT">#REF!</definedName>
    <definedName name="h1t">#REF!</definedName>
    <definedName name="H21dai75">#REF!</definedName>
    <definedName name="H21dai9">#REF!</definedName>
    <definedName name="H22dai6">#REF!</definedName>
    <definedName name="H22dai75">#REF!</definedName>
    <definedName name="h2t">#REF!</definedName>
    <definedName name="h3t">#REF!</definedName>
    <definedName name="H43dai6">#REF!</definedName>
    <definedName name="H43dai75">#REF!</definedName>
    <definedName name="H43dai9">#REF!</definedName>
    <definedName name="H44dai6">#REF!</definedName>
    <definedName name="H44dai75">#REF!</definedName>
    <definedName name="H44dai9">#REF!</definedName>
    <definedName name="h7.5" localSheetId="0">#REF!</definedName>
    <definedName name="h7.5" localSheetId="1">#REF!</definedName>
    <definedName name="h7.5">#REF!</definedName>
    <definedName name="h8.5" localSheetId="0">#REF!</definedName>
    <definedName name="h8.5" localSheetId="1">#REF!</definedName>
    <definedName name="h8.5">#REF!</definedName>
    <definedName name="ha">#REF!</definedName>
    <definedName name="Hà_Tĩnh">#REF!</definedName>
    <definedName name="hai">#REF!</definedName>
    <definedName name="Hải_Phòng">#REF!</definedName>
    <definedName name="hall1">#REF!</definedName>
    <definedName name="hall2">#REF!</definedName>
    <definedName name="Hamyen" localSheetId="0">#REF!</definedName>
    <definedName name="Hamyen" localSheetId="1">#REF!</definedName>
    <definedName name="Hamyen">#REF!</definedName>
    <definedName name="han">#REF!</definedName>
    <definedName name="handau10.2">#REF!</definedName>
    <definedName name="handau27.5">#REF!</definedName>
    <definedName name="handau4">#REF!</definedName>
    <definedName name="HANG" hidden="1">{#N/A,#N/A,FALSE,"Chi tiÆt"}</definedName>
    <definedName name="Hang_muc_khac">#REF!</definedName>
    <definedName name="hanmotchieu40">#REF!</definedName>
    <definedName name="hanmotchieu50">#REF!</definedName>
    <definedName name="hanxang20">#REF!</definedName>
    <definedName name="hanxang9">#REF!</definedName>
    <definedName name="hanxoaychieu23">#REF!</definedName>
    <definedName name="hanxoaychieu29.2">#REF!</definedName>
    <definedName name="hanxoaychieu33.5">#REF!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an">#REF!</definedName>
    <definedName name="HbHcOnOff">#REF!</definedName>
    <definedName name="HBTFF">#REF!</definedName>
    <definedName name="hcd">#REF!</definedName>
    <definedName name="HCM" localSheetId="2">#REF!</definedName>
    <definedName name="HCM" localSheetId="5">#REF!</definedName>
    <definedName name="HCM" localSheetId="4">#REF!</definedName>
    <definedName name="HCM" localSheetId="3">#REF!</definedName>
    <definedName name="HCM" localSheetId="6">#REF!</definedName>
    <definedName name="HCM" localSheetId="0">#REF!</definedName>
    <definedName name="HCM" localSheetId="1">#REF!</definedName>
    <definedName name="HCM">#REF!</definedName>
    <definedName name="hct">#REF!</definedName>
    <definedName name="hd" localSheetId="2">#REF!</definedName>
    <definedName name="hd" localSheetId="5">#REF!</definedName>
    <definedName name="hd" localSheetId="4">#REF!</definedName>
    <definedName name="hd" localSheetId="3">#REF!</definedName>
    <definedName name="hd" localSheetId="6">#REF!</definedName>
    <definedName name="hd" localSheetId="0">#REF!</definedName>
    <definedName name="hd" localSheetId="1">#REF!</definedName>
    <definedName name="hd">#REF!</definedName>
    <definedName name="HDCCT" localSheetId="0">#REF!</definedName>
    <definedName name="HDCCT" localSheetId="1">#REF!</definedName>
    <definedName name="HDCCT">#REF!</definedName>
    <definedName name="HDCD" localSheetId="0">#REF!</definedName>
    <definedName name="HDCD" localSheetId="1">#REF!</definedName>
    <definedName name="HDCD">#REF!</definedName>
    <definedName name="HDGT">#REF!</definedName>
    <definedName name="HDGTN">#REF!</definedName>
    <definedName name="hdi">#REF!</definedName>
    <definedName name="HDVDT">#REF!</definedName>
    <definedName name="he">#REF!</definedName>
    <definedName name="HE_SO_KHO_KHAN_CANG_DAY" localSheetId="2">#REF!</definedName>
    <definedName name="HE_SO_KHO_KHAN_CANG_DAY" localSheetId="5">#REF!</definedName>
    <definedName name="HE_SO_KHO_KHAN_CANG_DAY" localSheetId="4">#REF!</definedName>
    <definedName name="HE_SO_KHO_KHAN_CANG_DAY" localSheetId="3">#REF!</definedName>
    <definedName name="HE_SO_KHO_KHAN_CANG_DAY" localSheetId="6">#REF!</definedName>
    <definedName name="HE_SO_KHO_KHAN_CANG_DAY" localSheetId="0">#REF!</definedName>
    <definedName name="HE_SO_KHO_KHAN_CANG_DAY" localSheetId="1">#REF!</definedName>
    <definedName name="HE_SO_KHO_KHAN_CANG_DAY">#REF!</definedName>
    <definedName name="Heä_soá_laép_xaø_H">1.7</definedName>
    <definedName name="heä_soá_sình_laày" localSheetId="0">#REF!</definedName>
    <definedName name="heä_soá_sình_laày" localSheetId="1">#REF!</definedName>
    <definedName name="heä_soá_sình_laày">#REF!</definedName>
    <definedName name="height">#REF!</definedName>
    <definedName name="Hello">#REF!</definedName>
    <definedName name="hesoC">#REF!</definedName>
    <definedName name="HeSoPhuPhi">#REF!</definedName>
    <definedName name="hfdsh">#REF!</definedName>
    <definedName name="HFFTRB">#REF!</definedName>
    <definedName name="HFFTSF">#REF!</definedName>
    <definedName name="HGLTB">#REF!</definedName>
    <definedName name="hh" localSheetId="0">#REF!</definedName>
    <definedName name="hh" localSheetId="1">#REF!</definedName>
    <definedName name="hh">#REF!</definedName>
    <definedName name="HH10HT">#REF!</definedName>
    <definedName name="HH11HT">#REF!</definedName>
    <definedName name="HH12HT">#REF!</definedName>
    <definedName name="HH13HT">#REF!</definedName>
    <definedName name="HH14HT">#REF!</definedName>
    <definedName name="HH15HT" localSheetId="0">#REF!</definedName>
    <definedName name="HH15HT" localSheetId="1">#REF!</definedName>
    <definedName name="HH15HT">#REF!</definedName>
    <definedName name="HH16HT" localSheetId="0">#REF!</definedName>
    <definedName name="HH16HT" localSheetId="1">#REF!</definedName>
    <definedName name="HH16HT">#REF!</definedName>
    <definedName name="HH17HT">#REF!</definedName>
    <definedName name="HH18HT">#REF!</definedName>
    <definedName name="HH19HT" localSheetId="0">#REF!</definedName>
    <definedName name="HH19HT" localSheetId="1">#REF!</definedName>
    <definedName name="HH19HT">#REF!</definedName>
    <definedName name="HH1HT">#REF!</definedName>
    <definedName name="HH20HT" localSheetId="0">#REF!</definedName>
    <definedName name="HH20HT" localSheetId="1">#REF!</definedName>
    <definedName name="HH20HT">#REF!</definedName>
    <definedName name="HH21HT">#REF!</definedName>
    <definedName name="HH22HT">#REF!</definedName>
    <definedName name="HH23HT">#REF!</definedName>
    <definedName name="HH24HT">#REF!</definedName>
    <definedName name="HH25HT">#REF!</definedName>
    <definedName name="HH26HT">#REF!</definedName>
    <definedName name="HH2HT">#REF!</definedName>
    <definedName name="HH3HT">#REF!</definedName>
    <definedName name="HH4HT">#REF!</definedName>
    <definedName name="HH5HT">#REF!</definedName>
    <definedName name="HH6HT">#REF!</definedName>
    <definedName name="HH7HT">#REF!</definedName>
    <definedName name="HH8HT">#REF!</definedName>
    <definedName name="HH9HT">#REF!</definedName>
    <definedName name="HHcat" localSheetId="2">#REF!</definedName>
    <definedName name="HHcat" localSheetId="5">#REF!</definedName>
    <definedName name="HHcat" localSheetId="4">#REF!</definedName>
    <definedName name="HHcat" localSheetId="3">#REF!</definedName>
    <definedName name="HHcat" localSheetId="6">#REF!</definedName>
    <definedName name="HHcat" localSheetId="0">#REF!</definedName>
    <definedName name="HHcat" localSheetId="1">#REF!</definedName>
    <definedName name="HHcat">#REF!</definedName>
    <definedName name="hhcv" localSheetId="2">#REF!</definedName>
    <definedName name="hhcv" localSheetId="5">#REF!</definedName>
    <definedName name="hhcv" localSheetId="4">#REF!</definedName>
    <definedName name="hhcv" localSheetId="3">#REF!</definedName>
    <definedName name="hhcv" localSheetId="6">#REF!</definedName>
    <definedName name="hhcv" localSheetId="0">#REF!</definedName>
    <definedName name="hhcv" localSheetId="1">#REF!</definedName>
    <definedName name="hhcv">#REF!</definedName>
    <definedName name="HHda" localSheetId="2">#REF!</definedName>
    <definedName name="HHda" localSheetId="5">#REF!</definedName>
    <definedName name="HHda" localSheetId="4">#REF!</definedName>
    <definedName name="HHda" localSheetId="3">#REF!</definedName>
    <definedName name="HHda" localSheetId="6">#REF!</definedName>
    <definedName name="HHda" localSheetId="0">#REF!</definedName>
    <definedName name="HHda" localSheetId="1">#REF!</definedName>
    <definedName name="HHda">#REF!</definedName>
    <definedName name="hhda4x6" localSheetId="2">#REF!</definedName>
    <definedName name="hhda4x6" localSheetId="5">#REF!</definedName>
    <definedName name="hhda4x6" localSheetId="4">#REF!</definedName>
    <definedName name="hhda4x6" localSheetId="3">#REF!</definedName>
    <definedName name="hhda4x6" localSheetId="6">#REF!</definedName>
    <definedName name="hhda4x6" localSheetId="0">#REF!</definedName>
    <definedName name="hhda4x6" localSheetId="1">#REF!</definedName>
    <definedName name="hhda4x6">#REF!</definedName>
    <definedName name="hhh" hidden="1">{"'Sheet1'!$L$16"}</definedName>
    <definedName name="hhhh">#REF!</definedName>
    <definedName name="HHHT">#REF!</definedName>
    <definedName name="hhsc" localSheetId="2">#REF!</definedName>
    <definedName name="hhsc" localSheetId="5">#REF!</definedName>
    <definedName name="hhsc" localSheetId="4">#REF!</definedName>
    <definedName name="hhsc" localSheetId="3">#REF!</definedName>
    <definedName name="hhsc" localSheetId="6">#REF!</definedName>
    <definedName name="hhsc" localSheetId="0">#REF!</definedName>
    <definedName name="hhsc" localSheetId="1">#REF!</definedName>
    <definedName name="hhsc">#REF!</definedName>
    <definedName name="hhtd" localSheetId="0">#REF!</definedName>
    <definedName name="hhtd" localSheetId="1">#REF!</definedName>
    <definedName name="hhtd">#REF!</definedName>
    <definedName name="HHTT" localSheetId="2">#REF!</definedName>
    <definedName name="HHTT" localSheetId="5">#REF!</definedName>
    <definedName name="HHTT" localSheetId="4">#REF!</definedName>
    <definedName name="HHTT" localSheetId="3">#REF!</definedName>
    <definedName name="HHTT" localSheetId="6">#REF!</definedName>
    <definedName name="HHTT" localSheetId="0">#REF!</definedName>
    <definedName name="HHTT" localSheetId="1">#REF!</definedName>
    <definedName name="HHTT">#REF!</definedName>
    <definedName name="hhxm" localSheetId="2">#REF!</definedName>
    <definedName name="hhxm" localSheetId="5">#REF!</definedName>
    <definedName name="hhxm" localSheetId="4">#REF!</definedName>
    <definedName name="hhxm" localSheetId="3">#REF!</definedName>
    <definedName name="hhxm" localSheetId="6">#REF!</definedName>
    <definedName name="hhxm" localSheetId="0">#REF!</definedName>
    <definedName name="hhxm" localSheetId="1">#REF!</definedName>
    <definedName name="hhxm">#REF!</definedName>
    <definedName name="HiddenRows" hidden="1">#REF!</definedName>
    <definedName name="hien" localSheetId="2">#REF!</definedName>
    <definedName name="hien" localSheetId="5">#REF!</definedName>
    <definedName name="hien" localSheetId="4">#REF!</definedName>
    <definedName name="hien" localSheetId="3">#REF!</definedName>
    <definedName name="hien" localSheetId="6">#REF!</definedName>
    <definedName name="hien" localSheetId="0">#REF!</definedName>
    <definedName name="hien" localSheetId="1">#REF!</definedName>
    <definedName name="hien">#REF!</definedName>
    <definedName name="HIHIHIHOI" hidden="1">{"'Sheet1'!$L$16"}</definedName>
    <definedName name="Hinh_thuc" localSheetId="0">#REF!</definedName>
    <definedName name="Hinh_thuc" localSheetId="1">#REF!</definedName>
    <definedName name="Hinh_thuc">#REF!</definedName>
    <definedName name="HiÕu" localSheetId="0">#REF!</definedName>
    <definedName name="HiÕu" localSheetId="1">#REF!</definedName>
    <definedName name="HiÕu">#REF!</definedName>
    <definedName name="hj" hidden="1">{"'Sheet1'!$L$16"}</definedName>
    <definedName name="HJKL" hidden="1">{"'Sheet1'!$L$16"}</definedName>
    <definedName name="HM">#REF!</definedName>
    <definedName name="HMLK">#REF!</definedName>
    <definedName name="HMNAM">#REF!</definedName>
    <definedName name="HMÑK">#REF!</definedName>
    <definedName name="HMPS">#REF!</definedName>
    <definedName name="ho">#REF!</definedName>
    <definedName name="HoI">#REF!</definedName>
    <definedName name="HoII">#REF!</definedName>
    <definedName name="HoIII">#REF!</definedName>
    <definedName name="holan">#REF!</definedName>
    <definedName name="HOME_MANP">#REF!</definedName>
    <definedName name="HOMEOFFICE_COST">#REF!</definedName>
    <definedName name="hoten">#REF!</definedName>
    <definedName name="hotrongcay">#REF!</definedName>
    <definedName name="Hoü_vaì_tãn">#REF!</definedName>
    <definedName name="hrfhfrh">#REF!</definedName>
    <definedName name="hs">#REF!</definedName>
    <definedName name="hs_">#REF!</definedName>
    <definedName name="HS_may">#REF!</definedName>
    <definedName name="Hs_mtc">#REF!</definedName>
    <definedName name="Hs_NC">#REF!</definedName>
    <definedName name="HSBDVC">#REF!</definedName>
    <definedName name="Hsc">#REF!</definedName>
    <definedName name="HSCG">#REF!</definedName>
    <definedName name="HSCT3">0.1</definedName>
    <definedName name="hsd" localSheetId="0">#REF!</definedName>
    <definedName name="hsd" localSheetId="1">#REF!</definedName>
    <definedName name="hsd">#REF!</definedName>
    <definedName name="hsdc" localSheetId="0">#REF!</definedName>
    <definedName name="hsdc" localSheetId="1">#REF!</definedName>
    <definedName name="hsdc">#REF!</definedName>
    <definedName name="hsdc1" localSheetId="0">#REF!</definedName>
    <definedName name="hsdc1" localSheetId="1">#REF!</definedName>
    <definedName name="hsdc1">#REF!</definedName>
    <definedName name="HSDD" localSheetId="0">#REF!</definedName>
    <definedName name="HSDD" localSheetId="1">#REF!</definedName>
    <definedName name="HSDD">#REF!</definedName>
    <definedName name="HSDN">2.5</definedName>
    <definedName name="hsdt" localSheetId="0">#REF!</definedName>
    <definedName name="hsdt" localSheetId="1">#REF!</definedName>
    <definedName name="hsdt">#REF!</definedName>
    <definedName name="HSFTRB">#REF!</definedName>
    <definedName name="HSGG">#REF!</definedName>
    <definedName name="HSHH" localSheetId="2">#REF!</definedName>
    <definedName name="HSHH" localSheetId="5">#REF!</definedName>
    <definedName name="HSHH" localSheetId="4">#REF!</definedName>
    <definedName name="HSHH" localSheetId="3">#REF!</definedName>
    <definedName name="HSHH" localSheetId="6">#REF!</definedName>
    <definedName name="HSHH" localSheetId="0">#REF!</definedName>
    <definedName name="HSHH" localSheetId="1">#REF!</definedName>
    <definedName name="HSHH">#REF!</definedName>
    <definedName name="HSHHUT" localSheetId="0">#REF!</definedName>
    <definedName name="HSHHUT" localSheetId="1">#REF!</definedName>
    <definedName name="HSHHUT">#REF!</definedName>
    <definedName name="hsk" localSheetId="0">#REF!</definedName>
    <definedName name="hsk" localSheetId="1">#REF!</definedName>
    <definedName name="hsk">#REF!</definedName>
    <definedName name="HSKD">#REF!</definedName>
    <definedName name="HSKK">#REF!</definedName>
    <definedName name="hskk1">#REF!</definedName>
    <definedName name="HSKK35" localSheetId="2">#REF!</definedName>
    <definedName name="HSKK35" localSheetId="5">#REF!</definedName>
    <definedName name="HSKK35" localSheetId="4">#REF!</definedName>
    <definedName name="HSKK35" localSheetId="3">#REF!</definedName>
    <definedName name="HSKK35" localSheetId="6">#REF!</definedName>
    <definedName name="HSKK35" localSheetId="0">#REF!</definedName>
    <definedName name="HSKK35" localSheetId="1">#REF!</definedName>
    <definedName name="HSKK35">#REF!</definedName>
    <definedName name="HSKVXL_MTC">#REF!</definedName>
    <definedName name="HSKVXL_NC">#REF!</definedName>
    <definedName name="HSLX" localSheetId="2">#REF!</definedName>
    <definedName name="HSLX" localSheetId="5">#REF!</definedName>
    <definedName name="HSLX" localSheetId="4">#REF!</definedName>
    <definedName name="HSLX" localSheetId="3">#REF!</definedName>
    <definedName name="HSLX" localSheetId="6">#REF!</definedName>
    <definedName name="HSLX" localSheetId="0">#REF!</definedName>
    <definedName name="HSLX" localSheetId="1">#REF!</definedName>
    <definedName name="HSLX">#REF!</definedName>
    <definedName name="HSLXH">1.7</definedName>
    <definedName name="HSLXP" localSheetId="0">#REF!</definedName>
    <definedName name="HSLXP" localSheetId="1">#REF!</definedName>
    <definedName name="HSLXP">#REF!</definedName>
    <definedName name="HSMTC">#REF!</definedName>
    <definedName name="HSNC">#REF!</definedName>
    <definedName name="HSSL">#REF!</definedName>
    <definedName name="hßm4" localSheetId="2">#REF!</definedName>
    <definedName name="hßm4" localSheetId="5">#REF!</definedName>
    <definedName name="hßm4" localSheetId="4">#REF!</definedName>
    <definedName name="hßm4" localSheetId="3">#REF!</definedName>
    <definedName name="hßm4" localSheetId="6">#REF!</definedName>
    <definedName name="hßm4" localSheetId="0">#REF!</definedName>
    <definedName name="hßm4" localSheetId="1">#REF!</definedName>
    <definedName name="hßm4">#REF!</definedName>
    <definedName name="hstb" localSheetId="0">#REF!</definedName>
    <definedName name="hstb" localSheetId="1">#REF!</definedName>
    <definedName name="hstb">#REF!</definedName>
    <definedName name="hstdtk" localSheetId="0">#REF!</definedName>
    <definedName name="hstdtk" localSheetId="1">#REF!</definedName>
    <definedName name="hstdtk">#REF!</definedName>
    <definedName name="hsthep">#REF!</definedName>
    <definedName name="hsUd">#REF!</definedName>
    <definedName name="HSVC1">#REF!</definedName>
    <definedName name="HSVC2">#REF!</definedName>
    <definedName name="HSVC3">#REF!</definedName>
    <definedName name="HsVCVLTH" localSheetId="0">#REF!</definedName>
    <definedName name="HsVCVLTH" localSheetId="1">#REF!</definedName>
    <definedName name="HsVCVLTH">#REF!</definedName>
    <definedName name="hsvl" localSheetId="2">#REF!</definedName>
    <definedName name="hsvl" localSheetId="5">#REF!</definedName>
    <definedName name="hsvl" localSheetId="4">#REF!</definedName>
    <definedName name="hsvl" localSheetId="3">#REF!</definedName>
    <definedName name="hsvl" localSheetId="6">#REF!</definedName>
    <definedName name="hsvl" localSheetId="0">#REF!</definedName>
    <definedName name="hsvl" localSheetId="1">#REF!</definedName>
    <definedName name="hsvl">#REF!</definedName>
    <definedName name="HT" localSheetId="0">#REF!</definedName>
    <definedName name="HT" localSheetId="1">#REF!</definedName>
    <definedName name="HT">#REF!</definedName>
    <definedName name="ht25nc" localSheetId="0">#REF!</definedName>
    <definedName name="ht25nc" localSheetId="1">#REF!</definedName>
    <definedName name="ht25nc">#REF!</definedName>
    <definedName name="ht25vl" localSheetId="0">#REF!</definedName>
    <definedName name="ht25vl" localSheetId="1">#REF!</definedName>
    <definedName name="ht25vl">#REF!</definedName>
    <definedName name="ht325nc" localSheetId="0">#REF!</definedName>
    <definedName name="ht325nc" localSheetId="1">#REF!</definedName>
    <definedName name="ht325nc">#REF!</definedName>
    <definedName name="ht325vl" localSheetId="0">#REF!</definedName>
    <definedName name="ht325vl" localSheetId="1">#REF!</definedName>
    <definedName name="ht325vl">#REF!</definedName>
    <definedName name="ht37k" localSheetId="0">#REF!</definedName>
    <definedName name="ht37k" localSheetId="1">#REF!</definedName>
    <definedName name="ht37k">#REF!</definedName>
    <definedName name="ht37nc">#REF!</definedName>
    <definedName name="ht50nc">#REF!</definedName>
    <definedName name="ht50vl">#REF!</definedName>
    <definedName name="HTHH" localSheetId="2">#REF!</definedName>
    <definedName name="HTHH" localSheetId="5">#REF!</definedName>
    <definedName name="HTHH" localSheetId="4">#REF!</definedName>
    <definedName name="HTHH" localSheetId="3">#REF!</definedName>
    <definedName name="HTHH" localSheetId="6">#REF!</definedName>
    <definedName name="HTHH" localSheetId="0">#REF!</definedName>
    <definedName name="HTHH" localSheetId="1">#REF!</definedName>
    <definedName name="HTHH">#REF!</definedName>
    <definedName name="htlm" hidden="1">{"'Sheet1'!$L$16"}</definedName>
    <definedName name="HTML_CodePage" hidden="1">950</definedName>
    <definedName name="HTML_Control" localSheetId="2" hidden="1">{"'Sheet1'!$L$16"}</definedName>
    <definedName name="HTML_Control" localSheetId="5" hidden="1">{"'Sheet1'!$L$16"}</definedName>
    <definedName name="HTML_Control" localSheetId="4" hidden="1">{"'Sheet1'!$L$16"}</definedName>
    <definedName name="HTML_Control" localSheetId="3" hidden="1">{"'Sheet1'!$L$16"}</definedName>
    <definedName name="HTML_Control" localSheetId="6" hidden="1">{"'Sheet1'!$L$16"}</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0">#REF!</definedName>
    <definedName name="HTNC" localSheetId="1">#REF!</definedName>
    <definedName name="HTNC">#REF!</definedName>
    <definedName name="htrhrt" hidden="1">{"'Sheet1'!$L$16"}</definedName>
    <definedName name="HTVC">#REF!</definedName>
    <definedName name="HTVL" localSheetId="0">#REF!</definedName>
    <definedName name="HTVL" localSheetId="1">#REF!</definedName>
    <definedName name="HTVL">#REF!</definedName>
    <definedName name="hu" hidden="1">{"'Sheet1'!$L$16"}</definedName>
    <definedName name="HUB">#REF!</definedName>
    <definedName name="hung">#REF!</definedName>
    <definedName name="huong">#REF!</definedName>
    <definedName name="HUU" hidden="1">{"'Sheet1'!$L$16"}</definedName>
    <definedName name="huy" localSheetId="2" hidden="1">{"'Sheet1'!$L$16"}</definedName>
    <definedName name="huy" localSheetId="5" hidden="1">{"'Sheet1'!$L$16"}</definedName>
    <definedName name="huy" localSheetId="4" hidden="1">{"'Sheet1'!$L$16"}</definedName>
    <definedName name="huy" localSheetId="3" hidden="1">{"'Sheet1'!$L$16"}</definedName>
    <definedName name="huy" localSheetId="6" hidden="1">{"'Sheet1'!$L$16"}</definedName>
    <definedName name="huy" localSheetId="0" hidden="1">{"'Sheet1'!$L$16"}</definedName>
    <definedName name="huy" localSheetId="1" hidden="1">{"'Sheet1'!$L$16"}</definedName>
    <definedName name="huy" hidden="1">{"'Sheet1'!$L$16"}</definedName>
    <definedName name="huynh">#REF!</definedName>
    <definedName name="HV">#REF!</definedName>
    <definedName name="hvac">#REF!</definedName>
    <definedName name="hvacctr">#REF!</definedName>
    <definedName name="hvacgis">#REF!</definedName>
    <definedName name="hvacgis4">#REF!</definedName>
    <definedName name="hvc">#REF!</definedName>
    <definedName name="hx">#REF!</definedName>
    <definedName name="I" localSheetId="0">#REF!</definedName>
    <definedName name="I" localSheetId="1">#REF!</definedName>
    <definedName name="I">#REF!</definedName>
    <definedName name="Ì">#REF!</definedName>
    <definedName name="I_A">#REF!</definedName>
    <definedName name="I_B">#REF!</definedName>
    <definedName name="I_c">#REF!</definedName>
    <definedName name="I_p">#REF!</definedName>
    <definedName name="I2É6">#REF!</definedName>
    <definedName name="Ic">#REF!</definedName>
    <definedName name="Icoc">#REF!</definedName>
    <definedName name="id">#REF!</definedName>
    <definedName name="IDLAB_COST" localSheetId="0">#REF!</definedName>
    <definedName name="IDLAB_COST" localSheetId="1">#REF!</definedName>
    <definedName name="IDLAB_COST">#REF!</definedName>
    <definedName name="Ig">#REF!</definedName>
    <definedName name="ii">#REF!</definedName>
    <definedName name="II_A">#REF!</definedName>
    <definedName name="II_B">#REF!</definedName>
    <definedName name="II_c">#REF!</definedName>
    <definedName name="III_a">#REF!</definedName>
    <definedName name="III_B">#REF!</definedName>
    <definedName name="III_c">#REF!</definedName>
    <definedName name="IMPORT">#REF!</definedName>
    <definedName name="IND_LAB" localSheetId="0">#REF!</definedName>
    <definedName name="IND_LAB" localSheetId="1">#REF!</definedName>
    <definedName name="IND_LAB">#REF!</definedName>
    <definedName name="INDMANP" localSheetId="0">#REF!</definedName>
    <definedName name="INDMANP" localSheetId="1">#REF!</definedName>
    <definedName name="INDMANP">#REF!</definedName>
    <definedName name="INPUT">#REF!</definedName>
    <definedName name="INPUT1">#REF!</definedName>
    <definedName name="InteriorWork" localSheetId="0">#REF!</definedName>
    <definedName name="InteriorWork" localSheetId="1">#REF!</definedName>
    <definedName name="InteriorWork">#REF!</definedName>
    <definedName name="IO" localSheetId="0">#REF!</definedName>
    <definedName name="IO" localSheetId="1">#REF!</definedName>
    <definedName name="IO">#REF!</definedName>
    <definedName name="Ip">#REF!</definedName>
    <definedName name="IST">#REF!</definedName>
    <definedName name="it" localSheetId="0">#REF!</definedName>
    <definedName name="it" localSheetId="1">#REF!</definedName>
    <definedName name="it">#REF!</definedName>
    <definedName name="ITEM">#REF!</definedName>
    <definedName name="Iv">#REF!</definedName>
    <definedName name="ixy">#REF!</definedName>
    <definedName name="j" localSheetId="0">#REF!</definedName>
    <definedName name="j" localSheetId="1">#REF!</definedName>
    <definedName name="j">#REF!</definedName>
    <definedName name="j356C8" localSheetId="0">#REF!</definedName>
    <definedName name="j356C8" localSheetId="1">#REF!</definedName>
    <definedName name="j356C8">#REF!</definedName>
    <definedName name="J81j81">#REF!</definedName>
    <definedName name="jhnjnn">#REF!</definedName>
    <definedName name="jkghj">#REF!</definedName>
    <definedName name="jrjthkghdkg">#REF!</definedName>
    <definedName name="Jxdam">#REF!</definedName>
    <definedName name="Jydam">#REF!</definedName>
    <definedName name="k" localSheetId="0">#REF!</definedName>
    <definedName name="k" localSheetId="1">#REF!</definedName>
    <definedName name="k">#REF!</definedName>
    <definedName name="k_">#REF!</definedName>
    <definedName name="K_1" localSheetId="2">#REF!</definedName>
    <definedName name="K_1" localSheetId="5">#REF!</definedName>
    <definedName name="K_1" localSheetId="4">#REF!</definedName>
    <definedName name="K_1" localSheetId="3">#REF!</definedName>
    <definedName name="K_1" localSheetId="6">#REF!</definedName>
    <definedName name="K_1" localSheetId="1">#REF!</definedName>
    <definedName name="K_1">#REF!</definedName>
    <definedName name="K_2" localSheetId="2">#REF!</definedName>
    <definedName name="K_2" localSheetId="5">#REF!</definedName>
    <definedName name="K_2" localSheetId="4">#REF!</definedName>
    <definedName name="K_2" localSheetId="3">#REF!</definedName>
    <definedName name="K_2" localSheetId="6">#REF!</definedName>
    <definedName name="K_2" localSheetId="1">#REF!</definedName>
    <definedName name="K_2">#REF!</definedName>
    <definedName name="k14s" localSheetId="0">#REF!</definedName>
    <definedName name="k14s" localSheetId="1">#REF!</definedName>
    <definedName name="k14s">#REF!</definedName>
    <definedName name="k2b" localSheetId="0">#REF!</definedName>
    <definedName name="k2b" localSheetId="1">#REF!</definedName>
    <definedName name="k2b">#REF!</definedName>
    <definedName name="KA">#REF!</definedName>
    <definedName name="KAE">#REF!</definedName>
    <definedName name="KAS">#REF!</definedName>
    <definedName name="kc">#REF!</definedName>
    <definedName name="kcg">#REF!</definedName>
    <definedName name="kcong" localSheetId="0">#REF!</definedName>
    <definedName name="kcong" localSheetId="1">#REF!</definedName>
    <definedName name="kcong">#REF!</definedName>
    <definedName name="kdien">#REF!</definedName>
    <definedName name="KE_HOACH_VON_PHU_THU">#REF!</definedName>
    <definedName name="KgBM">#REF!</definedName>
    <definedName name="Kgcot">#REF!</definedName>
    <definedName name="KgCTd4">#REF!</definedName>
    <definedName name="KgCTt4">#REF!</definedName>
    <definedName name="Kgdamd4">#REF!</definedName>
    <definedName name="Kgdamt4">#REF!</definedName>
    <definedName name="kghkgh">#REF!</definedName>
    <definedName name="Kgmong">#REF!</definedName>
    <definedName name="KgNXOLdk">#REF!</definedName>
    <definedName name="Kgsan">#REF!</definedName>
    <definedName name="KH">#REF!</definedName>
    <definedName name="KH.2003">#REF!</definedName>
    <definedName name="KH.6TCN">#REF!</definedName>
    <definedName name="KH.QUY2">#REF!</definedName>
    <definedName name="KH.QUY3">#REF!</definedName>
    <definedName name="KH.T1">#REF!</definedName>
    <definedName name="KH.T2">#REF!</definedName>
    <definedName name="KH.T3">#REF!</definedName>
    <definedName name="KH.T4">#REF!</definedName>
    <definedName name="KH.T5">#REF!</definedName>
    <definedName name="KH.T6">#REF!</definedName>
    <definedName name="KH.T7">#REF!</definedName>
    <definedName name="KH_Chang" localSheetId="0">#REF!</definedName>
    <definedName name="KH_Chang" localSheetId="1">#REF!</definedName>
    <definedName name="KH_Chang">#REF!</definedName>
    <definedName name="khac1">#REF!</definedName>
    <definedName name="khac2">#REF!</definedName>
    <definedName name="Khánh_Hoà">#REF!</definedName>
    <definedName name="KHANHKHUNG" hidden="1">{"'Sheet1'!$L$16"}</definedName>
    <definedName name="Khao_sat__bcnckt__thiÕt_kÕ_phÝ">#REF!</definedName>
    <definedName name="Khèi_luîng_dao_dat">#REF!</definedName>
    <definedName name="khla09" hidden="1">{"'Sheet1'!$L$16"}</definedName>
    <definedName name="KHldatcat">#REF!</definedName>
    <definedName name="khoan">#REF!</definedName>
    <definedName name="khoanda">#REF!</definedName>
    <definedName name="khoannhoi">#REF!</definedName>
    <definedName name="KHOI_LUONG_DAT_DAO_DAP" localSheetId="2">#REF!</definedName>
    <definedName name="KHOI_LUONG_DAT_DAO_DAP" localSheetId="5">#REF!</definedName>
    <definedName name="KHOI_LUONG_DAT_DAO_DAP" localSheetId="4">#REF!</definedName>
    <definedName name="KHOI_LUONG_DAT_DAO_DAP" localSheetId="3">#REF!</definedName>
    <definedName name="KHOI_LUONG_DAT_DAO_DAP" localSheetId="6">#REF!</definedName>
    <definedName name="KHOI_LUONG_DAT_DAO_DAP" localSheetId="0">#REF!</definedName>
    <definedName name="KHOI_LUONG_DAT_DAO_DAP" localSheetId="1">#REF!</definedName>
    <definedName name="KHOI_LUONG_DAT_DAO_DAP">#REF!</definedName>
    <definedName name="KHOILUONGTL">#REF!</definedName>
    <definedName name="Khong_can_doi">#REF!</definedName>
    <definedName name="khongtruotgia" hidden="1">{"'Sheet1'!$L$16"}</definedName>
    <definedName name="KHTV.T3">#REF!</definedName>
    <definedName name="KHTV.T7">#REF!</definedName>
    <definedName name="Khung">#REF!</definedName>
    <definedName name="khvh09" hidden="1">{"'Sheet1'!$L$16"}</definedName>
    <definedName name="KHYt09" hidden="1">{"'Sheet1'!$L$16"}</definedName>
    <definedName name="kich250">#REF!</definedName>
    <definedName name="kich500">#REF!</definedName>
    <definedName name="kiem">#REF!</definedName>
    <definedName name="Kiem_tra_trung_ten">#REF!</definedName>
    <definedName name="Kiên_Giang">#REF!</definedName>
    <definedName name="KINH_PHI_DEN_BU" localSheetId="2">#REF!</definedName>
    <definedName name="KINH_PHI_DEN_BU" localSheetId="5">#REF!</definedName>
    <definedName name="KINH_PHI_DEN_BU" localSheetId="4">#REF!</definedName>
    <definedName name="KINH_PHI_DEN_BU" localSheetId="3">#REF!</definedName>
    <definedName name="KINH_PHI_DEN_BU" localSheetId="6">#REF!</definedName>
    <definedName name="KINH_PHI_DEN_BU" localSheetId="0">#REF!</definedName>
    <definedName name="KINH_PHI_DEN_BU" localSheetId="1">#REF!</definedName>
    <definedName name="KINH_PHI_DEN_BU">#REF!</definedName>
    <definedName name="KINH_PHI_DZ0.4KV" localSheetId="0">#REF!</definedName>
    <definedName name="KINH_PHI_DZ0.4KV" localSheetId="1">#REF!</definedName>
    <definedName name="KINH_PHI_DZ0.4KV">#REF!</definedName>
    <definedName name="KINH_PHI_KHAO_SAT__LAP_BCNCKT__TKKTTC" localSheetId="0">#REF!</definedName>
    <definedName name="KINH_PHI_KHAO_SAT__LAP_BCNCKT__TKKTTC" localSheetId="1">#REF!</definedName>
    <definedName name="KINH_PHI_KHAO_SAT__LAP_BCNCKT__TKKTTC">#REF!</definedName>
    <definedName name="KINH_PHI_KHO_BAI">#REF!</definedName>
    <definedName name="KINH_PHI_TBA">#REF!</definedName>
    <definedName name="Kinh_phÝ_thùc_hiÖn_dÒn_bï">#REF!</definedName>
    <definedName name="kipdien">#REF!</definedName>
    <definedName name="kj">#REF!</definedName>
    <definedName name="KKE_Sheet10_List">#REF!</definedName>
    <definedName name="KL.Thietke">#REF!</definedName>
    <definedName name="KL_C">#REF!</definedName>
    <definedName name="kl_ME" localSheetId="2">#REF!</definedName>
    <definedName name="kl_ME" localSheetId="5">#REF!</definedName>
    <definedName name="kl_ME" localSheetId="4">#REF!</definedName>
    <definedName name="kl_ME" localSheetId="3">#REF!</definedName>
    <definedName name="kl_ME" localSheetId="6">#REF!</definedName>
    <definedName name="kl_ME" localSheetId="0">#REF!</definedName>
    <definedName name="kl_ME" localSheetId="1">#REF!</definedName>
    <definedName name="kl_ME">#REF!</definedName>
    <definedName name="KL1P">#REF!</definedName>
    <definedName name="klc">#REF!</definedName>
    <definedName name="klctbb">#REF!</definedName>
    <definedName name="kldd1p" localSheetId="2">#REF!</definedName>
    <definedName name="kldd1p" localSheetId="5">#REF!</definedName>
    <definedName name="kldd1p" localSheetId="4">#REF!</definedName>
    <definedName name="kldd1p" localSheetId="3">#REF!</definedName>
    <definedName name="kldd1p" localSheetId="6">#REF!</definedName>
    <definedName name="kldd1p" localSheetId="0">#REF!</definedName>
    <definedName name="kldd1p" localSheetId="1">#REF!</definedName>
    <definedName name="kldd1p">#REF!</definedName>
    <definedName name="kldd3p">#REF!</definedName>
    <definedName name="KLDL">#REF!</definedName>
    <definedName name="KLduonggiaods" hidden="1">{"'Sheet1'!$L$16"}</definedName>
    <definedName name="KLHH">#REF!</definedName>
    <definedName name="KLTHDN" localSheetId="2">#REF!</definedName>
    <definedName name="KLTHDN" localSheetId="5">#REF!</definedName>
    <definedName name="KLTHDN" localSheetId="4">#REF!</definedName>
    <definedName name="KLTHDN" localSheetId="3">#REF!</definedName>
    <definedName name="KLTHDN" localSheetId="6">#REF!</definedName>
    <definedName name="KLTHDN" localSheetId="0">#REF!</definedName>
    <definedName name="KLTHDN" localSheetId="1">#REF!</definedName>
    <definedName name="KLTHDN">#REF!</definedName>
    <definedName name="KLVANKHUON" localSheetId="0">#REF!</definedName>
    <definedName name="KLVANKHUON" localSheetId="1">#REF!</definedName>
    <definedName name="KLVANKHUON">#REF!</definedName>
    <definedName name="KLVL1">#REF!</definedName>
    <definedName name="KLVLD">#REF!</definedName>
    <definedName name="KLVLD1">#REF!</definedName>
    <definedName name="KLVLV">#REF!</definedName>
    <definedName name="klvt">#REF!</definedName>
    <definedName name="Kmc">#REF!</definedName>
    <definedName name="Kmd">#REF!</definedName>
    <definedName name="kmong" localSheetId="0">#REF!</definedName>
    <definedName name="kmong" localSheetId="1">#REF!</definedName>
    <definedName name="kmong">#REF!</definedName>
    <definedName name="Knc">#REF!</definedName>
    <definedName name="Kncc">#REF!</definedName>
    <definedName name="Kncd">#REF!</definedName>
    <definedName name="KNEHT">#REF!</definedName>
    <definedName name="kno">#REF!</definedName>
    <definedName name="KÕ_ho_ch_Th_ng_10">#REF!</definedName>
    <definedName name="komtun" hidden="1">{"'Sheet1'!$L$16"}</definedName>
    <definedName name="kontum" hidden="1">{#N/A,#N/A,TRUE,"BT M200 da 10x20"}</definedName>
    <definedName name="KP">#REF!</definedName>
    <definedName name="kp1ph" localSheetId="2">#REF!</definedName>
    <definedName name="kp1ph" localSheetId="5">#REF!</definedName>
    <definedName name="kp1ph" localSheetId="4">#REF!</definedName>
    <definedName name="kp1ph" localSheetId="3">#REF!</definedName>
    <definedName name="kp1ph" localSheetId="6">#REF!</definedName>
    <definedName name="kp1ph" localSheetId="0">#REF!</definedName>
    <definedName name="kp1ph" localSheetId="1">#REF!</definedName>
    <definedName name="kp1ph">#REF!</definedName>
    <definedName name="Ks">#REF!</definedName>
    <definedName name="ksbn" hidden="1">{"'Sheet1'!$L$16"}</definedName>
    <definedName name="kshn" hidden="1">{"'Sheet1'!$L$16"}</definedName>
    <definedName name="ksls" hidden="1">{"'Sheet1'!$L$16"}</definedName>
    <definedName name="KSTK" localSheetId="0">#REF!</definedName>
    <definedName name="KSTK" localSheetId="1">#REF!</definedName>
    <definedName name="KSTK">#REF!</definedName>
    <definedName name="ktc">#REF!</definedName>
    <definedName name="KTHD" localSheetId="0">#REF!</definedName>
    <definedName name="KTHD" localSheetId="1">#REF!</definedName>
    <definedName name="KTHD">#REF!</definedName>
    <definedName name="KVC">#REF!</definedName>
    <definedName name="l" localSheetId="2">#REF!</definedName>
    <definedName name="l" localSheetId="5">#REF!</definedName>
    <definedName name="l" localSheetId="4">#REF!</definedName>
    <definedName name="l" localSheetId="3">#REF!</definedName>
    <definedName name="l" localSheetId="6">#REF!</definedName>
    <definedName name="l" localSheetId="0">#REF!</definedName>
    <definedName name="l" localSheetId="1">#REF!</definedName>
    <definedName name="l">#REF!</definedName>
    <definedName name="l_1">#REF!</definedName>
    <definedName name="L_mong" localSheetId="0">#REF!</definedName>
    <definedName name="L_mong" localSheetId="1">#REF!</definedName>
    <definedName name="L_mong">#REF!</definedName>
    <definedName name="l1d">#REF!</definedName>
    <definedName name="L63x6">5800</definedName>
    <definedName name="LABEL">#REF!</definedName>
    <definedName name="Lai">#REF!</definedName>
    <definedName name="Laivay">#REF!</definedName>
    <definedName name="lan" localSheetId="0">#REF!</definedName>
    <definedName name="lan" localSheetId="1">#REF!</definedName>
    <definedName name="lan">#REF!</definedName>
    <definedName name="lancan">#REF!</definedName>
    <definedName name="langson" hidden="1">{"'Sheet1'!$L$16"}</definedName>
    <definedName name="lanhto" localSheetId="0">#REF!</definedName>
    <definedName name="lanhto" localSheetId="1">#REF!</definedName>
    <definedName name="lanhto">#REF!</definedName>
    <definedName name="lantrai">#REF!</definedName>
    <definedName name="lao_keo_dam_cau">#REF!</definedName>
    <definedName name="LAP_DAT_TBA" localSheetId="0">#REF!</definedName>
    <definedName name="LAP_DAT_TBA" localSheetId="1">#REF!</definedName>
    <definedName name="LAP_DAT_TBA">#REF!</definedName>
    <definedName name="Lap_dat_td">#REF!</definedName>
    <definedName name="Last_Row">#REF!</definedName>
    <definedName name="Lban">#REF!</definedName>
    <definedName name="LBR">#REF!</definedName>
    <definedName name="LBS_22">107800000</definedName>
    <definedName name="LC5_total">#REF!</definedName>
    <definedName name="LC6_total">#REF!</definedName>
    <definedName name="Lcb">#REF!</definedName>
    <definedName name="lcc">#REF!</definedName>
    <definedName name="lcd">#REF!</definedName>
    <definedName name="Lcot">#REF!</definedName>
    <definedName name="lct">#REF!</definedName>
    <definedName name="LDAM">#REF!</definedName>
    <definedName name="Ldatcat">#REF!</definedName>
    <definedName name="Ldi">#REF!</definedName>
    <definedName name="LDIM">#REF!</definedName>
    <definedName name="Lf">#REF!</definedName>
    <definedName name="Lg">#REF!</definedName>
    <definedName name="LG_CB_N1">#REF!</definedName>
    <definedName name="LgL">#REF!</definedName>
    <definedName name="lh">#REF!</definedName>
    <definedName name="LIET_KE_VI_TRI_DZ0.4KV" localSheetId="0">#REF!</definedName>
    <definedName name="LIET_KE_VI_TRI_DZ0.4KV" localSheetId="1">#REF!</definedName>
    <definedName name="LIET_KE_VI_TRI_DZ0.4KV">#REF!</definedName>
    <definedName name="LIET_KE_VI_TRI_DZ22KV" localSheetId="0">#REF!</definedName>
    <definedName name="LIET_KE_VI_TRI_DZ22KV" localSheetId="1">#REF!</definedName>
    <definedName name="LIET_KE_VI_TRI_DZ22KV">#REF!</definedName>
    <definedName name="line15">#REF!</definedName>
    <definedName name="LiÖt_ke_cac_loai_cét">#REF!</definedName>
    <definedName name="list">#REF!</definedName>
    <definedName name="lk">#REF!</definedName>
    <definedName name="LK.T2">#REF!</definedName>
    <definedName name="LK.T3">#REF!</definedName>
    <definedName name="LK.T4">#REF!</definedName>
    <definedName name="LK.T5">#REF!</definedName>
    <definedName name="LK.T6">#REF!</definedName>
    <definedName name="LK_hathe" localSheetId="0">#REF!</definedName>
    <definedName name="LK_hathe" localSheetId="1">#REF!</definedName>
    <definedName name="LK_hathe">#REF!</definedName>
    <definedName name="LLs">#REF!</definedName>
    <definedName name="Lmk">#REF!</definedName>
    <definedName name="Lms">#REF!</definedName>
    <definedName name="Lmt">#REF!</definedName>
    <definedName name="Lnsc">#REF!</definedName>
    <definedName name="lntt">#REF!</definedName>
    <definedName name="Lo">#REF!</definedName>
    <definedName name="LoadData">#REF!</definedName>
    <definedName name="LoadingData">#REF!</definedName>
    <definedName name="loai">#REF!</definedName>
    <definedName name="LoÁi_BQL">#REF!</definedName>
    <definedName name="LoÁi_CT">#REF!</definedName>
    <definedName name="LOAI_DUONG">#REF!</definedName>
    <definedName name="Loai_TD">#REF!</definedName>
    <definedName name="LoaiCT">#REF!</definedName>
    <definedName name="LoaixeH">#REF!</definedName>
    <definedName name="LoaixeXB">#REF!</definedName>
    <definedName name="loinhuan">#REF!</definedName>
    <definedName name="lón1">#REF!</definedName>
    <definedName name="lón4">#REF!</definedName>
    <definedName name="long">#REF!</definedName>
    <definedName name="LOOP">#REF!</definedName>
    <definedName name="LPTDDT">#REF!</definedName>
    <definedName name="LPTDTK">#REF!</definedName>
    <definedName name="lrung">#REF!</definedName>
    <definedName name="ltre">#REF!</definedName>
    <definedName name="lu12.2">#REF!</definedName>
    <definedName name="lu14.5">#REF!</definedName>
    <definedName name="lu15.5">#REF!</definedName>
    <definedName name="lulop16">#REF!</definedName>
    <definedName name="luoichanrac">#REF!</definedName>
    <definedName name="luoncap">#REF!</definedName>
    <definedName name="lurung16">#REF!</definedName>
    <definedName name="luthep10">#REF!</definedName>
    <definedName name="Luy.ke.30.11">#REF!</definedName>
    <definedName name="Luy.ke.31.10">#REF!</definedName>
    <definedName name="lv..">#REF!</definedName>
    <definedName name="lVC">#REF!</definedName>
    <definedName name="lvr..">#REF!</definedName>
    <definedName name="lvt">#REF!</definedName>
    <definedName name="M">#REF!</definedName>
    <definedName name="M_CSCT">#REF!</definedName>
    <definedName name="M_TD">#REF!</definedName>
    <definedName name="M0.4" localSheetId="2">#REF!</definedName>
    <definedName name="M0.4" localSheetId="5">#REF!</definedName>
    <definedName name="M0.4" localSheetId="4">#REF!</definedName>
    <definedName name="M0.4" localSheetId="3">#REF!</definedName>
    <definedName name="M0.4" localSheetId="6">#REF!</definedName>
    <definedName name="M0.4" localSheetId="0">#REF!</definedName>
    <definedName name="M0.4" localSheetId="1">#REF!</definedName>
    <definedName name="M0.4">#REF!</definedName>
    <definedName name="M10.1">#REF!</definedName>
    <definedName name="M10.1a">#REF!</definedName>
    <definedName name="M10.2">#REF!</definedName>
    <definedName name="M10.2a">#REF!</definedName>
    <definedName name="M102bn">#REF!</definedName>
    <definedName name="M102bnnc" localSheetId="2">#REF!</definedName>
    <definedName name="M102bnnc" localSheetId="5">#REF!</definedName>
    <definedName name="M102bnnc" localSheetId="4">#REF!</definedName>
    <definedName name="M102bnnc" localSheetId="3">#REF!</definedName>
    <definedName name="M102bnnc" localSheetId="6">#REF!</definedName>
    <definedName name="M102bnnc" localSheetId="0">#REF!</definedName>
    <definedName name="M102bnnc" localSheetId="1">#REF!</definedName>
    <definedName name="M102bnnc">#REF!</definedName>
    <definedName name="M102bnvc">#REF!</definedName>
    <definedName name="M102bnvl" localSheetId="0">#REF!</definedName>
    <definedName name="M102bnvl" localSheetId="1">#REF!</definedName>
    <definedName name="M102bnvl">#REF!</definedName>
    <definedName name="M10aa1p">#REF!</definedName>
    <definedName name="m10aamtc" localSheetId="0">#REF!</definedName>
    <definedName name="m10aamtc" localSheetId="1">#REF!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0bbnc">#REF!</definedName>
    <definedName name="M10bbvc">#REF!</definedName>
    <definedName name="M10bbvl">#REF!</definedName>
    <definedName name="M122bnnc">#REF!</definedName>
    <definedName name="M122bnvc">#REF!</definedName>
    <definedName name="M122bnvl">#REF!</definedName>
    <definedName name="m12aanc" localSheetId="0">#REF!</definedName>
    <definedName name="m12aanc" localSheetId="1">#REF!</definedName>
    <definedName name="m12aanc">#REF!</definedName>
    <definedName name="M12aavl" localSheetId="2">#REF!</definedName>
    <definedName name="M12aavl" localSheetId="5">#REF!</definedName>
    <definedName name="M12aavl" localSheetId="4">#REF!</definedName>
    <definedName name="M12aavl" localSheetId="3">#REF!</definedName>
    <definedName name="M12aavl" localSheetId="6">#REF!</definedName>
    <definedName name="M12aavl" localSheetId="0">#REF!</definedName>
    <definedName name="M12aavl" localSheetId="1">#REF!</definedName>
    <definedName name="M12aavl">#REF!</definedName>
    <definedName name="m12anc" localSheetId="2">#REF!</definedName>
    <definedName name="m12anc" localSheetId="5">#REF!</definedName>
    <definedName name="m12anc" localSheetId="4">#REF!</definedName>
    <definedName name="m12anc" localSheetId="3">#REF!</definedName>
    <definedName name="m12anc" localSheetId="6">#REF!</definedName>
    <definedName name="m12anc" localSheetId="0">#REF!</definedName>
    <definedName name="m12anc" localSheetId="1">#REF!</definedName>
    <definedName name="m12anc">#REF!</definedName>
    <definedName name="m12avl" localSheetId="0">#REF!</definedName>
    <definedName name="m12avl" localSheetId="1">#REF!</definedName>
    <definedName name="m12avl">#REF!</definedName>
    <definedName name="M12ba3p" localSheetId="2">#REF!</definedName>
    <definedName name="M12ba3p" localSheetId="5">#REF!</definedName>
    <definedName name="M12ba3p" localSheetId="4">#REF!</definedName>
    <definedName name="M12ba3p" localSheetId="3">#REF!</definedName>
    <definedName name="M12ba3p" localSheetId="6">#REF!</definedName>
    <definedName name="M12ba3p" localSheetId="0">#REF!</definedName>
    <definedName name="M12ba3p" localSheetId="1">#REF!</definedName>
    <definedName name="M12ba3p">#REF!</definedName>
    <definedName name="M12banc" localSheetId="2">#REF!</definedName>
    <definedName name="M12banc" localSheetId="5">#REF!</definedName>
    <definedName name="M12banc" localSheetId="4">#REF!</definedName>
    <definedName name="M12banc" localSheetId="3">#REF!</definedName>
    <definedName name="M12banc" localSheetId="6">#REF!</definedName>
    <definedName name="M12banc" localSheetId="0">#REF!</definedName>
    <definedName name="M12banc" localSheetId="1">#REF!</definedName>
    <definedName name="M12banc">#REF!</definedName>
    <definedName name="M12bavl" localSheetId="0">#REF!</definedName>
    <definedName name="M12bavl" localSheetId="1">#REF!</definedName>
    <definedName name="M12bavl">#REF!</definedName>
    <definedName name="M12bb1p" localSheetId="2">#REF!</definedName>
    <definedName name="M12bb1p" localSheetId="5">#REF!</definedName>
    <definedName name="M12bb1p" localSheetId="4">#REF!</definedName>
    <definedName name="M12bb1p" localSheetId="3">#REF!</definedName>
    <definedName name="M12bb1p" localSheetId="6">#REF!</definedName>
    <definedName name="M12bb1p" localSheetId="0">#REF!</definedName>
    <definedName name="M12bb1p" localSheetId="1">#REF!</definedName>
    <definedName name="M12bb1p">#REF!</definedName>
    <definedName name="M12bbnc">#REF!</definedName>
    <definedName name="M12bbvl">#REF!</definedName>
    <definedName name="M12bnnc" localSheetId="0">#REF!</definedName>
    <definedName name="M12bnnc" localSheetId="1">#REF!</definedName>
    <definedName name="M12bnnc">#REF!</definedName>
    <definedName name="M12bnvl" localSheetId="0">#REF!</definedName>
    <definedName name="M12bnvl" localSheetId="1">#REF!</definedName>
    <definedName name="M12bnvl">#REF!</definedName>
    <definedName name="M12cbnc">#REF!</definedName>
    <definedName name="M12cbvl">#REF!</definedName>
    <definedName name="M142bnnc">#REF!</definedName>
    <definedName name="M142bnvl">#REF!</definedName>
    <definedName name="M14bb1p" localSheetId="2">#REF!</definedName>
    <definedName name="M14bb1p" localSheetId="5">#REF!</definedName>
    <definedName name="M14bb1p" localSheetId="4">#REF!</definedName>
    <definedName name="M14bb1p" localSheetId="3">#REF!</definedName>
    <definedName name="M14bb1p" localSheetId="6">#REF!</definedName>
    <definedName name="M14bb1p" localSheetId="0">#REF!</definedName>
    <definedName name="M14bb1p" localSheetId="1">#REF!</definedName>
    <definedName name="M14bb1p">#REF!</definedName>
    <definedName name="M14bbnc">#REF!</definedName>
    <definedName name="M14bbvc" localSheetId="0">#REF!</definedName>
    <definedName name="M14bbvc" localSheetId="1">#REF!</definedName>
    <definedName name="M14bbvc">#REF!</definedName>
    <definedName name="M14bbvl">#REF!</definedName>
    <definedName name="M8a" localSheetId="2">#REF!</definedName>
    <definedName name="M8a" localSheetId="5">#REF!</definedName>
    <definedName name="M8a" localSheetId="4">#REF!</definedName>
    <definedName name="M8a" localSheetId="3">#REF!</definedName>
    <definedName name="M8a" localSheetId="6">#REF!</definedName>
    <definedName name="M8a" localSheetId="0">#REF!</definedName>
    <definedName name="M8a" localSheetId="1">#REF!</definedName>
    <definedName name="M8a">#REF!</definedName>
    <definedName name="M8aa" localSheetId="0">#REF!</definedName>
    <definedName name="M8aa" localSheetId="1">#REF!</definedName>
    <definedName name="M8aa">#REF!</definedName>
    <definedName name="M8aaHT">#REF!</definedName>
    <definedName name="m8aanc" localSheetId="0">#REF!</definedName>
    <definedName name="m8aanc" localSheetId="1">#REF!</definedName>
    <definedName name="m8aanc">#REF!</definedName>
    <definedName name="m8aavl">#REF!</definedName>
    <definedName name="M8aHT">#REF!</definedName>
    <definedName name="m8amtc" localSheetId="0">#REF!</definedName>
    <definedName name="m8amtc" localSheetId="1">#REF!</definedName>
    <definedName name="m8amtc">#REF!</definedName>
    <definedName name="m8anc" localSheetId="0">#REF!</definedName>
    <definedName name="m8anc" localSheetId="1">#REF!</definedName>
    <definedName name="m8anc">#REF!</definedName>
    <definedName name="m8avl" localSheetId="0">#REF!</definedName>
    <definedName name="m8avl" localSheetId="1">#REF!</definedName>
    <definedName name="m8avl">#REF!</definedName>
    <definedName name="MA_DML">#REF!</definedName>
    <definedName name="Ma3pnc" localSheetId="2">#REF!</definedName>
    <definedName name="Ma3pnc" localSheetId="5">#REF!</definedName>
    <definedName name="Ma3pnc" localSheetId="4">#REF!</definedName>
    <definedName name="Ma3pnc" localSheetId="3">#REF!</definedName>
    <definedName name="Ma3pnc" localSheetId="6">#REF!</definedName>
    <definedName name="Ma3pnc" localSheetId="0">#REF!</definedName>
    <definedName name="Ma3pnc" localSheetId="1">#REF!</definedName>
    <definedName name="Ma3pnc">#REF!</definedName>
    <definedName name="Ma3pvl" localSheetId="0">#REF!</definedName>
    <definedName name="Ma3pvl" localSheetId="1">#REF!</definedName>
    <definedName name="Ma3pvl">#REF!</definedName>
    <definedName name="Maa3pnc" localSheetId="0">#REF!</definedName>
    <definedName name="Maa3pnc" localSheetId="1">#REF!</definedName>
    <definedName name="Maa3pnc">#REF!</definedName>
    <definedName name="Maa3pvl">#REF!</definedName>
    <definedName name="macbt">#REF!</definedName>
    <definedName name="MACRO">#REF!</definedName>
    <definedName name="Macro2">#REF!</definedName>
    <definedName name="Macro3">#REF!</definedName>
    <definedName name="MACTANG_BD">#REF!</definedName>
    <definedName name="MACTANG_HT_BD">#REF!</definedName>
    <definedName name="MACTANG_HT_KT">#REF!</definedName>
    <definedName name="MACTANG_KT">#REF!</definedName>
    <definedName name="MADONGIA">#REF!</definedName>
    <definedName name="mahang">#REF!</definedName>
    <definedName name="mahang_tondk">#REF!</definedName>
    <definedName name="MAHH_BCX_NL">#REF!</definedName>
    <definedName name="mahieu">#REF!</definedName>
    <definedName name="MAJ_CON_EQP" localSheetId="2">#REF!</definedName>
    <definedName name="MAJ_CON_EQP" localSheetId="5">#REF!</definedName>
    <definedName name="MAJ_CON_EQP" localSheetId="4">#REF!</definedName>
    <definedName name="MAJ_CON_EQP" localSheetId="3">#REF!</definedName>
    <definedName name="MAJ_CON_EQP" localSheetId="6">#REF!</definedName>
    <definedName name="MAJ_CON_EQP" localSheetId="0">#REF!</definedName>
    <definedName name="MAJ_CON_EQP" localSheetId="1">#REF!</definedName>
    <definedName name="MAJ_CON_EQP">#REF!</definedName>
    <definedName name="MakeIt">#REF!</definedName>
    <definedName name="Masonry" localSheetId="2">#REF!</definedName>
    <definedName name="Masonry" localSheetId="5">#REF!</definedName>
    <definedName name="Masonry" localSheetId="4">#REF!</definedName>
    <definedName name="Masonry" localSheetId="3">#REF!</definedName>
    <definedName name="Masonry" localSheetId="6">#REF!</definedName>
    <definedName name="Masonry" localSheetId="0">#REF!</definedName>
    <definedName name="Masonry" localSheetId="1">#REF!</definedName>
    <definedName name="Masonry">#REF!</definedName>
    <definedName name="MAT" localSheetId="0">#REF!</definedName>
    <definedName name="MAT" localSheetId="1">#REF!</definedName>
    <definedName name="MAT">#REF!</definedName>
    <definedName name="Mat_cau">#REF!</definedName>
    <definedName name="matit">#REF!</definedName>
    <definedName name="MATP_BCN_TP">#REF!</definedName>
    <definedName name="MATP_BCX_NL">#REF!</definedName>
    <definedName name="MATP_GIATHANH">#REF!</definedName>
    <definedName name="MATP_GT">#REF!</definedName>
    <definedName name="MAVANKHUON" localSheetId="2">#REF!</definedName>
    <definedName name="MAVANKHUON" localSheetId="5">#REF!</definedName>
    <definedName name="MAVANKHUON" localSheetId="4">#REF!</definedName>
    <definedName name="MAVANKHUON" localSheetId="3">#REF!</definedName>
    <definedName name="MAVANKHUON" localSheetId="6">#REF!</definedName>
    <definedName name="MAVANKHUON" localSheetId="0">#REF!</definedName>
    <definedName name="MAVANKHUON" localSheetId="1">#REF!</definedName>
    <definedName name="MAVANKHUON">#REF!</definedName>
    <definedName name="MaViet">#REF!</definedName>
    <definedName name="MAVL">#REF!</definedName>
    <definedName name="MAVLD">#REF!</definedName>
    <definedName name="MAVLD1">#REF!</definedName>
    <definedName name="MAVLTHDN" localSheetId="2">#REF!</definedName>
    <definedName name="MAVLTHDN" localSheetId="5">#REF!</definedName>
    <definedName name="MAVLTHDN" localSheetId="4">#REF!</definedName>
    <definedName name="MAVLTHDN" localSheetId="3">#REF!</definedName>
    <definedName name="MAVLTHDN" localSheetId="6">#REF!</definedName>
    <definedName name="MAVLTHDN" localSheetId="0">#REF!</definedName>
    <definedName name="MAVLTHDN" localSheetId="1">#REF!</definedName>
    <definedName name="MAVLTHDN">#REF!</definedName>
    <definedName name="MAVLV">#REF!</definedName>
    <definedName name="maybua">#REF!</definedName>
    <definedName name="maycay">#REF!</definedName>
    <definedName name="maykhoan">#REF!</definedName>
    <definedName name="mayrhhbtn100">#REF!</definedName>
    <definedName name="mayrhhbtn65">#REF!</definedName>
    <definedName name="maythepnaphl">#REF!</definedName>
    <definedName name="mayui">#REF!</definedName>
    <definedName name="mayui110">#REF!</definedName>
    <definedName name="mazut">#REF!</definedName>
    <definedName name="mb">#REF!</definedName>
    <definedName name="MB20nc">#REF!</definedName>
    <definedName name="MB20vc">#REF!</definedName>
    <definedName name="MB20vl">#REF!</definedName>
    <definedName name="Mba1p" localSheetId="2">#REF!</definedName>
    <definedName name="Mba1p" localSheetId="5">#REF!</definedName>
    <definedName name="Mba1p" localSheetId="4">#REF!</definedName>
    <definedName name="Mba1p" localSheetId="3">#REF!</definedName>
    <definedName name="Mba1p" localSheetId="6">#REF!</definedName>
    <definedName name="Mba1p" localSheetId="0">#REF!</definedName>
    <definedName name="Mba1p" localSheetId="1">#REF!</definedName>
    <definedName name="Mba1p">#REF!</definedName>
    <definedName name="Mba3p" localSheetId="0">#REF!</definedName>
    <definedName name="Mba3p" localSheetId="1">#REF!</definedName>
    <definedName name="Mba3p">#REF!</definedName>
    <definedName name="mbangtai10">#REF!</definedName>
    <definedName name="mbangtai100">#REF!</definedName>
    <definedName name="mbangtai15">#REF!</definedName>
    <definedName name="mbangtai150">#REF!</definedName>
    <definedName name="mbangtai25">#REF!</definedName>
    <definedName name="Mbb3p" localSheetId="0">#REF!</definedName>
    <definedName name="Mbb3p" localSheetId="1">#REF!</definedName>
    <definedName name="Mbb3p">#REF!</definedName>
    <definedName name="Mbn1p">#REF!</definedName>
    <definedName name="MBnc" localSheetId="0">#REF!</definedName>
    <definedName name="MBnc" localSheetId="1">#REF!</definedName>
    <definedName name="MBnc">#REF!</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t">#REF!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Bvl" localSheetId="0">#REF!</definedName>
    <definedName name="MBvl" localSheetId="1">#REF!</definedName>
    <definedName name="MBvl">#REF!</definedName>
    <definedName name="mc" localSheetId="2">#REF!</definedName>
    <definedName name="mc" localSheetId="5">#REF!</definedName>
    <definedName name="mc" localSheetId="4">#REF!</definedName>
    <definedName name="mc" localSheetId="3">#REF!</definedName>
    <definedName name="mc" localSheetId="6">#REF!</definedName>
    <definedName name="mc" localSheetId="0">#REF!</definedName>
    <definedName name="mc" localSheetId="1">#REF!</definedName>
    <definedName name="mc">#REF!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bt">#REF!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om_I">#REF!</definedName>
    <definedName name="Mcr">#REF!</definedName>
    <definedName name="mcuakl1.7">#REF!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ls">#REF!</definedName>
    <definedName name="Mdls_">#REF!</definedName>
    <definedName name="Mdnc">#REF!</definedName>
    <definedName name="MDT">#REF!</definedName>
    <definedName name="MDTa">#REF!</definedName>
    <definedName name="me">#REF!</definedName>
    <definedName name="MENU1">#REF!</definedName>
    <definedName name="MENUVIEW">#REF!</definedName>
    <definedName name="mepcocsau1">#REF!</definedName>
    <definedName name="mepcoctr100">#REF!</definedName>
    <definedName name="mepcoctr60">#REF!</definedName>
    <definedName name="MESSAGE">#REF!</definedName>
    <definedName name="MESSAGE1">#REF!</definedName>
    <definedName name="MESSAGE2">#REF!</definedName>
    <definedName name="METAL">#REF!</definedName>
    <definedName name="MetalWork" localSheetId="2">#REF!</definedName>
    <definedName name="MetalWork" localSheetId="5">#REF!</definedName>
    <definedName name="MetalWork" localSheetId="4">#REF!</definedName>
    <definedName name="MetalWork" localSheetId="3">#REF!</definedName>
    <definedName name="MetalWork" localSheetId="6">#REF!</definedName>
    <definedName name="MetalWork" localSheetId="0">#REF!</definedName>
    <definedName name="MetalWork" localSheetId="1">#REF!</definedName>
    <definedName name="MetalWork">#REF!</definedName>
    <definedName name="MF" localSheetId="0">#REF!</definedName>
    <definedName name="MF" localSheetId="1">#REF!</definedName>
    <definedName name="MF">#REF!</definedName>
    <definedName name="MG_A" localSheetId="0">#REF!</definedName>
    <definedName name="MG_A" localSheetId="1">#REF!</definedName>
    <definedName name="MG_A">#REF!</definedName>
    <definedName name="mgh" localSheetId="0">#REF!</definedName>
    <definedName name="mgh" localSheetId="1">#REF!</definedName>
    <definedName name="mgh">#REF!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d" localSheetId="0">#REF!</definedName>
    <definedName name="mhd" localSheetId="1">#REF!</definedName>
    <definedName name="mhd">#REF!</definedName>
    <definedName name="minh_1">#REF!</definedName>
    <definedName name="minh_mtk">#REF!</definedName>
    <definedName name="MiscellaneousWork" localSheetId="0">#REF!</definedName>
    <definedName name="MiscellaneousWork" localSheetId="1">#REF!</definedName>
    <definedName name="MiscellaneousWor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lan">#REF!</definedName>
    <definedName name="Mlc_">#REF!</definedName>
    <definedName name="Mlls">#REF!</definedName>
    <definedName name="Mlls_">#REF!</definedName>
    <definedName name="mluoncap15">#REF!</definedName>
    <definedName name="mmai2.7">#REF!</definedName>
    <definedName name="mmm" localSheetId="0">#REF!</definedName>
    <definedName name="mmm" localSheetId="1">#REF!</definedName>
    <definedName name="mmm">#REF!</definedName>
    <definedName name="MN" localSheetId="0">#REF!</definedName>
    <definedName name="MN" localSheetId="1">#REF!</definedName>
    <definedName name="MN">#REF!</definedName>
    <definedName name="MN12DZ22">#REF!</definedName>
    <definedName name="MN15DZ22">#REF!</definedName>
    <definedName name="MN18DZ22">#REF!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et_I">#REF!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HT">#REF!</definedName>
    <definedName name="mnkhi">#REF!</definedName>
    <definedName name="MNTC">#REF!</definedName>
    <definedName name="mo" hidden="1">{"'Sheet1'!$L$16"}</definedName>
    <definedName name="MODIFY">#REF!</definedName>
    <definedName name="Module1.giagoc" localSheetId="2">#REF!</definedName>
    <definedName name="Module1.giagoc" localSheetId="5">#REF!</definedName>
    <definedName name="Module1.giagoc" localSheetId="4">#REF!</definedName>
    <definedName name="Module1.giagoc" localSheetId="3">#REF!</definedName>
    <definedName name="Module1.giagoc" localSheetId="6">#REF!</definedName>
    <definedName name="Module1.giagoc" localSheetId="1">#REF!</definedName>
    <definedName name="Module1.giagoc">#REF!</definedName>
    <definedName name="Module1.giatamtinh" localSheetId="2">#REF!</definedName>
    <definedName name="Module1.giatamtinh" localSheetId="5">#REF!</definedName>
    <definedName name="Module1.giatamtinh" localSheetId="4">#REF!</definedName>
    <definedName name="Module1.giatamtinh" localSheetId="3">#REF!</definedName>
    <definedName name="Module1.giatamtinh" localSheetId="6">#REF!</definedName>
    <definedName name="Module1.giatamtinh" localSheetId="1">#REF!</definedName>
    <definedName name="Module1.giatamtinh">#REF!</definedName>
    <definedName name="moi" hidden="1">{"'Sheet1'!$L$16"}</definedName>
    <definedName name="Mong">#REF!</definedName>
    <definedName name="mong1pm">#REF!</definedName>
    <definedName name="mong3pm">#REF!</definedName>
    <definedName name="mongbang" localSheetId="2">#REF!</definedName>
    <definedName name="mongbang" localSheetId="5">#REF!</definedName>
    <definedName name="mongbang" localSheetId="4">#REF!</definedName>
    <definedName name="mongbang" localSheetId="3">#REF!</definedName>
    <definedName name="mongbang" localSheetId="6">#REF!</definedName>
    <definedName name="mongbang" localSheetId="0">#REF!</definedName>
    <definedName name="mongbang" localSheetId="1">#REF!</definedName>
    <definedName name="mongbang">#REF!</definedName>
    <definedName name="mongdon" localSheetId="0">#REF!</definedName>
    <definedName name="mongdon" localSheetId="1">#REF!</definedName>
    <definedName name="mongdon">#REF!</definedName>
    <definedName name="monght">#REF!</definedName>
    <definedName name="mongHTDL">#REF!</definedName>
    <definedName name="mongHTHH">#REF!</definedName>
    <definedName name="MONGMSDZ04">#REF!</definedName>
    <definedName name="mongneo1pm">#REF!</definedName>
    <definedName name="mongneo3pm">#REF!</definedName>
    <definedName name="mongneoht">#REF!</definedName>
    <definedName name="mongneoHTDL">#REF!</definedName>
    <definedName name="mongneoHTHH">#REF!</definedName>
    <definedName name="mophanchi">#REF!</definedName>
    <definedName name="Morning">#REF!</definedName>
    <definedName name="Morong">#REF!</definedName>
    <definedName name="Morong4054_85">#REF!</definedName>
    <definedName name="morong4054_98">#REF!</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ùng" localSheetId="2">#REF!</definedName>
    <definedName name="Moùng" localSheetId="5">#REF!</definedName>
    <definedName name="Moùng" localSheetId="4">#REF!</definedName>
    <definedName name="Moùng" localSheetId="3">#REF!</definedName>
    <definedName name="Moùng" localSheetId="6">#REF!</definedName>
    <definedName name="Moùng" localSheetId="0">#REF!</definedName>
    <definedName name="Moùng" localSheetId="1">#REF!</definedName>
    <definedName name="Moùng">#REF!</definedName>
    <definedName name="mp1x25" localSheetId="2">#REF!</definedName>
    <definedName name="mp1x25" localSheetId="5">#REF!</definedName>
    <definedName name="mp1x25" localSheetId="4">#REF!</definedName>
    <definedName name="mp1x25" localSheetId="3">#REF!</definedName>
    <definedName name="mp1x25" localSheetId="6">#REF!</definedName>
    <definedName name="mp1x25" localSheetId="0">#REF!</definedName>
    <definedName name="mp1x25" localSheetId="1">#REF!</definedName>
    <definedName name="mp1x25">#REF!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r">#REF!</definedName>
    <definedName name="Mr_">#REF!</definedName>
    <definedName name="Mr_s">#REF!</definedName>
    <definedName name="mrai">#REF!</definedName>
    <definedName name="mraibtsp500">#REF!</definedName>
    <definedName name="mraintn100">#REF!</definedName>
    <definedName name="mraintn65">#REF!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_">#REF!</definedName>
    <definedName name="MS5DZ22">#REF!</definedName>
    <definedName name="MS6DZ22">#REF!</definedName>
    <definedName name="MS7DZ22">#REF!</definedName>
    <definedName name="msan">#REF!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CT" localSheetId="2">#REF!</definedName>
    <definedName name="MSCT" localSheetId="5">#REF!</definedName>
    <definedName name="MSCT" localSheetId="4">#REF!</definedName>
    <definedName name="MSCT" localSheetId="3">#REF!</definedName>
    <definedName name="MSCT" localSheetId="6">#REF!</definedName>
    <definedName name="MSCT" localSheetId="0">#REF!</definedName>
    <definedName name="MSCT" localSheetId="1">#REF!</definedName>
    <definedName name="MSCT">#REF!</definedName>
    <definedName name="msvt_bg">#REF!</definedName>
    <definedName name="MSVT_TAM">#REF!</definedName>
    <definedName name="MT2DZ22">#REF!</definedName>
    <definedName name="MT3DZ22">#REF!</definedName>
    <definedName name="mtaukeo150">#REF!</definedName>
    <definedName name="mtaukeo360">#REF!</definedName>
    <definedName name="mtaukeo600">#REF!</definedName>
    <definedName name="mtbipvlan150">#REF!</definedName>
    <definedName name="MTC">#REF!</definedName>
    <definedName name="MTC1P" localSheetId="2">#REF!</definedName>
    <definedName name="MTC1P" localSheetId="5">#REF!</definedName>
    <definedName name="MTC1P" localSheetId="4">#REF!</definedName>
    <definedName name="MTC1P" localSheetId="3">#REF!</definedName>
    <definedName name="MTC1P" localSheetId="6">#REF!</definedName>
    <definedName name="MTC1P" localSheetId="0">#REF!</definedName>
    <definedName name="MTC1P" localSheetId="1">#REF!</definedName>
    <definedName name="MTC1P">#REF!</definedName>
    <definedName name="MTC3P" localSheetId="2">#REF!</definedName>
    <definedName name="MTC3P" localSheetId="5">#REF!</definedName>
    <definedName name="MTC3P" localSheetId="4">#REF!</definedName>
    <definedName name="MTC3P" localSheetId="3">#REF!</definedName>
    <definedName name="MTC3P" localSheetId="6">#REF!</definedName>
    <definedName name="MTC3P" localSheetId="0">#REF!</definedName>
    <definedName name="MTC3P" localSheetId="1">#REF!</definedName>
    <definedName name="MTC3P">#REF!</definedName>
    <definedName name="mtcdg" localSheetId="2">#REF!</definedName>
    <definedName name="mtcdg" localSheetId="5">#REF!</definedName>
    <definedName name="mtcdg" localSheetId="4">#REF!</definedName>
    <definedName name="mtcdg" localSheetId="3">#REF!</definedName>
    <definedName name="mtcdg" localSheetId="6">#REF!</definedName>
    <definedName name="mtcdg" localSheetId="0">#REF!</definedName>
    <definedName name="mtcdg" localSheetId="1">#REF!</definedName>
    <definedName name="mtcdg">#REF!</definedName>
    <definedName name="MTCHC">#REF!</definedName>
    <definedName name="MTCMB" localSheetId="0">#REF!</definedName>
    <definedName name="MTCMB" localSheetId="1">#REF!</definedName>
    <definedName name="MTCMB">#REF!</definedName>
    <definedName name="MTHI">#REF!</definedName>
    <definedName name="MTHII">#REF!</definedName>
    <definedName name="MTHIII">#REF!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k">#REF!</definedName>
    <definedName name="MTMAC12" localSheetId="2">#REF!</definedName>
    <definedName name="MTMAC12" localSheetId="5">#REF!</definedName>
    <definedName name="MTMAC12" localSheetId="4">#REF!</definedName>
    <definedName name="MTMAC12" localSheetId="3">#REF!</definedName>
    <definedName name="MTMAC12" localSheetId="6">#REF!</definedName>
    <definedName name="MTMAC12" localSheetId="0">#REF!</definedName>
    <definedName name="MTMAC12" localSheetId="1">#REF!</definedName>
    <definedName name="MTMAC12">#REF!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 localSheetId="2">#REF!</definedName>
    <definedName name="mtr" localSheetId="5">#REF!</definedName>
    <definedName name="mtr" localSheetId="4">#REF!</definedName>
    <definedName name="mtr" localSheetId="3">#REF!</definedName>
    <definedName name="mtr" localSheetId="6">#REF!</definedName>
    <definedName name="mtr" localSheetId="0">#REF!</definedName>
    <definedName name="mtr" localSheetId="1">#REF!</definedName>
    <definedName name="mtr">#REF!</definedName>
    <definedName name="mtram" localSheetId="2">#REF!</definedName>
    <definedName name="mtram" localSheetId="5">#REF!</definedName>
    <definedName name="mtram" localSheetId="4">#REF!</definedName>
    <definedName name="mtram" localSheetId="3">#REF!</definedName>
    <definedName name="mtram" localSheetId="6">#REF!</definedName>
    <definedName name="mtram" localSheetId="0">#REF!</definedName>
    <definedName name="mtram" localSheetId="1">#REF!</definedName>
    <definedName name="mtram">#REF!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XL">#REF!</definedName>
    <definedName name="Mu">#REF!</definedName>
    <definedName name="Mu_">#REF!</definedName>
    <definedName name="MUA_SAM_DUNG_CU_CHUAN_BI_SAN_XUAT">#REF!</definedName>
    <definedName name="MUA_SAM_THIET_BI">#REF!</definedName>
    <definedName name="MUA_SAM_VAT_LIEU_CHINH">#REF!</definedName>
    <definedName name="MucDauTu">#REF!</definedName>
    <definedName name="mui">#REF!</definedName>
    <definedName name="muonong2.8">#REF!</definedName>
    <definedName name="muy_fri">#REF!</definedName>
    <definedName name="mvanthang0.3">#REF!</definedName>
    <definedName name="mvanthang0.5">#REF!</definedName>
    <definedName name="mvanthang2">#REF!</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lat">#REF!</definedName>
    <definedName name="mxuc">#REF!</definedName>
    <definedName name="mxuclat0.40">#REF!</definedName>
    <definedName name="mxuclat1.00">#REF!</definedName>
    <definedName name="mxuclat1.65">#REF!</definedName>
    <definedName name="mxuclat2.00">#REF!</definedName>
    <definedName name="mxuclat2.80">#REF!</definedName>
    <definedName name="myle" localSheetId="0">#REF!</definedName>
    <definedName name="myle" localSheetId="1">#REF!</definedName>
    <definedName name="myle">#REF!</definedName>
    <definedName name="n" localSheetId="0">#REF!</definedName>
    <definedName name="n" localSheetId="1">#REF!</definedName>
    <definedName name="n">#REF!</definedName>
    <definedName name="n_1">#REF!</definedName>
    <definedName name="n_2">#REF!</definedName>
    <definedName name="n_3">#REF!</definedName>
    <definedName name="n1_">#REF!</definedName>
    <definedName name="N1IN">#REF!</definedName>
    <definedName name="n1pig" localSheetId="2">#REF!</definedName>
    <definedName name="n1pig" localSheetId="5">#REF!</definedName>
    <definedName name="n1pig" localSheetId="4">#REF!</definedName>
    <definedName name="n1pig" localSheetId="3">#REF!</definedName>
    <definedName name="n1pig" localSheetId="6">#REF!</definedName>
    <definedName name="n1pig" localSheetId="0">#REF!</definedName>
    <definedName name="n1pig" localSheetId="1">#REF!</definedName>
    <definedName name="n1pig">#REF!</definedName>
    <definedName name="N1pIGnc" localSheetId="0">#REF!</definedName>
    <definedName name="N1pIGnc" localSheetId="1">#REF!</definedName>
    <definedName name="N1pIGnc">#REF!</definedName>
    <definedName name="N1pIGvc" localSheetId="0">#REF!</definedName>
    <definedName name="N1pIGvc" localSheetId="1">#REF!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 localSheetId="0">#REF!</definedName>
    <definedName name="N1pINGnc" localSheetId="1">#REF!</definedName>
    <definedName name="N1pINGnc">#REF!</definedName>
    <definedName name="N1pINGvc" localSheetId="2">#REF!</definedName>
    <definedName name="N1pINGvc" localSheetId="5">#REF!</definedName>
    <definedName name="N1pINGvc" localSheetId="4">#REF!</definedName>
    <definedName name="N1pINGvc" localSheetId="3">#REF!</definedName>
    <definedName name="N1pINGvc" localSheetId="6">#REF!</definedName>
    <definedName name="N1pINGvc" localSheetId="0">#REF!</definedName>
    <definedName name="N1pINGvc" localSheetId="1">#REF!</definedName>
    <definedName name="N1pINGvc">#REF!</definedName>
    <definedName name="N1pINGvl" localSheetId="2">#REF!</definedName>
    <definedName name="N1pINGvl" localSheetId="5">#REF!</definedName>
    <definedName name="N1pINGvl" localSheetId="4">#REF!</definedName>
    <definedName name="N1pINGvl" localSheetId="3">#REF!</definedName>
    <definedName name="N1pINGvl" localSheetId="6">#REF!</definedName>
    <definedName name="N1pINGvl" localSheetId="0">#REF!</definedName>
    <definedName name="N1pINGvl" localSheetId="1">#REF!</definedName>
    <definedName name="N1pINGvl">#REF!</definedName>
    <definedName name="n1pint" localSheetId="2">#REF!</definedName>
    <definedName name="n1pint" localSheetId="5">#REF!</definedName>
    <definedName name="n1pint" localSheetId="4">#REF!</definedName>
    <definedName name="n1pint" localSheetId="3">#REF!</definedName>
    <definedName name="n1pint" localSheetId="6">#REF!</definedName>
    <definedName name="n1pint" localSheetId="0">#REF!</definedName>
    <definedName name="n1pint" localSheetId="1">#REF!</definedName>
    <definedName name="n1pint">#REF!</definedName>
    <definedName name="N1pINTnc" localSheetId="2">#REF!</definedName>
    <definedName name="N1pINTnc" localSheetId="5">#REF!</definedName>
    <definedName name="N1pINTnc" localSheetId="4">#REF!</definedName>
    <definedName name="N1pINTnc" localSheetId="3">#REF!</definedName>
    <definedName name="N1pINTnc" localSheetId="6">#REF!</definedName>
    <definedName name="N1pINTnc" localSheetId="0">#REF!</definedName>
    <definedName name="N1pINTnc" localSheetId="1">#REF!</definedName>
    <definedName name="N1pINTnc">#REF!</definedName>
    <definedName name="N1pINTvc" localSheetId="2">#REF!</definedName>
    <definedName name="N1pINTvc" localSheetId="5">#REF!</definedName>
    <definedName name="N1pINTvc" localSheetId="4">#REF!</definedName>
    <definedName name="N1pINTvc" localSheetId="3">#REF!</definedName>
    <definedName name="N1pINTvc" localSheetId="6">#REF!</definedName>
    <definedName name="N1pINTvc" localSheetId="0">#REF!</definedName>
    <definedName name="N1pINTvc" localSheetId="1">#REF!</definedName>
    <definedName name="N1pINTvc">#REF!</definedName>
    <definedName name="N1pINTvl" localSheetId="0">#REF!</definedName>
    <definedName name="N1pINTvl" localSheetId="1">#REF!</definedName>
    <definedName name="N1pINTvl">#REF!</definedName>
    <definedName name="N1pNLnc" localSheetId="0">#REF!</definedName>
    <definedName name="N1pNLnc" localSheetId="1">#REF!</definedName>
    <definedName name="N1pNLnc">#REF!</definedName>
    <definedName name="N1pNLvc">#REF!</definedName>
    <definedName name="N1pNLvl">#REF!</definedName>
    <definedName name="n2_">#REF!</definedName>
    <definedName name="n24nc">#REF!</definedName>
    <definedName name="n24vl">#REF!</definedName>
    <definedName name="n2mignc">#REF!</definedName>
    <definedName name="n2migvl">#REF!</definedName>
    <definedName name="n2min1nc">#REF!</definedName>
    <definedName name="n2min1vl">#REF!</definedName>
    <definedName name="n3_">#REF!</definedName>
    <definedName name="n4_">#REF!</definedName>
    <definedName name="Na">#REF!</definedName>
    <definedName name="Name">#REF!</definedName>
    <definedName name="NamedRange1">#REF!</definedName>
    <definedName name="NB">#REF!</definedName>
    <definedName name="nc" localSheetId="2">#REF!</definedName>
    <definedName name="nc" localSheetId="5">#REF!</definedName>
    <definedName name="nc" localSheetId="4">#REF!</definedName>
    <definedName name="nc" localSheetId="3">#REF!</definedName>
    <definedName name="nc" localSheetId="6">#REF!</definedName>
    <definedName name="nc" localSheetId="0">#REF!</definedName>
    <definedName name="nc" localSheetId="1">#REF!</definedName>
    <definedName name="nc">#REF!</definedName>
    <definedName name="nc.3">#REF!</definedName>
    <definedName name="nc.4">#REF!</definedName>
    <definedName name="NC.M10.1">#REF!</definedName>
    <definedName name="NC.M10.2">#REF!</definedName>
    <definedName name="NC.MDT">#REF!</definedName>
    <definedName name="nc_betong200" localSheetId="2">#REF!</definedName>
    <definedName name="nc_betong200" localSheetId="5">#REF!</definedName>
    <definedName name="nc_betong200" localSheetId="4">#REF!</definedName>
    <definedName name="nc_betong200" localSheetId="3">#REF!</definedName>
    <definedName name="nc_betong200" localSheetId="6">#REF!</definedName>
    <definedName name="nc_betong200" localSheetId="0">#REF!</definedName>
    <definedName name="nc_betong200" localSheetId="1">#REF!</definedName>
    <definedName name="nc_betong200">#REF!</definedName>
    <definedName name="nc_btm10" localSheetId="2">#REF!</definedName>
    <definedName name="nc_btm10" localSheetId="5">#REF!</definedName>
    <definedName name="nc_btm10" localSheetId="4">#REF!</definedName>
    <definedName name="nc_btm10" localSheetId="3">#REF!</definedName>
    <definedName name="nc_btm10" localSheetId="6">#REF!</definedName>
    <definedName name="nc_btm10" localSheetId="0">#REF!</definedName>
    <definedName name="nc_btm10" localSheetId="1">#REF!</definedName>
    <definedName name="nc_btm10">#REF!</definedName>
    <definedName name="nc_btm100" localSheetId="0">#REF!</definedName>
    <definedName name="nc_btm100" localSheetId="1">#REF!</definedName>
    <definedName name="nc_btm100">#REF!</definedName>
    <definedName name="nc_btm150" localSheetId="0">#REF!</definedName>
    <definedName name="nc_btm150" localSheetId="1">#REF!</definedName>
    <definedName name="nc_btm150">#REF!</definedName>
    <definedName name="nc_btm200" localSheetId="0">#REF!</definedName>
    <definedName name="nc_btm200" localSheetId="1">#REF!</definedName>
    <definedName name="nc_btm200">#REF!</definedName>
    <definedName name="nc_btm50">#REF!</definedName>
    <definedName name="nc_cotpha">#REF!</definedName>
    <definedName name="NC_CSCT">#REF!</definedName>
    <definedName name="NC_CTXD">#REF!</definedName>
    <definedName name="NC_RD">#REF!</definedName>
    <definedName name="NC_TD">#REF!</definedName>
    <definedName name="nc100a" localSheetId="0">#REF!</definedName>
    <definedName name="nc100a" localSheetId="1">#REF!</definedName>
    <definedName name="nc100a">#REF!</definedName>
    <definedName name="nc1nc" localSheetId="0">#REF!</definedName>
    <definedName name="nc1nc" localSheetId="1">#REF!</definedName>
    <definedName name="nc1nc">#REF!</definedName>
    <definedName name="nc1p" localSheetId="0">#REF!</definedName>
    <definedName name="nc1p" localSheetId="1">#REF!</definedName>
    <definedName name="nc1p">#REF!</definedName>
    <definedName name="nc1vl" localSheetId="0">#REF!</definedName>
    <definedName name="nc1vl" localSheetId="1">#REF!</definedName>
    <definedName name="nc1vl">#REF!</definedName>
    <definedName name="nc2.0">#REF!</definedName>
    <definedName name="nc2.1">#REF!</definedName>
    <definedName name="nc2.2">#REF!</definedName>
    <definedName name="nc2.3">#REF!</definedName>
    <definedName name="nc2.4">#REF!</definedName>
    <definedName name="nc2.5">#REF!</definedName>
    <definedName name="nc2.6">#REF!</definedName>
    <definedName name="nc2.7">#REF!</definedName>
    <definedName name="nc2.8">#REF!</definedName>
    <definedName name="nc2.9">#REF!</definedName>
    <definedName name="nc24nc">#REF!</definedName>
    <definedName name="nc24vl">#REF!</definedName>
    <definedName name="nc3.0">#REF!</definedName>
    <definedName name="nc3.1">#REF!</definedName>
    <definedName name="nc3.2">#REF!</definedName>
    <definedName name="nc3.3">#REF!</definedName>
    <definedName name="nc3.4">#REF!</definedName>
    <definedName name="nc3.5">#REF!</definedName>
    <definedName name="nc3.6">#REF!</definedName>
    <definedName name="nc3.7">#REF!</definedName>
    <definedName name="nc3.8">#REF!</definedName>
    <definedName name="nc3.9">#REF!</definedName>
    <definedName name="nc3_5">#REF!</definedName>
    <definedName name="nc3p" localSheetId="2">#REF!</definedName>
    <definedName name="nc3p" localSheetId="5">#REF!</definedName>
    <definedName name="nc3p" localSheetId="4">#REF!</definedName>
    <definedName name="nc3p" localSheetId="3">#REF!</definedName>
    <definedName name="nc3p" localSheetId="6">#REF!</definedName>
    <definedName name="nc3p" localSheetId="0">#REF!</definedName>
    <definedName name="nc3p" localSheetId="1">#REF!</definedName>
    <definedName name="nc3p">#REF!</definedName>
    <definedName name="nc4.0">#REF!</definedName>
    <definedName name="nc4.1">#REF!</definedName>
    <definedName name="nc4.2">#REF!</definedName>
    <definedName name="nc4.3">#REF!</definedName>
    <definedName name="nc4.4">#REF!</definedName>
    <definedName name="nc4.5">#REF!</definedName>
    <definedName name="nc4.6">#REF!</definedName>
    <definedName name="nc4.7">#REF!</definedName>
    <definedName name="nc4.8">#REF!</definedName>
    <definedName name="nc4.9">#REF!</definedName>
    <definedName name="nc5.0">#REF!</definedName>
    <definedName name="nc5.1">#REF!</definedName>
    <definedName name="nc5.2">#REF!</definedName>
    <definedName name="nc5.3">#REF!</definedName>
    <definedName name="nc5.4">#REF!</definedName>
    <definedName name="nc5.5">#REF!</definedName>
    <definedName name="nc5.6">#REF!</definedName>
    <definedName name="nc5.7">#REF!</definedName>
    <definedName name="nc5.8">#REF!</definedName>
    <definedName name="nc5.9">#REF!</definedName>
    <definedName name="nc6.0">#REF!</definedName>
    <definedName name="nc6.1">#REF!</definedName>
    <definedName name="nc6.2">#REF!</definedName>
    <definedName name="nc6.3">#REF!</definedName>
    <definedName name="nc6.4">#REF!</definedName>
    <definedName name="nc6.5">#REF!</definedName>
    <definedName name="nc6.6">#REF!</definedName>
    <definedName name="nc6.7">#REF!</definedName>
    <definedName name="nc6.8">#REF!</definedName>
    <definedName name="nc6.9">#REF!</definedName>
    <definedName name="nc7.0">#REF!</definedName>
    <definedName name="ncbaotaibovay">#REF!</definedName>
    <definedName name="NCBD100" localSheetId="0">#REF!</definedName>
    <definedName name="NCBD100" localSheetId="1">#REF!</definedName>
    <definedName name="NCBD100">#REF!</definedName>
    <definedName name="NCBD200" localSheetId="0">#REF!</definedName>
    <definedName name="NCBD200" localSheetId="1">#REF!</definedName>
    <definedName name="NCBD200">#REF!</definedName>
    <definedName name="NCBD250">#REF!</definedName>
    <definedName name="NCcap0.7">#REF!</definedName>
    <definedName name="NCcap1">#REF!</definedName>
    <definedName name="NCCT3p">#REF!</definedName>
    <definedName name="ncdd" localSheetId="0">#REF!</definedName>
    <definedName name="ncdd" localSheetId="1">#REF!</definedName>
    <definedName name="ncdd">#REF!</definedName>
    <definedName name="NCDD2" localSheetId="0">#REF!</definedName>
    <definedName name="NCDD2" localSheetId="1">#REF!</definedName>
    <definedName name="NCDD2">#REF!</definedName>
    <definedName name="ncdg" localSheetId="2">#REF!</definedName>
    <definedName name="ncdg" localSheetId="5">#REF!</definedName>
    <definedName name="ncdg" localSheetId="4">#REF!</definedName>
    <definedName name="ncdg" localSheetId="3">#REF!</definedName>
    <definedName name="ncdg" localSheetId="6">#REF!</definedName>
    <definedName name="ncdg" localSheetId="0">#REF!</definedName>
    <definedName name="ncdg" localSheetId="1">#REF!</definedName>
    <definedName name="ncdg">#REF!</definedName>
    <definedName name="NCHC">#REF!</definedName>
    <definedName name="NCKT" localSheetId="2">#REF!</definedName>
    <definedName name="NCKT" localSheetId="5">#REF!</definedName>
    <definedName name="NCKT" localSheetId="4">#REF!</definedName>
    <definedName name="NCKT" localSheetId="3">#REF!</definedName>
    <definedName name="NCKT" localSheetId="6">#REF!</definedName>
    <definedName name="NCKT" localSheetId="0">#REF!</definedName>
    <definedName name="NCKT" localSheetId="1">#REF!</definedName>
    <definedName name="NCKT">#REF!</definedName>
    <definedName name="ncmt2" localSheetId="2">#REF!</definedName>
    <definedName name="ncmt2" localSheetId="5">#REF!</definedName>
    <definedName name="ncmt2" localSheetId="4">#REF!</definedName>
    <definedName name="ncmt2" localSheetId="3">#REF!</definedName>
    <definedName name="ncmt2" localSheetId="6">#REF!</definedName>
    <definedName name="ncmt2" localSheetId="0">#REF!</definedName>
    <definedName name="ncmt2" localSheetId="1">#REF!</definedName>
    <definedName name="ncmt2">#REF!</definedName>
    <definedName name="ncong">#REF!</definedName>
    <definedName name="nct">#REF!</definedName>
    <definedName name="NCT_BKTC">#REF!</definedName>
    <definedName name="ncthepnaphl">#REF!</definedName>
    <definedName name="nctr" localSheetId="0">#REF!</definedName>
    <definedName name="nctr" localSheetId="1">#REF!</definedName>
    <definedName name="nctr">#REF!</definedName>
    <definedName name="nctram" localSheetId="2">#REF!</definedName>
    <definedName name="nctram" localSheetId="5">#REF!</definedName>
    <definedName name="nctram" localSheetId="4">#REF!</definedName>
    <definedName name="nctram" localSheetId="3">#REF!</definedName>
    <definedName name="nctram" localSheetId="6">#REF!</definedName>
    <definedName name="nctram" localSheetId="0">#REF!</definedName>
    <definedName name="nctram" localSheetId="1">#REF!</definedName>
    <definedName name="nctram">#REF!</definedName>
    <definedName name="NCVC100" localSheetId="0">#REF!</definedName>
    <definedName name="NCVC100" localSheetId="1">#REF!</definedName>
    <definedName name="NCVC100">#REF!</definedName>
    <definedName name="NCVC200" localSheetId="0">#REF!</definedName>
    <definedName name="NCVC200" localSheetId="1">#REF!</definedName>
    <definedName name="NCVC200">#REF!</definedName>
    <definedName name="NCVC250">#REF!</definedName>
    <definedName name="NCVC3P">#REF!</definedName>
    <definedName name="NCVCM100">#REF!</definedName>
    <definedName name="NCVCM200">#REF!</definedName>
    <definedName name="nd">#REF!</definedName>
    <definedName name="Nen">#REF!</definedName>
    <definedName name="nenkhi10m3">#REF!</definedName>
    <definedName name="nenkhi1200">#REF!</definedName>
    <definedName name="nenkhidau102">#REF!</definedName>
    <definedName name="nenkhidau120">#REF!</definedName>
    <definedName name="nenkhidau1200">#REF!</definedName>
    <definedName name="nenkhidau200">#REF!</definedName>
    <definedName name="nenkhidau240">#REF!</definedName>
    <definedName name="nenkhidau300">#REF!</definedName>
    <definedName name="nenkhidau360">#REF!</definedName>
    <definedName name="nenkhidau5.5">#REF!</definedName>
    <definedName name="nenkhidau540">#REF!</definedName>
    <definedName name="nenkhidau600">#REF!</definedName>
    <definedName name="nenkhidau660">#REF!</definedName>
    <definedName name="nenkhidau75">#REF!</definedName>
    <definedName name="nenkhidien10">#REF!</definedName>
    <definedName name="nenkhidien150">#REF!</definedName>
    <definedName name="nenkhidien216">#REF!</definedName>
    <definedName name="nenkhidien22">#REF!</definedName>
    <definedName name="nenkhidien270">#REF!</definedName>
    <definedName name="nenkhidien30">#REF!</definedName>
    <definedName name="nenkhidien300">#REF!</definedName>
    <definedName name="nenkhidien5">#REF!</definedName>
    <definedName name="nenkhidien56">#REF!</definedName>
    <definedName name="nenkhidien600">#REF!</definedName>
    <definedName name="nenkhixang11">#REF!</definedName>
    <definedName name="nenkhixang120">#REF!</definedName>
    <definedName name="nenkhixang200">#REF!</definedName>
    <definedName name="nenkhixang25">#REF!</definedName>
    <definedName name="nenkhixang3">#REF!</definedName>
    <definedName name="nenkhixang300">#REF!</definedName>
    <definedName name="nenkhixang40">#REF!</definedName>
    <definedName name="nenkhixang600">#REF!</definedName>
    <definedName name="neo32mm">#REF!</definedName>
    <definedName name="neo4T">#REF!</definedName>
    <definedName name="NET" localSheetId="2">#REF!</definedName>
    <definedName name="NET" localSheetId="5">#REF!</definedName>
    <definedName name="NET" localSheetId="4">#REF!</definedName>
    <definedName name="NET" localSheetId="3">#REF!</definedName>
    <definedName name="NET" localSheetId="6">#REF!</definedName>
    <definedName name="NET" localSheetId="0">#REF!</definedName>
    <definedName name="NET" localSheetId="1">#REF!</definedName>
    <definedName name="NET">#REF!</definedName>
    <definedName name="NET_1" localSheetId="0">#REF!</definedName>
    <definedName name="NET_1" localSheetId="1">#REF!</definedName>
    <definedName name="NET_1">#REF!</definedName>
    <definedName name="NET_ANA" localSheetId="0">#REF!</definedName>
    <definedName name="NET_ANA" localSheetId="1">#REF!</definedName>
    <definedName name="NET_ANA">#REF!</definedName>
    <definedName name="NET_ANA_1">#REF!</definedName>
    <definedName name="NET_ANA_2">#REF!</definedName>
    <definedName name="new">#REF!</definedName>
    <definedName name="NEXT">#REF!</definedName>
    <definedName name="NGAØY">#REF!</definedName>
    <definedName name="ngau">#REF!</definedName>
    <definedName name="Ngay">#REF!</definedName>
    <definedName name="Nghệ_An">#REF!</definedName>
    <definedName name="nght">#REF!</definedName>
    <definedName name="NH">#REF!</definedName>
    <definedName name="Nhâm_CT">#REF!</definedName>
    <definedName name="Nhâm_Ctr">#REF!</definedName>
    <definedName name="Nhancong2">#REF!</definedName>
    <definedName name="NHANH2_CG4" hidden="1">{"'Sheet1'!$L$16"}</definedName>
    <definedName name="Nhapsolieu">#REF!</definedName>
    <definedName name="nhn">#REF!</definedName>
    <definedName name="nhnnc" localSheetId="0">#REF!</definedName>
    <definedName name="nhnnc" localSheetId="1">#REF!</definedName>
    <definedName name="nhnnc">#REF!</definedName>
    <definedName name="nhnvl" localSheetId="0">#REF!</definedName>
    <definedName name="nhnvl" localSheetId="1">#REF!</definedName>
    <definedName name="nhnvl">#REF!</definedName>
    <definedName name="nhoatH30">#REF!</definedName>
    <definedName name="NHot" localSheetId="2">#REF!</definedName>
    <definedName name="NHot" localSheetId="5">#REF!</definedName>
    <definedName name="NHot" localSheetId="4">#REF!</definedName>
    <definedName name="NHot" localSheetId="3">#REF!</definedName>
    <definedName name="NHot" localSheetId="6">#REF!</definedName>
    <definedName name="NHot" localSheetId="0">#REF!</definedName>
    <definedName name="NHot" localSheetId="1">#REF!</definedName>
    <definedName name="NHot">#REF!</definedName>
    <definedName name="nhu" localSheetId="0">#REF!</definedName>
    <definedName name="nhu" localSheetId="1">#REF!</definedName>
    <definedName name="nhu">#REF!</definedName>
    <definedName name="nhua" localSheetId="0">#REF!</definedName>
    <definedName name="nhua" localSheetId="1">#REF!</definedName>
    <definedName name="nhua">#REF!</definedName>
    <definedName name="nhuad">#REF!</definedName>
    <definedName name="Nhuadan">#REF!</definedName>
    <definedName name="nhuaduong">#REF!</definedName>
    <definedName name="nig" localSheetId="2">#REF!</definedName>
    <definedName name="nig" localSheetId="5">#REF!</definedName>
    <definedName name="nig" localSheetId="4">#REF!</definedName>
    <definedName name="nig" localSheetId="3">#REF!</definedName>
    <definedName name="nig" localSheetId="6">#REF!</definedName>
    <definedName name="nig" localSheetId="0">#REF!</definedName>
    <definedName name="nig" localSheetId="1">#REF!</definedName>
    <definedName name="nig">#REF!</definedName>
    <definedName name="NIG13p">#REF!</definedName>
    <definedName name="nig1p" localSheetId="2">#REF!</definedName>
    <definedName name="nig1p" localSheetId="5">#REF!</definedName>
    <definedName name="nig1p" localSheetId="4">#REF!</definedName>
    <definedName name="nig1p" localSheetId="3">#REF!</definedName>
    <definedName name="nig1p" localSheetId="6">#REF!</definedName>
    <definedName name="nig1p" localSheetId="0">#REF!</definedName>
    <definedName name="nig1p" localSheetId="1">#REF!</definedName>
    <definedName name="nig1p">#REF!</definedName>
    <definedName name="nig3p" localSheetId="0">#REF!</definedName>
    <definedName name="nig3p" localSheetId="1">#REF!</definedName>
    <definedName name="nig3p">#REF!</definedName>
    <definedName name="nightnc" localSheetId="0">#REF!</definedName>
    <definedName name="nightnc" localSheetId="1">#REF!</definedName>
    <definedName name="nightnc">#REF!</definedName>
    <definedName name="nightvl" localSheetId="0">#REF!</definedName>
    <definedName name="nightvl" localSheetId="1">#REF!</definedName>
    <definedName name="nightvl">#REF!</definedName>
    <definedName name="NIGnc" localSheetId="2">#REF!</definedName>
    <definedName name="NIGnc" localSheetId="5">#REF!</definedName>
    <definedName name="NIGnc" localSheetId="4">#REF!</definedName>
    <definedName name="NIGnc" localSheetId="3">#REF!</definedName>
    <definedName name="NIGnc" localSheetId="6">#REF!</definedName>
    <definedName name="NIGnc" localSheetId="0">#REF!</definedName>
    <definedName name="NIGnc" localSheetId="1">#REF!</definedName>
    <definedName name="NIGnc">#REF!</definedName>
    <definedName name="nignc1p" localSheetId="0">#REF!</definedName>
    <definedName name="nignc1p" localSheetId="1">#REF!</definedName>
    <definedName name="nignc1p">#REF!</definedName>
    <definedName name="nignc3p" localSheetId="0">#REF!</definedName>
    <definedName name="nignc3p" localSheetId="1">#REF!</definedName>
    <definedName name="nignc3p">#REF!</definedName>
    <definedName name="NIGvc" localSheetId="2">#REF!</definedName>
    <definedName name="NIGvc" localSheetId="5">#REF!</definedName>
    <definedName name="NIGvc" localSheetId="4">#REF!</definedName>
    <definedName name="NIGvc" localSheetId="3">#REF!</definedName>
    <definedName name="NIGvc" localSheetId="6">#REF!</definedName>
    <definedName name="NIGvc" localSheetId="0">#REF!</definedName>
    <definedName name="NIGvc" localSheetId="1">#REF!</definedName>
    <definedName name="NIGvc">#REF!</definedName>
    <definedName name="NIGvl" localSheetId="0">#REF!</definedName>
    <definedName name="NIGvl" localSheetId="1">#REF!</definedName>
    <definedName name="NIGvl">#REF!</definedName>
    <definedName name="nigvl1p" localSheetId="0">#REF!</definedName>
    <definedName name="nigvl1p" localSheetId="1">#REF!</definedName>
    <definedName name="nigvl1p">#REF!</definedName>
    <definedName name="nigvl3p" localSheetId="0">#REF!</definedName>
    <definedName name="nigvl3p" localSheetId="1">#REF!</definedName>
    <definedName name="nigvl3p">#REF!</definedName>
    <definedName name="nin" localSheetId="2">#REF!</definedName>
    <definedName name="nin" localSheetId="5">#REF!</definedName>
    <definedName name="nin" localSheetId="4">#REF!</definedName>
    <definedName name="nin" localSheetId="3">#REF!</definedName>
    <definedName name="nin" localSheetId="6">#REF!</definedName>
    <definedName name="nin" localSheetId="0">#REF!</definedName>
    <definedName name="nin" localSheetId="1">#REF!</definedName>
    <definedName name="nin">#REF!</definedName>
    <definedName name="nin14nc3p" localSheetId="2">#REF!</definedName>
    <definedName name="nin14nc3p" localSheetId="5">#REF!</definedName>
    <definedName name="nin14nc3p" localSheetId="4">#REF!</definedName>
    <definedName name="nin14nc3p" localSheetId="3">#REF!</definedName>
    <definedName name="nin14nc3p" localSheetId="6">#REF!</definedName>
    <definedName name="nin14nc3p" localSheetId="0">#REF!</definedName>
    <definedName name="nin14nc3p" localSheetId="1">#REF!</definedName>
    <definedName name="nin14nc3p">#REF!</definedName>
    <definedName name="nin14vl3p" localSheetId="0">#REF!</definedName>
    <definedName name="nin14vl3p" localSheetId="1">#REF!</definedName>
    <definedName name="nin14vl3p">#REF!</definedName>
    <definedName name="nin1903p" localSheetId="2">#REF!</definedName>
    <definedName name="nin1903p" localSheetId="5">#REF!</definedName>
    <definedName name="nin1903p" localSheetId="4">#REF!</definedName>
    <definedName name="nin1903p" localSheetId="3">#REF!</definedName>
    <definedName name="nin1903p" localSheetId="6">#REF!</definedName>
    <definedName name="nin1903p" localSheetId="0">#REF!</definedName>
    <definedName name="nin1903p" localSheetId="1">#REF!</definedName>
    <definedName name="nin1903p">#REF!</definedName>
    <definedName name="NIN190nc" localSheetId="2">#REF!</definedName>
    <definedName name="NIN190nc" localSheetId="5">#REF!</definedName>
    <definedName name="NIN190nc" localSheetId="4">#REF!</definedName>
    <definedName name="NIN190nc" localSheetId="3">#REF!</definedName>
    <definedName name="NIN190nc" localSheetId="6">#REF!</definedName>
    <definedName name="NIN190nc" localSheetId="0">#REF!</definedName>
    <definedName name="NIN190nc" localSheetId="1">#REF!</definedName>
    <definedName name="NIN190nc">#REF!</definedName>
    <definedName name="nin190nc3p" localSheetId="0">#REF!</definedName>
    <definedName name="nin190nc3p" localSheetId="1">#REF!</definedName>
    <definedName name="nin190nc3p">#REF!</definedName>
    <definedName name="NIN190vl" localSheetId="0">#REF!</definedName>
    <definedName name="NIN190vl" localSheetId="1">#REF!</definedName>
    <definedName name="NIN190vl">#REF!</definedName>
    <definedName name="nin190vl3p" localSheetId="0">#REF!</definedName>
    <definedName name="nin190vl3p" localSheetId="1">#REF!</definedName>
    <definedName name="nin190vl3p">#REF!</definedName>
    <definedName name="nin1pnc" localSheetId="0">#REF!</definedName>
    <definedName name="nin1pnc" localSheetId="1">#REF!</definedName>
    <definedName name="nin1pnc">#REF!</definedName>
    <definedName name="nin1pvl">#REF!</definedName>
    <definedName name="NIN20nc">#REF!</definedName>
    <definedName name="NIN20vc">#REF!</definedName>
    <definedName name="NIN20vl">#REF!</definedName>
    <definedName name="nin2903p">#REF!</definedName>
    <definedName name="nin290nc3p" localSheetId="0">#REF!</definedName>
    <definedName name="nin290nc3p" localSheetId="1">#REF!</definedName>
    <definedName name="nin290nc3p">#REF!</definedName>
    <definedName name="nin290vl3p" localSheetId="0">#REF!</definedName>
    <definedName name="nin290vl3p" localSheetId="1">#REF!</definedName>
    <definedName name="nin290vl3p">#REF!</definedName>
    <definedName name="nin3p" localSheetId="2">#REF!</definedName>
    <definedName name="nin3p" localSheetId="5">#REF!</definedName>
    <definedName name="nin3p" localSheetId="4">#REF!</definedName>
    <definedName name="nin3p" localSheetId="3">#REF!</definedName>
    <definedName name="nin3p" localSheetId="6">#REF!</definedName>
    <definedName name="nin3p" localSheetId="0">#REF!</definedName>
    <definedName name="nin3p" localSheetId="1">#REF!</definedName>
    <definedName name="nin3p">#REF!</definedName>
    <definedName name="NIN9020nc">#REF!</definedName>
    <definedName name="NIN9020vc">#REF!</definedName>
    <definedName name="NIN9020vl">#REF!</definedName>
    <definedName name="NIN90nc">#REF!</definedName>
    <definedName name="NIN90vc">#REF!</definedName>
    <definedName name="NIN90vl">#REF!</definedName>
    <definedName name="nind" localSheetId="0">#REF!</definedName>
    <definedName name="nind" localSheetId="1">#REF!</definedName>
    <definedName name="nind">#REF!</definedName>
    <definedName name="nind1p" localSheetId="0">#REF!</definedName>
    <definedName name="nind1p" localSheetId="1">#REF!</definedName>
    <definedName name="nind1p">#REF!</definedName>
    <definedName name="nind3p">#REF!</definedName>
    <definedName name="NINDnc">#REF!</definedName>
    <definedName name="nindnc1p">#REF!</definedName>
    <definedName name="nindnc3p" localSheetId="0">#REF!</definedName>
    <definedName name="nindnc3p" localSheetId="1">#REF!</definedName>
    <definedName name="nindnc3p">#REF!</definedName>
    <definedName name="NINDvc" localSheetId="2">#REF!</definedName>
    <definedName name="NINDvc" localSheetId="5">#REF!</definedName>
    <definedName name="NINDvc" localSheetId="4">#REF!</definedName>
    <definedName name="NINDvc" localSheetId="3">#REF!</definedName>
    <definedName name="NINDvc" localSheetId="6">#REF!</definedName>
    <definedName name="NINDvc" localSheetId="0">#REF!</definedName>
    <definedName name="NINDvc" localSheetId="1">#REF!</definedName>
    <definedName name="NINDvc">#REF!</definedName>
    <definedName name="NINDvl" localSheetId="0">#REF!</definedName>
    <definedName name="NINDvl" localSheetId="1">#REF!</definedName>
    <definedName name="NINDvl">#REF!</definedName>
    <definedName name="nindvl1p" localSheetId="0">#REF!</definedName>
    <definedName name="nindvl1p" localSheetId="1">#REF!</definedName>
    <definedName name="nindvl1p">#REF!</definedName>
    <definedName name="nindvl3p" localSheetId="0">#REF!</definedName>
    <definedName name="nindvl3p" localSheetId="1">#REF!</definedName>
    <definedName name="nindvl3p">#REF!</definedName>
    <definedName name="ning1p" localSheetId="2">#REF!</definedName>
    <definedName name="ning1p" localSheetId="5">#REF!</definedName>
    <definedName name="ning1p" localSheetId="4">#REF!</definedName>
    <definedName name="ning1p" localSheetId="3">#REF!</definedName>
    <definedName name="ning1p" localSheetId="6">#REF!</definedName>
    <definedName name="ning1p" localSheetId="0">#REF!</definedName>
    <definedName name="ning1p" localSheetId="1">#REF!</definedName>
    <definedName name="ning1p">#REF!</definedName>
    <definedName name="ningnc1p" localSheetId="0">#REF!</definedName>
    <definedName name="ningnc1p" localSheetId="1">#REF!</definedName>
    <definedName name="ningnc1p">#REF!</definedName>
    <definedName name="ningvl1p" localSheetId="0">#REF!</definedName>
    <definedName name="ningvl1p" localSheetId="1">#REF!</definedName>
    <definedName name="ningvl1p">#REF!</definedName>
    <definedName name="NINnc">#REF!</definedName>
    <definedName name="ninnc3p" localSheetId="0">#REF!</definedName>
    <definedName name="ninnc3p" localSheetId="1">#REF!</definedName>
    <definedName name="ninnc3p">#REF!</definedName>
    <definedName name="nint1p" localSheetId="2">#REF!</definedName>
    <definedName name="nint1p" localSheetId="5">#REF!</definedName>
    <definedName name="nint1p" localSheetId="4">#REF!</definedName>
    <definedName name="nint1p" localSheetId="3">#REF!</definedName>
    <definedName name="nint1p" localSheetId="6">#REF!</definedName>
    <definedName name="nint1p" localSheetId="0">#REF!</definedName>
    <definedName name="nint1p" localSheetId="1">#REF!</definedName>
    <definedName name="nint1p">#REF!</definedName>
    <definedName name="nintnc1p" localSheetId="0">#REF!</definedName>
    <definedName name="nintnc1p" localSheetId="1">#REF!</definedName>
    <definedName name="nintnc1p">#REF!</definedName>
    <definedName name="nintvl1p" localSheetId="0">#REF!</definedName>
    <definedName name="nintvl1p" localSheetId="1">#REF!</definedName>
    <definedName name="nintvl1p">#REF!</definedName>
    <definedName name="NINvc">#REF!</definedName>
    <definedName name="NINvl">#REF!</definedName>
    <definedName name="ninvl3p" localSheetId="0">#REF!</definedName>
    <definedName name="ninvl3p" localSheetId="1">#REF!</definedName>
    <definedName name="ninvl3p">#REF!</definedName>
    <definedName name="nl" localSheetId="2">#REF!</definedName>
    <definedName name="nl" localSheetId="5">#REF!</definedName>
    <definedName name="nl" localSheetId="4">#REF!</definedName>
    <definedName name="nl" localSheetId="3">#REF!</definedName>
    <definedName name="nl" localSheetId="6">#REF!</definedName>
    <definedName name="nl" localSheetId="0">#REF!</definedName>
    <definedName name="nl" localSheetId="1">#REF!</definedName>
    <definedName name="nl">#REF!</definedName>
    <definedName name="NL12nc" localSheetId="2">#REF!</definedName>
    <definedName name="NL12nc" localSheetId="5">#REF!</definedName>
    <definedName name="NL12nc" localSheetId="4">#REF!</definedName>
    <definedName name="NL12nc" localSheetId="3">#REF!</definedName>
    <definedName name="NL12nc" localSheetId="6">#REF!</definedName>
    <definedName name="NL12nc" localSheetId="0">#REF!</definedName>
    <definedName name="NL12nc" localSheetId="1">#REF!</definedName>
    <definedName name="NL12nc">#REF!</definedName>
    <definedName name="NL12vl" localSheetId="0">#REF!</definedName>
    <definedName name="NL12vl" localSheetId="1">#REF!</definedName>
    <definedName name="NL12vl">#REF!</definedName>
    <definedName name="nl1p" localSheetId="2">#REF!</definedName>
    <definedName name="nl1p" localSheetId="5">#REF!</definedName>
    <definedName name="nl1p" localSheetId="4">#REF!</definedName>
    <definedName name="nl1p" localSheetId="3">#REF!</definedName>
    <definedName name="nl1p" localSheetId="6">#REF!</definedName>
    <definedName name="nl1p" localSheetId="0">#REF!</definedName>
    <definedName name="nl1p" localSheetId="1">#REF!</definedName>
    <definedName name="nl1p">#REF!</definedName>
    <definedName name="nl3p" localSheetId="0">#REF!</definedName>
    <definedName name="nl3p" localSheetId="1">#REF!</definedName>
    <definedName name="nl3p">#REF!</definedName>
    <definedName name="nlht" localSheetId="0">#REF!</definedName>
    <definedName name="nlht" localSheetId="1">#REF!</definedName>
    <definedName name="nlht">#REF!</definedName>
    <definedName name="nlmtc" localSheetId="0">#REF!</definedName>
    <definedName name="nlmtc" localSheetId="1">#REF!</definedName>
    <definedName name="nlmtc">#REF!</definedName>
    <definedName name="nlnc" localSheetId="0">#REF!</definedName>
    <definedName name="nlnc" localSheetId="1">#REF!</definedName>
    <definedName name="nlnc">#REF!</definedName>
    <definedName name="nlnc3p">#REF!</definedName>
    <definedName name="nlnc3pha">#REF!</definedName>
    <definedName name="NLTK1p" localSheetId="2">#REF!</definedName>
    <definedName name="NLTK1p" localSheetId="5">#REF!</definedName>
    <definedName name="NLTK1p" localSheetId="4">#REF!</definedName>
    <definedName name="NLTK1p" localSheetId="3">#REF!</definedName>
    <definedName name="NLTK1p" localSheetId="6">#REF!</definedName>
    <definedName name="NLTK1p" localSheetId="0">#REF!</definedName>
    <definedName name="NLTK1p" localSheetId="1">#REF!</definedName>
    <definedName name="NLTK1p">#REF!</definedName>
    <definedName name="nlvl" localSheetId="2">#REF!</definedName>
    <definedName name="nlvl" localSheetId="5">#REF!</definedName>
    <definedName name="nlvl" localSheetId="4">#REF!</definedName>
    <definedName name="nlvl" localSheetId="3">#REF!</definedName>
    <definedName name="nlvl" localSheetId="6">#REF!</definedName>
    <definedName name="nlvl" localSheetId="0">#REF!</definedName>
    <definedName name="nlvl" localSheetId="1">#REF!</definedName>
    <definedName name="nlvl">#REF!</definedName>
    <definedName name="nlvl1">#REF!</definedName>
    <definedName name="nlvl3p">#REF!</definedName>
    <definedName name="nm" localSheetId="0">#REF!</definedName>
    <definedName name="nm" localSheetId="1">#REF!</definedName>
    <definedName name="nm">#REF!</definedName>
    <definedName name="Nms">#REF!</definedName>
    <definedName name="nn" localSheetId="0">#REF!</definedName>
    <definedName name="nn" localSheetId="1">#REF!</definedName>
    <definedName name="nn">#REF!</definedName>
    <definedName name="nn1p" localSheetId="0">#REF!</definedName>
    <definedName name="nn1p" localSheetId="1">#REF!</definedName>
    <definedName name="nn1p">#REF!</definedName>
    <definedName name="nn3p" localSheetId="0">#REF!</definedName>
    <definedName name="nn3p" localSheetId="1">#REF!</definedName>
    <definedName name="nn3p">#REF!</definedName>
    <definedName name="nng">#REF!</definedName>
    <definedName name="nnnc" localSheetId="0">#REF!</definedName>
    <definedName name="nnnc" localSheetId="1">#REF!</definedName>
    <definedName name="nnnc">#REF!</definedName>
    <definedName name="nnnc3p" localSheetId="0">#REF!</definedName>
    <definedName name="nnnc3p" localSheetId="1">#REF!</definedName>
    <definedName name="nnnc3p">#REF!</definedName>
    <definedName name="nnvl" localSheetId="0">#REF!</definedName>
    <definedName name="nnvl" localSheetId="1">#REF!</definedName>
    <definedName name="nnvl">#REF!</definedName>
    <definedName name="nnvl3p" localSheetId="0">#REF!</definedName>
    <definedName name="nnvl3p" localSheetId="1">#REF!</definedName>
    <definedName name="nnvl3p">#REF!</definedName>
    <definedName name="No" localSheetId="2">#REF!</definedName>
    <definedName name="No" localSheetId="5">#REF!</definedName>
    <definedName name="No" localSheetId="4">#REF!</definedName>
    <definedName name="No" localSheetId="3">#REF!</definedName>
    <definedName name="No" localSheetId="6">#REF!</definedName>
    <definedName name="No" localSheetId="0">#REF!</definedName>
    <definedName name="No" localSheetId="1">#REF!</definedName>
    <definedName name="No">#REF!</definedName>
    <definedName name="NoiSuy_TKP">#REF!</definedName>
    <definedName name="Np">#REF!</definedName>
    <definedName name="nps">#REF!</definedName>
    <definedName name="Nq">#REF!</definedName>
    <definedName name="NQD">#REF!</definedName>
    <definedName name="NS_ChonThauTB">#REF!</definedName>
    <definedName name="NS_ChonThauXL">#REF!</definedName>
    <definedName name="NS_CPQLDA">#REF!</definedName>
    <definedName name="NS_GiamSatTB">#REF!</definedName>
    <definedName name="NS_GiamSatXL">#REF!</definedName>
    <definedName name="NS_KiemToan">#REF!</definedName>
    <definedName name="NS_QToan">#REF!</definedName>
    <definedName name="NS_ThamTraDT">#REF!</definedName>
    <definedName name="NS_ThamTraTK">#REF!</definedName>
    <definedName name="nsl">#REF!</definedName>
    <definedName name="NSTW">#REF!</definedName>
    <definedName name="ntb">#REF!</definedName>
    <definedName name="ÑTHH">#REF!</definedName>
    <definedName name="NToS" localSheetId="2">#REF!</definedName>
    <definedName name="NToS" localSheetId="5">#REF!</definedName>
    <definedName name="NToS" localSheetId="4">#REF!</definedName>
    <definedName name="NToS" localSheetId="3">#REF!</definedName>
    <definedName name="NToS" localSheetId="6">#REF!</definedName>
    <definedName name="NToS" localSheetId="1">#REF!</definedName>
    <definedName name="NToS">#REF!</definedName>
    <definedName name="Nu">#REF!</definedName>
    <definedName name="nuoc">#REF!</definedName>
    <definedName name="nuoc2">#REF!</definedName>
    <definedName name="nuoc4">#REF!</definedName>
    <definedName name="nuoc5">#REF!</definedName>
    <definedName name="nx" localSheetId="2">#REF!</definedName>
    <definedName name="nx" localSheetId="5">#REF!</definedName>
    <definedName name="nx" localSheetId="4">#REF!</definedName>
    <definedName name="nx" localSheetId="3">#REF!</definedName>
    <definedName name="nx" localSheetId="6">#REF!</definedName>
    <definedName name="nx" localSheetId="0">#REF!</definedName>
    <definedName name="nx" localSheetId="1">#REF!</definedName>
    <definedName name="nx">#REF!</definedName>
    <definedName name="NXHT">#REF!</definedName>
    <definedName name="nxmtc" localSheetId="2">#REF!</definedName>
    <definedName name="nxmtc" localSheetId="5">#REF!</definedName>
    <definedName name="nxmtc" localSheetId="4">#REF!</definedName>
    <definedName name="nxmtc" localSheetId="3">#REF!</definedName>
    <definedName name="nxmtc" localSheetId="6">#REF!</definedName>
    <definedName name="nxmtc" localSheetId="0">#REF!</definedName>
    <definedName name="nxmtc" localSheetId="1">#REF!</definedName>
    <definedName name="nxmtc">#REF!</definedName>
    <definedName name="NXnc">#REF!</definedName>
    <definedName name="NXT_NL">#REF!</definedName>
    <definedName name="NXT_TP">#REF!</definedName>
    <definedName name="NXvl">#REF!</definedName>
    <definedName name="O">#REF!</definedName>
    <definedName name="O_N">#REF!</definedName>
    <definedName name="Ö135">#REF!</definedName>
    <definedName name="oa">#REF!</definedName>
    <definedName name="ob">#REF!</definedName>
    <definedName name="og" localSheetId="0">#REF!</definedName>
    <definedName name="og" localSheetId="1">#REF!</definedName>
    <definedName name="og">#REF!</definedName>
    <definedName name="ol">#REF!</definedName>
    <definedName name="on" localSheetId="0">#REF!</definedName>
    <definedName name="on" localSheetId="1">#REF!</definedName>
    <definedName name="on">#REF!</definedName>
    <definedName name="ong_cong_duc_san">#REF!</definedName>
    <definedName name="Ong_cong_hinh_hop_do_tai_cho">#REF!</definedName>
    <definedName name="ongnuoc">#REF!</definedName>
    <definedName name="ophom" localSheetId="0">#REF!</definedName>
    <definedName name="ophom" localSheetId="1">#REF!</definedName>
    <definedName name="ophom">#REF!</definedName>
    <definedName name="OrderTable" hidden="1">#REF!</definedName>
    <definedName name="osc" localSheetId="0">#REF!</definedName>
    <definedName name="osc" localSheetId="1">#REF!</definedName>
    <definedName name="osc">#REF!</definedName>
    <definedName name="ot" localSheetId="0">#REF!</definedName>
    <definedName name="ot" localSheetId="1">#REF!</definedName>
    <definedName name="ot">#REF!</definedName>
    <definedName name="OTHER_PANEL" localSheetId="0">#REF!</definedName>
    <definedName name="OTHER_PANEL" localSheetId="1">#REF!</definedName>
    <definedName name="OTHER_PANEL">#REF!</definedName>
    <definedName name="OtherWork">#REF!</definedName>
    <definedName name="oto10T">#REF!</definedName>
    <definedName name="oto5T">#REF!</definedName>
    <definedName name="oto7T">#REF!</definedName>
    <definedName name="otonhua">#REF!</definedName>
    <definedName name="otothung10">#REF!</definedName>
    <definedName name="otothung12">#REF!</definedName>
    <definedName name="otothung12.5">#REF!</definedName>
    <definedName name="otothung2">#REF!</definedName>
    <definedName name="otothung2.5">#REF!</definedName>
    <definedName name="otothung20">#REF!</definedName>
    <definedName name="otothung4">#REF!</definedName>
    <definedName name="otothung5">#REF!</definedName>
    <definedName name="otothung6">#REF!</definedName>
    <definedName name="otothung7">#REF!</definedName>
    <definedName name="ototudo10">#REF!</definedName>
    <definedName name="ototudo12">#REF!</definedName>
    <definedName name="ototudo15">#REF!</definedName>
    <definedName name="ototudo2.5">#REF!</definedName>
    <definedName name="ototudo20">#REF!</definedName>
    <definedName name="ototudo25">#REF!</definedName>
    <definedName name="ototudo27">#REF!</definedName>
    <definedName name="ototudo3.5">#REF!</definedName>
    <definedName name="ototudo4">#REF!</definedName>
    <definedName name="ototudo5">#REF!</definedName>
    <definedName name="ototudo6">#REF!</definedName>
    <definedName name="ototudo7">#REF!</definedName>
    <definedName name="ototudo9">#REF!</definedName>
    <definedName name="ototuoinuoc4">#REF!</definedName>
    <definedName name="ototuoinuoc5">#REF!</definedName>
    <definedName name="ototuoinuoc6">#REF!</definedName>
    <definedName name="ototuoinuoc7">#REF!</definedName>
    <definedName name="Out">#REF!</definedName>
    <definedName name="ov">#REF!</definedName>
    <definedName name="ox">#REF!</definedName>
    <definedName name="oxy">#REF!</definedName>
    <definedName name="P">#REF!</definedName>
    <definedName name="P_15">#REF!</definedName>
    <definedName name="p1_">#REF!</definedName>
    <definedName name="p2_">#REF!</definedName>
    <definedName name="P3_">#REF!</definedName>
    <definedName name="PA" localSheetId="0">#REF!</definedName>
    <definedName name="PA" localSheetId="1">#REF!</definedName>
    <definedName name="PA">#REF!</definedName>
    <definedName name="PA3.1" hidden="1">{"'Sheet1'!$L$16"}</definedName>
    <definedName name="PAIII_" hidden="1">{"'Sheet1'!$L$16"}</definedName>
    <definedName name="Painting">#REF!</definedName>
    <definedName name="panen" localSheetId="2">#REF!</definedName>
    <definedName name="panen" localSheetId="5">#REF!</definedName>
    <definedName name="panen" localSheetId="4">#REF!</definedName>
    <definedName name="panen" localSheetId="3">#REF!</definedName>
    <definedName name="panen" localSheetId="6">#REF!</definedName>
    <definedName name="panen" localSheetId="0">#REF!</definedName>
    <definedName name="panen" localSheetId="1">#REF!</definedName>
    <definedName name="panen">#REF!</definedName>
    <definedName name="pantoi">#REF!</definedName>
    <definedName name="pbcpk">#REF!</definedName>
    <definedName name="pbng">#REF!</definedName>
    <definedName name="Pc">#REF!</definedName>
    <definedName name="PChe">#REF!</definedName>
    <definedName name="Pd">#REF!</definedName>
    <definedName name="PEJM" localSheetId="2">#REF!</definedName>
    <definedName name="PEJM" localSheetId="5">#REF!</definedName>
    <definedName name="PEJM" localSheetId="4">#REF!</definedName>
    <definedName name="PEJM" localSheetId="3">#REF!</definedName>
    <definedName name="PEJM" localSheetId="6">#REF!</definedName>
    <definedName name="PEJM" localSheetId="0">#REF!</definedName>
    <definedName name="PEJM" localSheetId="1">#REF!</definedName>
    <definedName name="PEJM">#REF!</definedName>
    <definedName name="PF">#REF!</definedName>
    <definedName name="pgia">#REF!</definedName>
    <definedName name="Phan_cap">#REF!</definedName>
    <definedName name="PHAN_DIEN_DZ0.4KV" localSheetId="0">#REF!</definedName>
    <definedName name="PHAN_DIEN_DZ0.4KV" localSheetId="1">#REF!</definedName>
    <definedName name="PHAN_DIEN_DZ0.4KV">#REF!</definedName>
    <definedName name="PHAN_DIEN_TBA" localSheetId="0">#REF!</definedName>
    <definedName name="PHAN_DIEN_TBA" localSheetId="1">#REF!</definedName>
    <definedName name="PHAN_DIEN_TBA">#REF!</definedName>
    <definedName name="PHAN_MUA_SAM_DZ0.4KV" localSheetId="0">#REF!</definedName>
    <definedName name="PHAN_MUA_SAM_DZ0.4KV" localSheetId="1">#REF!</definedName>
    <definedName name="PHAN_MUA_SAM_DZ0.4KV">#REF!</definedName>
    <definedName name="phanbtct" localSheetId="2">#REF!</definedName>
    <definedName name="phanbtct" localSheetId="5">#REF!</definedName>
    <definedName name="phanbtct" localSheetId="4">#REF!</definedName>
    <definedName name="phanbtct" localSheetId="3">#REF!</definedName>
    <definedName name="phanbtct" localSheetId="6">#REF!</definedName>
    <definedName name="phanbtct" localSheetId="1">#REF!</definedName>
    <definedName name="phanbtct">#REF!</definedName>
    <definedName name="phandien" localSheetId="2">#REF!</definedName>
    <definedName name="phandien" localSheetId="5">#REF!</definedName>
    <definedName name="phandien" localSheetId="4">#REF!</definedName>
    <definedName name="phandien" localSheetId="3">#REF!</definedName>
    <definedName name="phandien" localSheetId="6">#REF!</definedName>
    <definedName name="phandien" localSheetId="1">#REF!</definedName>
    <definedName name="phandien">#REF!</definedName>
    <definedName name="phanhoanthien" localSheetId="2">#REF!</definedName>
    <definedName name="phanhoanthien" localSheetId="5">#REF!</definedName>
    <definedName name="phanhoanthien" localSheetId="4">#REF!</definedName>
    <definedName name="phanhoanthien" localSheetId="3">#REF!</definedName>
    <definedName name="phanhoanthien" localSheetId="6">#REF!</definedName>
    <definedName name="phanhoanthien" localSheetId="1">#REF!</definedName>
    <definedName name="phanhoanthien">#REF!</definedName>
    <definedName name="phannuoc" localSheetId="2">#REF!</definedName>
    <definedName name="phannuoc" localSheetId="5">#REF!</definedName>
    <definedName name="phannuoc" localSheetId="4">#REF!</definedName>
    <definedName name="phannuoc" localSheetId="3">#REF!</definedName>
    <definedName name="phannuoc" localSheetId="6">#REF!</definedName>
    <definedName name="phannuoc" localSheetId="1">#REF!</definedName>
    <definedName name="phannuoc">#REF!</definedName>
    <definedName name="phanxay" localSheetId="2">#REF!</definedName>
    <definedName name="phanxay" localSheetId="5">#REF!</definedName>
    <definedName name="phanxay" localSheetId="4">#REF!</definedName>
    <definedName name="phanxay" localSheetId="3">#REF!</definedName>
    <definedName name="phanxay" localSheetId="6">#REF!</definedName>
    <definedName name="phanxay" localSheetId="1">#REF!</definedName>
    <definedName name="phanxay">#REF!</definedName>
    <definedName name="phatdien10">#REF!</definedName>
    <definedName name="phatdien112">#REF!</definedName>
    <definedName name="phatdien122">#REF!</definedName>
    <definedName name="phatdien15">#REF!</definedName>
    <definedName name="phatdien20">#REF!</definedName>
    <definedName name="phatdien25">#REF!</definedName>
    <definedName name="phatdien30">#REF!</definedName>
    <definedName name="phatdien38">#REF!</definedName>
    <definedName name="phatdien45">#REF!</definedName>
    <definedName name="phatdien5.2">#REF!</definedName>
    <definedName name="phatdien50">#REF!</definedName>
    <definedName name="phatdien60">#REF!</definedName>
    <definedName name="phatdien75">#REF!</definedName>
    <definedName name="phatdien8">#REF!</definedName>
    <definedName name="phen">#REF!</definedName>
    <definedName name="phi">#REF!</definedName>
    <definedName name="phi_inertial">#REF!</definedName>
    <definedName name="Phi_le_phi">#REF!</definedName>
    <definedName name="phio">#REF!</definedName>
    <definedName name="Phone">#REF!</definedName>
    <definedName name="phson">#REF!</definedName>
    <definedName name="phu_luc_vua" localSheetId="2">#REF!</definedName>
    <definedName name="phu_luc_vua" localSheetId="5">#REF!</definedName>
    <definedName name="phu_luc_vua" localSheetId="4">#REF!</definedName>
    <definedName name="phu_luc_vua" localSheetId="3">#REF!</definedName>
    <definedName name="phu_luc_vua" localSheetId="6">#REF!</definedName>
    <definedName name="phu_luc_vua" localSheetId="0">#REF!</definedName>
    <definedName name="phu_luc_vua" localSheetId="1">#REF!</definedName>
    <definedName name="phu_luc_vua">#REF!</definedName>
    <definedName name="Phú_Yên">#REF!</definedName>
    <definedName name="phugia">#REF!</definedName>
    <definedName name="phugia2">#REF!</definedName>
    <definedName name="phugia3">#REF!</definedName>
    <definedName name="phugia4">#REF!</definedName>
    <definedName name="phugia5">#REF!</definedName>
    <definedName name="PierData">#REF!</definedName>
    <definedName name="PIL">#REF!</definedName>
    <definedName name="PileSize">#REF!</definedName>
    <definedName name="PileType">#REF!</definedName>
    <definedName name="PK">#REF!</definedName>
    <definedName name="PL_指示燈___P.B.___REST_P.B._壓扣開關" localSheetId="2">#REF!</definedName>
    <definedName name="PL_指示燈___P.B.___REST_P.B._壓扣開關" localSheetId="5">#REF!</definedName>
    <definedName name="PL_指示燈___P.B.___REST_P.B._壓扣開關" localSheetId="4">#REF!</definedName>
    <definedName name="PL_指示燈___P.B.___REST_P.B._壓扣開關" localSheetId="3">#REF!</definedName>
    <definedName name="PL_指示燈___P.B.___REST_P.B._壓扣開關" localSheetId="6">#REF!</definedName>
    <definedName name="PL_指示燈___P.B.___REST_P.B._壓扣開關" localSheetId="0">#REF!</definedName>
    <definedName name="PL_指示燈___P.B.___REST_P.B._壓扣開關" localSheetId="1">#REF!</definedName>
    <definedName name="PL_指示燈___P.B.___REST_P.B._壓扣開關">#REF!</definedName>
    <definedName name="Plaster" localSheetId="0">#REF!</definedName>
    <definedName name="Plaster" localSheetId="1">#REF!</definedName>
    <definedName name="Plaster">#REF!</definedName>
    <definedName name="Plc_">#REF!</definedName>
    <definedName name="plctel">#REF!</definedName>
    <definedName name="PLKL" localSheetId="2">#REF!</definedName>
    <definedName name="PLKL" localSheetId="5">#REF!</definedName>
    <definedName name="PLKL" localSheetId="4">#REF!</definedName>
    <definedName name="PLKL" localSheetId="3">#REF!</definedName>
    <definedName name="PLKL" localSheetId="6">#REF!</definedName>
    <definedName name="PLKL" localSheetId="0">#REF!</definedName>
    <definedName name="PLKL" localSheetId="1">#REF!</definedName>
    <definedName name="PLKL">#REF!</definedName>
    <definedName name="PLM">#REF!</definedName>
    <definedName name="PLOT">#REF!</definedName>
    <definedName name="PLV">#REF!</definedName>
    <definedName name="PM">#REF!</definedName>
    <definedName name="pm..">#REF!</definedName>
    <definedName name="PMS" hidden="1">{"'Sheet1'!$L$16"}</definedName>
    <definedName name="PMUX">#REF!</definedName>
    <definedName name="Pno">#REF!</definedName>
    <definedName name="Poppy">#REF!</definedName>
    <definedName name="pp_1XDM">#REF!</definedName>
    <definedName name="pp_3XDM">#REF!</definedName>
    <definedName name="PR">#REF!</definedName>
    <definedName name="PRICE" localSheetId="2">#REF!</definedName>
    <definedName name="PRICE" localSheetId="5">#REF!</definedName>
    <definedName name="PRICE" localSheetId="4">#REF!</definedName>
    <definedName name="PRICE" localSheetId="3">#REF!</definedName>
    <definedName name="PRICE" localSheetId="6">#REF!</definedName>
    <definedName name="PRICE" localSheetId="0">#REF!</definedName>
    <definedName name="PRICE" localSheetId="1">#REF!</definedName>
    <definedName name="PRICE">#REF!</definedName>
    <definedName name="PRICE1" localSheetId="0">#REF!</definedName>
    <definedName name="PRICE1" localSheetId="1">#REF!</definedName>
    <definedName name="PRICE1">#REF!</definedName>
    <definedName name="_xlnm.Print_Area" localSheetId="2">'Chi tiết 23.7'!$A$1:$CT$590</definedName>
    <definedName name="_xlnm.Print_Area" localSheetId="5">'Phân khai vốn năm 2026'!$A$1:$K$12</definedName>
    <definedName name="_xlnm.Print_Area" localSheetId="4">'PL1. CĐT'!$A$1:$DA$127</definedName>
    <definedName name="_xlnm.Print_Area" localSheetId="3">SX!$A$1:$CT$586</definedName>
    <definedName name="_xlnm.Print_Area" localSheetId="6">SXEP!$A$1:$CW$127</definedName>
    <definedName name="_xlnm.Print_Area" localSheetId="0">'TH NGUON'!$A$1:$K$37</definedName>
    <definedName name="_xlnm.Print_Area" localSheetId="1">'TH NGUON (2)'!$A$1:$S$25</definedName>
    <definedName name="Print_Area_MI">#REF!</definedName>
    <definedName name="_xlnm.Print_Titles" localSheetId="2">'Chi tiết 23.7'!$A:$CT,'Chi tiết 23.7'!$7:$13</definedName>
    <definedName name="_xlnm.Print_Titles" localSheetId="5">'Phân khai vốn năm 2026'!$3:$4</definedName>
    <definedName name="_xlnm.Print_Titles" localSheetId="4">'PL1. CĐT'!$A:$DA,'PL1. CĐT'!$7:$13</definedName>
    <definedName name="_xlnm.Print_Titles" localSheetId="3">SX!$A:$CT,SX!$7:$13</definedName>
    <definedName name="_xlnm.Print_Titles" localSheetId="6">SXEP!$A:$CW,SXEP!$7:$13</definedName>
    <definedName name="_xlnm.Print_Titles">#N/A</definedName>
    <definedName name="Print_Titles_MI" localSheetId="2">#REF!</definedName>
    <definedName name="Print_Titles_MI" localSheetId="5">#REF!</definedName>
    <definedName name="Print_Titles_MI" localSheetId="4">#REF!</definedName>
    <definedName name="Print_Titles_MI" localSheetId="3">#REF!</definedName>
    <definedName name="Print_Titles_MI" localSheetId="6">#REF!</definedName>
    <definedName name="Print_Titles_MI" localSheetId="0">#REF!</definedName>
    <definedName name="Print_Titles_MI" localSheetId="1">#REF!</definedName>
    <definedName name="Print_Titles_MI">#REF!</definedName>
    <definedName name="PRINTA" localSheetId="0">#REF!</definedName>
    <definedName name="PRINTA" localSheetId="1">#REF!</definedName>
    <definedName name="PRINTA">#REF!</definedName>
    <definedName name="PRINTB" localSheetId="0">#REF!</definedName>
    <definedName name="PRINTB" localSheetId="1">#REF!</definedName>
    <definedName name="PRINTB">#REF!</definedName>
    <definedName name="PRINTC">#REF!</definedName>
    <definedName name="prjName">#REF!</definedName>
    <definedName name="prjNo">#REF!</definedName>
    <definedName name="Pro_Soil">#REF!</definedName>
    <definedName name="ProdForm" hidden="1">#REF!</definedName>
    <definedName name="Product" hidden="1">#REF!</definedName>
    <definedName name="PROPOSAL">#REF!</definedName>
    <definedName name="Province">#REF!</definedName>
    <definedName name="Pse">#REF!</definedName>
    <definedName name="Pso">#REF!</definedName>
    <definedName name="pt">#REF!</definedName>
    <definedName name="PT_Duong">#REF!</definedName>
    <definedName name="ptbc">#REF!</definedName>
    <definedName name="PTC">#REF!</definedName>
    <definedName name="ptdg">#REF!</definedName>
    <definedName name="PTDG_cau">#REF!</definedName>
    <definedName name="ptdg_cong">#REF!</definedName>
    <definedName name="PTDG_DCV">#REF!</definedName>
    <definedName name="ptdg_duong">#REF!</definedName>
    <definedName name="ptdg_ke">#REF!</definedName>
    <definedName name="PTE">#REF!</definedName>
    <definedName name="PTNC">#REF!</definedName>
    <definedName name="PTST">#REF!</definedName>
    <definedName name="ptvt">#REF!</definedName>
    <definedName name="Pu">#REF!</definedName>
    <definedName name="pvd" localSheetId="2">#REF!</definedName>
    <definedName name="pvd" localSheetId="5">#REF!</definedName>
    <definedName name="pvd" localSheetId="4">#REF!</definedName>
    <definedName name="pvd" localSheetId="3">#REF!</definedName>
    <definedName name="pvd" localSheetId="6">#REF!</definedName>
    <definedName name="pvd" localSheetId="0">#REF!</definedName>
    <definedName name="pvd" localSheetId="1">#REF!</definedName>
    <definedName name="pvd">#REF!</definedName>
    <definedName name="pw">#REF!</definedName>
    <definedName name="Q">#REF!</definedName>
    <definedName name="Qc">#REF!</definedName>
    <definedName name="qd">#REF!</definedName>
    <definedName name="qh" localSheetId="0">#REF!</definedName>
    <definedName name="qh" localSheetId="1">#REF!</definedName>
    <definedName name="qh">#REF!</definedName>
    <definedName name="qhcl" localSheetId="0">#REF!</definedName>
    <definedName name="qhcl" localSheetId="1">#REF!</definedName>
    <definedName name="qhcl">#REF!</definedName>
    <definedName name="qhCu">#REF!</definedName>
    <definedName name="ql" localSheetId="0">#REF!</definedName>
    <definedName name="ql" localSheetId="1">#REF!</definedName>
    <definedName name="ql">#REF!</definedName>
    <definedName name="qlcan">#REF!</definedName>
    <definedName name="qp">#REF!</definedName>
    <definedName name="qtdm" localSheetId="2">#REF!</definedName>
    <definedName name="qtdm" localSheetId="5">#REF!</definedName>
    <definedName name="qtdm" localSheetId="4">#REF!</definedName>
    <definedName name="qtdm" localSheetId="3">#REF!</definedName>
    <definedName name="qtdm" localSheetId="6">#REF!</definedName>
    <definedName name="qtdm" localSheetId="0">#REF!</definedName>
    <definedName name="qtdm" localSheetId="1">#REF!</definedName>
    <definedName name="qtdm">#REF!</definedName>
    <definedName name="qtinh">#REF!</definedName>
    <definedName name="QTY">#REF!</definedName>
    <definedName name="qu">#REF!</definedName>
    <definedName name="Quảng_Bình">#REF!</definedName>
    <definedName name="Quảng_Nam">#REF!</definedName>
    <definedName name="Quảng_Ngãi">#REF!</definedName>
    <definedName name="Quảng_Ninh">#REF!</definedName>
    <definedName name="Quantities">#REF!</definedName>
    <definedName name="quehan">#REF!</definedName>
    <definedName name="QUY.1">#REF!</definedName>
    <definedName name="qx" localSheetId="0">#REF!</definedName>
    <definedName name="qx" localSheetId="1">#REF!</definedName>
    <definedName name="qx">#REF!</definedName>
    <definedName name="qy">#REF!</definedName>
    <definedName name="r_">#REF!</definedName>
    <definedName name="R_mong">#REF!</definedName>
    <definedName name="Ra_">#REF!</definedName>
    <definedName name="ra11p" localSheetId="2">#REF!</definedName>
    <definedName name="ra11p" localSheetId="5">#REF!</definedName>
    <definedName name="ra11p" localSheetId="4">#REF!</definedName>
    <definedName name="ra11p" localSheetId="3">#REF!</definedName>
    <definedName name="ra11p" localSheetId="6">#REF!</definedName>
    <definedName name="ra11p" localSheetId="0">#REF!</definedName>
    <definedName name="ra11p" localSheetId="1">#REF!</definedName>
    <definedName name="ra11p">#REF!</definedName>
    <definedName name="ra13p" localSheetId="0">#REF!</definedName>
    <definedName name="ra13p" localSheetId="1">#REF!</definedName>
    <definedName name="ra13p">#REF!</definedName>
    <definedName name="rack1" localSheetId="0">#REF!</definedName>
    <definedName name="rack1" localSheetId="1">#REF!</definedName>
    <definedName name="rack1">#REF!</definedName>
    <definedName name="rack2">#REF!</definedName>
    <definedName name="rack3">#REF!</definedName>
    <definedName name="rack4">#REF!</definedName>
    <definedName name="Racot">#REF!</definedName>
    <definedName name="rad">#REF!</definedName>
    <definedName name="Radam">#REF!</definedName>
    <definedName name="RAFT">#REF!</definedName>
    <definedName name="raiasphalt100">#REF!</definedName>
    <definedName name="raiasphalt65">#REF!</definedName>
    <definedName name="rain..">#REF!</definedName>
    <definedName name="rate">14000</definedName>
    <definedName name="Raûi_pheân_tre" localSheetId="0">#REF!</definedName>
    <definedName name="Raûi_pheân_tre" localSheetId="1">#REF!</definedName>
    <definedName name="Raûi_pheân_tre">#REF!</definedName>
    <definedName name="raypb43">#REF!</definedName>
    <definedName name="RBL">#REF!</definedName>
    <definedName name="RBOHT">#REF!</definedName>
    <definedName name="RBOSHT">#REF!</definedName>
    <definedName name="RBSHT">#REF!</definedName>
    <definedName name="Rc_">#REF!</definedName>
    <definedName name="RC_frame">#REF!</definedName>
    <definedName name="RCArea" hidden="1">#REF!</definedName>
    <definedName name="Rcc">#REF!</definedName>
    <definedName name="re" hidden="1">{"'Sheet1'!$L$16"}</definedName>
    <definedName name="_xlnm.Recorder" localSheetId="2">#REF!</definedName>
    <definedName name="_xlnm.Recorder" localSheetId="5">#REF!</definedName>
    <definedName name="_xlnm.Recorder" localSheetId="4">#REF!</definedName>
    <definedName name="_xlnm.Recorder" localSheetId="3">#REF!</definedName>
    <definedName name="_xlnm.Recorder" localSheetId="6">#REF!</definedName>
    <definedName name="_xlnm.Recorder" localSheetId="0">#REF!</definedName>
    <definedName name="_xlnm.Recorder" localSheetId="1">#REF!</definedName>
    <definedName name="_xlnm.Recorder">#REF!</definedName>
    <definedName name="RECOUT">#N/A</definedName>
    <definedName name="Region">#REF!</definedName>
    <definedName name="relay">#REF!</definedName>
    <definedName name="REP">#REF!</definedName>
    <definedName name="RF">#REF!</definedName>
    <definedName name="Rfa">#REF!</definedName>
    <definedName name="Rfn">#REF!</definedName>
    <definedName name="RFP003A" localSheetId="0">#REF!</definedName>
    <definedName name="RFP003A" localSheetId="1">#REF!</definedName>
    <definedName name="RFP003A">#REF!</definedName>
    <definedName name="RFP003B" localSheetId="0">#REF!</definedName>
    <definedName name="RFP003B" localSheetId="1">#REF!</definedName>
    <definedName name="RFP003B">#REF!</definedName>
    <definedName name="RFP003C" localSheetId="0">#REF!</definedName>
    <definedName name="RFP003C" localSheetId="1">#REF!</definedName>
    <definedName name="RFP003C">#REF!</definedName>
    <definedName name="RFP003D">#REF!</definedName>
    <definedName name="RFP003E">#REF!</definedName>
    <definedName name="RFP003F">#REF!</definedName>
    <definedName name="rfthxdeggh">#REF!</definedName>
    <definedName name="RGHGSD" hidden="1">{"'Sheet1'!$L$16"}</definedName>
    <definedName name="Rhh">#REF!</definedName>
    <definedName name="Rhm">#REF!</definedName>
    <definedName name="RHSHT">#REF!</definedName>
    <definedName name="River">#REF!</definedName>
    <definedName name="River_Code">#REF!</definedName>
    <definedName name="Rmm">#REF!</definedName>
    <definedName name="RMSHT">#REF!</definedName>
    <definedName name="Rncot">#REF!</definedName>
    <definedName name="Rndam">#REF!</definedName>
    <definedName name="Ro">#REF!</definedName>
    <definedName name="Road_Code">#REF!</definedName>
    <definedName name="Road_Name">#REF!</definedName>
    <definedName name="RoadNo_373">#REF!</definedName>
    <definedName name="rod">#REF!</definedName>
    <definedName name="rong1">#REF!</definedName>
    <definedName name="rong2">#REF!</definedName>
    <definedName name="rong3">#REF!</definedName>
    <definedName name="rong4">#REF!</definedName>
    <definedName name="rong5">#REF!</definedName>
    <definedName name="rong6">#REF!</definedName>
    <definedName name="RoofingWork" localSheetId="0">#REF!</definedName>
    <definedName name="RoofingWork" localSheetId="1">#REF!</definedName>
    <definedName name="RoofingWork">#REF!</definedName>
    <definedName name="room20kv">#REF!</definedName>
    <definedName name="Rpp">#REF!</definedName>
    <definedName name="rps">#REF!</definedName>
    <definedName name="rr" hidden="1">{"'Sheet1'!$L$16"}</definedName>
    <definedName name="Rrpo">#REF!</definedName>
    <definedName name="rrtr">#REF!</definedName>
    <definedName name="rs">#REF!</definedName>
    <definedName name="rs_">#REF!</definedName>
    <definedName name="RT" localSheetId="0">#REF!</definedName>
    <definedName name="RT" localSheetId="1">#REF!</definedName>
    <definedName name="RT">#REF!</definedName>
    <definedName name="ruu">#REF!</definedName>
    <definedName name="ruv">#REF!</definedName>
    <definedName name="ruw">#REF!</definedName>
    <definedName name="rvu">#REF!</definedName>
    <definedName name="rvv">#REF!</definedName>
    <definedName name="rvw">#REF!</definedName>
    <definedName name="rwu">#REF!</definedName>
    <definedName name="rwv">#REF!</definedName>
    <definedName name="rww">#REF!</definedName>
    <definedName name="s.">#REF!</definedName>
    <definedName name="S_">#REF!</definedName>
    <definedName name="s1_">#REF!</definedName>
    <definedName name="s2_">#REF!</definedName>
    <definedName name="s3_">#REF!</definedName>
    <definedName name="s4_">#REF!</definedName>
    <definedName name="salan200">#REF!</definedName>
    <definedName name="salan400">#REF!</definedName>
    <definedName name="san" localSheetId="0">#REF!</definedName>
    <definedName name="san" localSheetId="1">#REF!</definedName>
    <definedName name="san">#REF!</definedName>
    <definedName name="San_truoc" localSheetId="0">#REF!</definedName>
    <definedName name="San_truoc" localSheetId="1">#REF!</definedName>
    <definedName name="San_truoc">#REF!</definedName>
    <definedName name="sand" localSheetId="2">#REF!</definedName>
    <definedName name="sand" localSheetId="5">#REF!</definedName>
    <definedName name="sand" localSheetId="4">#REF!</definedName>
    <definedName name="sand" localSheetId="3">#REF!</definedName>
    <definedName name="sand" localSheetId="6">#REF!</definedName>
    <definedName name="sand" localSheetId="0">#REF!</definedName>
    <definedName name="sand" localSheetId="1">#REF!</definedName>
    <definedName name="sand">#REF!</definedName>
    <definedName name="sas" hidden="1">{"'Sheet1'!$L$16"}</definedName>
    <definedName name="sat" localSheetId="2">#REF!</definedName>
    <definedName name="sat" localSheetId="5">#REF!</definedName>
    <definedName name="sat" localSheetId="4">#REF!</definedName>
    <definedName name="sat" localSheetId="3">#REF!</definedName>
    <definedName name="sat" localSheetId="6">#REF!</definedName>
    <definedName name="sat" localSheetId="0">#REF!</definedName>
    <definedName name="sat" localSheetId="1">#REF!</definedName>
    <definedName name="sat">#REF!</definedName>
    <definedName name="satCT10" localSheetId="0">#REF!</definedName>
    <definedName name="satCT10" localSheetId="1">#REF!</definedName>
    <definedName name="satCT10">#REF!</definedName>
    <definedName name="SatCThon10" localSheetId="0">#REF!</definedName>
    <definedName name="SatCThon10" localSheetId="1">#REF!</definedName>
    <definedName name="SatCThon10">#REF!</definedName>
    <definedName name="SatCTlon10" localSheetId="0">#REF!</definedName>
    <definedName name="SatCTlon10" localSheetId="1">#REF!</definedName>
    <definedName name="SatCTlon10">#REF!</definedName>
    <definedName name="satf10" localSheetId="0">#REF!</definedName>
    <definedName name="satf10" localSheetId="1">#REF!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B">#REF!</definedName>
    <definedName name="Sbc">#REF!</definedName>
    <definedName name="scao98">#REF!</definedName>
    <definedName name="SCCR">#REF!</definedName>
    <definedName name="SCDT">#REF!</definedName>
    <definedName name="SCH" localSheetId="2">#REF!</definedName>
    <definedName name="SCH" localSheetId="5">#REF!</definedName>
    <definedName name="SCH" localSheetId="4">#REF!</definedName>
    <definedName name="SCH" localSheetId="3">#REF!</definedName>
    <definedName name="SCH" localSheetId="6">#REF!</definedName>
    <definedName name="SCH" localSheetId="0">#REF!</definedName>
    <definedName name="SCH" localSheetId="1">#REF!</definedName>
    <definedName name="SCH">#REF!</definedName>
    <definedName name="SCHUYEN">#REF!</definedName>
    <definedName name="scl" localSheetId="2">#REF!</definedName>
    <definedName name="scl" localSheetId="5">#REF!</definedName>
    <definedName name="scl" localSheetId="4">#REF!</definedName>
    <definedName name="scl" localSheetId="3">#REF!</definedName>
    <definedName name="scl" localSheetId="6">#REF!</definedName>
    <definedName name="scl" localSheetId="0">#REF!</definedName>
    <definedName name="scl" localSheetId="1">#REF!</definedName>
    <definedName name="scl">#REF!</definedName>
    <definedName name="scr">#REF!</definedName>
    <definedName name="SCT">#REF!</definedName>
    <definedName name="SCT_BKTC">#REF!</definedName>
    <definedName name="sd1p" localSheetId="2">#REF!</definedName>
    <definedName name="sd1p" localSheetId="5">#REF!</definedName>
    <definedName name="sd1p" localSheetId="4">#REF!</definedName>
    <definedName name="sd1p" localSheetId="3">#REF!</definedName>
    <definedName name="sd1p" localSheetId="6">#REF!</definedName>
    <definedName name="sd1p" localSheetId="0">#REF!</definedName>
    <definedName name="sd1p" localSheetId="1">#REF!</definedName>
    <definedName name="sd1p">#REF!</definedName>
    <definedName name="sd3p" localSheetId="0">#REF!</definedName>
    <definedName name="sd3p" localSheetId="1">#REF!</definedName>
    <definedName name="sd3p">#REF!</definedName>
    <definedName name="sdbv" hidden="1">{"'Sheet1'!$L$16"}</definedName>
    <definedName name="sdd" localSheetId="0">#REF!</definedName>
    <definedName name="sdd" localSheetId="1">#REF!</definedName>
    <definedName name="sdd">#REF!</definedName>
    <definedName name="SDDL" localSheetId="0">#REF!</definedName>
    <definedName name="SDDL" localSheetId="1">#REF!</definedName>
    <definedName name="SDDL">#REF!</definedName>
    <definedName name="sdfsdfs">#REF!</definedName>
    <definedName name="SDMONG" localSheetId="2">#REF!</definedName>
    <definedName name="SDMONG" localSheetId="5">#REF!</definedName>
    <definedName name="SDMONG" localSheetId="4">#REF!</definedName>
    <definedName name="SDMONG" localSheetId="3">#REF!</definedName>
    <definedName name="SDMONG" localSheetId="6">#REF!</definedName>
    <definedName name="SDMONG" localSheetId="0">#REF!</definedName>
    <definedName name="SDMONG" localSheetId="1">#REF!</definedName>
    <definedName name="SDMONG">#REF!</definedName>
    <definedName name="Sdnn">#REF!</definedName>
    <definedName name="Sdnt">#REF!</definedName>
    <definedName name="sdo">#REF!</definedName>
    <definedName name="sduong">#REF!</definedName>
    <definedName name="Sè">#REF!</definedName>
    <definedName name="Seg">#REF!</definedName>
    <definedName name="sencount" hidden="1">2</definedName>
    <definedName name="sfasf">#REF!</definedName>
    <definedName name="sfdsfsd" hidden="1">{"'Sheet1'!$L$16"}</definedName>
    <definedName name="SFL">#REF!</definedName>
    <definedName name="sgnc" localSheetId="0">#REF!</definedName>
    <definedName name="sgnc" localSheetId="1">#REF!</definedName>
    <definedName name="sgnc">#REF!</definedName>
    <definedName name="sgsgdd">#REF!</definedName>
    <definedName name="sgsgsgs">#REF!</definedName>
    <definedName name="sgvl" localSheetId="0">#REF!</definedName>
    <definedName name="sgvl" localSheetId="1">#REF!</definedName>
    <definedName name="sgvl">#REF!</definedName>
    <definedName name="SH">#REF!</definedName>
    <definedName name="SHALL">#REF!</definedName>
    <definedName name="SHDG">#REF!</definedName>
    <definedName name="Sheet1">#REF!</definedName>
    <definedName name="sho" localSheetId="2">#REF!</definedName>
    <definedName name="sho" localSheetId="5">#REF!</definedName>
    <definedName name="sho" localSheetId="4">#REF!</definedName>
    <definedName name="sho" localSheetId="3">#REF!</definedName>
    <definedName name="sho" localSheetId="6">#REF!</definedName>
    <definedName name="sho" localSheetId="0">#REF!</definedName>
    <definedName name="sho" localSheetId="1">#REF!</definedName>
    <definedName name="sho">#REF!</definedName>
    <definedName name="Shoes">#REF!</definedName>
    <definedName name="sht" localSheetId="0">#REF!</definedName>
    <definedName name="sht" localSheetId="1">#REF!</definedName>
    <definedName name="sht">#REF!</definedName>
    <definedName name="sht1p" localSheetId="0">#REF!</definedName>
    <definedName name="sht1p" localSheetId="1">#REF!</definedName>
    <definedName name="sht1p">#REF!</definedName>
    <definedName name="sht3p">#REF!</definedName>
    <definedName name="sieucao">#REF!</definedName>
    <definedName name="SIGN">#REF!</definedName>
    <definedName name="SIZE">#REF!</definedName>
    <definedName name="skd">#REF!</definedName>
    <definedName name="SL">#REF!</definedName>
    <definedName name="SL_BCN_TP">#REF!</definedName>
    <definedName name="SL_BCX_NL">#REF!</definedName>
    <definedName name="SL_CRD" localSheetId="2">#REF!</definedName>
    <definedName name="SL_CRD" localSheetId="5">#REF!</definedName>
    <definedName name="SL_CRD" localSheetId="4">#REF!</definedName>
    <definedName name="SL_CRD" localSheetId="3">#REF!</definedName>
    <definedName name="SL_CRD" localSheetId="6">#REF!</definedName>
    <definedName name="SL_CRD" localSheetId="0">#REF!</definedName>
    <definedName name="SL_CRD" localSheetId="1">#REF!</definedName>
    <definedName name="SL_CRD">#REF!</definedName>
    <definedName name="SL_CRS" localSheetId="0">#REF!</definedName>
    <definedName name="SL_CRS" localSheetId="1">#REF!</definedName>
    <definedName name="SL_CRS">#REF!</definedName>
    <definedName name="SL_CS" localSheetId="0">#REF!</definedName>
    <definedName name="SL_CS" localSheetId="1">#REF!</definedName>
    <definedName name="SL_CS">#REF!</definedName>
    <definedName name="SL_DD">#REF!</definedName>
    <definedName name="slBTLT1pm">#REF!</definedName>
    <definedName name="slBTLT3pm">#REF!</definedName>
    <definedName name="slBTLTHTDL">#REF!</definedName>
    <definedName name="slBTLTHTHH">#REF!</definedName>
    <definedName name="slchang1pm">#REF!</definedName>
    <definedName name="slchang3pm">#REF!</definedName>
    <definedName name="slchanght">#REF!</definedName>
    <definedName name="slchangHTDL">#REF!</definedName>
    <definedName name="slchangHTHH">#REF!</definedName>
    <definedName name="SLF">#REF!</definedName>
    <definedName name="slg">#REF!</definedName>
    <definedName name="slmong1pm">#REF!</definedName>
    <definedName name="slmong3pm">#REF!</definedName>
    <definedName name="slmonght">#REF!</definedName>
    <definedName name="slmongHTDL">#REF!</definedName>
    <definedName name="slmongHTHH">#REF!</definedName>
    <definedName name="slmongneo1pm">#REF!</definedName>
    <definedName name="slmongneo3pm">#REF!</definedName>
    <definedName name="slmongneoht">#REF!</definedName>
    <definedName name="slmongneoHTDL">#REF!</definedName>
    <definedName name="slmongneoHTHH">#REF!</definedName>
    <definedName name="sltdll1pm">#REF!</definedName>
    <definedName name="sltdll3pm">#REF!</definedName>
    <definedName name="sltdllHTDL">#REF!</definedName>
    <definedName name="sltdllHTHH">#REF!</definedName>
    <definedName name="SLVtu">#REF!</definedName>
    <definedName name="slxa1pm">#REF!</definedName>
    <definedName name="slxa3pm">#REF!</definedName>
    <definedName name="SM">#REF!</definedName>
    <definedName name="smax">#REF!</definedName>
    <definedName name="smax1">#REF!</definedName>
    <definedName name="sn">#REF!</definedName>
    <definedName name="SOÁ_CHUYEÁN">#REF!</definedName>
    <definedName name="soc3p">#REF!</definedName>
    <definedName name="sohieuthua">#REF!</definedName>
    <definedName name="soho" localSheetId="0">#REF!</definedName>
    <definedName name="soho" localSheetId="1">#REF!</definedName>
    <definedName name="soho">#REF!</definedName>
    <definedName name="SOHT">#REF!</definedName>
    <definedName name="Soi" localSheetId="0">#REF!</definedName>
    <definedName name="Soi" localSheetId="1">#REF!</definedName>
    <definedName name="Soi">#REF!</definedName>
    <definedName name="Soi_HamYen" localSheetId="0">#REF!</definedName>
    <definedName name="Soi_HamYen" localSheetId="1">#REF!</definedName>
    <definedName name="Soi_HamYen">#REF!</definedName>
    <definedName name="soichon12" localSheetId="2">#REF!</definedName>
    <definedName name="soichon12" localSheetId="5">#REF!</definedName>
    <definedName name="soichon12" localSheetId="4">#REF!</definedName>
    <definedName name="soichon12" localSheetId="3">#REF!</definedName>
    <definedName name="soichon12" localSheetId="6">#REF!</definedName>
    <definedName name="soichon12" localSheetId="0">#REF!</definedName>
    <definedName name="soichon12" localSheetId="1">#REF!</definedName>
    <definedName name="soichon12">#REF!</definedName>
    <definedName name="soichon24" localSheetId="0">#REF!</definedName>
    <definedName name="soichon24" localSheetId="1">#REF!</definedName>
    <definedName name="soichon24">#REF!</definedName>
    <definedName name="soichon46" localSheetId="0">#REF!</definedName>
    <definedName name="soichon46" localSheetId="1">#REF!</definedName>
    <definedName name="soichon46">#REF!</definedName>
    <definedName name="soigai">#REF!</definedName>
    <definedName name="SoilType">#REF!</definedName>
    <definedName name="solieu" localSheetId="2">#REF!</definedName>
    <definedName name="solieu" localSheetId="5">#REF!</definedName>
    <definedName name="solieu" localSheetId="4">#REF!</definedName>
    <definedName name="solieu" localSheetId="3">#REF!</definedName>
    <definedName name="solieu" localSheetId="6">#REF!</definedName>
    <definedName name="solieu" localSheetId="0">#REF!</definedName>
    <definedName name="solieu" localSheetId="1">#REF!</definedName>
    <definedName name="solieu">#REF!</definedName>
    <definedName name="SOLUONG">#REF!</definedName>
    <definedName name="sonduong" localSheetId="0">#REF!</definedName>
    <definedName name="sonduong" localSheetId="1">#REF!</definedName>
    <definedName name="sonduong">#REF!</definedName>
    <definedName name="SORT" localSheetId="2">#REF!</definedName>
    <definedName name="SORT" localSheetId="5">#REF!</definedName>
    <definedName name="SORT" localSheetId="4">#REF!</definedName>
    <definedName name="SORT" localSheetId="3">#REF!</definedName>
    <definedName name="SORT" localSheetId="6">#REF!</definedName>
    <definedName name="SORT" localSheetId="0">#REF!</definedName>
    <definedName name="SORT" localSheetId="1">#REF!</definedName>
    <definedName name="SORT">#REF!</definedName>
    <definedName name="SORT_AREA">#REF!</definedName>
    <definedName name="SortName">#REF!</definedName>
    <definedName name="Sosanh2" hidden="1">{"'Sheet1'!$L$16"}</definedName>
    <definedName name="Sothutu">#REF!</definedName>
    <definedName name="SOTIEN_BCN_TP">#REF!</definedName>
    <definedName name="SOTIEN_BCX_NL">#REF!</definedName>
    <definedName name="SOTIEN_BKTC">#REF!</definedName>
    <definedName name="SOTIEN_GT">#REF!</definedName>
    <definedName name="SOTIEN_TKC">#REF!</definedName>
    <definedName name="SP" localSheetId="0">#REF!</definedName>
    <definedName name="SP" localSheetId="1">#REF!</definedName>
    <definedName name="SP">#REF!</definedName>
    <definedName name="SPAN">#REF!</definedName>
    <definedName name="SPAN_No">#REF!</definedName>
    <definedName name="SPEC" localSheetId="0">#REF!</definedName>
    <definedName name="SPEC" localSheetId="1">#REF!</definedName>
    <definedName name="SPEC">#REF!</definedName>
    <definedName name="SpecialPrice" hidden="1">#REF!</definedName>
    <definedName name="SPECSUMMARY" localSheetId="0">#REF!</definedName>
    <definedName name="SPECSUMMARY" localSheetId="1">#REF!</definedName>
    <definedName name="SPECSUMMARY">#REF!</definedName>
    <definedName name="spk1p" localSheetId="0">#REF!</definedName>
    <definedName name="spk1p" localSheetId="1">#REF!</definedName>
    <definedName name="spk1p">#REF!</definedName>
    <definedName name="spk3p" localSheetId="2">#REF!</definedName>
    <definedName name="spk3p" localSheetId="5">#REF!</definedName>
    <definedName name="spk3p" localSheetId="4">#REF!</definedName>
    <definedName name="spk3p" localSheetId="3">#REF!</definedName>
    <definedName name="spk3p" localSheetId="6">#REF!</definedName>
    <definedName name="spk3p" localSheetId="0">#REF!</definedName>
    <definedName name="spk3p" localSheetId="1">#REF!</definedName>
    <definedName name="spk3p">#REF!</definedName>
    <definedName name="srtg">#REF!</definedName>
    <definedName name="ss" localSheetId="2">#REF!</definedName>
    <definedName name="ss" localSheetId="5">#REF!</definedName>
    <definedName name="ss" localSheetId="4">#REF!</definedName>
    <definedName name="ss" localSheetId="3">#REF!</definedName>
    <definedName name="ss" localSheetId="6">#REF!</definedName>
    <definedName name="ss" localSheetId="0">#REF!</definedName>
    <definedName name="ss" localSheetId="1">#REF!</definedName>
    <definedName name="ss">#REF!</definedName>
    <definedName name="sss" localSheetId="0">#REF!</definedName>
    <definedName name="sss" localSheetId="1">#REF!</definedName>
    <definedName name="sss">#REF!</definedName>
    <definedName name="ssss" hidden="1">{"'Sheet1'!$L$16"}</definedName>
    <definedName name="ST">#REF!</definedName>
    <definedName name="st1p" localSheetId="0">#REF!</definedName>
    <definedName name="st1p" localSheetId="1">#REF!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ck.">#REF!</definedName>
    <definedName name="STEEL">#REF!</definedName>
    <definedName name="stor">#REF!</definedName>
    <definedName name="str">#REF!</definedName>
    <definedName name="Stt">#REF!</definedName>
    <definedName name="SU" localSheetId="2">#REF!</definedName>
    <definedName name="SU" localSheetId="5">#REF!</definedName>
    <definedName name="SU" localSheetId="4">#REF!</definedName>
    <definedName name="SU" localSheetId="3">#REF!</definedName>
    <definedName name="SU" localSheetId="6">#REF!</definedName>
    <definedName name="SU" localSheetId="0">#REF!</definedName>
    <definedName name="SU" localSheetId="1">#REF!</definedName>
    <definedName name="SU">#REF!</definedName>
    <definedName name="sub" localSheetId="0">#REF!</definedName>
    <definedName name="sub" localSheetId="1">#REF!</definedName>
    <definedName name="sub">#REF!</definedName>
    <definedName name="SumM">#REF!</definedName>
    <definedName name="SUMMARY" localSheetId="0">#REF!</definedName>
    <definedName name="SUMMARY" localSheetId="1">#REF!</definedName>
    <definedName name="SUMMARY">#REF!</definedName>
    <definedName name="SumMTC">#REF!</definedName>
    <definedName name="SumMTC2">#REF!</definedName>
    <definedName name="SumNC">#REF!</definedName>
    <definedName name="SumNC2">#REF!</definedName>
    <definedName name="SumVL">#REF!</definedName>
    <definedName name="sur">#REF!</definedName>
    <definedName name="SW">#REF!</definedName>
    <definedName name="SX_Lapthao_khungV_Sdao">#REF!</definedName>
    <definedName name="T">#REF!</definedName>
    <definedName name="t.">#REF!</definedName>
    <definedName name="t..">#REF!</definedName>
    <definedName name="T.3" hidden="1">{"'Sheet1'!$L$16"}</definedName>
    <definedName name="T.nhËp">#REF!</definedName>
    <definedName name="T_CT">#REF!</definedName>
    <definedName name="T_dat">#REF!</definedName>
    <definedName name="T_HOP">#REF!</definedName>
    <definedName name="T02_DANH_MUC_CONG_VIEC">#REF!</definedName>
    <definedName name="T09_DINH_MUC_DU_TOAN">#REF!</definedName>
    <definedName name="t101p" localSheetId="2">#REF!</definedName>
    <definedName name="t101p" localSheetId="5">#REF!</definedName>
    <definedName name="t101p" localSheetId="4">#REF!</definedName>
    <definedName name="t101p" localSheetId="3">#REF!</definedName>
    <definedName name="t101p" localSheetId="6">#REF!</definedName>
    <definedName name="t101p" localSheetId="0">#REF!</definedName>
    <definedName name="t101p" localSheetId="1">#REF!</definedName>
    <definedName name="t101p">#REF!</definedName>
    <definedName name="t103p" localSheetId="0">#REF!</definedName>
    <definedName name="t103p" localSheetId="1">#REF!</definedName>
    <definedName name="t103p">#REF!</definedName>
    <definedName name="t105mnc" localSheetId="0">#REF!</definedName>
    <definedName name="t105mnc" localSheetId="1">#REF!</definedName>
    <definedName name="t105mnc">#REF!</definedName>
    <definedName name="T10HT">#REF!</definedName>
    <definedName name="t10m" localSheetId="2">#REF!</definedName>
    <definedName name="t10m" localSheetId="5">#REF!</definedName>
    <definedName name="t10m" localSheetId="4">#REF!</definedName>
    <definedName name="t10m" localSheetId="3">#REF!</definedName>
    <definedName name="t10m" localSheetId="6">#REF!</definedName>
    <definedName name="t10m" localSheetId="0">#REF!</definedName>
    <definedName name="t10m" localSheetId="1">#REF!</definedName>
    <definedName name="t10m">#REF!</definedName>
    <definedName name="T10nc" localSheetId="2">#REF!</definedName>
    <definedName name="T10nc" localSheetId="5">#REF!</definedName>
    <definedName name="T10nc" localSheetId="4">#REF!</definedName>
    <definedName name="T10nc" localSheetId="3">#REF!</definedName>
    <definedName name="T10nc" localSheetId="6">#REF!</definedName>
    <definedName name="T10nc" localSheetId="0">#REF!</definedName>
    <definedName name="T10nc" localSheetId="1">#REF!</definedName>
    <definedName name="T10nc">#REF!</definedName>
    <definedName name="t10nc1p" localSheetId="2">#REF!</definedName>
    <definedName name="t10nc1p" localSheetId="5">#REF!</definedName>
    <definedName name="t10nc1p" localSheetId="4">#REF!</definedName>
    <definedName name="t10nc1p" localSheetId="3">#REF!</definedName>
    <definedName name="t10nc1p" localSheetId="6">#REF!</definedName>
    <definedName name="t10nc1p" localSheetId="0">#REF!</definedName>
    <definedName name="t10nc1p" localSheetId="1">#REF!</definedName>
    <definedName name="t10nc1p">#REF!</definedName>
    <definedName name="t10ncm" localSheetId="2">#REF!</definedName>
    <definedName name="t10ncm" localSheetId="5">#REF!</definedName>
    <definedName name="t10ncm" localSheetId="4">#REF!</definedName>
    <definedName name="t10ncm" localSheetId="3">#REF!</definedName>
    <definedName name="t10ncm" localSheetId="6">#REF!</definedName>
    <definedName name="t10ncm" localSheetId="0">#REF!</definedName>
    <definedName name="t10ncm" localSheetId="1">#REF!</definedName>
    <definedName name="t10ncm">#REF!</definedName>
    <definedName name="T10vc" localSheetId="2">#REF!</definedName>
    <definedName name="T10vc" localSheetId="5">#REF!</definedName>
    <definedName name="T10vc" localSheetId="4">#REF!</definedName>
    <definedName name="T10vc" localSheetId="3">#REF!</definedName>
    <definedName name="T10vc" localSheetId="6">#REF!</definedName>
    <definedName name="T10vc" localSheetId="0">#REF!</definedName>
    <definedName name="T10vc" localSheetId="1">#REF!</definedName>
    <definedName name="T10vc">#REF!</definedName>
    <definedName name="T10vl" localSheetId="0">#REF!</definedName>
    <definedName name="T10vl" localSheetId="1">#REF!</definedName>
    <definedName name="T10vl">#REF!</definedName>
    <definedName name="t10vl1p" localSheetId="2">#REF!</definedName>
    <definedName name="t10vl1p" localSheetId="5">#REF!</definedName>
    <definedName name="t10vl1p" localSheetId="4">#REF!</definedName>
    <definedName name="t10vl1p" localSheetId="3">#REF!</definedName>
    <definedName name="t10vl1p" localSheetId="6">#REF!</definedName>
    <definedName name="t10vl1p" localSheetId="0">#REF!</definedName>
    <definedName name="t10vl1p" localSheetId="1">#REF!</definedName>
    <definedName name="t10vl1p">#REF!</definedName>
    <definedName name="t121p" localSheetId="0">#REF!</definedName>
    <definedName name="t121p" localSheetId="1">#REF!</definedName>
    <definedName name="t121p">#REF!</definedName>
    <definedName name="t123p" localSheetId="0">#REF!</definedName>
    <definedName name="t123p" localSheetId="1">#REF!</definedName>
    <definedName name="t123p">#REF!</definedName>
    <definedName name="t12m" localSheetId="0">#REF!</definedName>
    <definedName name="t12m" localSheetId="1">#REF!</definedName>
    <definedName name="t12m">#REF!</definedName>
    <definedName name="t12mnc" localSheetId="0">#REF!</definedName>
    <definedName name="t12mnc" localSheetId="1">#REF!</definedName>
    <definedName name="t12mnc">#REF!</definedName>
    <definedName name="T12nc" localSheetId="2">#REF!</definedName>
    <definedName name="T12nc" localSheetId="5">#REF!</definedName>
    <definedName name="T12nc" localSheetId="4">#REF!</definedName>
    <definedName name="T12nc" localSheetId="3">#REF!</definedName>
    <definedName name="T12nc" localSheetId="6">#REF!</definedName>
    <definedName name="T12nc" localSheetId="0">#REF!</definedName>
    <definedName name="T12nc" localSheetId="1">#REF!</definedName>
    <definedName name="T12nc">#REF!</definedName>
    <definedName name="t12nc3p" localSheetId="0">#REF!</definedName>
    <definedName name="t12nc3p" localSheetId="1">#REF!</definedName>
    <definedName name="t12nc3p">#REF!</definedName>
    <definedName name="t12ncm" localSheetId="0">#REF!</definedName>
    <definedName name="t12ncm" localSheetId="1">#REF!</definedName>
    <definedName name="t12ncm">#REF!</definedName>
    <definedName name="T12vc" localSheetId="2">#REF!</definedName>
    <definedName name="T12vc" localSheetId="5">#REF!</definedName>
    <definedName name="T12vc" localSheetId="4">#REF!</definedName>
    <definedName name="T12vc" localSheetId="3">#REF!</definedName>
    <definedName name="T12vc" localSheetId="6">#REF!</definedName>
    <definedName name="T12vc" localSheetId="0">#REF!</definedName>
    <definedName name="T12vc" localSheetId="1">#REF!</definedName>
    <definedName name="T12vc">#REF!</definedName>
    <definedName name="T12vl" localSheetId="0">#REF!</definedName>
    <definedName name="T12vl" localSheetId="1">#REF!</definedName>
    <definedName name="T12vl">#REF!</definedName>
    <definedName name="t12vl3p">#REF!</definedName>
    <definedName name="t141p" localSheetId="2">#REF!</definedName>
    <definedName name="t141p" localSheetId="5">#REF!</definedName>
    <definedName name="t141p" localSheetId="4">#REF!</definedName>
    <definedName name="t141p" localSheetId="3">#REF!</definedName>
    <definedName name="t141p" localSheetId="6">#REF!</definedName>
    <definedName name="t141p" localSheetId="0">#REF!</definedName>
    <definedName name="t141p" localSheetId="1">#REF!</definedName>
    <definedName name="t141p">#REF!</definedName>
    <definedName name="t143p" localSheetId="0">#REF!</definedName>
    <definedName name="t143p" localSheetId="1">#REF!</definedName>
    <definedName name="t143p">#REF!</definedName>
    <definedName name="t149tc" hidden="1">{"'Sheet1'!$L$16"}</definedName>
    <definedName name="t14m" localSheetId="0">#REF!</definedName>
    <definedName name="t14m" localSheetId="1">#REF!</definedName>
    <definedName name="t14m">#REF!</definedName>
    <definedName name="t14mnc" localSheetId="0">#REF!</definedName>
    <definedName name="t14mnc" localSheetId="1">#REF!</definedName>
    <definedName name="t14mnc">#REF!</definedName>
    <definedName name="T14nc" localSheetId="0">#REF!</definedName>
    <definedName name="T14nc" localSheetId="1">#REF!</definedName>
    <definedName name="T14nc">#REF!</definedName>
    <definedName name="t14nc3p">#REF!</definedName>
    <definedName name="t14ncm" localSheetId="0">#REF!</definedName>
    <definedName name="t14ncm" localSheetId="1">#REF!</definedName>
    <definedName name="t14ncm">#REF!</definedName>
    <definedName name="T14vc" localSheetId="0">#REF!</definedName>
    <definedName name="T14vc" localSheetId="1">#REF!</definedName>
    <definedName name="T14vc">#REF!</definedName>
    <definedName name="T14vl" localSheetId="0">#REF!</definedName>
    <definedName name="T14vl" localSheetId="1">#REF!</definedName>
    <definedName name="T14vl">#REF!</definedName>
    <definedName name="t14vl3p">#REF!</definedName>
    <definedName name="T203P" localSheetId="0">#REF!</definedName>
    <definedName name="T203P" localSheetId="1">#REF!</definedName>
    <definedName name="T203P">#REF!</definedName>
    <definedName name="t20m" localSheetId="0">#REF!</definedName>
    <definedName name="t20m" localSheetId="1">#REF!</definedName>
    <definedName name="t20m">#REF!</definedName>
    <definedName name="t20ncm" localSheetId="0">#REF!</definedName>
    <definedName name="t20ncm" localSheetId="1">#REF!</definedName>
    <definedName name="t20ncm">#REF!</definedName>
    <definedName name="T7HT">#REF!</definedName>
    <definedName name="t7m" localSheetId="2">#REF!</definedName>
    <definedName name="t7m" localSheetId="5">#REF!</definedName>
    <definedName name="t7m" localSheetId="4">#REF!</definedName>
    <definedName name="t7m" localSheetId="3">#REF!</definedName>
    <definedName name="t7m" localSheetId="6">#REF!</definedName>
    <definedName name="t7m" localSheetId="0">#REF!</definedName>
    <definedName name="t7m" localSheetId="1">#REF!</definedName>
    <definedName name="t7m">#REF!</definedName>
    <definedName name="t7nc" localSheetId="2">#REF!</definedName>
    <definedName name="t7nc" localSheetId="5">#REF!</definedName>
    <definedName name="t7nc" localSheetId="4">#REF!</definedName>
    <definedName name="t7nc" localSheetId="3">#REF!</definedName>
    <definedName name="t7nc" localSheetId="6">#REF!</definedName>
    <definedName name="t7nc" localSheetId="0">#REF!</definedName>
    <definedName name="t7nc" localSheetId="1">#REF!</definedName>
    <definedName name="t7nc">#REF!</definedName>
    <definedName name="t7vl" localSheetId="0">#REF!</definedName>
    <definedName name="t7vl" localSheetId="1">#REF!</definedName>
    <definedName name="t7vl">#REF!</definedName>
    <definedName name="t84mnc" localSheetId="0">#REF!</definedName>
    <definedName name="t84mnc" localSheetId="1">#REF!</definedName>
    <definedName name="t84mnc">#REF!</definedName>
    <definedName name="T8HT">#REF!</definedName>
    <definedName name="t8m" localSheetId="2">#REF!</definedName>
    <definedName name="t8m" localSheetId="5">#REF!</definedName>
    <definedName name="t8m" localSheetId="4">#REF!</definedName>
    <definedName name="t8m" localSheetId="3">#REF!</definedName>
    <definedName name="t8m" localSheetId="6">#REF!</definedName>
    <definedName name="t8m" localSheetId="0">#REF!</definedName>
    <definedName name="t8m" localSheetId="1">#REF!</definedName>
    <definedName name="t8m">#REF!</definedName>
    <definedName name="t8nc" localSheetId="2">#REF!</definedName>
    <definedName name="t8nc" localSheetId="5">#REF!</definedName>
    <definedName name="t8nc" localSheetId="4">#REF!</definedName>
    <definedName name="t8nc" localSheetId="3">#REF!</definedName>
    <definedName name="t8nc" localSheetId="6">#REF!</definedName>
    <definedName name="t8nc" localSheetId="0">#REF!</definedName>
    <definedName name="t8nc" localSheetId="1">#REF!</definedName>
    <definedName name="t8nc">#REF!</definedName>
    <definedName name="t8vl" localSheetId="0">#REF!</definedName>
    <definedName name="t8vl" localSheetId="1">#REF!</definedName>
    <definedName name="t8vl">#REF!</definedName>
    <definedName name="ta">#REF!</definedName>
    <definedName name="tadao">#REF!</definedName>
    <definedName name="Tæng_c_ng_suÊt_hiÖn_t_i">"THOP"</definedName>
    <definedName name="Tæng_gia_thanh_XM_cat_da_sái_dot4">#REF!</definedName>
    <definedName name="Tæng_hîp_kinh_phÝ__DZ_35kv">#REF!</definedName>
    <definedName name="Tæng_hîp_kinh_phÝ__kho_kÝn__kho_hë">#REF!</definedName>
    <definedName name="Tæng_hîp_VL_NC_MTC">#REF!</definedName>
    <definedName name="Tæng_ke_chi_tiÕt_da_hiÖu_chØnh">#REF!</definedName>
    <definedName name="Tæng_ke_DZ_35KV_Son_TÞnh_Tra_Bång">#REF!</definedName>
    <definedName name="Tai_trong">#REF!</definedName>
    <definedName name="Taikhoan">#REF!</definedName>
    <definedName name="Tam">#REF!</definedName>
    <definedName name="tamdan">#REF!</definedName>
    <definedName name="TAMT">#REF!</definedName>
    <definedName name="TAMTINH" localSheetId="2">#REF!</definedName>
    <definedName name="TAMTINH" localSheetId="5">#REF!</definedName>
    <definedName name="TAMTINH" localSheetId="4">#REF!</definedName>
    <definedName name="TAMTINH" localSheetId="3">#REF!</definedName>
    <definedName name="TAMTINH" localSheetId="6">#REF!</definedName>
    <definedName name="TAMTINH" localSheetId="0">#REF!</definedName>
    <definedName name="TAMTINH" localSheetId="1">#REF!</definedName>
    <definedName name="TAMTINH">#REF!</definedName>
    <definedName name="tamvia">#REF!</definedName>
    <definedName name="tamviab">#REF!</definedName>
    <definedName name="TANANH">#REF!</definedName>
    <definedName name="taukeo150">#REF!</definedName>
    <definedName name="Tax">#REF!</definedName>
    <definedName name="TaxTV">10%</definedName>
    <definedName name="TaxXL">5%</definedName>
    <definedName name="tb">#REF!</definedName>
    <definedName name="TB_CS">#REF!</definedName>
    <definedName name="TBA" localSheetId="2">#REF!</definedName>
    <definedName name="TBA" localSheetId="5">#REF!</definedName>
    <definedName name="TBA" localSheetId="4">#REF!</definedName>
    <definedName name="TBA" localSheetId="3">#REF!</definedName>
    <definedName name="TBA" localSheetId="6">#REF!</definedName>
    <definedName name="TBA" localSheetId="0">#REF!</definedName>
    <definedName name="TBA" localSheetId="1">#REF!</definedName>
    <definedName name="TBA">#REF!</definedName>
    <definedName name="tbagd1">#REF!</definedName>
    <definedName name="tbdd1p" localSheetId="0">#REF!</definedName>
    <definedName name="tbdd1p" localSheetId="1">#REF!</definedName>
    <definedName name="tbdd1p">#REF!</definedName>
    <definedName name="tbdd3p" localSheetId="0">#REF!</definedName>
    <definedName name="tbdd3p" localSheetId="1">#REF!</definedName>
    <definedName name="tbdd3p">#REF!</definedName>
    <definedName name="tbddsdl" localSheetId="0">#REF!</definedName>
    <definedName name="tbddsdl" localSheetId="1">#REF!</definedName>
    <definedName name="tbddsdl">#REF!</definedName>
    <definedName name="TBI" localSheetId="0">#REF!</definedName>
    <definedName name="TBI" localSheetId="1">#REF!</definedName>
    <definedName name="TBI">#REF!</definedName>
    <definedName name="tbl_ProdInfo" hidden="1">#REF!</definedName>
    <definedName name="tbsokiemtra">#REF!</definedName>
    <definedName name="tbtr">#REF!</definedName>
    <definedName name="tbtram" localSheetId="2">#REF!</definedName>
    <definedName name="tbtram" localSheetId="5">#REF!</definedName>
    <definedName name="tbtram" localSheetId="4">#REF!</definedName>
    <definedName name="tbtram" localSheetId="3">#REF!</definedName>
    <definedName name="tbtram" localSheetId="6">#REF!</definedName>
    <definedName name="tbtram" localSheetId="0">#REF!</definedName>
    <definedName name="tbtram" localSheetId="1">#REF!</definedName>
    <definedName name="tbtram">#REF!</definedName>
    <definedName name="TBTT">#REF!</definedName>
    <definedName name="TBXD" localSheetId="0">#REF!</definedName>
    <definedName name="TBXD" localSheetId="1">#REF!</definedName>
    <definedName name="TBXD">#REF!</definedName>
    <definedName name="TC" localSheetId="0">#REF!</definedName>
    <definedName name="TC" localSheetId="1">#REF!</definedName>
    <definedName name="TC">#REF!</definedName>
    <definedName name="tc_1">#REF!</definedName>
    <definedName name="tc_2">#REF!</definedName>
    <definedName name="TC_NHANH1">#REF!</definedName>
    <definedName name="TCDHT">#REF!</definedName>
    <definedName name="Tchuan">#REF!</definedName>
    <definedName name="TCTRU">#REF!</definedName>
    <definedName name="tcxxnc" localSheetId="0">#REF!</definedName>
    <definedName name="tcxxnc" localSheetId="1">#REF!</definedName>
    <definedName name="tcxxnc">#REF!</definedName>
    <definedName name="TD" localSheetId="2">#REF!</definedName>
    <definedName name="TD" localSheetId="5">#REF!</definedName>
    <definedName name="TD" localSheetId="4">#REF!</definedName>
    <definedName name="TD" localSheetId="3">#REF!</definedName>
    <definedName name="TD" localSheetId="6">#REF!</definedName>
    <definedName name="TD" localSheetId="0">#REF!</definedName>
    <definedName name="TD" localSheetId="1">#REF!</definedName>
    <definedName name="TD">#REF!</definedName>
    <definedName name="td10vl" localSheetId="2">#REF!</definedName>
    <definedName name="td10vl" localSheetId="5">#REF!</definedName>
    <definedName name="td10vl" localSheetId="4">#REF!</definedName>
    <definedName name="td10vl" localSheetId="3">#REF!</definedName>
    <definedName name="td10vl" localSheetId="6">#REF!</definedName>
    <definedName name="td10vl" localSheetId="0">#REF!</definedName>
    <definedName name="td10vl" localSheetId="1">#REF!</definedName>
    <definedName name="td10vl">#REF!</definedName>
    <definedName name="td12nc" localSheetId="0">#REF!</definedName>
    <definedName name="td12nc" localSheetId="1">#REF!</definedName>
    <definedName name="td12nc">#REF!</definedName>
    <definedName name="TD12vl" localSheetId="2">#REF!</definedName>
    <definedName name="TD12vl" localSheetId="5">#REF!</definedName>
    <definedName name="TD12vl" localSheetId="4">#REF!</definedName>
    <definedName name="TD12vl" localSheetId="3">#REF!</definedName>
    <definedName name="TD12vl" localSheetId="6">#REF!</definedName>
    <definedName name="TD12vl" localSheetId="0">#REF!</definedName>
    <definedName name="TD12vl" localSheetId="1">#REF!</definedName>
    <definedName name="TD12vl">#REF!</definedName>
    <definedName name="td1cnc" localSheetId="2">#REF!</definedName>
    <definedName name="td1cnc" localSheetId="5">#REF!</definedName>
    <definedName name="td1cnc" localSheetId="4">#REF!</definedName>
    <definedName name="td1cnc" localSheetId="3">#REF!</definedName>
    <definedName name="td1cnc" localSheetId="6">#REF!</definedName>
    <definedName name="td1cnc" localSheetId="0">#REF!</definedName>
    <definedName name="td1cnc" localSheetId="1">#REF!</definedName>
    <definedName name="td1cnc">#REF!</definedName>
    <definedName name="td1cvl" localSheetId="0">#REF!</definedName>
    <definedName name="td1cvl" localSheetId="1">#REF!</definedName>
    <definedName name="td1cvl">#REF!</definedName>
    <definedName name="td1p" localSheetId="0">#REF!</definedName>
    <definedName name="td1p" localSheetId="1">#REF!</definedName>
    <definedName name="td1p">#REF!</definedName>
    <definedName name="TD1p1nc" localSheetId="2">#REF!</definedName>
    <definedName name="TD1p1nc" localSheetId="5">#REF!</definedName>
    <definedName name="TD1p1nc" localSheetId="4">#REF!</definedName>
    <definedName name="TD1p1nc" localSheetId="3">#REF!</definedName>
    <definedName name="TD1p1nc" localSheetId="6">#REF!</definedName>
    <definedName name="TD1p1nc" localSheetId="0">#REF!</definedName>
    <definedName name="TD1p1nc" localSheetId="1">#REF!</definedName>
    <definedName name="TD1p1nc">#REF!</definedName>
    <definedName name="td1p1vc" localSheetId="0">#REF!</definedName>
    <definedName name="td1p1vc" localSheetId="1">#REF!</definedName>
    <definedName name="td1p1vc">#REF!</definedName>
    <definedName name="TD1p1vl" localSheetId="0">#REF!</definedName>
    <definedName name="TD1p1vl" localSheetId="1">#REF!</definedName>
    <definedName name="TD1p1vl">#REF!</definedName>
    <definedName name="TD1p2nc" localSheetId="0">#REF!</definedName>
    <definedName name="TD1p2nc" localSheetId="1">#REF!</definedName>
    <definedName name="TD1p2nc">#REF!</definedName>
    <definedName name="TD1p2vc" localSheetId="0">#REF!</definedName>
    <definedName name="TD1p2vc" localSheetId="1">#REF!</definedName>
    <definedName name="TD1p2vc">#REF!</definedName>
    <definedName name="TD1p2vl" localSheetId="0">#REF!</definedName>
    <definedName name="TD1p2vl" localSheetId="1">#REF!</definedName>
    <definedName name="TD1p2vl">#REF!</definedName>
    <definedName name="TD1pnc" localSheetId="0">#REF!</definedName>
    <definedName name="TD1pnc" localSheetId="1">#REF!</definedName>
    <definedName name="TD1pnc">#REF!</definedName>
    <definedName name="TD1pvl">#REF!</definedName>
    <definedName name="td3p" localSheetId="2">#REF!</definedName>
    <definedName name="td3p" localSheetId="5">#REF!</definedName>
    <definedName name="td3p" localSheetId="4">#REF!</definedName>
    <definedName name="td3p" localSheetId="3">#REF!</definedName>
    <definedName name="td3p" localSheetId="6">#REF!</definedName>
    <definedName name="td3p" localSheetId="0">#REF!</definedName>
    <definedName name="td3p" localSheetId="1">#REF!</definedName>
    <definedName name="td3p">#REF!</definedName>
    <definedName name="tdc84nc" localSheetId="2">#REF!</definedName>
    <definedName name="tdc84nc" localSheetId="5">#REF!</definedName>
    <definedName name="tdc84nc" localSheetId="4">#REF!</definedName>
    <definedName name="tdc84nc" localSheetId="3">#REF!</definedName>
    <definedName name="tdc84nc" localSheetId="6">#REF!</definedName>
    <definedName name="tdc84nc" localSheetId="0">#REF!</definedName>
    <definedName name="tdc84nc" localSheetId="1">#REF!</definedName>
    <definedName name="tdc84nc">#REF!</definedName>
    <definedName name="tdcnc">#REF!</definedName>
    <definedName name="TDctnc" localSheetId="2">#REF!</definedName>
    <definedName name="TDctnc" localSheetId="5">#REF!</definedName>
    <definedName name="TDctnc" localSheetId="4">#REF!</definedName>
    <definedName name="TDctnc" localSheetId="3">#REF!</definedName>
    <definedName name="TDctnc" localSheetId="6">#REF!</definedName>
    <definedName name="TDctnc" localSheetId="0">#REF!</definedName>
    <definedName name="TDctnc" localSheetId="1">#REF!</definedName>
    <definedName name="TDctnc">#REF!</definedName>
    <definedName name="TDctvc" localSheetId="0">#REF!</definedName>
    <definedName name="TDctvc" localSheetId="1">#REF!</definedName>
    <definedName name="TDctvc">#REF!</definedName>
    <definedName name="TDctvl" localSheetId="0">#REF!</definedName>
    <definedName name="TDctvl" localSheetId="1">#REF!</definedName>
    <definedName name="TDctvl">#REF!</definedName>
    <definedName name="TDDZ04">#REF!</definedName>
    <definedName name="TDDZ22">#REF!</definedName>
    <definedName name="tdgnc" localSheetId="0">#REF!</definedName>
    <definedName name="tdgnc" localSheetId="1">#REF!</definedName>
    <definedName name="tdgnc">#REF!</definedName>
    <definedName name="tdgvl" localSheetId="0">#REF!</definedName>
    <definedName name="tdgvl" localSheetId="1">#REF!</definedName>
    <definedName name="tdgvl">#REF!</definedName>
    <definedName name="tdhtnc" localSheetId="0">#REF!</definedName>
    <definedName name="tdhtnc" localSheetId="1">#REF!</definedName>
    <definedName name="tdhtnc">#REF!</definedName>
    <definedName name="tdhtvl" localSheetId="0">#REF!</definedName>
    <definedName name="tdhtvl" localSheetId="1">#REF!</definedName>
    <definedName name="tdhtvl">#REF!</definedName>
    <definedName name="tdia" localSheetId="2">#REF!</definedName>
    <definedName name="tdia" localSheetId="5">#REF!</definedName>
    <definedName name="tdia" localSheetId="4">#REF!</definedName>
    <definedName name="tdia" localSheetId="3">#REF!</definedName>
    <definedName name="tdia" localSheetId="6">#REF!</definedName>
    <definedName name="tdia" localSheetId="0">#REF!</definedName>
    <definedName name="tdia" localSheetId="1">#REF!</definedName>
    <definedName name="tdia">#REF!</definedName>
    <definedName name="TdinhQT">#REF!</definedName>
    <definedName name="tdll1pm">#REF!</definedName>
    <definedName name="tdll3pm">#REF!</definedName>
    <definedName name="tdllHTDL">#REF!</definedName>
    <definedName name="tdllHTHH">#REF!</definedName>
    <definedName name="TDmnc" localSheetId="2">#REF!</definedName>
    <definedName name="TDmnc" localSheetId="5">#REF!</definedName>
    <definedName name="TDmnc" localSheetId="4">#REF!</definedName>
    <definedName name="TDmnc" localSheetId="3">#REF!</definedName>
    <definedName name="TDmnc" localSheetId="6">#REF!</definedName>
    <definedName name="TDmnc" localSheetId="0">#REF!</definedName>
    <definedName name="TDmnc" localSheetId="1">#REF!</definedName>
    <definedName name="TDmnc">#REF!</definedName>
    <definedName name="TDmvc" localSheetId="0">#REF!</definedName>
    <definedName name="TDmvc" localSheetId="1">#REF!</definedName>
    <definedName name="TDmvc">#REF!</definedName>
    <definedName name="TDmvl">#REF!</definedName>
    <definedName name="tdnc">#REF!</definedName>
    <definedName name="tdnc1p" localSheetId="2">#REF!</definedName>
    <definedName name="tdnc1p" localSheetId="5">#REF!</definedName>
    <definedName name="tdnc1p" localSheetId="4">#REF!</definedName>
    <definedName name="tdnc1p" localSheetId="3">#REF!</definedName>
    <definedName name="tdnc1p" localSheetId="6">#REF!</definedName>
    <definedName name="tdnc1p" localSheetId="0">#REF!</definedName>
    <definedName name="tdnc1p" localSheetId="1">#REF!</definedName>
    <definedName name="tdnc1p">#REF!</definedName>
    <definedName name="tdnc3p" localSheetId="2">#REF!</definedName>
    <definedName name="tdnc3p" localSheetId="5">#REF!</definedName>
    <definedName name="tdnc3p" localSheetId="4">#REF!</definedName>
    <definedName name="tdnc3p" localSheetId="3">#REF!</definedName>
    <definedName name="tdnc3p" localSheetId="6">#REF!</definedName>
    <definedName name="tdnc3p" localSheetId="0">#REF!</definedName>
    <definedName name="tdnc3p" localSheetId="1">#REF!</definedName>
    <definedName name="tdnc3p">#REF!</definedName>
    <definedName name="tdo">#REF!</definedName>
    <definedName name="tdt" localSheetId="2">#REF!</definedName>
    <definedName name="tdt" localSheetId="5">#REF!</definedName>
    <definedName name="tdt" localSheetId="4">#REF!</definedName>
    <definedName name="tdt" localSheetId="3">#REF!</definedName>
    <definedName name="tdt" localSheetId="6">#REF!</definedName>
    <definedName name="tdt" localSheetId="0">#REF!</definedName>
    <definedName name="tdt" localSheetId="1">#REF!</definedName>
    <definedName name="tdt">#REF!</definedName>
    <definedName name="tdt1pnc" localSheetId="2">#REF!</definedName>
    <definedName name="tdt1pnc" localSheetId="5">#REF!</definedName>
    <definedName name="tdt1pnc" localSheetId="4">#REF!</definedName>
    <definedName name="tdt1pnc" localSheetId="3">#REF!</definedName>
    <definedName name="tdt1pnc" localSheetId="6">#REF!</definedName>
    <definedName name="tdt1pnc" localSheetId="0">#REF!</definedName>
    <definedName name="tdt1pnc" localSheetId="1">#REF!</definedName>
    <definedName name="tdt1pnc">#REF!</definedName>
    <definedName name="tdt1pvl" localSheetId="2">#REF!</definedName>
    <definedName name="tdt1pvl" localSheetId="5">#REF!</definedName>
    <definedName name="tdt1pvl" localSheetId="4">#REF!</definedName>
    <definedName name="tdt1pvl" localSheetId="3">#REF!</definedName>
    <definedName name="tdt1pvl" localSheetId="6">#REF!</definedName>
    <definedName name="tdt1pvl" localSheetId="0">#REF!</definedName>
    <definedName name="tdt1pvl" localSheetId="1">#REF!</definedName>
    <definedName name="tdt1pvl">#REF!</definedName>
    <definedName name="tdt2cnc" localSheetId="2">#REF!</definedName>
    <definedName name="tdt2cnc" localSheetId="5">#REF!</definedName>
    <definedName name="tdt2cnc" localSheetId="4">#REF!</definedName>
    <definedName name="tdt2cnc" localSheetId="3">#REF!</definedName>
    <definedName name="tdt2cnc" localSheetId="6">#REF!</definedName>
    <definedName name="tdt2cnc" localSheetId="0">#REF!</definedName>
    <definedName name="tdt2cnc" localSheetId="1">#REF!</definedName>
    <definedName name="tdt2cnc">#REF!</definedName>
    <definedName name="tdt2cvl">#REF!</definedName>
    <definedName name="tdtr2cnc" localSheetId="2">#REF!</definedName>
    <definedName name="tdtr2cnc" localSheetId="5">#REF!</definedName>
    <definedName name="tdtr2cnc" localSheetId="4">#REF!</definedName>
    <definedName name="tdtr2cnc" localSheetId="3">#REF!</definedName>
    <definedName name="tdtr2cnc" localSheetId="6">#REF!</definedName>
    <definedName name="tdtr2cnc" localSheetId="0">#REF!</definedName>
    <definedName name="tdtr2cnc" localSheetId="1">#REF!</definedName>
    <definedName name="tdtr2cnc">#REF!</definedName>
    <definedName name="tdtr2cvl" localSheetId="0">#REF!</definedName>
    <definedName name="tdtr2cvl" localSheetId="1">#REF!</definedName>
    <definedName name="tdtr2cvl">#REF!</definedName>
    <definedName name="tdtrnc" localSheetId="0">#REF!</definedName>
    <definedName name="tdtrnc" localSheetId="1">#REF!</definedName>
    <definedName name="tdtrnc">#REF!</definedName>
    <definedName name="tdtrvl" localSheetId="0">#REF!</definedName>
    <definedName name="tdtrvl" localSheetId="1">#REF!</definedName>
    <definedName name="tdtrvl">#REF!</definedName>
    <definedName name="tdvl">#REF!</definedName>
    <definedName name="tdvl1p" localSheetId="2">#REF!</definedName>
    <definedName name="tdvl1p" localSheetId="5">#REF!</definedName>
    <definedName name="tdvl1p" localSheetId="4">#REF!</definedName>
    <definedName name="tdvl1p" localSheetId="3">#REF!</definedName>
    <definedName name="tdvl1p" localSheetId="6">#REF!</definedName>
    <definedName name="tdvl1p" localSheetId="0">#REF!</definedName>
    <definedName name="tdvl1p" localSheetId="1">#REF!</definedName>
    <definedName name="tdvl1p">#REF!</definedName>
    <definedName name="tdvl3p" localSheetId="2">#REF!</definedName>
    <definedName name="tdvl3p" localSheetId="5">#REF!</definedName>
    <definedName name="tdvl3p" localSheetId="4">#REF!</definedName>
    <definedName name="tdvl3p" localSheetId="3">#REF!</definedName>
    <definedName name="tdvl3p" localSheetId="6">#REF!</definedName>
    <definedName name="tdvl3p" localSheetId="0">#REF!</definedName>
    <definedName name="tdvl3p" localSheetId="1">#REF!</definedName>
    <definedName name="tdvl3p">#REF!</definedName>
    <definedName name="te">#REF!</definedName>
    <definedName name="tecnuoc5">#REF!</definedName>
    <definedName name="temp">#REF!</definedName>
    <definedName name="Temp_Br">#REF!</definedName>
    <definedName name="TEMPBR">#REF!</definedName>
    <definedName name="TemporaryWork">#REF!</definedName>
    <definedName name="ten">#REF!</definedName>
    <definedName name="ten_tra_1BTN">#REF!</definedName>
    <definedName name="ten_tra_2BTN">#REF!</definedName>
    <definedName name="ten_tra_3BTN">#REF!</definedName>
    <definedName name="TenBang">#REF!</definedName>
    <definedName name="tenck" localSheetId="2">#REF!</definedName>
    <definedName name="tenck" localSheetId="5">#REF!</definedName>
    <definedName name="tenck" localSheetId="4">#REF!</definedName>
    <definedName name="tenck" localSheetId="3">#REF!</definedName>
    <definedName name="tenck" localSheetId="6">#REF!</definedName>
    <definedName name="tenck" localSheetId="0">#REF!</definedName>
    <definedName name="tenck" localSheetId="1">#REF!</definedName>
    <definedName name="tenck">#REF!</definedName>
    <definedName name="TENCT">#REF!</definedName>
    <definedName name="Tengoi">#REF!</definedName>
    <definedName name="TenHMuc">#REF!</definedName>
    <definedName name="TenVtu">#REF!</definedName>
    <definedName name="tenvung">#REF!</definedName>
    <definedName name="test">#REF!</definedName>
    <definedName name="Test5">#REF!</definedName>
    <definedName name="tg" localSheetId="2">#REF!</definedName>
    <definedName name="tg" localSheetId="5">#REF!</definedName>
    <definedName name="tg" localSheetId="4">#REF!</definedName>
    <definedName name="tg" localSheetId="3">#REF!</definedName>
    <definedName name="tg" localSheetId="6">#REF!</definedName>
    <definedName name="tg" localSheetId="0">#REF!</definedName>
    <definedName name="tg" localSheetId="1">#REF!</definedName>
    <definedName name="tg">#REF!</definedName>
    <definedName name="TH.2002">#REF!</definedName>
    <definedName name="TH.QUY1">#REF!</definedName>
    <definedName name="TH.QUY2">#REF!</definedName>
    <definedName name="TH.T1">#REF!</definedName>
    <definedName name="TH.T2">#REF!</definedName>
    <definedName name="TH.T3">#REF!</definedName>
    <definedName name="TH.T4">#REF!</definedName>
    <definedName name="TH.T5">#REF!</definedName>
    <definedName name="TH.T6">#REF!</definedName>
    <definedName name="TH.Thang.1">#REF!</definedName>
    <definedName name="TH.Thang.10">#REF!</definedName>
    <definedName name="TH.Thang.11">#REF!</definedName>
    <definedName name="TH.Thang.12">#REF!</definedName>
    <definedName name="TH.Thang.2">#REF!</definedName>
    <definedName name="TH.Thang.3">#REF!</definedName>
    <definedName name="TH.Thang.4">#REF!</definedName>
    <definedName name="TH.Thang.5">#REF!</definedName>
    <definedName name="TH.Thang.6">#REF!</definedName>
    <definedName name="TH.Thang.7">#REF!</definedName>
    <definedName name="TH.Thang.8">#REF!</definedName>
    <definedName name="TH.Thang.9">#REF!</definedName>
    <definedName name="TH_VKHNN">#REF!</definedName>
    <definedName name="th3x15">#REF!</definedName>
    <definedName name="tha" hidden="1">{"'Sheet1'!$L$16"}</definedName>
    <definedName name="thai">#REF!</definedName>
    <definedName name="thang" localSheetId="0">#REF!</definedName>
    <definedName name="thang" localSheetId="1">#REF!</definedName>
    <definedName name="thang">#REF!</definedName>
    <definedName name="thang10" hidden="1">{"'Sheet1'!$L$16"}</definedName>
    <definedName name="Thanh_Hoá">#REF!</definedName>
    <definedName name="Thanh_LC_tayvin">#REF!</definedName>
    <definedName name="thanhdul">#REF!</definedName>
    <definedName name="thanhtien" localSheetId="0">#REF!</definedName>
    <definedName name="thanhtien" localSheetId="1">#REF!</definedName>
    <definedName name="thanhtien">#REF!</definedName>
    <definedName name="ThanhXuan110" localSheetId="0">#REF!</definedName>
    <definedName name="ThanhXuan110" localSheetId="1">#REF!</definedName>
    <definedName name="ThanhXuan110">#REF!</definedName>
    <definedName name="ÞBM">#REF!</definedName>
    <definedName name="THchon" localSheetId="2">#REF!</definedName>
    <definedName name="THchon" localSheetId="5">#REF!</definedName>
    <definedName name="THchon" localSheetId="4">#REF!</definedName>
    <definedName name="THchon" localSheetId="3">#REF!</definedName>
    <definedName name="THchon" localSheetId="6">#REF!</definedName>
    <definedName name="THchon" localSheetId="0">#REF!</definedName>
    <definedName name="THchon" localSheetId="1">#REF!</definedName>
    <definedName name="THchon">#REF!</definedName>
    <definedName name="Þcot">#REF!</definedName>
    <definedName name="ÞCTd4">#REF!</definedName>
    <definedName name="ÞCTt4">#REF!</definedName>
    <definedName name="Þdamd4">#REF!</definedName>
    <definedName name="Þdamt4">#REF!</definedName>
    <definedName name="THDS">#REF!</definedName>
    <definedName name="thdt" localSheetId="0">#REF!</definedName>
    <definedName name="thdt" localSheetId="1">#REF!</definedName>
    <definedName name="thdt">#REF!</definedName>
    <definedName name="THDT_CT_XOM_NOI" localSheetId="0">#REF!</definedName>
    <definedName name="THDT_CT_XOM_NOI" localSheetId="1">#REF!</definedName>
    <definedName name="THDT_CT_XOM_NOI">#REF!</definedName>
    <definedName name="THDT_HT_DAO_THUONG" localSheetId="2">#REF!</definedName>
    <definedName name="THDT_HT_DAO_THUONG" localSheetId="5">#REF!</definedName>
    <definedName name="THDT_HT_DAO_THUONG" localSheetId="4">#REF!</definedName>
    <definedName name="THDT_HT_DAO_THUONG" localSheetId="3">#REF!</definedName>
    <definedName name="THDT_HT_DAO_THUONG" localSheetId="6">#REF!</definedName>
    <definedName name="THDT_HT_DAO_THUONG" localSheetId="0">#REF!</definedName>
    <definedName name="THDT_HT_DAO_THUONG" localSheetId="1">#REF!</definedName>
    <definedName name="THDT_HT_DAO_THUONG">#REF!</definedName>
    <definedName name="THDT_HT_XOM_NOI" localSheetId="0">#REF!</definedName>
    <definedName name="THDT_HT_XOM_NOI" localSheetId="1">#REF!</definedName>
    <definedName name="THDT_HT_XOM_NOI">#REF!</definedName>
    <definedName name="THDT_NPP_XOM_NOI" localSheetId="0">#REF!</definedName>
    <definedName name="THDT_NPP_XOM_NOI" localSheetId="1">#REF!</definedName>
    <definedName name="THDT_NPP_XOM_NOI">#REF!</definedName>
    <definedName name="THDT_TBA_XOM_NOI">#REF!</definedName>
    <definedName name="thep">#REF!</definedName>
    <definedName name="thepban">#REF!</definedName>
    <definedName name="thepbuoc" localSheetId="0">#REF!</definedName>
    <definedName name="thepbuoc" localSheetId="1">#REF!</definedName>
    <definedName name="thepbuoc">#REF!</definedName>
    <definedName name="ThepDet32x3" localSheetId="0">#REF!</definedName>
    <definedName name="ThepDet32x3" localSheetId="1">#REF!</definedName>
    <definedName name="ThepDet32x3">#REF!</definedName>
    <definedName name="ThepDet35x3" localSheetId="0">#REF!</definedName>
    <definedName name="ThepDet35x3" localSheetId="1">#REF!</definedName>
    <definedName name="ThepDet35x3">#REF!</definedName>
    <definedName name="ThepDet40x4" localSheetId="0">#REF!</definedName>
    <definedName name="ThepDet40x4" localSheetId="1">#REF!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 localSheetId="2">#REF!</definedName>
    <definedName name="thepgoc25_60" localSheetId="5">#REF!</definedName>
    <definedName name="thepgoc25_60" localSheetId="4">#REF!</definedName>
    <definedName name="thepgoc25_60" localSheetId="3">#REF!</definedName>
    <definedName name="thepgoc25_60" localSheetId="6">#REF!</definedName>
    <definedName name="thepgoc25_60" localSheetId="0">#REF!</definedName>
    <definedName name="thepgoc25_60" localSheetId="1">#REF!</definedName>
    <definedName name="thepgoc25_60">#REF!</definedName>
    <definedName name="ThepGoc32x32x3" localSheetId="2">#REF!</definedName>
    <definedName name="ThepGoc32x32x3" localSheetId="5">#REF!</definedName>
    <definedName name="ThepGoc32x32x3" localSheetId="4">#REF!</definedName>
    <definedName name="ThepGoc32x32x3" localSheetId="3">#REF!</definedName>
    <definedName name="ThepGoc32x32x3" localSheetId="6">#REF!</definedName>
    <definedName name="ThepGoc32x32x3" localSheetId="0">#REF!</definedName>
    <definedName name="ThepGoc32x32x3" localSheetId="1">#REF!</definedName>
    <definedName name="ThepGoc32x32x3">#REF!</definedName>
    <definedName name="ThepGoc35x35x3" localSheetId="0">#REF!</definedName>
    <definedName name="ThepGoc35x35x3" localSheetId="1">#REF!</definedName>
    <definedName name="ThepGoc35x35x3">#REF!</definedName>
    <definedName name="ThepGoc40x40x4" localSheetId="0">#REF!</definedName>
    <definedName name="ThepGoc40x40x4" localSheetId="1">#REF!</definedName>
    <definedName name="ThepGoc40x40x4">#REF!</definedName>
    <definedName name="ThepGoc45x45x4">#REF!</definedName>
    <definedName name="ThepGoc50x50x5">#REF!</definedName>
    <definedName name="thepgoc63_75" localSheetId="2">#REF!</definedName>
    <definedName name="thepgoc63_75" localSheetId="5">#REF!</definedName>
    <definedName name="thepgoc63_75" localSheetId="4">#REF!</definedName>
    <definedName name="thepgoc63_75" localSheetId="3">#REF!</definedName>
    <definedName name="thepgoc63_75" localSheetId="6">#REF!</definedName>
    <definedName name="thepgoc63_75" localSheetId="0">#REF!</definedName>
    <definedName name="thepgoc63_75" localSheetId="1">#REF!</definedName>
    <definedName name="thepgoc63_75">#REF!</definedName>
    <definedName name="ThepGoc63x63x6" localSheetId="2">#REF!</definedName>
    <definedName name="ThepGoc63x63x6" localSheetId="5">#REF!</definedName>
    <definedName name="ThepGoc63x63x6" localSheetId="4">#REF!</definedName>
    <definedName name="ThepGoc63x63x6" localSheetId="3">#REF!</definedName>
    <definedName name="ThepGoc63x63x6" localSheetId="6">#REF!</definedName>
    <definedName name="ThepGoc63x63x6" localSheetId="0">#REF!</definedName>
    <definedName name="ThepGoc63x63x6" localSheetId="1">#REF!</definedName>
    <definedName name="ThepGoc63x63x6">#REF!</definedName>
    <definedName name="ThepGoc75x6">#REF!</definedName>
    <definedName name="ThepGoc75x75x6" localSheetId="0">#REF!</definedName>
    <definedName name="ThepGoc75x75x6" localSheetId="1">#REF!</definedName>
    <definedName name="ThepGoc75x75x6">#REF!</definedName>
    <definedName name="thepgoc80_100" localSheetId="2">#REF!</definedName>
    <definedName name="thepgoc80_100" localSheetId="5">#REF!</definedName>
    <definedName name="thepgoc80_100" localSheetId="4">#REF!</definedName>
    <definedName name="thepgoc80_100" localSheetId="3">#REF!</definedName>
    <definedName name="thepgoc80_100" localSheetId="6">#REF!</definedName>
    <definedName name="thepgoc80_100" localSheetId="0">#REF!</definedName>
    <definedName name="thepgoc80_100" localSheetId="1">#REF!</definedName>
    <definedName name="thepgoc80_100">#REF!</definedName>
    <definedName name="thepma">10500</definedName>
    <definedName name="thepnaphl">#REF!</definedName>
    <definedName name="theptb">#REF!</definedName>
    <definedName name="theptron">#REF!</definedName>
    <definedName name="theptron12" localSheetId="2">#REF!</definedName>
    <definedName name="theptron12" localSheetId="5">#REF!</definedName>
    <definedName name="theptron12" localSheetId="4">#REF!</definedName>
    <definedName name="theptron12" localSheetId="3">#REF!</definedName>
    <definedName name="theptron12" localSheetId="6">#REF!</definedName>
    <definedName name="theptron12" localSheetId="0">#REF!</definedName>
    <definedName name="theptron12" localSheetId="1">#REF!</definedName>
    <definedName name="theptron12">#REF!</definedName>
    <definedName name="theptron14_22" localSheetId="0">#REF!</definedName>
    <definedName name="theptron14_22" localSheetId="1">#REF!</definedName>
    <definedName name="theptron14_22">#REF!</definedName>
    <definedName name="theptron6_8" localSheetId="0">#REF!</definedName>
    <definedName name="theptron6_8" localSheetId="1">#REF!</definedName>
    <definedName name="theptron6_8">#REF!</definedName>
    <definedName name="ThepTronD10D18" localSheetId="0">#REF!</definedName>
    <definedName name="ThepTronD10D18" localSheetId="1">#REF!</definedName>
    <definedName name="ThepTronD10D18">#REF!</definedName>
    <definedName name="ThepTronD6D8" localSheetId="0">#REF!</definedName>
    <definedName name="ThepTronD6D8" localSheetId="1">#REF!</definedName>
    <definedName name="ThepTronD6D8">#REF!</definedName>
    <definedName name="thepU" localSheetId="0">#REF!</definedName>
    <definedName name="thepU" localSheetId="1">#REF!</definedName>
    <definedName name="thepU">#REF!</definedName>
    <definedName name="thetichck" localSheetId="2">#REF!</definedName>
    <definedName name="thetichck" localSheetId="5">#REF!</definedName>
    <definedName name="thetichck" localSheetId="4">#REF!</definedName>
    <definedName name="thetichck" localSheetId="3">#REF!</definedName>
    <definedName name="thetichck" localSheetId="6">#REF!</definedName>
    <definedName name="thetichck" localSheetId="0">#REF!</definedName>
    <definedName name="thetichck" localSheetId="1">#REF!</definedName>
    <definedName name="thetichck">#REF!</definedName>
    <definedName name="THGO1pnc" localSheetId="0">#REF!</definedName>
    <definedName name="THGO1pnc" localSheetId="1">#REF!</definedName>
    <definedName name="THGO1pnc">#REF!</definedName>
    <definedName name="thht" localSheetId="0">#REF!</definedName>
    <definedName name="thht" localSheetId="1">#REF!</definedName>
    <definedName name="thht">#REF!</definedName>
    <definedName name="THI">#REF!</definedName>
    <definedName name="thinh">#REF!</definedName>
    <definedName name="THîp_gia_trÞ_quyÕt_toan">#REF!</definedName>
    <definedName name="Thîp_kinh_phÝ_dao_dóc_mãng_dùng_trô">#REF!</definedName>
    <definedName name="THîp_phat_tuyÕn_kho_bai_thi_cong">#REF!</definedName>
    <definedName name="THîp_vèn_TBA35_22KV_1000KVA">#REF!</definedName>
    <definedName name="THîp_vl_nc_mtc_dît_1_thang_10_1996">#REF!</definedName>
    <definedName name="THK" localSheetId="0">#REF!</definedName>
    <definedName name="THK" localSheetId="1">#REF!</definedName>
    <definedName name="THK">#REF!</definedName>
    <definedName name="THkinhPhiToanBo">#REF!</definedName>
    <definedName name="THKP160" localSheetId="0">#REF!</definedName>
    <definedName name="THKP160" localSheetId="1">#REF!</definedName>
    <definedName name="THKP160">#REF!</definedName>
    <definedName name="thkp3" localSheetId="0">#REF!</definedName>
    <definedName name="thkp3" localSheetId="1">#REF!</definedName>
    <definedName name="thkp3">#REF!</definedName>
    <definedName name="Þmong">#REF!</definedName>
    <definedName name="Thñ_tôc_xin_cÊp_dÊt_lÖ_phÝ_cÊp_dÊt">#REF!</definedName>
    <definedName name="ÞNXoldk">#REF!</definedName>
    <definedName name="thongso">#REF!</definedName>
    <definedName name="THOP">"THOP"</definedName>
    <definedName name="Þsan">#REF!</definedName>
    <definedName name="THT" localSheetId="0">#REF!</definedName>
    <definedName name="THT" localSheetId="1">#REF!</definedName>
    <definedName name="THT">#REF!</definedName>
    <definedName name="thtich1" localSheetId="0">#REF!</definedName>
    <definedName name="thtich1" localSheetId="1">#REF!</definedName>
    <definedName name="thtich1">#REF!</definedName>
    <definedName name="thtich2" localSheetId="0">#REF!</definedName>
    <definedName name="thtich2" localSheetId="1">#REF!</definedName>
    <definedName name="thtich2">#REF!</definedName>
    <definedName name="thtich3">#REF!</definedName>
    <definedName name="thtich4">#REF!</definedName>
    <definedName name="thtich5">#REF!</definedName>
    <definedName name="thtich6">#REF!</definedName>
    <definedName name="THTLMcap">#REF!</definedName>
    <definedName name="THToanBo">#REF!</definedName>
    <definedName name="thtr15" localSheetId="0">#REF!</definedName>
    <definedName name="thtr15" localSheetId="1">#REF!</definedName>
    <definedName name="thtr15">#REF!</definedName>
    <definedName name="thtt" localSheetId="0">#REF!</definedName>
    <definedName name="thtt" localSheetId="1">#REF!</definedName>
    <definedName name="thtt">#REF!</definedName>
    <definedName name="THU" localSheetId="0">#REF!</definedName>
    <definedName name="THU" localSheetId="1">#REF!</definedName>
    <definedName name="THU">#REF!</definedName>
    <definedName name="Thu.von.dot1">#REF!</definedName>
    <definedName name="Thu.von.dot2">#REF!</definedName>
    <definedName name="Thu.von.dot3">#REF!</definedName>
    <definedName name="Thu.von.dot4">#REF!</definedName>
    <definedName name="Thu.von.dot5">#REF!</definedName>
    <definedName name="Thừa_Thiên_Huế">#REF!</definedName>
    <definedName name="thucthanh">#REF!</definedName>
    <definedName name="thuocno">#REF!</definedName>
    <definedName name="Thuvondot5">#REF!</definedName>
    <definedName name="THUYETMINH">#REF!</definedName>
    <definedName name="Tien" localSheetId="2">#REF!</definedName>
    <definedName name="Tien" localSheetId="5">#REF!</definedName>
    <definedName name="Tien" localSheetId="4">#REF!</definedName>
    <definedName name="Tien" localSheetId="3">#REF!</definedName>
    <definedName name="Tien" localSheetId="6">#REF!</definedName>
    <definedName name="Tien" localSheetId="0">#REF!</definedName>
    <definedName name="Tien" localSheetId="1">#REF!</definedName>
    <definedName name="Tien">#REF!</definedName>
    <definedName name="TIENLUONG" localSheetId="0">#REF!</definedName>
    <definedName name="TIENLUONG" localSheetId="1">#REF!</definedName>
    <definedName name="TIENLUONG">#REF!</definedName>
    <definedName name="TIENVC">#REF!</definedName>
    <definedName name="Tiep_dia" localSheetId="0">#REF!</definedName>
    <definedName name="Tiep_dia" localSheetId="1">#REF!</definedName>
    <definedName name="Tiep_dia">#REF!</definedName>
    <definedName name="Tiepdia">#REF!</definedName>
    <definedName name="Tiepdiama">9500</definedName>
    <definedName name="TIEU_HAO_VAT_TU_DZ0.4KV" localSheetId="0">#REF!</definedName>
    <definedName name="TIEU_HAO_VAT_TU_DZ0.4KV" localSheetId="1">#REF!</definedName>
    <definedName name="TIEU_HAO_VAT_TU_DZ0.4KV">#REF!</definedName>
    <definedName name="TIEU_HAO_VAT_TU_DZ22KV" localSheetId="0">#REF!</definedName>
    <definedName name="TIEU_HAO_VAT_TU_DZ22KV" localSheetId="1">#REF!</definedName>
    <definedName name="TIEU_HAO_VAT_TU_DZ22KV">#REF!</definedName>
    <definedName name="TIEU_HAO_VAT_TU_TBA" localSheetId="0">#REF!</definedName>
    <definedName name="TIEU_HAO_VAT_TU_TBA" localSheetId="1">#REF!</definedName>
    <definedName name="TIEU_HAO_VAT_TU_TBA">#REF!</definedName>
    <definedName name="TileStone" localSheetId="0">#REF!</definedName>
    <definedName name="TileStone" localSheetId="1">#REF!</definedName>
    <definedName name="TileStone">#REF!</definedName>
    <definedName name="Tim_cong">#REF!</definedName>
    <definedName name="Tim_lan_xuat_hien">#REF!</definedName>
    <definedName name="Tim_lan_xuat_hien_cong">#REF!</definedName>
    <definedName name="Tim_lan_xuat_hien_duong">#REF!</definedName>
    <definedName name="tim_xuat_hien">#REF!</definedName>
    <definedName name="TIT" localSheetId="2">#REF!</definedName>
    <definedName name="TIT" localSheetId="5">#REF!</definedName>
    <definedName name="TIT" localSheetId="4">#REF!</definedName>
    <definedName name="TIT" localSheetId="3">#REF!</definedName>
    <definedName name="TIT" localSheetId="6">#REF!</definedName>
    <definedName name="TIT" localSheetId="0">#REF!</definedName>
    <definedName name="TIT" localSheetId="1">#REF!</definedName>
    <definedName name="TIT">#REF!</definedName>
    <definedName name="TITAN" localSheetId="0">#REF!</definedName>
    <definedName name="TITAN" localSheetId="1">#REF!</definedName>
    <definedName name="TITAN">#REF!</definedName>
    <definedName name="tk" localSheetId="0">#REF!</definedName>
    <definedName name="tk" localSheetId="1">#REF!</definedName>
    <definedName name="tk">#REF!</definedName>
    <definedName name="TKCO_TKC">#REF!</definedName>
    <definedName name="TKNO_TKC">#REF!</definedName>
    <definedName name="TKP">#REF!</definedName>
    <definedName name="tl" localSheetId="0">#REF!</definedName>
    <definedName name="tl" localSheetId="1">#REF!</definedName>
    <definedName name="tl">#REF!</definedName>
    <definedName name="TL_PB">#REF!</definedName>
    <definedName name="TLAC120" localSheetId="2">#REF!</definedName>
    <definedName name="TLAC120" localSheetId="5">#REF!</definedName>
    <definedName name="TLAC120" localSheetId="4">#REF!</definedName>
    <definedName name="TLAC120" localSheetId="3">#REF!</definedName>
    <definedName name="TLAC120" localSheetId="6">#REF!</definedName>
    <definedName name="TLAC120" localSheetId="0">#REF!</definedName>
    <definedName name="TLAC120" localSheetId="1">#REF!</definedName>
    <definedName name="TLAC120">#REF!</definedName>
    <definedName name="TLAC35" localSheetId="0">#REF!</definedName>
    <definedName name="TLAC35" localSheetId="1">#REF!</definedName>
    <definedName name="TLAC35">#REF!</definedName>
    <definedName name="TLAC50" localSheetId="0">#REF!</definedName>
    <definedName name="TLAC50" localSheetId="1">#REF!</definedName>
    <definedName name="TLAC50">#REF!</definedName>
    <definedName name="TLAC70">#REF!</definedName>
    <definedName name="TLAC95">#REF!</definedName>
    <definedName name="tlc" hidden="1">{"'Sheet1'!$L$16"}</definedName>
    <definedName name="TLDa" localSheetId="0">#REF!</definedName>
    <definedName name="TLDa" localSheetId="1">#REF!</definedName>
    <definedName name="TLDa">#REF!</definedName>
    <definedName name="TLdat" localSheetId="0">#REF!</definedName>
    <definedName name="TLdat" localSheetId="1">#REF!</definedName>
    <definedName name="TLdat">#REF!</definedName>
    <definedName name="TLDM" localSheetId="0">#REF!</definedName>
    <definedName name="TLDM" localSheetId="1">#REF!</definedName>
    <definedName name="TLDM">#REF!</definedName>
    <definedName name="TLDPK">#REF!</definedName>
    <definedName name="Tle" localSheetId="0">#REF!</definedName>
    <definedName name="Tle" localSheetId="1">#REF!</definedName>
    <definedName name="Tle">#REF!</definedName>
    <definedName name="Tle_1">#REF!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Protection" localSheetId="0">#REF!</definedName>
    <definedName name="TMProtection" localSheetId="1">#REF!</definedName>
    <definedName name="TMProtection">#REF!</definedName>
    <definedName name="tn" localSheetId="0">#REF!</definedName>
    <definedName name="tn" localSheetId="1">#REF!</definedName>
    <definedName name="tn">#REF!</definedName>
    <definedName name="TN_b_qu_n">#REF!</definedName>
    <definedName name="tn1pinnc" localSheetId="0">#REF!</definedName>
    <definedName name="tn1pinnc" localSheetId="1">#REF!</definedName>
    <definedName name="tn1pinnc">#REF!</definedName>
    <definedName name="tn2mhnnc" localSheetId="0">#REF!</definedName>
    <definedName name="tn2mhnnc" localSheetId="1">#REF!</definedName>
    <definedName name="tn2mhnnc">#REF!</definedName>
    <definedName name="TNChiuThue">#REF!</definedName>
    <definedName name="TNCM">#REF!</definedName>
    <definedName name="tnhnnc">#REF!</definedName>
    <definedName name="tnignc">#REF!</definedName>
    <definedName name="tnin190nc">#REF!</definedName>
    <definedName name="tnlnc">#REF!</definedName>
    <definedName name="tnnnc">#REF!</definedName>
    <definedName name="tno">#REF!</definedName>
    <definedName name="toi5t">#REF!</definedName>
    <definedName name="tole">#REF!</definedName>
    <definedName name="Tong">#REF!</definedName>
    <definedName name="Tong_co">#REF!</definedName>
    <definedName name="TONG_GIA_TRI_CONG_TRINH" localSheetId="2">#REF!</definedName>
    <definedName name="TONG_GIA_TRI_CONG_TRINH" localSheetId="5">#REF!</definedName>
    <definedName name="TONG_GIA_TRI_CONG_TRINH" localSheetId="4">#REF!</definedName>
    <definedName name="TONG_GIA_TRI_CONG_TRINH" localSheetId="3">#REF!</definedName>
    <definedName name="TONG_GIA_TRI_CONG_TRINH" localSheetId="6">#REF!</definedName>
    <definedName name="TONG_GIA_TRI_CONG_TRINH" localSheetId="0">#REF!</definedName>
    <definedName name="TONG_GIA_TRI_CONG_TRINH" localSheetId="1">#REF!</definedName>
    <definedName name="TONG_GIA_TRI_CONG_TRINH">#REF!</definedName>
    <definedName name="TONG_HOP_CHI_TIET_XAY_DUNG">#REF!</definedName>
    <definedName name="TONG_HOP_KINH_PHI_GIA_CONG_PHAN_LAP_DAT_DIEN">#REF!</definedName>
    <definedName name="TONG_HOP_KINH_PHI_PHAN_A_THUC_HIEN">#REF!</definedName>
    <definedName name="TONG_HOP_KINH_PHI_PHAN_DIEN">#REF!</definedName>
    <definedName name="TONG_HOP_THI_NGHIEM_DZ0.4KV" localSheetId="0">#REF!</definedName>
    <definedName name="TONG_HOP_THI_NGHIEM_DZ0.4KV" localSheetId="1">#REF!</definedName>
    <definedName name="TONG_HOP_THI_NGHIEM_DZ0.4KV">#REF!</definedName>
    <definedName name="TONG_HOP_THI_NGHIEM_DZ22KV" localSheetId="0">#REF!</definedName>
    <definedName name="TONG_HOP_THI_NGHIEM_DZ22KV" localSheetId="1">#REF!</definedName>
    <definedName name="TONG_HOP_THI_NGHIEM_DZ22KV">#REF!</definedName>
    <definedName name="TONG_KE_DZ0.4KV" localSheetId="0">#REF!</definedName>
    <definedName name="TONG_KE_DZ0.4KV" localSheetId="1">#REF!</definedName>
    <definedName name="TONG_KE_DZ0.4KV">#REF!</definedName>
    <definedName name="TONG_KE_TBA" localSheetId="2">#REF!</definedName>
    <definedName name="TONG_KE_TBA" localSheetId="5">#REF!</definedName>
    <definedName name="TONG_KE_TBA" localSheetId="4">#REF!</definedName>
    <definedName name="TONG_KE_TBA" localSheetId="3">#REF!</definedName>
    <definedName name="TONG_KE_TBA" localSheetId="6">#REF!</definedName>
    <definedName name="TONG_KE_TBA" localSheetId="0">#REF!</definedName>
    <definedName name="TONG_KE_TBA" localSheetId="1">#REF!</definedName>
    <definedName name="TONG_KE_TBA">#REF!</definedName>
    <definedName name="Tong_no">#REF!</definedName>
    <definedName name="tongbt" localSheetId="0">#REF!</definedName>
    <definedName name="tongbt" localSheetId="1">#REF!</definedName>
    <definedName name="tongbt">#REF!</definedName>
    <definedName name="tongcong" localSheetId="0">#REF!</definedName>
    <definedName name="tongcong" localSheetId="1">#REF!</definedName>
    <definedName name="tongcong">#REF!</definedName>
    <definedName name="tongdientich">#REF!</definedName>
    <definedName name="TONGDUTOAN">#REF!</definedName>
    <definedName name="tongmay">#REF!</definedName>
    <definedName name="tongnc">#REF!</definedName>
    <definedName name="tongthep">#REF!</definedName>
    <definedName name="tongthetich">#REF!</definedName>
    <definedName name="tongvl">#REF!</definedName>
    <definedName name="Tonmai">#REF!</definedName>
    <definedName name="TOP">#REF!</definedName>
    <definedName name="TOT_PR_1">#REF!</definedName>
    <definedName name="TOT_PR_2">#REF!</definedName>
    <definedName name="TOT_PR_3">#REF!</definedName>
    <definedName name="TOT_PR_4">#REF!</definedName>
    <definedName name="TotalLOSS">#REF!</definedName>
    <definedName name="totbtoi">#REF!</definedName>
    <definedName name="tp">#REF!</definedName>
    <definedName name="TPLRP">#REF!</definedName>
    <definedName name="tr_">#REF!</definedName>
    <definedName name="TR10HT">#REF!</definedName>
    <definedName name="TR11HT">#REF!</definedName>
    <definedName name="TR12HT">#REF!</definedName>
    <definedName name="TR13HT">#REF!</definedName>
    <definedName name="TR14HT">#REF!</definedName>
    <definedName name="TR15HT" localSheetId="0">#REF!</definedName>
    <definedName name="TR15HT" localSheetId="1">#REF!</definedName>
    <definedName name="TR15HT">#REF!</definedName>
    <definedName name="TR16HT" localSheetId="0">#REF!</definedName>
    <definedName name="TR16HT" localSheetId="1">#REF!</definedName>
    <definedName name="TR16HT">#REF!</definedName>
    <definedName name="TR17HT">#REF!</definedName>
    <definedName name="TR18HT">#REF!</definedName>
    <definedName name="TR19HT" localSheetId="0">#REF!</definedName>
    <definedName name="TR19HT" localSheetId="1">#REF!</definedName>
    <definedName name="TR19HT">#REF!</definedName>
    <definedName name="TR1HT">#REF!</definedName>
    <definedName name="tr1x15" localSheetId="0">#REF!</definedName>
    <definedName name="tr1x15" localSheetId="1">#REF!</definedName>
    <definedName name="tr1x15">#REF!</definedName>
    <definedName name="TR20HT">#REF!</definedName>
    <definedName name="TR21HT">#REF!</definedName>
    <definedName name="TR22HT">#REF!</definedName>
    <definedName name="TR23HT">#REF!</definedName>
    <definedName name="TR24HT">#REF!</definedName>
    <definedName name="TR25HT">#REF!</definedName>
    <definedName name="TR26HT">#REF!</definedName>
    <definedName name="TR2HT">#REF!</definedName>
    <definedName name="TR3HT">#REF!</definedName>
    <definedName name="tr3x100">#REF!</definedName>
    <definedName name="TR4HT">#REF!</definedName>
    <definedName name="TR5HT">#REF!</definedName>
    <definedName name="TR6HT">#REF!</definedName>
    <definedName name="TR7HT">#REF!</definedName>
    <definedName name="TR8HT">#REF!</definedName>
    <definedName name="TR9HT">#REF!</definedName>
    <definedName name="Tra_Cot">#REF!</definedName>
    <definedName name="Tra_DM_su_dung" localSheetId="0">#REF!</definedName>
    <definedName name="Tra_DM_su_dung" localSheetId="1">#REF!</definedName>
    <definedName name="Tra_DM_su_dung">#REF!</definedName>
    <definedName name="Tra_DM_su_dung_cau">#REF!</definedName>
    <definedName name="Tra_don_gia_KS" localSheetId="0">#REF!</definedName>
    <definedName name="Tra_don_gia_KS" localSheetId="1">#REF!</definedName>
    <definedName name="Tra_don_gia_KS">#REF!</definedName>
    <definedName name="Tra_DTCT" localSheetId="0">#REF!</definedName>
    <definedName name="Tra_DTCT" localSheetId="1">#REF!</definedName>
    <definedName name="Tra_DTCT">#REF!</definedName>
    <definedName name="Tra_gia">#REF!</definedName>
    <definedName name="Tra_gtxl_cong">#REF!</definedName>
    <definedName name="Tra_GTXLST">#REF!</definedName>
    <definedName name="Tra_phan_tram" localSheetId="0">#REF!</definedName>
    <definedName name="Tra_phan_tram" localSheetId="1">#REF!</definedName>
    <definedName name="Tra_phan_tram">#REF!</definedName>
    <definedName name="Tra_T_le_1">#REF!</definedName>
    <definedName name="Tra_ten_cong">#REF!</definedName>
    <definedName name="Tra_tim_hang_mucPT_trung" localSheetId="2">#REF!</definedName>
    <definedName name="Tra_tim_hang_mucPT_trung" localSheetId="5">#REF!</definedName>
    <definedName name="Tra_tim_hang_mucPT_trung" localSheetId="4">#REF!</definedName>
    <definedName name="Tra_tim_hang_mucPT_trung" localSheetId="3">#REF!</definedName>
    <definedName name="Tra_tim_hang_mucPT_trung" localSheetId="6">#REF!</definedName>
    <definedName name="Tra_tim_hang_mucPT_trung" localSheetId="0">#REF!</definedName>
    <definedName name="Tra_tim_hang_mucPT_trung" localSheetId="1">#REF!</definedName>
    <definedName name="Tra_tim_hang_mucPT_trung">#REF!</definedName>
    <definedName name="Tra_TL" localSheetId="0">#REF!</definedName>
    <definedName name="Tra_TL" localSheetId="1">#REF!</definedName>
    <definedName name="Tra_TL">#REF!</definedName>
    <definedName name="Tra_ty_le">#REF!</definedName>
    <definedName name="Tra_ty_le2" localSheetId="0">#REF!</definedName>
    <definedName name="Tra_ty_le2" localSheetId="1">#REF!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à_Vinh">#REF!</definedName>
    <definedName name="TRA_VL">#REF!</definedName>
    <definedName name="tra_VL_1">#REF!</definedName>
    <definedName name="tra_vl1">#REF!</definedName>
    <definedName name="tra_xlbtn">#REF!</definedName>
    <definedName name="traA103">#REF!</definedName>
    <definedName name="trab">#REF!</definedName>
    <definedName name="trabtn">#REF!</definedName>
    <definedName name="Tracp">#REF!</definedName>
    <definedName name="TraDAH_H">#REF!</definedName>
    <definedName name="TRADE2" localSheetId="2">#REF!</definedName>
    <definedName name="TRADE2" localSheetId="5">#REF!</definedName>
    <definedName name="TRADE2" localSheetId="4">#REF!</definedName>
    <definedName name="TRADE2" localSheetId="3">#REF!</definedName>
    <definedName name="TRADE2" localSheetId="6">#REF!</definedName>
    <definedName name="TRADE2" localSheetId="0">#REF!</definedName>
    <definedName name="TRADE2" localSheetId="1">#REF!</definedName>
    <definedName name="TRADE2">#REF!</definedName>
    <definedName name="TraK">#REF!</definedName>
    <definedName name="TRAM" localSheetId="0">#REF!</definedName>
    <definedName name="TRAM" localSheetId="1">#REF!</definedName>
    <definedName name="TRAM">#REF!</definedName>
    <definedName name="tram100" localSheetId="0">#REF!</definedName>
    <definedName name="tram100" localSheetId="1">#REF!</definedName>
    <definedName name="tram100">#REF!</definedName>
    <definedName name="tram1x25" localSheetId="0">#REF!</definedName>
    <definedName name="tram1x25" localSheetId="1">#REF!</definedName>
    <definedName name="tram1x25">#REF!</definedName>
    <definedName name="tramatcong1">#REF!</definedName>
    <definedName name="tramatcong2">#REF!</definedName>
    <definedName name="trambt60">#REF!</definedName>
    <definedName name="tramtbtn25">#REF!</definedName>
    <definedName name="tramtbtn30">#REF!</definedName>
    <definedName name="tramtbtn40">#REF!</definedName>
    <definedName name="tramtbtn50">#REF!</definedName>
    <definedName name="tramtbtn60">#REF!</definedName>
    <definedName name="tramtbtn80">#REF!</definedName>
    <definedName name="tranhietdo">#REF!</definedName>
    <definedName name="TRANSFORMER" localSheetId="0">#REF!</definedName>
    <definedName name="TRANSFORMER" localSheetId="1">#REF!</definedName>
    <definedName name="TRANSFORMER">#REF!</definedName>
    <definedName name="TraTH">#REF!</definedName>
    <definedName name="tratyle">#REF!</definedName>
    <definedName name="TRAvH">#REF!</definedName>
    <definedName name="TRAVL">#REF!</definedName>
    <definedName name="TRHT">#REF!</definedName>
    <definedName name="trinhlam">#REF!</definedName>
    <definedName name="trinhlan">#REF!</definedName>
    <definedName name="trinhlan5">#REF!</definedName>
    <definedName name="trinhlanm">#REF!</definedName>
    <definedName name="trinhlantoi">#REF!</definedName>
    <definedName name="TRISO">#REF!</definedName>
    <definedName name="tron250">#REF!</definedName>
    <definedName name="tron25th">#REF!</definedName>
    <definedName name="tron60th">#REF!</definedName>
    <definedName name="tronbetong100">#REF!</definedName>
    <definedName name="tronbetong1150">#REF!</definedName>
    <definedName name="tronbetong150">#REF!</definedName>
    <definedName name="tronbetong1600">#REF!</definedName>
    <definedName name="tronbetong200">#REF!</definedName>
    <definedName name="tronbetong250">#REF!</definedName>
    <definedName name="tronbetong425">#REF!</definedName>
    <definedName name="tronbetong500">#REF!</definedName>
    <definedName name="tronbetong800">#REF!</definedName>
    <definedName name="tronbt250">#REF!</definedName>
    <definedName name="TronD10D18">#REF!</definedName>
    <definedName name="TronD6D8">#REF!</definedName>
    <definedName name="trong" hidden="1">{"'Sheet1'!$L$16"}</definedName>
    <definedName name="tronvua110">#REF!</definedName>
    <definedName name="tronvua150">#REF!</definedName>
    <definedName name="tronvua200">#REF!</definedName>
    <definedName name="tronvua250">#REF!</definedName>
    <definedName name="tronvua325">#REF!</definedName>
    <definedName name="trt" localSheetId="2">#REF!</definedName>
    <definedName name="trt" localSheetId="5">#REF!</definedName>
    <definedName name="trt" localSheetId="4">#REF!</definedName>
    <definedName name="trt" localSheetId="3">#REF!</definedName>
    <definedName name="trt" localSheetId="6">#REF!</definedName>
    <definedName name="trt" localSheetId="0">#REF!</definedName>
    <definedName name="trt" localSheetId="1">#REF!</definedName>
    <definedName name="trt">#REF!</definedName>
    <definedName name="tru_can">#REF!</definedName>
    <definedName name="tru10mtc" localSheetId="2">#REF!</definedName>
    <definedName name="tru10mtc" localSheetId="5">#REF!</definedName>
    <definedName name="tru10mtc" localSheetId="4">#REF!</definedName>
    <definedName name="tru10mtc" localSheetId="3">#REF!</definedName>
    <definedName name="tru10mtc" localSheetId="6">#REF!</definedName>
    <definedName name="tru10mtc" localSheetId="0">#REF!</definedName>
    <definedName name="tru10mtc" localSheetId="1">#REF!</definedName>
    <definedName name="tru10mtc">#REF!</definedName>
    <definedName name="tru8mtc" localSheetId="0">#REF!</definedName>
    <definedName name="tru8mtc" localSheetId="1">#REF!</definedName>
    <definedName name="tru8mtc">#REF!</definedName>
    <definedName name="tsI">#REF!</definedName>
    <definedName name="TT" localSheetId="0">#REF!</definedName>
    <definedName name="TT" localSheetId="1">#REF!</definedName>
    <definedName name="TT">#REF!</definedName>
    <definedName name="TT_1P" localSheetId="2">#REF!</definedName>
    <definedName name="TT_1P" localSheetId="5">#REF!</definedName>
    <definedName name="TT_1P" localSheetId="4">#REF!</definedName>
    <definedName name="TT_1P" localSheetId="3">#REF!</definedName>
    <definedName name="TT_1P" localSheetId="6">#REF!</definedName>
    <definedName name="TT_1P" localSheetId="0">#REF!</definedName>
    <definedName name="TT_1P" localSheetId="1">#REF!</definedName>
    <definedName name="TT_1P">#REF!</definedName>
    <definedName name="TT_3p" localSheetId="0">#REF!</definedName>
    <definedName name="TT_3p" localSheetId="1">#REF!</definedName>
    <definedName name="TT_3p">#REF!</definedName>
    <definedName name="TT_cot">#REF!</definedName>
    <definedName name="tt1pnc" localSheetId="0">#REF!</definedName>
    <definedName name="tt1pnc" localSheetId="1">#REF!</definedName>
    <definedName name="tt1pnc">#REF!</definedName>
    <definedName name="tt1pvl" localSheetId="0">#REF!</definedName>
    <definedName name="tt1pvl" localSheetId="1">#REF!</definedName>
    <definedName name="tt1pvl">#REF!</definedName>
    <definedName name="tt3pnc" localSheetId="0">#REF!</definedName>
    <definedName name="tt3pnc" localSheetId="1">#REF!</definedName>
    <definedName name="tt3pnc">#REF!</definedName>
    <definedName name="tt3pvl" localSheetId="0">#REF!</definedName>
    <definedName name="tt3pvl" localSheetId="1">#REF!</definedName>
    <definedName name="tt3pvl">#REF!</definedName>
    <definedName name="ttam">#REF!</definedName>
    <definedName name="ttao">#REF!</definedName>
    <definedName name="ttbt">#REF!</definedName>
    <definedName name="TTDD">#REF!+#REF!+#REF!</definedName>
    <definedName name="TTDD1P" localSheetId="2">#REF!</definedName>
    <definedName name="TTDD1P" localSheetId="5">#REF!</definedName>
    <definedName name="TTDD1P" localSheetId="4">#REF!</definedName>
    <definedName name="TTDD1P" localSheetId="3">#REF!</definedName>
    <definedName name="TTDD1P" localSheetId="6">#REF!</definedName>
    <definedName name="TTDD1P" localSheetId="0">#REF!</definedName>
    <definedName name="TTDD1P" localSheetId="1">#REF!</definedName>
    <definedName name="TTDD1P">#REF!</definedName>
    <definedName name="TTDD3P" localSheetId="2">#REF!</definedName>
    <definedName name="TTDD3P" localSheetId="5">#REF!</definedName>
    <definedName name="TTDD3P" localSheetId="4">#REF!</definedName>
    <definedName name="TTDD3P" localSheetId="3">#REF!</definedName>
    <definedName name="TTDD3P" localSheetId="6">#REF!</definedName>
    <definedName name="TTDD3P" localSheetId="0">#REF!</definedName>
    <definedName name="TTDD3P" localSheetId="1">#REF!</definedName>
    <definedName name="TTDD3P">#REF!</definedName>
    <definedName name="TTDDCT3p" localSheetId="0">#REF!</definedName>
    <definedName name="TTDDCT3p" localSheetId="1">#REF!</definedName>
    <definedName name="TTDDCT3p">#REF!</definedName>
    <definedName name="TTDKKH" localSheetId="2">#REF!</definedName>
    <definedName name="TTDKKH" localSheetId="5">#REF!</definedName>
    <definedName name="TTDKKH" localSheetId="4">#REF!</definedName>
    <definedName name="TTDKKH" localSheetId="3">#REF!</definedName>
    <definedName name="TTDKKH" localSheetId="6">#REF!</definedName>
    <definedName name="TTDKKH" localSheetId="0">#REF!</definedName>
    <definedName name="TTDKKH" localSheetId="1">#REF!</definedName>
    <definedName name="TTDKKH">#REF!</definedName>
    <definedName name="tthi" localSheetId="0">#REF!</definedName>
    <definedName name="tthi" localSheetId="1">#REF!</definedName>
    <definedName name="tthi">#REF!</definedName>
    <definedName name="ttinh">#REF!</definedName>
    <definedName name="TTK3p">#REF!</definedName>
    <definedName name="ttkr" localSheetId="0">#REF!</definedName>
    <definedName name="ttkr" localSheetId="1">#REF!</definedName>
    <definedName name="ttkr">#REF!</definedName>
    <definedName name="TTLo62">#REF!</definedName>
    <definedName name="TTMTC">#REF!</definedName>
    <definedName name="TTNC">#REF!</definedName>
    <definedName name="tto">#REF!</definedName>
    <definedName name="ttoxtp">#REF!</definedName>
    <definedName name="ttronmk" localSheetId="2">#REF!</definedName>
    <definedName name="ttronmk" localSheetId="5">#REF!</definedName>
    <definedName name="ttronmk" localSheetId="4">#REF!</definedName>
    <definedName name="ttronmk" localSheetId="3">#REF!</definedName>
    <definedName name="ttronmk" localSheetId="6">#REF!</definedName>
    <definedName name="ttronmk" localSheetId="0">#REF!</definedName>
    <definedName name="ttronmk" localSheetId="1">#REF!</definedName>
    <definedName name="ttronmk">#REF!</definedName>
    <definedName name="TTTR" localSheetId="2">#REF!</definedName>
    <definedName name="TTTR" localSheetId="5">#REF!</definedName>
    <definedName name="TTTR" localSheetId="4">#REF!</definedName>
    <definedName name="TTTR" localSheetId="3">#REF!</definedName>
    <definedName name="TTTR" localSheetId="6">#REF!</definedName>
    <definedName name="TTTR" localSheetId="0">#REF!</definedName>
    <definedName name="TTTR" localSheetId="1">#REF!</definedName>
    <definedName name="TTTR">#REF!</definedName>
    <definedName name="tttt">#REF!</definedName>
    <definedName name="ttttt" hidden="1">{"'Sheet1'!$L$16"}</definedName>
    <definedName name="ttttttttttt" hidden="1">{"'Sheet1'!$L$16"}</definedName>
    <definedName name="Tuong_chan">#REF!</definedName>
    <definedName name="TuVan">#REF!</definedName>
    <definedName name="tuyennhanh" hidden="1">{"'Sheet1'!$L$16"}</definedName>
    <definedName name="TV.QUY1">#REF!</definedName>
    <definedName name="TV.T1">#REF!</definedName>
    <definedName name="TV.T2">#REF!</definedName>
    <definedName name="TV.T3">#REF!</definedName>
    <definedName name="TV.T4">#REF!</definedName>
    <definedName name="TV.T5">#REF!</definedName>
    <definedName name="TV.T6">#REF!</definedName>
    <definedName name="tv75nc" localSheetId="2">#REF!</definedName>
    <definedName name="tv75nc" localSheetId="5">#REF!</definedName>
    <definedName name="tv75nc" localSheetId="4">#REF!</definedName>
    <definedName name="tv75nc" localSheetId="3">#REF!</definedName>
    <definedName name="tv75nc" localSheetId="6">#REF!</definedName>
    <definedName name="tv75nc" localSheetId="0">#REF!</definedName>
    <definedName name="tv75nc" localSheetId="1">#REF!</definedName>
    <definedName name="tv75nc">#REF!</definedName>
    <definedName name="tv75vl" localSheetId="0">#REF!</definedName>
    <definedName name="tv75vl" localSheetId="1">#REF!</definedName>
    <definedName name="tv75vl">#REF!</definedName>
    <definedName name="tvbt">#REF!</definedName>
    <definedName name="tvg">#REF!</definedName>
    <definedName name="TW">#REF!</definedName>
    <definedName name="tx1pignc" localSheetId="0">#REF!</definedName>
    <definedName name="tx1pignc" localSheetId="1">#REF!</definedName>
    <definedName name="tx1pignc">#REF!</definedName>
    <definedName name="tx1pindnc" localSheetId="0">#REF!</definedName>
    <definedName name="tx1pindnc" localSheetId="1">#REF!</definedName>
    <definedName name="tx1pindnc">#REF!</definedName>
    <definedName name="tx1pingnc" localSheetId="0">#REF!</definedName>
    <definedName name="tx1pingnc" localSheetId="1">#REF!</definedName>
    <definedName name="tx1pingnc">#REF!</definedName>
    <definedName name="tx1pintnc" localSheetId="0">#REF!</definedName>
    <definedName name="tx1pintnc" localSheetId="1">#REF!</definedName>
    <definedName name="tx1pintnc">#REF!</definedName>
    <definedName name="tx1pitnc" localSheetId="0">#REF!</definedName>
    <definedName name="tx1pitnc" localSheetId="1">#REF!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_gia">#REF!</definedName>
    <definedName name="Ty_gia_yen">#REF!</definedName>
    <definedName name="ty_le" localSheetId="2">#REF!</definedName>
    <definedName name="ty_le" localSheetId="5">#REF!</definedName>
    <definedName name="ty_le" localSheetId="4">#REF!</definedName>
    <definedName name="ty_le" localSheetId="3">#REF!</definedName>
    <definedName name="ty_le" localSheetId="6">#REF!</definedName>
    <definedName name="ty_le" localSheetId="0">#REF!</definedName>
    <definedName name="ty_le" localSheetId="1">#REF!</definedName>
    <definedName name="ty_le">#REF!</definedName>
    <definedName name="ty_le_2">#REF!</definedName>
    <definedName name="ty_le_3">#REF!</definedName>
    <definedName name="ty_le_BTN" localSheetId="0">#REF!</definedName>
    <definedName name="ty_le_BTN" localSheetId="1">#REF!</definedName>
    <definedName name="ty_le_BTN">#REF!</definedName>
    <definedName name="Ty_le1" localSheetId="0">#REF!</definedName>
    <definedName name="Ty_le1" localSheetId="1">#REF!</definedName>
    <definedName name="Ty_le1">#REF!</definedName>
    <definedName name="tyle">#REF!</definedName>
    <definedName name="tyle2">#REF!</definedName>
    <definedName name="Type_1">#REF!</definedName>
    <definedName name="Type_2">#REF!</definedName>
    <definedName name="u" localSheetId="0">#REF!</definedName>
    <definedName name="u" localSheetId="1">#REF!</definedName>
    <definedName name="u">#REF!</definedName>
    <definedName name="U_tien">#REF!</definedName>
    <definedName name="Ucoc">#REF!</definedName>
    <definedName name="UNIT">#REF!</definedName>
    <definedName name="Unit_Price">#REF!</definedName>
    <definedName name="upnoc" localSheetId="0">#REF!</definedName>
    <definedName name="upnoc" localSheetId="1">#REF!</definedName>
    <definedName name="upnoc">#REF!</definedName>
    <definedName name="ut" localSheetId="0">#REF!</definedName>
    <definedName name="ut" localSheetId="1">#REF!</definedName>
    <definedName name="ut">#REF!</definedName>
    <definedName name="UT_1">#REF!</definedName>
    <definedName name="UT1_373">#REF!</definedName>
    <definedName name="uu" localSheetId="0">#REF!</definedName>
    <definedName name="uu" localSheetId="1">#REF!</definedName>
    <definedName name="uu">#REF!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25">#REF!</definedName>
    <definedName name="V_i_ni_l_ng">#REF!</definedName>
    <definedName name="VA" localSheetId="0">#REF!</definedName>
    <definedName name="VA" localSheetId="1">#REF!</definedName>
    <definedName name="VA">#REF!</definedName>
    <definedName name="vaidia">#REF!</definedName>
    <definedName name="Value0" localSheetId="2">#REF!</definedName>
    <definedName name="Value0" localSheetId="5">#REF!</definedName>
    <definedName name="Value0" localSheetId="4">#REF!</definedName>
    <definedName name="Value0" localSheetId="3">#REF!</definedName>
    <definedName name="Value0" localSheetId="6">#REF!</definedName>
    <definedName name="Value0" localSheetId="0">#REF!</definedName>
    <definedName name="Value0" localSheetId="1">#REF!</definedName>
    <definedName name="Value0">#REF!</definedName>
    <definedName name="Value1" localSheetId="0">#REF!</definedName>
    <definedName name="Value1" localSheetId="1">#REF!</definedName>
    <definedName name="Value1">#REF!</definedName>
    <definedName name="Value10" localSheetId="0">#REF!</definedName>
    <definedName name="Value10" localSheetId="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 localSheetId="0">#REF!</definedName>
    <definedName name="VAN" localSheetId="1">#REF!</definedName>
    <definedName name="VAN">#REF!</definedName>
    <definedName name="VAN_CHUYEN_DUONG_DAI_DZ0.4KV" localSheetId="0">#REF!</definedName>
    <definedName name="VAN_CHUYEN_DUONG_DAI_DZ0.4KV" localSheetId="1">#REF!</definedName>
    <definedName name="VAN_CHUYEN_DUONG_DAI_DZ0.4KV">#REF!</definedName>
    <definedName name="VAN_CHUYEN_DUONG_DAI_DZ22KV" localSheetId="0">#REF!</definedName>
    <definedName name="VAN_CHUYEN_DUONG_DAI_DZ22KV" localSheetId="1">#REF!</definedName>
    <definedName name="VAN_CHUYEN_DUONG_DAI_DZ22KV">#REF!</definedName>
    <definedName name="VAN_CHUYEN_DUONG_DAI_TBA" localSheetId="0">#REF!</definedName>
    <definedName name="VAN_CHUYEN_DUONG_DAI_TBA" localSheetId="1">#REF!</definedName>
    <definedName name="VAN_CHUYEN_DUONG_DAI_TBA">#REF!</definedName>
    <definedName name="VAN_CHUYEN_VAT_TU_CHUNG" localSheetId="2">#REF!</definedName>
    <definedName name="VAN_CHUYEN_VAT_TU_CHUNG" localSheetId="5">#REF!</definedName>
    <definedName name="VAN_CHUYEN_VAT_TU_CHUNG" localSheetId="4">#REF!</definedName>
    <definedName name="VAN_CHUYEN_VAT_TU_CHUNG" localSheetId="3">#REF!</definedName>
    <definedName name="VAN_CHUYEN_VAT_TU_CHUNG" localSheetId="6">#REF!</definedName>
    <definedName name="VAN_CHUYEN_VAT_TU_CHUNG" localSheetId="0">#REF!</definedName>
    <definedName name="VAN_CHUYEN_VAT_TU_CHUNG" localSheetId="1">#REF!</definedName>
    <definedName name="VAN_CHUYEN_VAT_TU_CHUNG">#REF!</definedName>
    <definedName name="VAN_TRUNG_CHUYEN_VAT_TU_CHUNG" localSheetId="0">#REF!</definedName>
    <definedName name="VAN_TRUNG_CHUYEN_VAT_TU_CHUNG" localSheetId="1">#REF!</definedName>
    <definedName name="VAN_TRUNG_CHUYEN_VAT_TU_CHUNG">#REF!</definedName>
    <definedName name="vanchuyen">#REF!</definedName>
    <definedName name="vanchuyencoc">#REF!</definedName>
    <definedName name="vankhuon">#REF!</definedName>
    <definedName name="VARIINST" localSheetId="2">#REF!</definedName>
    <definedName name="VARIINST" localSheetId="5">#REF!</definedName>
    <definedName name="VARIINST" localSheetId="4">#REF!</definedName>
    <definedName name="VARIINST" localSheetId="3">#REF!</definedName>
    <definedName name="VARIINST" localSheetId="6">#REF!</definedName>
    <definedName name="VARIINST" localSheetId="0">#REF!</definedName>
    <definedName name="VARIINST" localSheetId="1">#REF!</definedName>
    <definedName name="VARIINST">#REF!</definedName>
    <definedName name="VARIPURC" localSheetId="0">#REF!</definedName>
    <definedName name="VARIPURC" localSheetId="1">#REF!</definedName>
    <definedName name="VARIPURC">#REF!</definedName>
    <definedName name="vat" localSheetId="0">#REF!</definedName>
    <definedName name="vat" localSheetId="1">#REF!</definedName>
    <definedName name="vat">#REF!</definedName>
    <definedName name="VAT_LIEU_DEN_CHAN_CONG_TRINH">#REF!</definedName>
    <definedName name="vat_lieu_KVIII">#REF!</definedName>
    <definedName name="Vat_tu">#REF!</definedName>
    <definedName name="Vatlieu1">#REF!</definedName>
    <definedName name="Vatlieu2">#REF!</definedName>
    <definedName name="Vatlieu3">#REF!</definedName>
    <definedName name="VatLieuKhac">#REF!</definedName>
    <definedName name="VATM" hidden="1">{"'Sheet1'!$L$16"}</definedName>
    <definedName name="Vattu">#REF!</definedName>
    <definedName name="vbtchongnuocm300">#REF!</definedName>
    <definedName name="vbtm150">#REF!</definedName>
    <definedName name="vbtm300">#REF!</definedName>
    <definedName name="vbtm400">#REF!</definedName>
    <definedName name="Vc">#REF!</definedName>
    <definedName name="vc3." localSheetId="0">#REF!</definedName>
    <definedName name="vc3." localSheetId="1">#REF!</definedName>
    <definedName name="vc3.">#REF!</definedName>
    <definedName name="vca" localSheetId="0">#REF!</definedName>
    <definedName name="vca" localSheetId="1">#REF!</definedName>
    <definedName name="vca">#REF!</definedName>
    <definedName name="vccot" localSheetId="2">#REF!</definedName>
    <definedName name="vccot" localSheetId="5">#REF!</definedName>
    <definedName name="vccot" localSheetId="4">#REF!</definedName>
    <definedName name="vccot" localSheetId="3">#REF!</definedName>
    <definedName name="vccot" localSheetId="6">#REF!</definedName>
    <definedName name="vccot" localSheetId="0">#REF!</definedName>
    <definedName name="vccot" localSheetId="1">#REF!</definedName>
    <definedName name="vccot">#REF!</definedName>
    <definedName name="vccot." localSheetId="2">#REF!</definedName>
    <definedName name="vccot." localSheetId="5">#REF!</definedName>
    <definedName name="vccot." localSheetId="4">#REF!</definedName>
    <definedName name="vccot." localSheetId="3">#REF!</definedName>
    <definedName name="vccot." localSheetId="6">#REF!</definedName>
    <definedName name="vccot." localSheetId="0">#REF!</definedName>
    <definedName name="vccot." localSheetId="1">#REF!</definedName>
    <definedName name="vccot.">#REF!</definedName>
    <definedName name="vcdc" localSheetId="2">#REF!</definedName>
    <definedName name="vcdc" localSheetId="5">#REF!</definedName>
    <definedName name="vcdc" localSheetId="4">#REF!</definedName>
    <definedName name="vcdc" localSheetId="3">#REF!</definedName>
    <definedName name="vcdc" localSheetId="6">#REF!</definedName>
    <definedName name="vcdc" localSheetId="0">#REF!</definedName>
    <definedName name="vcdc" localSheetId="1">#REF!</definedName>
    <definedName name="vcdc">#REF!</definedName>
    <definedName name="vcdc." localSheetId="2">#REF!</definedName>
    <definedName name="vcdc." localSheetId="5">#REF!</definedName>
    <definedName name="vcdc." localSheetId="4">#REF!</definedName>
    <definedName name="vcdc." localSheetId="3">#REF!</definedName>
    <definedName name="vcdc." localSheetId="6">#REF!</definedName>
    <definedName name="vcdc." localSheetId="0">#REF!</definedName>
    <definedName name="vcdc." localSheetId="1">#REF!</definedName>
    <definedName name="vcdc.">#REF!</definedName>
    <definedName name="vcdd_tba">#REF!</definedName>
    <definedName name="VCDD1P" localSheetId="0">#REF!</definedName>
    <definedName name="VCDD1P" localSheetId="1">#REF!</definedName>
    <definedName name="VCDD1P">#REF!</definedName>
    <definedName name="VCDD3p" localSheetId="0">#REF!</definedName>
    <definedName name="VCDD3p" localSheetId="1">#REF!</definedName>
    <definedName name="VCDD3p">#REF!</definedName>
    <definedName name="VCDDCT3p" localSheetId="0">#REF!</definedName>
    <definedName name="VCDDCT3p" localSheetId="1">#REF!</definedName>
    <definedName name="VCDDCT3p">#REF!</definedName>
    <definedName name="VCDDMBA" localSheetId="0">#REF!</definedName>
    <definedName name="VCDDMBA" localSheetId="1">#REF!</definedName>
    <definedName name="VCDDMBA">#REF!</definedName>
    <definedName name="VCHT" localSheetId="2">#REF!</definedName>
    <definedName name="VCHT" localSheetId="5">#REF!</definedName>
    <definedName name="VCHT" localSheetId="4">#REF!</definedName>
    <definedName name="VCHT" localSheetId="3">#REF!</definedName>
    <definedName name="VCHT" localSheetId="6">#REF!</definedName>
    <definedName name="VCHT" localSheetId="0">#REF!</definedName>
    <definedName name="VCHT" localSheetId="1">#REF!</definedName>
    <definedName name="VCHT">#REF!</definedName>
    <definedName name="vcoto" hidden="1">{"'Sheet1'!$L$16"}</definedName>
    <definedName name="vcsat" localSheetId="2">#REF!</definedName>
    <definedName name="vcsat" localSheetId="5">#REF!</definedName>
    <definedName name="vcsat" localSheetId="4">#REF!</definedName>
    <definedName name="vcsat" localSheetId="3">#REF!</definedName>
    <definedName name="vcsat" localSheetId="6">#REF!</definedName>
    <definedName name="vcsat" localSheetId="0">#REF!</definedName>
    <definedName name="vcsat" localSheetId="1">#REF!</definedName>
    <definedName name="vcsat">#REF!</definedName>
    <definedName name="vct" localSheetId="2">#REF!</definedName>
    <definedName name="vct" localSheetId="5">#REF!</definedName>
    <definedName name="vct" localSheetId="4">#REF!</definedName>
    <definedName name="vct" localSheetId="3">#REF!</definedName>
    <definedName name="vct" localSheetId="6">#REF!</definedName>
    <definedName name="vct" localSheetId="0">#REF!</definedName>
    <definedName name="vct" localSheetId="1">#REF!</definedName>
    <definedName name="vct">#REF!</definedName>
    <definedName name="vctb">#REF!</definedName>
    <definedName name="VCTT" localSheetId="0">#REF!</definedName>
    <definedName name="VCTT" localSheetId="1">#REF!</definedName>
    <definedName name="VCTT">#REF!</definedName>
    <definedName name="VCVBT1" localSheetId="0">#REF!</definedName>
    <definedName name="VCVBT1" localSheetId="1">#REF!</definedName>
    <definedName name="VCVBT1">#REF!</definedName>
    <definedName name="VCVBT2">#REF!</definedName>
    <definedName name="vcxa">#REF!</definedName>
    <definedName name="vd">#REF!</definedName>
    <definedName name="vd3p" localSheetId="2">#REF!</definedName>
    <definedName name="vd3p" localSheetId="5">#REF!</definedName>
    <definedName name="vd3p" localSheetId="4">#REF!</definedName>
    <definedName name="vd3p" localSheetId="3">#REF!</definedName>
    <definedName name="vd3p" localSheetId="6">#REF!</definedName>
    <definedName name="vd3p" localSheetId="0">#REF!</definedName>
    <definedName name="vd3p" localSheetId="1">#REF!</definedName>
    <definedName name="vd3p">#REF!</definedName>
    <definedName name="VDCLY" localSheetId="2">#REF!</definedName>
    <definedName name="VDCLY" localSheetId="5">#REF!</definedName>
    <definedName name="VDCLY" localSheetId="4">#REF!</definedName>
    <definedName name="VDCLY" localSheetId="3">#REF!</definedName>
    <definedName name="VDCLY" localSheetId="6">#REF!</definedName>
    <definedName name="VDCLY" localSheetId="0">#REF!</definedName>
    <definedName name="VDCLY" localSheetId="1">#REF!</definedName>
    <definedName name="VDCLY">#REF!</definedName>
    <definedName name="vdkt">#REF!</definedName>
    <definedName name="vdv">#REF!</definedName>
    <definedName name="VËn_chuyÓn_duêng_dai_trung_chuyÓn">#REF!</definedName>
    <definedName name="VËt_liÖu_phÇn_DZ35kv">#REF!</definedName>
    <definedName name="Vf">#REF!</definedName>
    <definedName name="vfghdxgdgh">#REF!</definedName>
    <definedName name="Vfri">#REF!</definedName>
    <definedName name="vgio">#REF!</definedName>
    <definedName name="vgk" localSheetId="2">#REF!</definedName>
    <definedName name="vgk" localSheetId="5">#REF!</definedName>
    <definedName name="vgk" localSheetId="4">#REF!</definedName>
    <definedName name="vgk" localSheetId="3">#REF!</definedName>
    <definedName name="vgk" localSheetId="6">#REF!</definedName>
    <definedName name="vgk" localSheetId="0">#REF!</definedName>
    <definedName name="vgk" localSheetId="1">#REF!</definedName>
    <definedName name="vgk">#REF!</definedName>
    <definedName name="vgt" localSheetId="0">#REF!</definedName>
    <definedName name="vgt" localSheetId="1">#REF!</definedName>
    <definedName name="vgt">#REF!</definedName>
    <definedName name="VH" hidden="1">{"'Sheet1'!$L$16"}</definedName>
    <definedName name="Viet" hidden="1">{"'Sheet1'!$L$16"}</definedName>
    <definedName name="Vietri" localSheetId="0">#REF!</definedName>
    <definedName name="Vietri" localSheetId="1">#REF!</definedName>
    <definedName name="Vietri">#REF!</definedName>
    <definedName name="VIEW">#REF!</definedName>
    <definedName name="vinhlong" hidden="1">{"'Sheet1'!$L$16"}</definedName>
    <definedName name="vk">#REF!</definedName>
    <definedName name="vkcauthang" localSheetId="2">#REF!</definedName>
    <definedName name="vkcauthang" localSheetId="5">#REF!</definedName>
    <definedName name="vkcauthang" localSheetId="4">#REF!</definedName>
    <definedName name="vkcauthang" localSheetId="3">#REF!</definedName>
    <definedName name="vkcauthang" localSheetId="6">#REF!</definedName>
    <definedName name="vkcauthang" localSheetId="0">#REF!</definedName>
    <definedName name="vkcauthang" localSheetId="1">#REF!</definedName>
    <definedName name="vkcauthang">#REF!</definedName>
    <definedName name="vkds">#REF!</definedName>
    <definedName name="VKS">#REF!</definedName>
    <definedName name="vksan" localSheetId="0">#REF!</definedName>
    <definedName name="vksan" localSheetId="1">#REF!</definedName>
    <definedName name="vksan">#REF!</definedName>
    <definedName name="vktc">#REF!</definedName>
    <definedName name="vl" localSheetId="0">#REF!</definedName>
    <definedName name="vl" localSheetId="1">#REF!</definedName>
    <definedName name="vl">#REF!</definedName>
    <definedName name="VL.M10.1">#REF!</definedName>
    <definedName name="VL.M10.2">#REF!</definedName>
    <definedName name="VL.MDT">#REF!</definedName>
    <definedName name="VL_CSC">#REF!</definedName>
    <definedName name="VL_CSCT">#REF!</definedName>
    <definedName name="VL_CTXD">#REF!</definedName>
    <definedName name="VL_RD">#REF!</definedName>
    <definedName name="VL_TD">#REF!</definedName>
    <definedName name="vl100a" localSheetId="0">#REF!</definedName>
    <definedName name="vl100a" localSheetId="1">#REF!</definedName>
    <definedName name="vl100a">#REF!</definedName>
    <definedName name="vl1p" localSheetId="0">#REF!</definedName>
    <definedName name="vl1p" localSheetId="1">#REF!</definedName>
    <definedName name="vl1p">#REF!</definedName>
    <definedName name="vl3p" localSheetId="2">#REF!</definedName>
    <definedName name="vl3p" localSheetId="5">#REF!</definedName>
    <definedName name="vl3p" localSheetId="4">#REF!</definedName>
    <definedName name="vl3p" localSheetId="3">#REF!</definedName>
    <definedName name="vl3p" localSheetId="6">#REF!</definedName>
    <definedName name="vl3p" localSheetId="0">#REF!</definedName>
    <definedName name="vl3p" localSheetId="1">#REF!</definedName>
    <definedName name="vl3p">#REF!</definedName>
    <definedName name="vlbaotaibovay">#REF!</definedName>
    <definedName name="VLBS">#REF!</definedName>
    <definedName name="vlc">#REF!</definedName>
    <definedName name="Vlcap0.7">#REF!</definedName>
    <definedName name="VLcap1">#REF!</definedName>
    <definedName name="vlct" hidden="1">{"'Sheet1'!$L$16"}</definedName>
    <definedName name="VLCT3p" localSheetId="0">#REF!</definedName>
    <definedName name="VLCT3p" localSheetId="1">#REF!</definedName>
    <definedName name="VLCT3p">#REF!</definedName>
    <definedName name="vlctbb">#REF!</definedName>
    <definedName name="vldd" localSheetId="0">#REF!</definedName>
    <definedName name="vldd" localSheetId="1">#REF!</definedName>
    <definedName name="vldd">#REF!</definedName>
    <definedName name="vldg" localSheetId="2">#REF!</definedName>
    <definedName name="vldg" localSheetId="5">#REF!</definedName>
    <definedName name="vldg" localSheetId="4">#REF!</definedName>
    <definedName name="vldg" localSheetId="3">#REF!</definedName>
    <definedName name="vldg" localSheetId="6">#REF!</definedName>
    <definedName name="vldg" localSheetId="0">#REF!</definedName>
    <definedName name="vldg" localSheetId="1">#REF!</definedName>
    <definedName name="vldg">#REF!</definedName>
    <definedName name="vldn400" localSheetId="0">#REF!</definedName>
    <definedName name="vldn400" localSheetId="1">#REF!</definedName>
    <definedName name="vldn400">#REF!</definedName>
    <definedName name="vldn600" localSheetId="0">#REF!</definedName>
    <definedName name="vldn600" localSheetId="1">#REF!</definedName>
    <definedName name="vldn600">#REF!</definedName>
    <definedName name="VLHC">#REF!</definedName>
    <definedName name="VLIEU" localSheetId="2">#REF!</definedName>
    <definedName name="VLIEU" localSheetId="5">#REF!</definedName>
    <definedName name="VLIEU" localSheetId="4">#REF!</definedName>
    <definedName name="VLIEU" localSheetId="3">#REF!</definedName>
    <definedName name="VLIEU" localSheetId="6">#REF!</definedName>
    <definedName name="VLIEU" localSheetId="0">#REF!</definedName>
    <definedName name="VLIEU" localSheetId="1">#REF!</definedName>
    <definedName name="VLIEU">#REF!</definedName>
    <definedName name="VLM" localSheetId="0">#REF!</definedName>
    <definedName name="VLM" localSheetId="1">#REF!</definedName>
    <definedName name="VLM">#REF!</definedName>
    <definedName name="vlp">#REF!</definedName>
    <definedName name="vlthepnaphl">#REF!</definedName>
    <definedName name="vltr" localSheetId="0">#REF!</definedName>
    <definedName name="vltr" localSheetId="1">#REF!</definedName>
    <definedName name="vltr">#REF!</definedName>
    <definedName name="vltram" localSheetId="2">#REF!</definedName>
    <definedName name="vltram" localSheetId="5">#REF!</definedName>
    <definedName name="vltram" localSheetId="4">#REF!</definedName>
    <definedName name="vltram" localSheetId="3">#REF!</definedName>
    <definedName name="vltram" localSheetId="6">#REF!</definedName>
    <definedName name="vltram" localSheetId="0">#REF!</definedName>
    <definedName name="vltram" localSheetId="1">#REF!</definedName>
    <definedName name="vltram">#REF!</definedName>
    <definedName name="vn" localSheetId="2">#REF!</definedName>
    <definedName name="vn" localSheetId="5">#REF!</definedName>
    <definedName name="vn" localSheetId="4">#REF!</definedName>
    <definedName name="vn" localSheetId="3">#REF!</definedName>
    <definedName name="vn" localSheetId="6">#REF!</definedName>
    <definedName name="vn" localSheetId="0">#REF!</definedName>
    <definedName name="vn" localSheetId="1">#REF!</definedName>
    <definedName name="vn">#REF!</definedName>
    <definedName name="Vn_fri">#REF!</definedName>
    <definedName name="voi" localSheetId="0">#REF!</definedName>
    <definedName name="voi" localSheetId="1">#REF!</definedName>
    <definedName name="voi">#REF!</definedName>
    <definedName name="vr3p" localSheetId="2">#REF!</definedName>
    <definedName name="vr3p" localSheetId="5">#REF!</definedName>
    <definedName name="vr3p" localSheetId="4">#REF!</definedName>
    <definedName name="vr3p" localSheetId="3">#REF!</definedName>
    <definedName name="vr3p" localSheetId="6">#REF!</definedName>
    <definedName name="vr3p" localSheetId="0">#REF!</definedName>
    <definedName name="vr3p" localSheetId="1">#REF!</definedName>
    <definedName name="vr3p">#REF!</definedName>
    <definedName name="Vs">#REF!</definedName>
    <definedName name="VT">#REF!</definedName>
    <definedName name="vt1pbs" localSheetId="2">#REF!</definedName>
    <definedName name="vt1pbs" localSheetId="5">#REF!</definedName>
    <definedName name="vt1pbs" localSheetId="4">#REF!</definedName>
    <definedName name="vt1pbs" localSheetId="3">#REF!</definedName>
    <definedName name="vt1pbs" localSheetId="6">#REF!</definedName>
    <definedName name="vt1pbs" localSheetId="0">#REF!</definedName>
    <definedName name="vt1pbs" localSheetId="1">#REF!</definedName>
    <definedName name="vt1pbs">#REF!</definedName>
    <definedName name="vtbs" localSheetId="0">#REF!</definedName>
    <definedName name="vtbs" localSheetId="1">#REF!</definedName>
    <definedName name="vtbs">#REF!</definedName>
    <definedName name="vthang">#REF!</definedName>
    <definedName name="vtu">#REF!</definedName>
    <definedName name="VTVUA">#REF!</definedName>
    <definedName name="Vu">#REF!</definedName>
    <definedName name="Vu_">#REF!</definedName>
    <definedName name="Vua">#REF!</definedName>
    <definedName name="vua_75" localSheetId="0">#REF!</definedName>
    <definedName name="vua_75" localSheetId="1">#REF!</definedName>
    <definedName name="vua_75">#REF!</definedName>
    <definedName name="VUNG_NH1">#REF!</definedName>
    <definedName name="vung_nh2">#REF!</definedName>
    <definedName name="vungbc">#REF!</definedName>
    <definedName name="vungz">#REF!</definedName>
    <definedName name="vvv">#REF!</definedName>
    <definedName name="vxadn">#REF!</definedName>
    <definedName name="vxah">#REF!</definedName>
    <definedName name="vxah1">#REF!</definedName>
    <definedName name="vxaqn">#REF!</definedName>
    <definedName name="vxaqn2">#REF!</definedName>
    <definedName name="vxbbd">#REF!</definedName>
    <definedName name="vxbdn">#REF!</definedName>
    <definedName name="vxbh">#REF!</definedName>
    <definedName name="vxbqn">#REF!</definedName>
    <definedName name="vxbqn2">#REF!</definedName>
    <definedName name="vxcbd">#REF!</definedName>
    <definedName name="vxcdn">#REF!</definedName>
    <definedName name="vxch">#REF!</definedName>
    <definedName name="vxcqn">#REF!</definedName>
    <definedName name="vxcqn2">#REF!</definedName>
    <definedName name="vxuan">#REF!</definedName>
    <definedName name="W" localSheetId="2">#REF!</definedName>
    <definedName name="W" localSheetId="5">#REF!</definedName>
    <definedName name="W" localSheetId="4">#REF!</definedName>
    <definedName name="W" localSheetId="3">#REF!</definedName>
    <definedName name="W" localSheetId="6">#REF!</definedName>
    <definedName name="W" localSheetId="0">#REF!</definedName>
    <definedName name="W" localSheetId="1">#REF!</definedName>
    <definedName name="W">#REF!</definedName>
    <definedName name="watertruck">#REF!</definedName>
    <definedName name="wb">#REF!</definedName>
    <definedName name="wc">#REF!</definedName>
    <definedName name="WD">#REF!</definedName>
    <definedName name="Wdaymong">#REF!</definedName>
    <definedName name="Wl">#REF!</definedName>
    <definedName name="WPF">#REF!</definedName>
    <definedName name="wrn.Bang._.ke._.nhan._.hang." hidden="1">{#N/A,#N/A,FALSE,"Ke khai NH"}</definedName>
    <definedName name="wrn.Che._.do._.duoc._.huong." hidden="1">{#N/A,#N/A,FALSE,"BN (2)"}</definedName>
    <definedName name="wrn.chi._.tiÆt." localSheetId="2" hidden="1">{#N/A,#N/A,FALSE,"Chi tiÆt"}</definedName>
    <definedName name="wrn.chi._.tiÆt." localSheetId="5" hidden="1">{#N/A,#N/A,FALSE,"Chi tiÆt"}</definedName>
    <definedName name="wrn.chi._.tiÆt." localSheetId="4" hidden="1">{#N/A,#N/A,FALSE,"Chi tiÆt"}</definedName>
    <definedName name="wrn.chi._.tiÆt." localSheetId="3" hidden="1">{#N/A,#N/A,FALSE,"Chi tiÆt"}</definedName>
    <definedName name="wrn.chi._.tiÆt." localSheetId="6" hidden="1">{#N/A,#N/A,FALSE,"Chi tiÆt"}</definedName>
    <definedName name="wrn.chi._.tiÆt." localSheetId="0" hidden="1">{#N/A,#N/A,FALSE,"Chi tiÆt"}</definedName>
    <definedName name="wrn.chi._.tiÆt." localSheetId="1" hidden="1">{#N/A,#N/A,FALSE,"Chi tiÆt"}</definedName>
    <definedName name="wrn.chi._.tiÆt." hidden="1">{#N/A,#N/A,FALSE,"Chi tiÆt"}</definedName>
    <definedName name="wrn.Giáy._.bao._.no." hidden="1">{#N/A,#N/A,FALSE,"BN"}</definedName>
    <definedName name="wrn.vd." hidden="1">{#N/A,#N/A,TRUE,"BT M200 da 10x20"}</definedName>
    <definedName name="ws">#REF!</definedName>
    <definedName name="Wss">#REF!</definedName>
    <definedName name="Wst">#REF!</definedName>
    <definedName name="wt">#REF!</definedName>
    <definedName name="wup">#REF!</definedName>
    <definedName name="WW">#REF!</definedName>
    <definedName name="Wzb">#REF!</definedName>
    <definedName name="Wzt">#REF!</definedName>
    <definedName name="X">#REF!</definedName>
    <definedName name="X_">#REF!</definedName>
    <definedName name="x_list">#REF!</definedName>
    <definedName name="X_ng">#REF!</definedName>
    <definedName name="x1_">#REF!</definedName>
    <definedName name="x17dnc" localSheetId="0">#REF!</definedName>
    <definedName name="x17dnc" localSheetId="1">#REF!</definedName>
    <definedName name="x17dnc">#REF!</definedName>
    <definedName name="x17dvl" localSheetId="0">#REF!</definedName>
    <definedName name="x17dvl" localSheetId="1">#REF!</definedName>
    <definedName name="x17dvl">#REF!</definedName>
    <definedName name="x17knc" localSheetId="0">#REF!</definedName>
    <definedName name="x17knc" localSheetId="1">#REF!</definedName>
    <definedName name="x17knc">#REF!</definedName>
    <definedName name="x17kvl" localSheetId="0">#REF!</definedName>
    <definedName name="x17kvl" localSheetId="1">#REF!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 localSheetId="2">#REF!</definedName>
    <definedName name="x1pind" localSheetId="5">#REF!</definedName>
    <definedName name="x1pind" localSheetId="4">#REF!</definedName>
    <definedName name="x1pind" localSheetId="3">#REF!</definedName>
    <definedName name="x1pind" localSheetId="6">#REF!</definedName>
    <definedName name="x1pind" localSheetId="0">#REF!</definedName>
    <definedName name="x1pind" localSheetId="1">#REF!</definedName>
    <definedName name="x1pind">#REF!</definedName>
    <definedName name="X1pINDnc" localSheetId="0">#REF!</definedName>
    <definedName name="X1pINDnc" localSheetId="1">#REF!</definedName>
    <definedName name="X1pINDnc">#REF!</definedName>
    <definedName name="X1pINDvc" localSheetId="0">#REF!</definedName>
    <definedName name="X1pINDvc" localSheetId="1">#REF!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 localSheetId="0">#REF!</definedName>
    <definedName name="X1pINTnc" localSheetId="1">#REF!</definedName>
    <definedName name="X1pINTnc">#REF!</definedName>
    <definedName name="X1pINTvc" localSheetId="0">#REF!</definedName>
    <definedName name="X1pINTvc" localSheetId="1">#REF!</definedName>
    <definedName name="X1pINTvc">#REF!</definedName>
    <definedName name="X1pINTvl" localSheetId="0">#REF!</definedName>
    <definedName name="X1pINTvl" localSheetId="1">#REF!</definedName>
    <definedName name="X1pINTvl">#REF!</definedName>
    <definedName name="X1pITnc" localSheetId="0">#REF!</definedName>
    <definedName name="X1pITnc" localSheetId="1">#REF!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a">#REF!</definedName>
    <definedName name="xa1pm">#REF!</definedName>
    <definedName name="xa3pm">#REF!</definedName>
    <definedName name="XADZ04">#REF!</definedName>
    <definedName name="xaydung">#REF!</definedName>
    <definedName name="XayLapKhac">#REF!</definedName>
    <definedName name="XB_80">#REF!</definedName>
    <definedName name="XCCDZ22">#REF!</definedName>
    <definedName name="XCCT">0.5</definedName>
    <definedName name="xcp">#REF!</definedName>
    <definedName name="xd0.6" localSheetId="0">#REF!</definedName>
    <definedName name="xd0.6" localSheetId="1">#REF!</definedName>
    <definedName name="xd0.6">#REF!</definedName>
    <definedName name="xd1.3" localSheetId="0">#REF!</definedName>
    <definedName name="xd1.3" localSheetId="1">#REF!</definedName>
    <definedName name="xd1.3">#REF!</definedName>
    <definedName name="xd1.5" localSheetId="0">#REF!</definedName>
    <definedName name="xd1.5" localSheetId="1">#REF!</definedName>
    <definedName name="xd1.5">#REF!</definedName>
    <definedName name="XDAUTRAMDZ22">#REF!</definedName>
    <definedName name="XDDZ22">#REF!</definedName>
    <definedName name="XDGHDZ22">#REF!</definedName>
    <definedName name="XDHDZ22">#REF!</definedName>
    <definedName name="xdra" localSheetId="2">#REF!</definedName>
    <definedName name="xdra" localSheetId="5">#REF!</definedName>
    <definedName name="xdra" localSheetId="4">#REF!</definedName>
    <definedName name="xdra" localSheetId="3">#REF!</definedName>
    <definedName name="xdra" localSheetId="6">#REF!</definedName>
    <definedName name="xdra" localSheetId="0">#REF!</definedName>
    <definedName name="xdra" localSheetId="1">#REF!</definedName>
    <definedName name="xdra">#REF!</definedName>
    <definedName name="xdsnc" localSheetId="2">#REF!</definedName>
    <definedName name="xdsnc" localSheetId="5">#REF!</definedName>
    <definedName name="xdsnc" localSheetId="4">#REF!</definedName>
    <definedName name="xdsnc" localSheetId="3">#REF!</definedName>
    <definedName name="xdsnc" localSheetId="6">#REF!</definedName>
    <definedName name="xdsnc" localSheetId="0">#REF!</definedName>
    <definedName name="xdsnc" localSheetId="1">#REF!</definedName>
    <definedName name="xdsnc">#REF!</definedName>
    <definedName name="xdsvl" localSheetId="2">#REF!</definedName>
    <definedName name="xdsvl" localSheetId="5">#REF!</definedName>
    <definedName name="xdsvl" localSheetId="4">#REF!</definedName>
    <definedName name="xdsvl" localSheetId="3">#REF!</definedName>
    <definedName name="xdsvl" localSheetId="6">#REF!</definedName>
    <definedName name="xdsvl" localSheetId="0">#REF!</definedName>
    <definedName name="xdsvl" localSheetId="1">#REF!</definedName>
    <definedName name="xdsvl">#REF!</definedName>
    <definedName name="XDTB">#REF!</definedName>
    <definedName name="XDTDZ22">#REF!</definedName>
    <definedName name="XDTT">#REF!</definedName>
    <definedName name="xelaodam">#REF!</definedName>
    <definedName name="xethung10t">#REF!</definedName>
    <definedName name="xetreo">#REF!</definedName>
    <definedName name="xetuoinhua190">#REF!</definedName>
    <definedName name="xfco" localSheetId="2">#REF!</definedName>
    <definedName name="xfco" localSheetId="5">#REF!</definedName>
    <definedName name="xfco" localSheetId="4">#REF!</definedName>
    <definedName name="xfco" localSheetId="3">#REF!</definedName>
    <definedName name="xfco" localSheetId="6">#REF!</definedName>
    <definedName name="xfco" localSheetId="0">#REF!</definedName>
    <definedName name="xfco" localSheetId="1">#REF!</definedName>
    <definedName name="xfco">#REF!</definedName>
    <definedName name="xfco3p" localSheetId="0">#REF!</definedName>
    <definedName name="xfco3p" localSheetId="1">#REF!</definedName>
    <definedName name="xfco3p">#REF!</definedName>
    <definedName name="XFCOnc" localSheetId="0">#REF!</definedName>
    <definedName name="XFCOnc" localSheetId="1">#REF!</definedName>
    <definedName name="XFCOnc">#REF!</definedName>
    <definedName name="xfconc3p" localSheetId="0">#REF!</definedName>
    <definedName name="xfconc3p" localSheetId="1">#REF!</definedName>
    <definedName name="xfconc3p">#REF!</definedName>
    <definedName name="xfcotnc" localSheetId="2">#REF!</definedName>
    <definedName name="xfcotnc" localSheetId="5">#REF!</definedName>
    <definedName name="xfcotnc" localSheetId="4">#REF!</definedName>
    <definedName name="xfcotnc" localSheetId="3">#REF!</definedName>
    <definedName name="xfcotnc" localSheetId="6">#REF!</definedName>
    <definedName name="xfcotnc" localSheetId="0">#REF!</definedName>
    <definedName name="xfcotnc" localSheetId="1">#REF!</definedName>
    <definedName name="xfcotnc">#REF!</definedName>
    <definedName name="xfcotvl" localSheetId="0">#REF!</definedName>
    <definedName name="xfcotvl" localSheetId="1">#REF!</definedName>
    <definedName name="xfcotvl">#REF!</definedName>
    <definedName name="XFCOvc" localSheetId="0">#REF!</definedName>
    <definedName name="XFCOvc" localSheetId="1">#REF!</definedName>
    <definedName name="XFCOvc">#REF!</definedName>
    <definedName name="XFCOvl" localSheetId="2">#REF!</definedName>
    <definedName name="XFCOvl" localSheetId="5">#REF!</definedName>
    <definedName name="XFCOvl" localSheetId="4">#REF!</definedName>
    <definedName name="XFCOvl" localSheetId="3">#REF!</definedName>
    <definedName name="XFCOvl" localSheetId="6">#REF!</definedName>
    <definedName name="XFCOvl" localSheetId="0">#REF!</definedName>
    <definedName name="XFCOvl" localSheetId="1">#REF!</definedName>
    <definedName name="XFCOvl">#REF!</definedName>
    <definedName name="xfcovl3p" localSheetId="2">#REF!</definedName>
    <definedName name="xfcovl3p" localSheetId="5">#REF!</definedName>
    <definedName name="xfcovl3p" localSheetId="4">#REF!</definedName>
    <definedName name="xfcovl3p" localSheetId="3">#REF!</definedName>
    <definedName name="xfcovl3p" localSheetId="6">#REF!</definedName>
    <definedName name="xfcovl3p" localSheetId="0">#REF!</definedName>
    <definedName name="xfcovl3p" localSheetId="1">#REF!</definedName>
    <definedName name="xfcovl3p">#REF!</definedName>
    <definedName name="xfnc" localSheetId="0">#REF!</definedName>
    <definedName name="xfnc" localSheetId="1">#REF!</definedName>
    <definedName name="xfnc">#REF!</definedName>
    <definedName name="XFTDZ22">#REF!</definedName>
    <definedName name="xfvl" localSheetId="0">#REF!</definedName>
    <definedName name="xfvl" localSheetId="1">#REF!</definedName>
    <definedName name="xfvl">#REF!</definedName>
    <definedName name="xgc100" localSheetId="2">#REF!</definedName>
    <definedName name="xgc100" localSheetId="5">#REF!</definedName>
    <definedName name="xgc100" localSheetId="4">#REF!</definedName>
    <definedName name="xgc100" localSheetId="3">#REF!</definedName>
    <definedName name="xgc100" localSheetId="6">#REF!</definedName>
    <definedName name="xgc100" localSheetId="0">#REF!</definedName>
    <definedName name="xgc100" localSheetId="1">#REF!</definedName>
    <definedName name="xgc100">#REF!</definedName>
    <definedName name="xgc150" localSheetId="0">#REF!</definedName>
    <definedName name="xgc150" localSheetId="1">#REF!</definedName>
    <definedName name="xgc150">#REF!</definedName>
    <definedName name="xgc200" localSheetId="0">#REF!</definedName>
    <definedName name="xgc200" localSheetId="1">#REF!</definedName>
    <definedName name="xgc200">#REF!</definedName>
    <definedName name="xh">#REF!</definedName>
    <definedName name="xhn">#REF!</definedName>
    <definedName name="xhnnc" localSheetId="0">#REF!</definedName>
    <definedName name="xhnnc" localSheetId="1">#REF!</definedName>
    <definedName name="xhnnc">#REF!</definedName>
    <definedName name="xhnvl" localSheetId="0">#REF!</definedName>
    <definedName name="xhnvl" localSheetId="1">#REF!</definedName>
    <definedName name="xhnvl">#REF!</definedName>
    <definedName name="xig" localSheetId="2">#REF!</definedName>
    <definedName name="xig" localSheetId="5">#REF!</definedName>
    <definedName name="xig" localSheetId="4">#REF!</definedName>
    <definedName name="xig" localSheetId="3">#REF!</definedName>
    <definedName name="xig" localSheetId="6">#REF!</definedName>
    <definedName name="xig" localSheetId="0">#REF!</definedName>
    <definedName name="xig" localSheetId="1">#REF!</definedName>
    <definedName name="xig">#REF!</definedName>
    <definedName name="xig1" localSheetId="0">#REF!</definedName>
    <definedName name="xig1" localSheetId="1">#REF!</definedName>
    <definedName name="xig1">#REF!</definedName>
    <definedName name="XIG1nc" localSheetId="0">#REF!</definedName>
    <definedName name="XIG1nc" localSheetId="1">#REF!</definedName>
    <definedName name="XIG1nc">#REF!</definedName>
    <definedName name="xig1p" localSheetId="2">#REF!</definedName>
    <definedName name="xig1p" localSheetId="5">#REF!</definedName>
    <definedName name="xig1p" localSheetId="4">#REF!</definedName>
    <definedName name="xig1p" localSheetId="3">#REF!</definedName>
    <definedName name="xig1p" localSheetId="6">#REF!</definedName>
    <definedName name="xig1p" localSheetId="0">#REF!</definedName>
    <definedName name="xig1p" localSheetId="1">#REF!</definedName>
    <definedName name="xig1p">#REF!</definedName>
    <definedName name="xig1pnc" localSheetId="2">#REF!</definedName>
    <definedName name="xig1pnc" localSheetId="5">#REF!</definedName>
    <definedName name="xig1pnc" localSheetId="4">#REF!</definedName>
    <definedName name="xig1pnc" localSheetId="3">#REF!</definedName>
    <definedName name="xig1pnc" localSheetId="6">#REF!</definedName>
    <definedName name="xig1pnc" localSheetId="0">#REF!</definedName>
    <definedName name="xig1pnc" localSheetId="1">#REF!</definedName>
    <definedName name="xig1pnc">#REF!</definedName>
    <definedName name="xig1pvl" localSheetId="0">#REF!</definedName>
    <definedName name="xig1pvl" localSheetId="1">#REF!</definedName>
    <definedName name="xig1pvl">#REF!</definedName>
    <definedName name="XIG1vl" localSheetId="0">#REF!</definedName>
    <definedName name="XIG1vl" localSheetId="1">#REF!</definedName>
    <definedName name="XIG1vl">#REF!</definedName>
    <definedName name="xig2nc" localSheetId="0">#REF!</definedName>
    <definedName name="xig2nc" localSheetId="1">#REF!</definedName>
    <definedName name="xig2nc">#REF!</definedName>
    <definedName name="xig2vl" localSheetId="0">#REF!</definedName>
    <definedName name="xig2vl" localSheetId="1">#REF!</definedName>
    <definedName name="xig2vl">#REF!</definedName>
    <definedName name="xig3p" localSheetId="2">#REF!</definedName>
    <definedName name="xig3p" localSheetId="5">#REF!</definedName>
    <definedName name="xig3p" localSheetId="4">#REF!</definedName>
    <definedName name="xig3p" localSheetId="3">#REF!</definedName>
    <definedName name="xig3p" localSheetId="6">#REF!</definedName>
    <definedName name="xig3p" localSheetId="0">#REF!</definedName>
    <definedName name="xig3p" localSheetId="1">#REF!</definedName>
    <definedName name="xig3p">#REF!</definedName>
    <definedName name="xiggnc">#REF!</definedName>
    <definedName name="xiggvl">#REF!</definedName>
    <definedName name="XIGnc" localSheetId="2">#REF!</definedName>
    <definedName name="XIGnc" localSheetId="5">#REF!</definedName>
    <definedName name="XIGnc" localSheetId="4">#REF!</definedName>
    <definedName name="XIGnc" localSheetId="3">#REF!</definedName>
    <definedName name="XIGnc" localSheetId="6">#REF!</definedName>
    <definedName name="XIGnc" localSheetId="0">#REF!</definedName>
    <definedName name="XIGnc" localSheetId="1">#REF!</definedName>
    <definedName name="XIGnc">#REF!</definedName>
    <definedName name="xignc3p" localSheetId="2">#REF!</definedName>
    <definedName name="xignc3p" localSheetId="5">#REF!</definedName>
    <definedName name="xignc3p" localSheetId="4">#REF!</definedName>
    <definedName name="xignc3p" localSheetId="3">#REF!</definedName>
    <definedName name="xignc3p" localSheetId="6">#REF!</definedName>
    <definedName name="xignc3p" localSheetId="0">#REF!</definedName>
    <definedName name="xignc3p" localSheetId="1">#REF!</definedName>
    <definedName name="xignc3p">#REF!</definedName>
    <definedName name="XIGvc" localSheetId="2">#REF!</definedName>
    <definedName name="XIGvc" localSheetId="5">#REF!</definedName>
    <definedName name="XIGvc" localSheetId="4">#REF!</definedName>
    <definedName name="XIGvc" localSheetId="3">#REF!</definedName>
    <definedName name="XIGvc" localSheetId="6">#REF!</definedName>
    <definedName name="XIGvc" localSheetId="0">#REF!</definedName>
    <definedName name="XIGvc" localSheetId="1">#REF!</definedName>
    <definedName name="XIGvc">#REF!</definedName>
    <definedName name="XIGvl" localSheetId="0">#REF!</definedName>
    <definedName name="XIGvl" localSheetId="1">#REF!</definedName>
    <definedName name="XIGvl">#REF!</definedName>
    <definedName name="xigvl3p" localSheetId="0">#REF!</definedName>
    <definedName name="xigvl3p" localSheetId="1">#REF!</definedName>
    <definedName name="xigvl3p">#REF!</definedName>
    <definedName name="Xim_ng_PC40">#REF!</definedName>
    <definedName name="ximang" localSheetId="2">#REF!</definedName>
    <definedName name="ximang" localSheetId="5">#REF!</definedName>
    <definedName name="ximang" localSheetId="4">#REF!</definedName>
    <definedName name="ximang" localSheetId="3">#REF!</definedName>
    <definedName name="ximang" localSheetId="6">#REF!</definedName>
    <definedName name="ximang" localSheetId="0">#REF!</definedName>
    <definedName name="ximang" localSheetId="1">#REF!</definedName>
    <definedName name="ximang">#REF!</definedName>
    <definedName name="XiMangPCB30" localSheetId="2">#REF!</definedName>
    <definedName name="XiMangPCB30" localSheetId="5">#REF!</definedName>
    <definedName name="XiMangPCB30" localSheetId="4">#REF!</definedName>
    <definedName name="XiMangPCB30" localSheetId="3">#REF!</definedName>
    <definedName name="XiMangPCB30" localSheetId="6">#REF!</definedName>
    <definedName name="XiMangPCB30" localSheetId="0">#REF!</definedName>
    <definedName name="XiMangPCB30" localSheetId="1">#REF!</definedName>
    <definedName name="XiMangPCB30">#REF!</definedName>
    <definedName name="xin" localSheetId="2">#REF!</definedName>
    <definedName name="xin" localSheetId="5">#REF!</definedName>
    <definedName name="xin" localSheetId="4">#REF!</definedName>
    <definedName name="xin" localSheetId="3">#REF!</definedName>
    <definedName name="xin" localSheetId="6">#REF!</definedName>
    <definedName name="xin" localSheetId="0">#REF!</definedName>
    <definedName name="xin" localSheetId="1">#REF!</definedName>
    <definedName name="xin">#REF!</definedName>
    <definedName name="xin190" localSheetId="0">#REF!</definedName>
    <definedName name="xin190" localSheetId="1">#REF!</definedName>
    <definedName name="xin190">#REF!</definedName>
    <definedName name="xin1903p" localSheetId="0">#REF!</definedName>
    <definedName name="xin1903p" localSheetId="1">#REF!</definedName>
    <definedName name="xin1903p">#REF!</definedName>
    <definedName name="XIN190nc" localSheetId="0">#REF!</definedName>
    <definedName name="XIN190nc" localSheetId="1">#REF!</definedName>
    <definedName name="XIN190nc">#REF!</definedName>
    <definedName name="xin190nc3p" localSheetId="0">#REF!</definedName>
    <definedName name="xin190nc3p" localSheetId="1">#REF!</definedName>
    <definedName name="xin190nc3p">#REF!</definedName>
    <definedName name="XIN190vc" localSheetId="0">#REF!</definedName>
    <definedName name="XIN190vc" localSheetId="1">#REF!</definedName>
    <definedName name="XIN190vc">#REF!</definedName>
    <definedName name="XIN190vl" localSheetId="0">#REF!</definedName>
    <definedName name="XIN190vl" localSheetId="1">#REF!</definedName>
    <definedName name="XIN190vl">#REF!</definedName>
    <definedName name="xin190vl3p">#REF!</definedName>
    <definedName name="xin2903p">#REF!</definedName>
    <definedName name="xin290nc3p" localSheetId="0">#REF!</definedName>
    <definedName name="xin290nc3p" localSheetId="1">#REF!</definedName>
    <definedName name="xin290nc3p">#REF!</definedName>
    <definedName name="xin290vl3p" localSheetId="0">#REF!</definedName>
    <definedName name="xin290vl3p" localSheetId="1">#REF!</definedName>
    <definedName name="xin290vl3p">#REF!</definedName>
    <definedName name="xin3p" localSheetId="2">#REF!</definedName>
    <definedName name="xin3p" localSheetId="5">#REF!</definedName>
    <definedName name="xin3p" localSheetId="4">#REF!</definedName>
    <definedName name="xin3p" localSheetId="3">#REF!</definedName>
    <definedName name="xin3p" localSheetId="6">#REF!</definedName>
    <definedName name="xin3p" localSheetId="0">#REF!</definedName>
    <definedName name="xin3p" localSheetId="1">#REF!</definedName>
    <definedName name="xin3p">#REF!</definedName>
    <definedName name="xin901nc" localSheetId="2">#REF!</definedName>
    <definedName name="xin901nc" localSheetId="5">#REF!</definedName>
    <definedName name="xin901nc" localSheetId="4">#REF!</definedName>
    <definedName name="xin901nc" localSheetId="3">#REF!</definedName>
    <definedName name="xin901nc" localSheetId="6">#REF!</definedName>
    <definedName name="xin901nc" localSheetId="0">#REF!</definedName>
    <definedName name="xin901nc" localSheetId="1">#REF!</definedName>
    <definedName name="xin901nc">#REF!</definedName>
    <definedName name="xin901vl" localSheetId="0">#REF!</definedName>
    <definedName name="xin901vl" localSheetId="1">#REF!</definedName>
    <definedName name="xin901vl">#REF!</definedName>
    <definedName name="xind" localSheetId="2">#REF!</definedName>
    <definedName name="xind" localSheetId="5">#REF!</definedName>
    <definedName name="xind" localSheetId="4">#REF!</definedName>
    <definedName name="xind" localSheetId="3">#REF!</definedName>
    <definedName name="xind" localSheetId="6">#REF!</definedName>
    <definedName name="xind" localSheetId="0">#REF!</definedName>
    <definedName name="xind" localSheetId="1">#REF!</definedName>
    <definedName name="xind">#REF!</definedName>
    <definedName name="xind1p" localSheetId="0">#REF!</definedName>
    <definedName name="xind1p" localSheetId="1">#REF!</definedName>
    <definedName name="xind1p">#REF!</definedName>
    <definedName name="xind1pnc" localSheetId="0">#REF!</definedName>
    <definedName name="xind1pnc" localSheetId="1">#REF!</definedName>
    <definedName name="xind1pnc">#REF!</definedName>
    <definedName name="xind1pvl" localSheetId="0">#REF!</definedName>
    <definedName name="xind1pvl" localSheetId="1">#REF!</definedName>
    <definedName name="xind1pvl">#REF!</definedName>
    <definedName name="xind3p" localSheetId="2">#REF!</definedName>
    <definedName name="xind3p" localSheetId="5">#REF!</definedName>
    <definedName name="xind3p" localSheetId="4">#REF!</definedName>
    <definedName name="xind3p" localSheetId="3">#REF!</definedName>
    <definedName name="xind3p" localSheetId="6">#REF!</definedName>
    <definedName name="xind3p" localSheetId="0">#REF!</definedName>
    <definedName name="xind3p" localSheetId="1">#REF!</definedName>
    <definedName name="xind3p">#REF!</definedName>
    <definedName name="XINDnc" localSheetId="2">#REF!</definedName>
    <definedName name="XINDnc" localSheetId="5">#REF!</definedName>
    <definedName name="XINDnc" localSheetId="4">#REF!</definedName>
    <definedName name="XINDnc" localSheetId="3">#REF!</definedName>
    <definedName name="XINDnc" localSheetId="6">#REF!</definedName>
    <definedName name="XINDnc" localSheetId="0">#REF!</definedName>
    <definedName name="XINDnc" localSheetId="1">#REF!</definedName>
    <definedName name="XINDnc">#REF!</definedName>
    <definedName name="xindnc1p" localSheetId="2">#REF!</definedName>
    <definedName name="xindnc1p" localSheetId="5">#REF!</definedName>
    <definedName name="xindnc1p" localSheetId="4">#REF!</definedName>
    <definedName name="xindnc1p" localSheetId="3">#REF!</definedName>
    <definedName name="xindnc1p" localSheetId="6">#REF!</definedName>
    <definedName name="xindnc1p" localSheetId="0">#REF!</definedName>
    <definedName name="xindnc1p" localSheetId="1">#REF!</definedName>
    <definedName name="xindnc1p">#REF!</definedName>
    <definedName name="xindnc3p" localSheetId="2">#REF!</definedName>
    <definedName name="xindnc3p" localSheetId="5">#REF!</definedName>
    <definedName name="xindnc3p" localSheetId="4">#REF!</definedName>
    <definedName name="xindnc3p" localSheetId="3">#REF!</definedName>
    <definedName name="xindnc3p" localSheetId="6">#REF!</definedName>
    <definedName name="xindnc3p" localSheetId="0">#REF!</definedName>
    <definedName name="xindnc3p" localSheetId="1">#REF!</definedName>
    <definedName name="xindnc3p">#REF!</definedName>
    <definedName name="XINDvc" localSheetId="2">#REF!</definedName>
    <definedName name="XINDvc" localSheetId="5">#REF!</definedName>
    <definedName name="XINDvc" localSheetId="4">#REF!</definedName>
    <definedName name="XINDvc" localSheetId="3">#REF!</definedName>
    <definedName name="XINDvc" localSheetId="6">#REF!</definedName>
    <definedName name="XINDvc" localSheetId="0">#REF!</definedName>
    <definedName name="XINDvc" localSheetId="1">#REF!</definedName>
    <definedName name="XINDvc">#REF!</definedName>
    <definedName name="XINDvl" localSheetId="0">#REF!</definedName>
    <definedName name="XINDvl" localSheetId="1">#REF!</definedName>
    <definedName name="XINDvl">#REF!</definedName>
    <definedName name="xindvl1p" localSheetId="2">#REF!</definedName>
    <definedName name="xindvl1p" localSheetId="5">#REF!</definedName>
    <definedName name="xindvl1p" localSheetId="4">#REF!</definedName>
    <definedName name="xindvl1p" localSheetId="3">#REF!</definedName>
    <definedName name="xindvl1p" localSheetId="6">#REF!</definedName>
    <definedName name="xindvl1p" localSheetId="0">#REF!</definedName>
    <definedName name="xindvl1p" localSheetId="1">#REF!</definedName>
    <definedName name="xindvl1p">#REF!</definedName>
    <definedName name="xindvl3p" localSheetId="2">#REF!</definedName>
    <definedName name="xindvl3p" localSheetId="5">#REF!</definedName>
    <definedName name="xindvl3p" localSheetId="4">#REF!</definedName>
    <definedName name="xindvl3p" localSheetId="3">#REF!</definedName>
    <definedName name="xindvl3p" localSheetId="6">#REF!</definedName>
    <definedName name="xindvl3p" localSheetId="0">#REF!</definedName>
    <definedName name="xindvl3p" localSheetId="1">#REF!</definedName>
    <definedName name="xindvl3p">#REF!</definedName>
    <definedName name="xing1p" localSheetId="2">#REF!</definedName>
    <definedName name="xing1p" localSheetId="5">#REF!</definedName>
    <definedName name="xing1p" localSheetId="4">#REF!</definedName>
    <definedName name="xing1p" localSheetId="3">#REF!</definedName>
    <definedName name="xing1p" localSheetId="6">#REF!</definedName>
    <definedName name="xing1p" localSheetId="0">#REF!</definedName>
    <definedName name="xing1p" localSheetId="1">#REF!</definedName>
    <definedName name="xing1p">#REF!</definedName>
    <definedName name="xing1pnc" localSheetId="2">#REF!</definedName>
    <definedName name="xing1pnc" localSheetId="5">#REF!</definedName>
    <definedName name="xing1pnc" localSheetId="4">#REF!</definedName>
    <definedName name="xing1pnc" localSheetId="3">#REF!</definedName>
    <definedName name="xing1pnc" localSheetId="6">#REF!</definedName>
    <definedName name="xing1pnc" localSheetId="0">#REF!</definedName>
    <definedName name="xing1pnc" localSheetId="1">#REF!</definedName>
    <definedName name="xing1pnc">#REF!</definedName>
    <definedName name="xing1pvl" localSheetId="2">#REF!</definedName>
    <definedName name="xing1pvl" localSheetId="5">#REF!</definedName>
    <definedName name="xing1pvl" localSheetId="4">#REF!</definedName>
    <definedName name="xing1pvl" localSheetId="3">#REF!</definedName>
    <definedName name="xing1pvl" localSheetId="6">#REF!</definedName>
    <definedName name="xing1pvl" localSheetId="0">#REF!</definedName>
    <definedName name="xing1pvl" localSheetId="1">#REF!</definedName>
    <definedName name="xing1pvl">#REF!</definedName>
    <definedName name="xingnc1p" localSheetId="2">#REF!</definedName>
    <definedName name="xingnc1p" localSheetId="5">#REF!</definedName>
    <definedName name="xingnc1p" localSheetId="4">#REF!</definedName>
    <definedName name="xingnc1p" localSheetId="3">#REF!</definedName>
    <definedName name="xingnc1p" localSheetId="6">#REF!</definedName>
    <definedName name="xingnc1p" localSheetId="0">#REF!</definedName>
    <definedName name="xingnc1p" localSheetId="1">#REF!</definedName>
    <definedName name="xingnc1p">#REF!</definedName>
    <definedName name="xingvl1p" localSheetId="0">#REF!</definedName>
    <definedName name="xingvl1p" localSheetId="1">#REF!</definedName>
    <definedName name="xingvl1p">#REF!</definedName>
    <definedName name="XINnc" localSheetId="0">#REF!</definedName>
    <definedName name="XINnc" localSheetId="1">#REF!</definedName>
    <definedName name="XINnc">#REF!</definedName>
    <definedName name="xinnc3p" localSheetId="0">#REF!</definedName>
    <definedName name="xinnc3p" localSheetId="1">#REF!</definedName>
    <definedName name="xinnc3p">#REF!</definedName>
    <definedName name="xint1p" localSheetId="2">#REF!</definedName>
    <definedName name="xint1p" localSheetId="5">#REF!</definedName>
    <definedName name="xint1p" localSheetId="4">#REF!</definedName>
    <definedName name="xint1p" localSheetId="3">#REF!</definedName>
    <definedName name="xint1p" localSheetId="6">#REF!</definedName>
    <definedName name="xint1p" localSheetId="0">#REF!</definedName>
    <definedName name="xint1p" localSheetId="1">#REF!</definedName>
    <definedName name="xint1p">#REF!</definedName>
    <definedName name="XINvc" localSheetId="0">#REF!</definedName>
    <definedName name="XINvc" localSheetId="1">#REF!</definedName>
    <definedName name="XINvc">#REF!</definedName>
    <definedName name="XINvl" localSheetId="0">#REF!</definedName>
    <definedName name="XINvl" localSheetId="1">#REF!</definedName>
    <definedName name="XINvl">#REF!</definedName>
    <definedName name="xinvl3p" localSheetId="0">#REF!</definedName>
    <definedName name="xinvl3p" localSheetId="1">#REF!</definedName>
    <definedName name="xinvl3p">#REF!</definedName>
    <definedName name="xit" localSheetId="2">#REF!</definedName>
    <definedName name="xit" localSheetId="5">#REF!</definedName>
    <definedName name="xit" localSheetId="4">#REF!</definedName>
    <definedName name="xit" localSheetId="3">#REF!</definedName>
    <definedName name="xit" localSheetId="6">#REF!</definedName>
    <definedName name="xit" localSheetId="0">#REF!</definedName>
    <definedName name="xit" localSheetId="1">#REF!</definedName>
    <definedName name="xit">#REF!</definedName>
    <definedName name="xit1" localSheetId="0">#REF!</definedName>
    <definedName name="xit1" localSheetId="1">#REF!</definedName>
    <definedName name="xit1">#REF!</definedName>
    <definedName name="XIT1nc" localSheetId="0">#REF!</definedName>
    <definedName name="XIT1nc" localSheetId="1">#REF!</definedName>
    <definedName name="XIT1nc">#REF!</definedName>
    <definedName name="xit1p" localSheetId="2">#REF!</definedName>
    <definedName name="xit1p" localSheetId="5">#REF!</definedName>
    <definedName name="xit1p" localSheetId="4">#REF!</definedName>
    <definedName name="xit1p" localSheetId="3">#REF!</definedName>
    <definedName name="xit1p" localSheetId="6">#REF!</definedName>
    <definedName name="xit1p" localSheetId="0">#REF!</definedName>
    <definedName name="xit1p" localSheetId="1">#REF!</definedName>
    <definedName name="xit1p">#REF!</definedName>
    <definedName name="xit1pnc" localSheetId="2">#REF!</definedName>
    <definedName name="xit1pnc" localSheetId="5">#REF!</definedName>
    <definedName name="xit1pnc" localSheetId="4">#REF!</definedName>
    <definedName name="xit1pnc" localSheetId="3">#REF!</definedName>
    <definedName name="xit1pnc" localSheetId="6">#REF!</definedName>
    <definedName name="xit1pnc" localSheetId="0">#REF!</definedName>
    <definedName name="xit1pnc" localSheetId="1">#REF!</definedName>
    <definedName name="xit1pnc">#REF!</definedName>
    <definedName name="xit1pvl" localSheetId="0">#REF!</definedName>
    <definedName name="xit1pvl" localSheetId="1">#REF!</definedName>
    <definedName name="xit1pvl">#REF!</definedName>
    <definedName name="XIT1vl" localSheetId="0">#REF!</definedName>
    <definedName name="XIT1vl" localSheetId="1">#REF!</definedName>
    <definedName name="XIT1vl">#REF!</definedName>
    <definedName name="xit23p">#REF!</definedName>
    <definedName name="xit2nc">#REF!</definedName>
    <definedName name="xit2nc3p">#REF!</definedName>
    <definedName name="xit2vl">#REF!</definedName>
    <definedName name="xit2vl3p">#REF!</definedName>
    <definedName name="xit3p" localSheetId="2">#REF!</definedName>
    <definedName name="xit3p" localSheetId="5">#REF!</definedName>
    <definedName name="xit3p" localSheetId="4">#REF!</definedName>
    <definedName name="xit3p" localSheetId="3">#REF!</definedName>
    <definedName name="xit3p" localSheetId="6">#REF!</definedName>
    <definedName name="xit3p" localSheetId="0">#REF!</definedName>
    <definedName name="xit3p" localSheetId="1">#REF!</definedName>
    <definedName name="xit3p">#REF!</definedName>
    <definedName name="XITnc" localSheetId="0">#REF!</definedName>
    <definedName name="XITnc" localSheetId="1">#REF!</definedName>
    <definedName name="XITnc">#REF!</definedName>
    <definedName name="xitnc3p" localSheetId="0">#REF!</definedName>
    <definedName name="xitnc3p" localSheetId="1">#REF!</definedName>
    <definedName name="xitnc3p">#REF!</definedName>
    <definedName name="xittnc">#REF!</definedName>
    <definedName name="xittvl">#REF!</definedName>
    <definedName name="XITvc" localSheetId="2">#REF!</definedName>
    <definedName name="XITvc" localSheetId="5">#REF!</definedName>
    <definedName name="XITvc" localSheetId="4">#REF!</definedName>
    <definedName name="XITvc" localSheetId="3">#REF!</definedName>
    <definedName name="XITvc" localSheetId="6">#REF!</definedName>
    <definedName name="XITvc" localSheetId="0">#REF!</definedName>
    <definedName name="XITvc" localSheetId="1">#REF!</definedName>
    <definedName name="XITvc">#REF!</definedName>
    <definedName name="XITvl" localSheetId="0">#REF!</definedName>
    <definedName name="XITvl" localSheetId="1">#REF!</definedName>
    <definedName name="XITvl">#REF!</definedName>
    <definedName name="xitvl3p" localSheetId="0">#REF!</definedName>
    <definedName name="xitvl3p" localSheetId="1">#REF!</definedName>
    <definedName name="xitvl3p">#REF!</definedName>
    <definedName name="xk">#REF!</definedName>
    <definedName name="xk0.6" localSheetId="2">#REF!</definedName>
    <definedName name="xk0.6" localSheetId="5">#REF!</definedName>
    <definedName name="xk0.6" localSheetId="4">#REF!</definedName>
    <definedName name="xk0.6" localSheetId="3">#REF!</definedName>
    <definedName name="xk0.6" localSheetId="6">#REF!</definedName>
    <definedName name="xk0.6" localSheetId="0">#REF!</definedName>
    <definedName name="xk0.6" localSheetId="1">#REF!</definedName>
    <definedName name="xk0.6">#REF!</definedName>
    <definedName name="xk1.3" localSheetId="0">#REF!</definedName>
    <definedName name="xk1.3" localSheetId="1">#REF!</definedName>
    <definedName name="xk1.3">#REF!</definedName>
    <definedName name="xk1.5" localSheetId="0">#REF!</definedName>
    <definedName name="xk1.5" localSheetId="1">#REF!</definedName>
    <definedName name="xk1.5">#REF!</definedName>
    <definedName name="xkich">#REF!</definedName>
    <definedName name="xl">#REF!</definedName>
    <definedName name="xl3x250">#REF!</definedName>
    <definedName name="XL3X400">#REF!</definedName>
    <definedName name="xlc">#REF!</definedName>
    <definedName name="xld" localSheetId="0">#REF!</definedName>
    <definedName name="xld" localSheetId="1">#REF!</definedName>
    <definedName name="xld">#REF!</definedName>
    <definedName name="xld1.4" localSheetId="2">#REF!</definedName>
    <definedName name="xld1.4" localSheetId="5">#REF!</definedName>
    <definedName name="xld1.4" localSheetId="4">#REF!</definedName>
    <definedName name="xld1.4" localSheetId="3">#REF!</definedName>
    <definedName name="xld1.4" localSheetId="6">#REF!</definedName>
    <definedName name="xld1.4" localSheetId="0">#REF!</definedName>
    <definedName name="xld1.4" localSheetId="1">#REF!</definedName>
    <definedName name="xld1.4">#REF!</definedName>
    <definedName name="xlk">#REF!</definedName>
    <definedName name="xlk1.4" localSheetId="0">#REF!</definedName>
    <definedName name="xlk1.4" localSheetId="1">#REF!</definedName>
    <definedName name="xlk1.4">#REF!</definedName>
    <definedName name="xls" hidden="1">{"'Sheet1'!$L$16"}</definedName>
    <definedName name="xlt" localSheetId="0">#REF!</definedName>
    <definedName name="xlt" localSheetId="1">#REF!</definedName>
    <definedName name="xlt">#REF!</definedName>
    <definedName name="xlttbninh" hidden="1">{"'Sheet1'!$L$16"}</definedName>
    <definedName name="XM" localSheetId="2">#REF!</definedName>
    <definedName name="XM" localSheetId="5">#REF!</definedName>
    <definedName name="XM" localSheetId="4">#REF!</definedName>
    <definedName name="XM" localSheetId="3">#REF!</definedName>
    <definedName name="XM" localSheetId="6">#REF!</definedName>
    <definedName name="XM" localSheetId="0">#REF!</definedName>
    <definedName name="XM" localSheetId="1">#REF!</definedName>
    <definedName name="XM">#REF!</definedName>
    <definedName name="XM.M10.1">#REF!</definedName>
    <definedName name="XM.M10.2">#REF!</definedName>
    <definedName name="XM.MDT">#REF!</definedName>
    <definedName name="XMAX">#REF!</definedName>
    <definedName name="xmcax" localSheetId="0">#REF!</definedName>
    <definedName name="xmcax" localSheetId="1">#REF!</definedName>
    <definedName name="xmcax">#REF!</definedName>
    <definedName name="XMIN">#REF!</definedName>
    <definedName name="xn" localSheetId="0">#REF!</definedName>
    <definedName name="xn" localSheetId="1">#REF!</definedName>
    <definedName name="xn">#REF!</definedName>
    <definedName name="XNDZ22">#REF!</definedName>
    <definedName name="XNHDZ22">#REF!</definedName>
    <definedName name="XNTDZ22">#REF!</definedName>
    <definedName name="XPSDZ22">#REF!</definedName>
    <definedName name="xr1nc" localSheetId="0">#REF!</definedName>
    <definedName name="xr1nc" localSheetId="1">#REF!</definedName>
    <definedName name="xr1nc">#REF!</definedName>
    <definedName name="xr1vl" localSheetId="0">#REF!</definedName>
    <definedName name="xr1vl" localSheetId="1">#REF!</definedName>
    <definedName name="xr1vl">#REF!</definedName>
    <definedName name="xt" localSheetId="0">#REF!</definedName>
    <definedName name="xt" localSheetId="1">#REF!</definedName>
    <definedName name="xt">#REF!</definedName>
    <definedName name="xtr3pnc" localSheetId="0">#REF!</definedName>
    <definedName name="xtr3pnc" localSheetId="1">#REF!</definedName>
    <definedName name="xtr3pnc">#REF!</definedName>
    <definedName name="xtr3pvl">#REF!</definedName>
    <definedName name="Xuat_hien1">#REF!</definedName>
    <definedName name="xuchoi0.15">#REF!</definedName>
    <definedName name="xuchoi0.25">#REF!</definedName>
    <definedName name="xuchoi0.3">#REF!</definedName>
    <definedName name="xuchoi0.35">#REF!</definedName>
    <definedName name="xuchoi0.4">#REF!</definedName>
    <definedName name="xuchoi0.65">#REF!</definedName>
    <definedName name="xuchoi0.75">#REF!</definedName>
    <definedName name="xuchoi1.25">#REF!</definedName>
    <definedName name="xuclat0.4">#REF!</definedName>
    <definedName name="xuclat1">#REF!</definedName>
    <definedName name="xuclat1.65">#REF!</definedName>
    <definedName name="xuclat2">#REF!</definedName>
    <definedName name="xuclat2.8">#REF!</definedName>
    <definedName name="xucxich0.22">#REF!</definedName>
    <definedName name="xucxich0.25">#REF!</definedName>
    <definedName name="xucxich0.3">#REF!</definedName>
    <definedName name="xucxich0.35">#REF!</definedName>
    <definedName name="xucxich0.4">#REF!</definedName>
    <definedName name="xucxich0.5">#REF!</definedName>
    <definedName name="xucxich0.65">#REF!</definedName>
    <definedName name="xucxich1">#REF!</definedName>
    <definedName name="xucxich1.2">#REF!</definedName>
    <definedName name="xucxich1.25">#REF!</definedName>
    <definedName name="xucxich1.6">#REF!</definedName>
    <definedName name="xucxich2">#REF!</definedName>
    <definedName name="xucxich2.5">#REF!</definedName>
    <definedName name="xucxich4">#REF!</definedName>
    <definedName name="xucxich4.6">#REF!</definedName>
    <definedName name="xucxich5">#REF!</definedName>
    <definedName name="xx" localSheetId="2">#REF!</definedName>
    <definedName name="xx" localSheetId="5">#REF!</definedName>
    <definedName name="xx" localSheetId="4">#REF!</definedName>
    <definedName name="xx" localSheetId="3">#REF!</definedName>
    <definedName name="xx" localSheetId="6">#REF!</definedName>
    <definedName name="xx" localSheetId="0">#REF!</definedName>
    <definedName name="xx" localSheetId="1">#REF!</definedName>
    <definedName name="xx">#REF!</definedName>
    <definedName name="xxx">#REF!</definedName>
    <definedName name="y" localSheetId="0">#REF!</definedName>
    <definedName name="y" localSheetId="1">#REF!</definedName>
    <definedName name="y">#REF!</definedName>
    <definedName name="y_list">#REF!</definedName>
    <definedName name="yb">#REF!</definedName>
    <definedName name="ycp">#REF!</definedName>
    <definedName name="YMAX">#REF!</definedName>
    <definedName name="YMIN">#REF!</definedName>
    <definedName name="yo">#REF!</definedName>
    <definedName name="Yt">#REF!</definedName>
    <definedName name="ytd">#REF!</definedName>
    <definedName name="z" localSheetId="0">#REF!</definedName>
    <definedName name="z" localSheetId="1">#REF!</definedName>
    <definedName name="z">#REF!</definedName>
    <definedName name="Z_dh">#REF!</definedName>
    <definedName name="zbot">#REF!</definedName>
    <definedName name="ZD" localSheetId="0">#REF!</definedName>
    <definedName name="ZD" localSheetId="1">#REF!</definedName>
    <definedName name="ZD">#REF!</definedName>
    <definedName name="Zip">#REF!</definedName>
    <definedName name="zl">#REF!</definedName>
    <definedName name="zt">#REF!</definedName>
    <definedName name="ztop">#REF!</definedName>
    <definedName name="Zw">#REF!</definedName>
    <definedName name="ZXD" localSheetId="2">#REF!</definedName>
    <definedName name="ZXD" localSheetId="5">#REF!</definedName>
    <definedName name="ZXD" localSheetId="4">#REF!</definedName>
    <definedName name="ZXD" localSheetId="3">#REF!</definedName>
    <definedName name="ZXD" localSheetId="6">#REF!</definedName>
    <definedName name="ZXD" localSheetId="0">#REF!</definedName>
    <definedName name="ZXD" localSheetId="1">#REF!</definedName>
    <definedName name="ZXD">#REF!</definedName>
    <definedName name="Zxl">#REF!</definedName>
    <definedName name="ZYX" localSheetId="0">#REF!</definedName>
    <definedName name="ZYX" localSheetId="1">#REF!</definedName>
    <definedName name="ZYX">#REF!</definedName>
    <definedName name="ZZZ" localSheetId="0">#REF!</definedName>
    <definedName name="ZZZ" localSheetId="1">#REF!</definedName>
    <definedName name="ZZZ">#REF!</definedName>
    <definedName name="전">#REF!</definedName>
    <definedName name="주택사업본부">#REF!</definedName>
    <definedName name="철구사업본부">#REF!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10" l="1"/>
  <c r="E6" i="10"/>
  <c r="G6" i="10"/>
  <c r="H6" i="10"/>
  <c r="I6" i="10"/>
  <c r="D6" i="10"/>
  <c r="C7" i="10"/>
  <c r="E7" i="10"/>
  <c r="G7" i="10"/>
  <c r="H7" i="10"/>
  <c r="I7" i="10"/>
  <c r="D7" i="10"/>
  <c r="C8" i="10" l="1"/>
  <c r="C9" i="10"/>
  <c r="C10" i="10"/>
  <c r="E8" i="10"/>
  <c r="G8" i="10"/>
  <c r="H8" i="10"/>
  <c r="I8" i="10"/>
  <c r="D8" i="10"/>
  <c r="E9" i="10"/>
  <c r="G9" i="10"/>
  <c r="H9" i="10"/>
  <c r="I9" i="10"/>
  <c r="D9" i="10"/>
  <c r="G10" i="10"/>
  <c r="H10" i="10"/>
  <c r="I10" i="10"/>
  <c r="E10" i="10"/>
  <c r="D10" i="10"/>
  <c r="G11" i="10"/>
  <c r="C11" i="10"/>
  <c r="CW18" i="6" l="1"/>
  <c r="DO21" i="6"/>
  <c r="DO20" i="6"/>
  <c r="DO19" i="6"/>
  <c r="DN19" i="6"/>
  <c r="DQ17" i="6"/>
  <c r="DQ18" i="6" s="1"/>
  <c r="DQ16" i="6"/>
  <c r="DQ14" i="6" l="1"/>
  <c r="DR14" i="6" s="1"/>
  <c r="DO15" i="6" l="1"/>
  <c r="BQ91" i="6" l="1"/>
  <c r="BQ64" i="6" s="1"/>
  <c r="CV16" i="6"/>
  <c r="CV17" i="6"/>
  <c r="CV18" i="6"/>
  <c r="CV19" i="6"/>
  <c r="CV20" i="6"/>
  <c r="CV21" i="6"/>
  <c r="CV22" i="6"/>
  <c r="CV23" i="6"/>
  <c r="CV24" i="6"/>
  <c r="CV25" i="6"/>
  <c r="CV26" i="6"/>
  <c r="CV27" i="6"/>
  <c r="CV28" i="6"/>
  <c r="CV29" i="6"/>
  <c r="CV30" i="6"/>
  <c r="CV31" i="6"/>
  <c r="CV32" i="6"/>
  <c r="CV33" i="6"/>
  <c r="CV34" i="6"/>
  <c r="CV35" i="6"/>
  <c r="CV36" i="6"/>
  <c r="CV37" i="6"/>
  <c r="CV38" i="6"/>
  <c r="CV39" i="6"/>
  <c r="CV40" i="6"/>
  <c r="CV41" i="6"/>
  <c r="CV42" i="6"/>
  <c r="CV43" i="6"/>
  <c r="CV44" i="6"/>
  <c r="CV45" i="6"/>
  <c r="CV46" i="6"/>
  <c r="CV47" i="6"/>
  <c r="CV48" i="6"/>
  <c r="CV49" i="6"/>
  <c r="CV50" i="6"/>
  <c r="CV51" i="6"/>
  <c r="CV52" i="6"/>
  <c r="CV53" i="6"/>
  <c r="CV54" i="6"/>
  <c r="CV55" i="6"/>
  <c r="CV56" i="6"/>
  <c r="CV57" i="6"/>
  <c r="CV58" i="6"/>
  <c r="CV59" i="6"/>
  <c r="CV60" i="6"/>
  <c r="CV61" i="6"/>
  <c r="CV62" i="6"/>
  <c r="CV63" i="6"/>
  <c r="CV64" i="6"/>
  <c r="CV65" i="6"/>
  <c r="CV66" i="6"/>
  <c r="CV67" i="6"/>
  <c r="CV68" i="6"/>
  <c r="CV69" i="6"/>
  <c r="CV70" i="6"/>
  <c r="CV71" i="6"/>
  <c r="CV72" i="6"/>
  <c r="CV73" i="6"/>
  <c r="CV74" i="6"/>
  <c r="CV75" i="6"/>
  <c r="CV76" i="6"/>
  <c r="CV77" i="6"/>
  <c r="CV78" i="6"/>
  <c r="CV79" i="6"/>
  <c r="CV80" i="6"/>
  <c r="CV81" i="6"/>
  <c r="CV82" i="6"/>
  <c r="CV83" i="6"/>
  <c r="CV84" i="6"/>
  <c r="CV85" i="6"/>
  <c r="CV86" i="6"/>
  <c r="CV87" i="6"/>
  <c r="CV88" i="6"/>
  <c r="CV89" i="6"/>
  <c r="CV90" i="6"/>
  <c r="CV91" i="6"/>
  <c r="CV92" i="6"/>
  <c r="CV93" i="6"/>
  <c r="CV94" i="6"/>
  <c r="CV95" i="6"/>
  <c r="CV96" i="6"/>
  <c r="CV97" i="6"/>
  <c r="CV98" i="6"/>
  <c r="CV99" i="6"/>
  <c r="CV100" i="6"/>
  <c r="CV101" i="6"/>
  <c r="CV102" i="6"/>
  <c r="CV103" i="6"/>
  <c r="CV104" i="6"/>
  <c r="CV105" i="6"/>
  <c r="CV106" i="6"/>
  <c r="CV107" i="6"/>
  <c r="CV108" i="6"/>
  <c r="CV109" i="6"/>
  <c r="CV110" i="6"/>
  <c r="CV111" i="6"/>
  <c r="CV112" i="6"/>
  <c r="CV113" i="6"/>
  <c r="CV114" i="6"/>
  <c r="CV115" i="6"/>
  <c r="CV116" i="6"/>
  <c r="CV117" i="6"/>
  <c r="CV118" i="6"/>
  <c r="CV119" i="6"/>
  <c r="CV120" i="6"/>
  <c r="CV121" i="6"/>
  <c r="CV122" i="6"/>
  <c r="CV123" i="6"/>
  <c r="CV124" i="6"/>
  <c r="CV125" i="6"/>
  <c r="CV126" i="6"/>
  <c r="CV127" i="6"/>
  <c r="CX18" i="6" l="1"/>
  <c r="E64" i="6" l="1"/>
  <c r="F64" i="6"/>
  <c r="G64" i="6"/>
  <c r="H64" i="6"/>
  <c r="I64" i="6"/>
  <c r="J64" i="6"/>
  <c r="K64" i="6"/>
  <c r="L64" i="6"/>
  <c r="M64" i="6"/>
  <c r="N64" i="6"/>
  <c r="O64" i="6"/>
  <c r="P64" i="6"/>
  <c r="Q64" i="6"/>
  <c r="R64" i="6"/>
  <c r="S64" i="6"/>
  <c r="T64" i="6"/>
  <c r="U64" i="6"/>
  <c r="V64" i="6"/>
  <c r="W64" i="6"/>
  <c r="X64" i="6"/>
  <c r="Y64" i="6"/>
  <c r="Z64" i="6"/>
  <c r="AA64" i="6"/>
  <c r="AB64" i="6"/>
  <c r="AC64" i="6"/>
  <c r="AD64" i="6"/>
  <c r="AE64" i="6"/>
  <c r="AF64" i="6"/>
  <c r="AG64" i="6"/>
  <c r="AH64" i="6"/>
  <c r="AI64" i="6"/>
  <c r="AJ64" i="6"/>
  <c r="AK64" i="6"/>
  <c r="AL64" i="6"/>
  <c r="AM64" i="6"/>
  <c r="AN64" i="6"/>
  <c r="AO64" i="6"/>
  <c r="AP64" i="6"/>
  <c r="AQ64" i="6"/>
  <c r="AR64" i="6"/>
  <c r="AS64" i="6"/>
  <c r="AT64" i="6"/>
  <c r="AU64" i="6"/>
  <c r="AV64" i="6"/>
  <c r="AW64" i="6"/>
  <c r="AX64" i="6"/>
  <c r="AY64" i="6"/>
  <c r="AZ64" i="6"/>
  <c r="BA64" i="6"/>
  <c r="BB64" i="6"/>
  <c r="BC64" i="6"/>
  <c r="BD64" i="6"/>
  <c r="BE64" i="6"/>
  <c r="BF64" i="6"/>
  <c r="BG64" i="6"/>
  <c r="BH64" i="6"/>
  <c r="BI64" i="6"/>
  <c r="BJ64" i="6"/>
  <c r="D64" i="6"/>
  <c r="E15" i="6"/>
  <c r="E14" i="6" s="1"/>
  <c r="F15" i="6"/>
  <c r="G15" i="6"/>
  <c r="G14" i="6" s="1"/>
  <c r="H15" i="6"/>
  <c r="H14" i="6" s="1"/>
  <c r="I15" i="6"/>
  <c r="I14" i="6" s="1"/>
  <c r="J15" i="6"/>
  <c r="K15" i="6"/>
  <c r="L15" i="6"/>
  <c r="M15" i="6"/>
  <c r="M14" i="6" s="1"/>
  <c r="N15" i="6"/>
  <c r="N14" i="6" s="1"/>
  <c r="O15" i="6"/>
  <c r="P15" i="6"/>
  <c r="P14" i="6" s="1"/>
  <c r="Q15" i="6"/>
  <c r="Q14" i="6" s="1"/>
  <c r="R15" i="6"/>
  <c r="R14" i="6" s="1"/>
  <c r="S15" i="6"/>
  <c r="T15" i="6"/>
  <c r="T14" i="6" s="1"/>
  <c r="U15" i="6"/>
  <c r="U14" i="6" s="1"/>
  <c r="V15" i="6"/>
  <c r="V14" i="6" s="1"/>
  <c r="W15" i="6"/>
  <c r="W14" i="6" s="1"/>
  <c r="X15" i="6"/>
  <c r="Y15" i="6"/>
  <c r="Y14" i="6" s="1"/>
  <c r="Z15" i="6"/>
  <c r="Z14" i="6" s="1"/>
  <c r="AA15" i="6"/>
  <c r="AA14" i="6" s="1"/>
  <c r="AB15" i="6"/>
  <c r="AB14" i="6" s="1"/>
  <c r="AC15" i="6"/>
  <c r="AC14" i="6" s="1"/>
  <c r="AD15" i="6"/>
  <c r="AD14" i="6" s="1"/>
  <c r="AE15" i="6"/>
  <c r="AE14" i="6" s="1"/>
  <c r="AF15" i="6"/>
  <c r="AF14" i="6" s="1"/>
  <c r="AG15" i="6"/>
  <c r="AG14" i="6" s="1"/>
  <c r="AH15" i="6"/>
  <c r="AH14" i="6" s="1"/>
  <c r="AI15" i="6"/>
  <c r="AI14" i="6" s="1"/>
  <c r="AJ15" i="6"/>
  <c r="AJ14" i="6" s="1"/>
  <c r="AK15" i="6"/>
  <c r="AK14" i="6" s="1"/>
  <c r="AL15" i="6"/>
  <c r="AL14" i="6" s="1"/>
  <c r="AM15" i="6"/>
  <c r="AM14" i="6" s="1"/>
  <c r="AN15" i="6"/>
  <c r="AN14" i="6" s="1"/>
  <c r="AO15" i="6"/>
  <c r="AO14" i="6" s="1"/>
  <c r="AP15" i="6"/>
  <c r="AP14" i="6" s="1"/>
  <c r="AQ15" i="6"/>
  <c r="AQ14" i="6" s="1"/>
  <c r="AR15" i="6"/>
  <c r="AR14" i="6" s="1"/>
  <c r="AS15" i="6"/>
  <c r="AS14" i="6" s="1"/>
  <c r="AT15" i="6"/>
  <c r="AT14" i="6" s="1"/>
  <c r="AU15" i="6"/>
  <c r="AU14" i="6" s="1"/>
  <c r="AV15" i="6"/>
  <c r="AV14" i="6" s="1"/>
  <c r="AW15" i="6"/>
  <c r="AW14" i="6" s="1"/>
  <c r="AX15" i="6"/>
  <c r="AY15" i="6"/>
  <c r="AY14" i="6" s="1"/>
  <c r="AZ15" i="6"/>
  <c r="AZ14" i="6" s="1"/>
  <c r="BA15" i="6"/>
  <c r="BA14" i="6" s="1"/>
  <c r="BB15" i="6"/>
  <c r="BB14" i="6" s="1"/>
  <c r="BC15" i="6"/>
  <c r="BC14" i="6" s="1"/>
  <c r="BD15" i="6"/>
  <c r="BD14" i="6" s="1"/>
  <c r="BE15" i="6"/>
  <c r="BE14" i="6" s="1"/>
  <c r="BF15" i="6"/>
  <c r="BF14" i="6" s="1"/>
  <c r="BG15" i="6"/>
  <c r="BG14" i="6" s="1"/>
  <c r="BH15" i="6"/>
  <c r="BH14" i="6" s="1"/>
  <c r="BI15" i="6"/>
  <c r="BI14" i="6" s="1"/>
  <c r="BJ15" i="6"/>
  <c r="BJ14" i="6" s="1"/>
  <c r="BQ15" i="6"/>
  <c r="CV15" i="6" s="1"/>
  <c r="D15" i="6"/>
  <c r="L14" i="6" l="1"/>
  <c r="X14" i="6"/>
  <c r="AX14" i="6"/>
  <c r="D14" i="6"/>
  <c r="F14" i="6"/>
  <c r="O14" i="6"/>
  <c r="J14" i="6"/>
  <c r="K14" i="6"/>
  <c r="S14" i="6"/>
  <c r="BQ14" i="6"/>
  <c r="CV14" i="6" l="1"/>
  <c r="DO17" i="6"/>
  <c r="DQ15" i="6"/>
  <c r="DN15" i="6" a="1"/>
  <c r="CT68" i="6"/>
  <c r="CU68" i="6" s="1"/>
  <c r="CR68" i="6"/>
  <c r="CS68" i="6" s="1"/>
  <c r="CP68" i="6"/>
  <c r="CQ68" i="6" s="1"/>
  <c r="CN68" i="6"/>
  <c r="CO68" i="6" s="1"/>
  <c r="CL68" i="6"/>
  <c r="CM68" i="6" s="1"/>
  <c r="CJ68" i="6"/>
  <c r="CK68" i="6" s="1"/>
  <c r="CH68" i="6"/>
  <c r="CI68" i="6" s="1"/>
  <c r="CF68" i="6"/>
  <c r="CG68" i="6" s="1"/>
  <c r="CD68" i="6"/>
  <c r="CE68" i="6" s="1"/>
  <c r="CB68" i="6"/>
  <c r="CC68" i="6" s="1"/>
  <c r="BZ68" i="6"/>
  <c r="CA68" i="6" s="1"/>
  <c r="BX68" i="6"/>
  <c r="BY68" i="6" s="1"/>
  <c r="BV68" i="6"/>
  <c r="BW68" i="6" s="1"/>
  <c r="BT68" i="6"/>
  <c r="BS68" i="6"/>
  <c r="CW68" i="6" s="1"/>
  <c r="BR68" i="6"/>
  <c r="BT127" i="6"/>
  <c r="BJ127" i="6"/>
  <c r="CL63" i="6"/>
  <c r="BX63" i="6"/>
  <c r="BV63" i="6"/>
  <c r="BT63" i="6"/>
  <c r="CL62" i="6"/>
  <c r="BX62" i="6"/>
  <c r="BV62" i="6"/>
  <c r="BT62" i="6"/>
  <c r="CT61" i="6"/>
  <c r="CR61" i="6"/>
  <c r="CN61" i="6"/>
  <c r="CL61" i="6"/>
  <c r="CJ61" i="6"/>
  <c r="CH61" i="6"/>
  <c r="CF61" i="6"/>
  <c r="CD61" i="6"/>
  <c r="BX61" i="6"/>
  <c r="BV61" i="6"/>
  <c r="BT61" i="6"/>
  <c r="CN60" i="6"/>
  <c r="CJ60" i="6"/>
  <c r="CL60" i="6"/>
  <c r="BX60" i="6"/>
  <c r="BV60" i="6"/>
  <c r="BT60" i="6"/>
  <c r="CH59" i="6"/>
  <c r="CT59" i="6"/>
  <c r="CL59" i="6"/>
  <c r="BX59" i="6"/>
  <c r="BV59" i="6"/>
  <c r="BT59" i="6"/>
  <c r="CL58" i="6"/>
  <c r="BX58" i="6"/>
  <c r="BV58" i="6"/>
  <c r="BT58" i="6"/>
  <c r="CL57" i="6"/>
  <c r="BX57" i="6"/>
  <c r="BV57" i="6"/>
  <c r="BT57" i="6"/>
  <c r="CT56" i="6"/>
  <c r="CR56" i="6"/>
  <c r="CP56" i="6"/>
  <c r="CN56" i="6"/>
  <c r="CL56" i="6"/>
  <c r="CJ56" i="6"/>
  <c r="CH56" i="6"/>
  <c r="CF56" i="6"/>
  <c r="CD56" i="6"/>
  <c r="CB56" i="6"/>
  <c r="BZ56" i="6"/>
  <c r="BX56" i="6"/>
  <c r="BV56" i="6"/>
  <c r="BT56" i="6"/>
  <c r="CT55" i="6"/>
  <c r="CN55" i="6"/>
  <c r="CD55" i="6"/>
  <c r="CB55" i="6"/>
  <c r="BZ55" i="6"/>
  <c r="BX55" i="6"/>
  <c r="CL55" i="6"/>
  <c r="BV55" i="6"/>
  <c r="BT55" i="6"/>
  <c r="CL54" i="6"/>
  <c r="BX54" i="6"/>
  <c r="BV54" i="6"/>
  <c r="BT54" i="6"/>
  <c r="BT53" i="6"/>
  <c r="CL52" i="6"/>
  <c r="BX52" i="6"/>
  <c r="BV52" i="6"/>
  <c r="BT52" i="6"/>
  <c r="CL51" i="6"/>
  <c r="BX51" i="6"/>
  <c r="BV51" i="6"/>
  <c r="BT51" i="6"/>
  <c r="CR50" i="6"/>
  <c r="CP50" i="6"/>
  <c r="CN50" i="6"/>
  <c r="CL50" i="6"/>
  <c r="CJ50" i="6"/>
  <c r="BV50" i="6"/>
  <c r="BT50" i="6"/>
  <c r="BT49" i="6"/>
  <c r="CT48" i="6"/>
  <c r="CR48" i="6"/>
  <c r="CP48" i="6"/>
  <c r="CN48" i="6"/>
  <c r="CL48" i="6"/>
  <c r="CJ48" i="6"/>
  <c r="CH48" i="6"/>
  <c r="CF48" i="6"/>
  <c r="CD48" i="6"/>
  <c r="CB48" i="6"/>
  <c r="BZ48" i="6"/>
  <c r="BX48" i="6"/>
  <c r="BV48" i="6"/>
  <c r="BT48" i="6"/>
  <c r="CT47" i="6"/>
  <c r="CP47" i="6"/>
  <c r="CN47" i="6"/>
  <c r="CL47" i="6"/>
  <c r="BZ47" i="6"/>
  <c r="BT47" i="6"/>
  <c r="CL46" i="6"/>
  <c r="BX46" i="6"/>
  <c r="BV46" i="6"/>
  <c r="BT46" i="6"/>
  <c r="BX45" i="6"/>
  <c r="BV45" i="6"/>
  <c r="BT45" i="6"/>
  <c r="CT44" i="6"/>
  <c r="CR44" i="6"/>
  <c r="CP44" i="6"/>
  <c r="CN44" i="6"/>
  <c r="CL44" i="6"/>
  <c r="CJ44" i="6"/>
  <c r="CH44" i="6"/>
  <c r="CF44" i="6"/>
  <c r="CD44" i="6"/>
  <c r="CB44" i="6"/>
  <c r="BZ44" i="6"/>
  <c r="BX44" i="6"/>
  <c r="BV44" i="6"/>
  <c r="BT44" i="6"/>
  <c r="BT43" i="6"/>
  <c r="BZ42" i="6"/>
  <c r="CL42" i="6"/>
  <c r="BX42" i="6"/>
  <c r="BV42" i="6"/>
  <c r="BT42" i="6"/>
  <c r="BT41" i="6"/>
  <c r="BX40" i="6"/>
  <c r="BV40" i="6"/>
  <c r="CL40" i="6"/>
  <c r="BT40" i="6"/>
  <c r="BX39" i="6"/>
  <c r="BV39" i="6"/>
  <c r="BT39" i="6"/>
  <c r="CT38" i="6"/>
  <c r="CR38" i="6"/>
  <c r="CP38" i="6"/>
  <c r="CN38" i="6"/>
  <c r="CL38" i="6"/>
  <c r="CJ38" i="6"/>
  <c r="CH38" i="6"/>
  <c r="CF38" i="6"/>
  <c r="CD38" i="6"/>
  <c r="CB38" i="6"/>
  <c r="BZ38" i="6"/>
  <c r="BX38" i="6"/>
  <c r="BV38" i="6"/>
  <c r="BT38" i="6"/>
  <c r="CF37" i="6"/>
  <c r="CR37" i="6"/>
  <c r="CP37" i="6"/>
  <c r="CN37" i="6"/>
  <c r="CL37" i="6"/>
  <c r="CJ37" i="6"/>
  <c r="CH37" i="6"/>
  <c r="CD37" i="6"/>
  <c r="CB37" i="6"/>
  <c r="BZ37" i="6"/>
  <c r="BX37" i="6"/>
  <c r="BV37" i="6"/>
  <c r="BT37" i="6"/>
  <c r="CT36" i="6"/>
  <c r="CP36" i="6"/>
  <c r="CL36" i="6"/>
  <c r="CH36" i="6"/>
  <c r="CD36" i="6"/>
  <c r="BZ36" i="6"/>
  <c r="BX36" i="6"/>
  <c r="BT36" i="6"/>
  <c r="CN35" i="6"/>
  <c r="CL35" i="6"/>
  <c r="CJ35" i="6"/>
  <c r="CH35" i="6"/>
  <c r="CD35" i="6"/>
  <c r="CB35" i="6"/>
  <c r="BZ35" i="6"/>
  <c r="BT35" i="6"/>
  <c r="CT34" i="6"/>
  <c r="CR34" i="6"/>
  <c r="CP34" i="6"/>
  <c r="CN34" i="6"/>
  <c r="CL34" i="6"/>
  <c r="CH34" i="6"/>
  <c r="CD34" i="6"/>
  <c r="CB34" i="6"/>
  <c r="BZ34" i="6"/>
  <c r="BX34" i="6"/>
  <c r="BT34" i="6"/>
  <c r="BX33" i="6"/>
  <c r="BV33" i="6"/>
  <c r="BT33" i="6"/>
  <c r="CT32" i="6"/>
  <c r="CR32" i="6"/>
  <c r="CP32" i="6"/>
  <c r="CH32" i="6"/>
  <c r="CF32" i="6"/>
  <c r="CD32" i="6"/>
  <c r="CB32" i="6"/>
  <c r="BZ32" i="6"/>
  <c r="BX32" i="6"/>
  <c r="BV32" i="6"/>
  <c r="BT32" i="6"/>
  <c r="BX31" i="6"/>
  <c r="BV31" i="6"/>
  <c r="BT31" i="6"/>
  <c r="CT30" i="6"/>
  <c r="CR30" i="6"/>
  <c r="CP30" i="6"/>
  <c r="CL30" i="6"/>
  <c r="CJ30" i="6"/>
  <c r="CH30" i="6"/>
  <c r="CF30" i="6"/>
  <c r="CD30" i="6"/>
  <c r="BZ30" i="6"/>
  <c r="BX30" i="6"/>
  <c r="BV30" i="6"/>
  <c r="BT30" i="6"/>
  <c r="CT29" i="6"/>
  <c r="CP29" i="6"/>
  <c r="CL29" i="6"/>
  <c r="CH29" i="6"/>
  <c r="CF29" i="6"/>
  <c r="CD29" i="6"/>
  <c r="CB29" i="6"/>
  <c r="BZ29" i="6"/>
  <c r="BX29" i="6"/>
  <c r="BV29" i="6"/>
  <c r="BT29" i="6"/>
  <c r="CR28" i="6"/>
  <c r="CS28" i="6" s="1"/>
  <c r="CP28" i="6"/>
  <c r="CQ28" i="6" s="1"/>
  <c r="CN28" i="6"/>
  <c r="CL28" i="6"/>
  <c r="CJ28" i="6"/>
  <c r="CH28" i="6"/>
  <c r="CF28" i="6"/>
  <c r="CG28" i="6" s="1"/>
  <c r="CD28" i="6"/>
  <c r="CB28" i="6"/>
  <c r="BZ28" i="6"/>
  <c r="BX28" i="6"/>
  <c r="BV28" i="6"/>
  <c r="BT28" i="6"/>
  <c r="BR28" i="6"/>
  <c r="CH27" i="6"/>
  <c r="CF27" i="6"/>
  <c r="CT27" i="6"/>
  <c r="CR27" i="6"/>
  <c r="CP27" i="6"/>
  <c r="CN27" i="6"/>
  <c r="CL27" i="6"/>
  <c r="CJ27" i="6"/>
  <c r="CD27" i="6"/>
  <c r="CB27" i="6"/>
  <c r="BZ27" i="6"/>
  <c r="BX27" i="6"/>
  <c r="BV27" i="6"/>
  <c r="BT27" i="6"/>
  <c r="BZ26" i="6"/>
  <c r="BX26" i="6"/>
  <c r="BV26" i="6"/>
  <c r="BT26" i="6"/>
  <c r="CT126" i="6"/>
  <c r="CR126" i="6"/>
  <c r="CN126" i="6"/>
  <c r="CL126" i="6"/>
  <c r="CJ126" i="6"/>
  <c r="CH126" i="6"/>
  <c r="CF126" i="6"/>
  <c r="CD126" i="6"/>
  <c r="CB126" i="6"/>
  <c r="BZ126" i="6"/>
  <c r="BT126" i="6"/>
  <c r="CT125" i="6"/>
  <c r="CR125" i="6"/>
  <c r="CP125" i="6"/>
  <c r="CN125" i="6"/>
  <c r="CL125" i="6"/>
  <c r="CJ125" i="6"/>
  <c r="CH125" i="6"/>
  <c r="CF125" i="6"/>
  <c r="CD125" i="6"/>
  <c r="CB125" i="6"/>
  <c r="BZ125" i="6"/>
  <c r="BX125" i="6"/>
  <c r="BV125" i="6"/>
  <c r="BT125" i="6"/>
  <c r="CT124" i="6"/>
  <c r="CP124" i="6"/>
  <c r="CN124" i="6"/>
  <c r="CL124" i="6"/>
  <c r="CJ124" i="6"/>
  <c r="CH124" i="6"/>
  <c r="CF124" i="6"/>
  <c r="CD124" i="6"/>
  <c r="CB124" i="6"/>
  <c r="BZ124" i="6"/>
  <c r="BX124" i="6"/>
  <c r="BV124" i="6"/>
  <c r="BT124" i="6"/>
  <c r="CR123" i="6"/>
  <c r="CP123" i="6"/>
  <c r="CN123" i="6"/>
  <c r="CL123" i="6"/>
  <c r="CJ123" i="6"/>
  <c r="CH123" i="6"/>
  <c r="CF123" i="6"/>
  <c r="CD123" i="6"/>
  <c r="CB123" i="6"/>
  <c r="BZ123" i="6"/>
  <c r="BX123" i="6"/>
  <c r="BV123" i="6"/>
  <c r="BT123" i="6"/>
  <c r="CP122" i="6"/>
  <c r="CN122" i="6"/>
  <c r="CL122" i="6"/>
  <c r="CJ122" i="6"/>
  <c r="CH122" i="6"/>
  <c r="CF122" i="6"/>
  <c r="CD122" i="6"/>
  <c r="CB122" i="6"/>
  <c r="BZ122" i="6"/>
  <c r="BX122" i="6"/>
  <c r="BV122" i="6"/>
  <c r="BT122" i="6"/>
  <c r="CL121" i="6"/>
  <c r="BX121" i="6"/>
  <c r="BV121" i="6"/>
  <c r="BT121" i="6"/>
  <c r="CL120" i="6"/>
  <c r="BX120" i="6"/>
  <c r="BV120" i="6"/>
  <c r="BT120" i="6"/>
  <c r="CL119" i="6"/>
  <c r="BX119" i="6"/>
  <c r="BV119" i="6"/>
  <c r="BT119" i="6"/>
  <c r="CT118" i="6"/>
  <c r="CR118" i="6"/>
  <c r="CP118" i="6"/>
  <c r="CN118" i="6"/>
  <c r="CL118" i="6"/>
  <c r="CJ118" i="6"/>
  <c r="CH118" i="6"/>
  <c r="CF118" i="6"/>
  <c r="CD118" i="6"/>
  <c r="BV118" i="6"/>
  <c r="BT118" i="6"/>
  <c r="CT117" i="6"/>
  <c r="CR117" i="6"/>
  <c r="CP117" i="6"/>
  <c r="CN117" i="6"/>
  <c r="CL117" i="6"/>
  <c r="CJ117" i="6"/>
  <c r="CH117" i="6"/>
  <c r="CF117" i="6"/>
  <c r="CD117" i="6"/>
  <c r="CB117" i="6"/>
  <c r="BZ117" i="6"/>
  <c r="BX117" i="6"/>
  <c r="BV117" i="6"/>
  <c r="BT117" i="6"/>
  <c r="CL116" i="6"/>
  <c r="BX116" i="6"/>
  <c r="BV116" i="6"/>
  <c r="BT116" i="6"/>
  <c r="CT115" i="6"/>
  <c r="CR115" i="6"/>
  <c r="CP115" i="6"/>
  <c r="CN115" i="6"/>
  <c r="CL115" i="6"/>
  <c r="CJ115" i="6"/>
  <c r="CH115" i="6"/>
  <c r="CF115" i="6"/>
  <c r="CD115" i="6"/>
  <c r="CB115" i="6"/>
  <c r="BZ115" i="6"/>
  <c r="BX115" i="6"/>
  <c r="BV115" i="6"/>
  <c r="BT115" i="6"/>
  <c r="CH114" i="6"/>
  <c r="CD114" i="6"/>
  <c r="CT114" i="6"/>
  <c r="CR114" i="6"/>
  <c r="CP114" i="6"/>
  <c r="CN114" i="6"/>
  <c r="CL114" i="6"/>
  <c r="CJ114" i="6"/>
  <c r="CF114" i="6"/>
  <c r="CB114" i="6"/>
  <c r="BZ114" i="6"/>
  <c r="BX114" i="6"/>
  <c r="BV114" i="6"/>
  <c r="BT114" i="6"/>
  <c r="CL113" i="6"/>
  <c r="BX113" i="6"/>
  <c r="BV113" i="6"/>
  <c r="BT113" i="6"/>
  <c r="CL112" i="6"/>
  <c r="BX112" i="6"/>
  <c r="BV112" i="6"/>
  <c r="BT112" i="6"/>
  <c r="CL111" i="6"/>
  <c r="BX111" i="6"/>
  <c r="BV111" i="6"/>
  <c r="BT111" i="6"/>
  <c r="CL110" i="6"/>
  <c r="BX110" i="6"/>
  <c r="BV110" i="6"/>
  <c r="BT110" i="6"/>
  <c r="CT109" i="6"/>
  <c r="CR109" i="6"/>
  <c r="CP109" i="6"/>
  <c r="CN109" i="6"/>
  <c r="CL109" i="6"/>
  <c r="CJ109" i="6"/>
  <c r="CH109" i="6"/>
  <c r="CF109" i="6"/>
  <c r="CD109" i="6"/>
  <c r="CB109" i="6"/>
  <c r="BZ109" i="6"/>
  <c r="BX109" i="6"/>
  <c r="BV109" i="6"/>
  <c r="BX108" i="6"/>
  <c r="BV108" i="6"/>
  <c r="CL107" i="6"/>
  <c r="BX107" i="6"/>
  <c r="BV107" i="6"/>
  <c r="CL106" i="6"/>
  <c r="BX106" i="6"/>
  <c r="BV106" i="6"/>
  <c r="BT106" i="6"/>
  <c r="CL105" i="6"/>
  <c r="BX105" i="6"/>
  <c r="BV105" i="6"/>
  <c r="BT105" i="6"/>
  <c r="CL104" i="6"/>
  <c r="BX104" i="6"/>
  <c r="BV104" i="6"/>
  <c r="BT104" i="6"/>
  <c r="CL103" i="6"/>
  <c r="CF103" i="6"/>
  <c r="CB103" i="6"/>
  <c r="BX103" i="6"/>
  <c r="BV103" i="6"/>
  <c r="BT103" i="6"/>
  <c r="CP102" i="6"/>
  <c r="CN102" i="6"/>
  <c r="CL102" i="6"/>
  <c r="CJ102" i="6"/>
  <c r="CF102" i="6"/>
  <c r="CD102" i="6"/>
  <c r="CB102" i="6"/>
  <c r="BX102" i="6"/>
  <c r="BT102" i="6"/>
  <c r="CL101" i="6"/>
  <c r="BX101" i="6"/>
  <c r="BT101" i="6"/>
  <c r="CT100" i="6"/>
  <c r="CR100" i="6"/>
  <c r="CP100" i="6"/>
  <c r="CN100" i="6"/>
  <c r="CL100" i="6"/>
  <c r="CJ100" i="6"/>
  <c r="CH100" i="6"/>
  <c r="CF100" i="6"/>
  <c r="CD100" i="6"/>
  <c r="CB100" i="6"/>
  <c r="BZ100" i="6"/>
  <c r="BX100" i="6"/>
  <c r="BV100" i="6"/>
  <c r="BT100" i="6"/>
  <c r="CL99" i="6"/>
  <c r="BX99" i="6"/>
  <c r="BV99" i="6"/>
  <c r="BT99" i="6"/>
  <c r="CL98" i="6"/>
  <c r="BX98" i="6"/>
  <c r="BV98" i="6"/>
  <c r="BT98" i="6"/>
  <c r="CL97" i="6"/>
  <c r="BX97" i="6"/>
  <c r="BV97" i="6"/>
  <c r="BT97" i="6"/>
  <c r="CT96" i="6"/>
  <c r="CR96" i="6"/>
  <c r="CP96" i="6"/>
  <c r="CN96" i="6"/>
  <c r="CL96" i="6"/>
  <c r="CJ96" i="6"/>
  <c r="CH96" i="6"/>
  <c r="BZ96" i="6"/>
  <c r="BX96" i="6"/>
  <c r="BV96" i="6"/>
  <c r="BT96" i="6"/>
  <c r="CL95" i="6"/>
  <c r="BX95" i="6"/>
  <c r="BV95" i="6"/>
  <c r="CL94" i="6"/>
  <c r="BX94" i="6"/>
  <c r="BV94" i="6"/>
  <c r="BT94" i="6"/>
  <c r="CL93" i="6"/>
  <c r="CJ93" i="6"/>
  <c r="CH93" i="6"/>
  <c r="CF93" i="6"/>
  <c r="CD93" i="6"/>
  <c r="CB93" i="6"/>
  <c r="BZ93" i="6"/>
  <c r="BX93" i="6"/>
  <c r="BV93" i="6"/>
  <c r="BT93" i="6"/>
  <c r="CN92" i="6"/>
  <c r="CJ92" i="6"/>
  <c r="CH92" i="6"/>
  <c r="CD92" i="6"/>
  <c r="CT92" i="6"/>
  <c r="CR92" i="6"/>
  <c r="CP92" i="6"/>
  <c r="CB92" i="6"/>
  <c r="BZ92" i="6"/>
  <c r="BX92" i="6"/>
  <c r="BV92" i="6"/>
  <c r="BT92" i="6"/>
  <c r="CL91" i="6"/>
  <c r="BX91" i="6"/>
  <c r="BV91" i="6"/>
  <c r="BT91" i="6"/>
  <c r="CL90" i="6"/>
  <c r="BX90" i="6"/>
  <c r="BV90" i="6"/>
  <c r="BT90" i="6"/>
  <c r="CT89" i="6"/>
  <c r="CR89" i="6"/>
  <c r="CP89" i="6"/>
  <c r="CN89" i="6"/>
  <c r="CL89" i="6"/>
  <c r="CJ89" i="6"/>
  <c r="CH89" i="6"/>
  <c r="CF89" i="6"/>
  <c r="CD89" i="6"/>
  <c r="CB89" i="6"/>
  <c r="BZ89" i="6"/>
  <c r="BX89" i="6"/>
  <c r="BV89" i="6"/>
  <c r="BT89" i="6"/>
  <c r="CL88" i="6"/>
  <c r="BX88" i="6"/>
  <c r="BV88" i="6"/>
  <c r="BT88" i="6"/>
  <c r="CT87" i="6"/>
  <c r="CR87" i="6"/>
  <c r="CP87" i="6"/>
  <c r="CN87" i="6"/>
  <c r="CL87" i="6"/>
  <c r="CJ87" i="6"/>
  <c r="CH87" i="6"/>
  <c r="CF87" i="6"/>
  <c r="CD87" i="6"/>
  <c r="CB87" i="6"/>
  <c r="BZ87" i="6"/>
  <c r="BX87" i="6"/>
  <c r="BV87" i="6"/>
  <c r="BT87" i="6"/>
  <c r="CL86" i="6"/>
  <c r="BT86" i="6"/>
  <c r="BZ85" i="6"/>
  <c r="BV85" i="6"/>
  <c r="CL84" i="6"/>
  <c r="BX84" i="6"/>
  <c r="BV84" i="6"/>
  <c r="BT84" i="6"/>
  <c r="CL83" i="6"/>
  <c r="BX83" i="6"/>
  <c r="BV83" i="6"/>
  <c r="BT83" i="6"/>
  <c r="CN82" i="6"/>
  <c r="CL82" i="6"/>
  <c r="BX82" i="6"/>
  <c r="BV82" i="6"/>
  <c r="BT82" i="6"/>
  <c r="CT81" i="6"/>
  <c r="CR81" i="6"/>
  <c r="CP81" i="6"/>
  <c r="CN81" i="6"/>
  <c r="CL81" i="6"/>
  <c r="CJ81" i="6"/>
  <c r="CH81" i="6"/>
  <c r="CF81" i="6"/>
  <c r="CD81" i="6"/>
  <c r="CB81" i="6"/>
  <c r="BZ81" i="6"/>
  <c r="BX81" i="6"/>
  <c r="BV81" i="6"/>
  <c r="BT81" i="6"/>
  <c r="CL80" i="6"/>
  <c r="BX80" i="6"/>
  <c r="BV80" i="6"/>
  <c r="BT80" i="6"/>
  <c r="CT79" i="6"/>
  <c r="CR79" i="6"/>
  <c r="CP79" i="6"/>
  <c r="CN79" i="6"/>
  <c r="CL79" i="6"/>
  <c r="CJ79" i="6"/>
  <c r="CH79" i="6"/>
  <c r="CF79" i="6"/>
  <c r="CD79" i="6"/>
  <c r="CB79" i="6"/>
  <c r="BZ79" i="6"/>
  <c r="BX79" i="6"/>
  <c r="BV79" i="6"/>
  <c r="BT79" i="6"/>
  <c r="CL78" i="6"/>
  <c r="BX78" i="6"/>
  <c r="BV78" i="6"/>
  <c r="BT78" i="6"/>
  <c r="CT77" i="6"/>
  <c r="CR77" i="6"/>
  <c r="CP77" i="6"/>
  <c r="CN77" i="6"/>
  <c r="CL77" i="6"/>
  <c r="CJ77" i="6"/>
  <c r="CH77" i="6"/>
  <c r="CF77" i="6"/>
  <c r="CD77" i="6"/>
  <c r="CB77" i="6"/>
  <c r="BZ77" i="6"/>
  <c r="BX77" i="6"/>
  <c r="BV77" i="6"/>
  <c r="BT77" i="6"/>
  <c r="CT76" i="6"/>
  <c r="CR76" i="6"/>
  <c r="CP76" i="6"/>
  <c r="CN76" i="6"/>
  <c r="CL76" i="6"/>
  <c r="CJ76" i="6"/>
  <c r="CH76" i="6"/>
  <c r="CF76" i="6"/>
  <c r="CD76" i="6"/>
  <c r="CB76" i="6"/>
  <c r="BZ76" i="6"/>
  <c r="BX76" i="6"/>
  <c r="BV76" i="6"/>
  <c r="BT76" i="6"/>
  <c r="CT25" i="6"/>
  <c r="CR25" i="6"/>
  <c r="CP25" i="6"/>
  <c r="CN25" i="6"/>
  <c r="CL25" i="6"/>
  <c r="CJ25" i="6"/>
  <c r="CH25" i="6"/>
  <c r="CF25" i="6"/>
  <c r="CD25" i="6"/>
  <c r="CB25" i="6"/>
  <c r="BZ25" i="6"/>
  <c r="BX25" i="6"/>
  <c r="BV25" i="6"/>
  <c r="BT25" i="6"/>
  <c r="BT24" i="6"/>
  <c r="BX75" i="6"/>
  <c r="BV75" i="6"/>
  <c r="BT75" i="6"/>
  <c r="CT74" i="6"/>
  <c r="CR74" i="6"/>
  <c r="CN74" i="6"/>
  <c r="CL74" i="6"/>
  <c r="CH74" i="6"/>
  <c r="CF74" i="6"/>
  <c r="BZ74" i="6"/>
  <c r="BV74" i="6"/>
  <c r="BT74" i="6"/>
  <c r="CT73" i="6"/>
  <c r="CR73" i="6"/>
  <c r="CP73" i="6"/>
  <c r="CN73" i="6"/>
  <c r="CL73" i="6"/>
  <c r="CJ73" i="6"/>
  <c r="CH73" i="6"/>
  <c r="CF73" i="6"/>
  <c r="CD73" i="6"/>
  <c r="CB73" i="6"/>
  <c r="BZ73" i="6"/>
  <c r="BX73" i="6"/>
  <c r="BV73" i="6"/>
  <c r="CT72" i="6"/>
  <c r="CR72" i="6"/>
  <c r="CP72" i="6"/>
  <c r="CN72" i="6"/>
  <c r="CL72" i="6"/>
  <c r="CJ72" i="6"/>
  <c r="CH72" i="6"/>
  <c r="CF72" i="6"/>
  <c r="CD72" i="6"/>
  <c r="CB72" i="6"/>
  <c r="BZ72" i="6"/>
  <c r="BX72" i="6"/>
  <c r="BV72" i="6"/>
  <c r="BT72" i="6"/>
  <c r="CT71" i="6"/>
  <c r="CR71" i="6"/>
  <c r="CP71" i="6"/>
  <c r="CN71" i="6"/>
  <c r="CL71" i="6"/>
  <c r="CJ71" i="6"/>
  <c r="CH71" i="6"/>
  <c r="CF71" i="6"/>
  <c r="CD71" i="6"/>
  <c r="CB71" i="6"/>
  <c r="BZ71" i="6"/>
  <c r="BX71" i="6"/>
  <c r="BV71" i="6"/>
  <c r="BT71" i="6"/>
  <c r="BS23" i="6"/>
  <c r="CW23" i="6" s="1"/>
  <c r="CR22" i="6"/>
  <c r="CN22" i="6"/>
  <c r="CL22" i="6"/>
  <c r="CJ22" i="6"/>
  <c r="CF22" i="6"/>
  <c r="CD22" i="6"/>
  <c r="BZ22" i="6"/>
  <c r="BX22" i="6"/>
  <c r="BT21" i="6"/>
  <c r="BT20" i="6"/>
  <c r="CR70" i="6"/>
  <c r="CF70" i="6"/>
  <c r="CD70" i="6"/>
  <c r="BX70" i="6"/>
  <c r="BV70" i="6"/>
  <c r="CT19" i="6"/>
  <c r="CR19" i="6"/>
  <c r="CN19" i="6"/>
  <c r="CJ19" i="6"/>
  <c r="CF19" i="6"/>
  <c r="CD19" i="6"/>
  <c r="BX19" i="6"/>
  <c r="BV19" i="6"/>
  <c r="BT19" i="6"/>
  <c r="CT69" i="6"/>
  <c r="CP69" i="6"/>
  <c r="CL69" i="6"/>
  <c r="CJ69" i="6"/>
  <c r="CH69" i="6"/>
  <c r="CF69" i="6"/>
  <c r="CD69" i="6"/>
  <c r="CB69" i="6"/>
  <c r="BV69" i="6"/>
  <c r="BT69" i="6"/>
  <c r="BX18" i="6"/>
  <c r="CP18" i="6"/>
  <c r="CN18" i="6"/>
  <c r="CL18" i="6"/>
  <c r="CJ18" i="6"/>
  <c r="CH18" i="6"/>
  <c r="CF18" i="6"/>
  <c r="CD18" i="6"/>
  <c r="CB18" i="6"/>
  <c r="BZ18" i="6"/>
  <c r="BV18" i="6"/>
  <c r="BT67" i="6"/>
  <c r="BX17" i="6"/>
  <c r="BT17" i="6"/>
  <c r="CT16" i="6"/>
  <c r="CR16" i="6"/>
  <c r="CP16" i="6"/>
  <c r="CN16" i="6"/>
  <c r="CL16" i="6"/>
  <c r="CJ16" i="6"/>
  <c r="CF16" i="6"/>
  <c r="CD16" i="6"/>
  <c r="CB16" i="6"/>
  <c r="BZ16" i="6"/>
  <c r="BV16" i="6"/>
  <c r="BT16" i="6"/>
  <c r="CB66" i="6"/>
  <c r="CZ66" i="6"/>
  <c r="BT66" i="6"/>
  <c r="CZ65" i="6"/>
  <c r="BT65" i="6"/>
  <c r="CT15" i="6"/>
  <c r="CR15" i="6"/>
  <c r="CP15" i="6"/>
  <c r="CN15" i="6"/>
  <c r="CL15" i="6"/>
  <c r="CJ15" i="6"/>
  <c r="CH15" i="6"/>
  <c r="CF15" i="6"/>
  <c r="CD15" i="6"/>
  <c r="CB15" i="6"/>
  <c r="BZ15" i="6"/>
  <c r="BX15" i="6"/>
  <c r="BV15" i="6"/>
  <c r="DJ3" i="6"/>
  <c r="CX68" i="6" l="1"/>
  <c r="CX23" i="6"/>
  <c r="BV17" i="6"/>
  <c r="CB63" i="6"/>
  <c r="CL53" i="6"/>
  <c r="BZ31" i="6"/>
  <c r="CD63" i="6"/>
  <c r="CD41" i="6"/>
  <c r="CN103" i="6"/>
  <c r="CH31" i="6"/>
  <c r="CL31" i="6"/>
  <c r="CT35" i="6"/>
  <c r="CP31" i="6"/>
  <c r="CL32" i="6"/>
  <c r="CT31" i="6"/>
  <c r="BZ50" i="6"/>
  <c r="CB31" i="6"/>
  <c r="CF66" i="6"/>
  <c r="CD103" i="6"/>
  <c r="CH55" i="6"/>
  <c r="CB50" i="6"/>
  <c r="CT28" i="6"/>
  <c r="CU28" i="6" s="1"/>
  <c r="CR49" i="6"/>
  <c r="CF50" i="6"/>
  <c r="CT93" i="6"/>
  <c r="CB47" i="6"/>
  <c r="CT41" i="6"/>
  <c r="CH66" i="6"/>
  <c r="BV41" i="6"/>
  <c r="CT66" i="6"/>
  <c r="CT43" i="6"/>
  <c r="BV66" i="6"/>
  <c r="CP74" i="6"/>
  <c r="CD53" i="6"/>
  <c r="BX118" i="6"/>
  <c r="BZ21" i="6"/>
  <c r="BV43" i="6"/>
  <c r="CN41" i="6"/>
  <c r="CR66" i="6"/>
  <c r="CP103" i="6"/>
  <c r="CH53" i="6"/>
  <c r="CR88" i="6"/>
  <c r="BS27" i="6"/>
  <c r="CW27" i="6" s="1"/>
  <c r="CF49" i="6"/>
  <c r="CR112" i="6"/>
  <c r="BS112" i="6"/>
  <c r="CW112" i="6" s="1"/>
  <c r="CT112" i="6"/>
  <c r="CJ112" i="6"/>
  <c r="BZ112" i="6"/>
  <c r="CF65" i="6"/>
  <c r="CB84" i="6"/>
  <c r="CD31" i="6"/>
  <c r="BV53" i="6"/>
  <c r="CP66" i="6"/>
  <c r="BV65" i="6"/>
  <c r="CN53" i="6"/>
  <c r="BS29" i="6"/>
  <c r="CW29" i="6" s="1"/>
  <c r="BX41" i="6"/>
  <c r="CD104" i="6"/>
  <c r="BZ41" i="6"/>
  <c r="CL45" i="6"/>
  <c r="CD66" i="6"/>
  <c r="CP107" i="6"/>
  <c r="CD43" i="6"/>
  <c r="CT107" i="6"/>
  <c r="CD47" i="6"/>
  <c r="CT49" i="6"/>
  <c r="CR59" i="6"/>
  <c r="BV67" i="6"/>
  <c r="CF47" i="6"/>
  <c r="BV24" i="6"/>
  <c r="CT24" i="6"/>
  <c r="BV21" i="6"/>
  <c r="CB52" i="6"/>
  <c r="BR72" i="6"/>
  <c r="BV101" i="6"/>
  <c r="CH50" i="6"/>
  <c r="CR24" i="6"/>
  <c r="CJ46" i="6"/>
  <c r="BS46" i="6"/>
  <c r="CW46" i="6" s="1"/>
  <c r="CL66" i="6"/>
  <c r="CB111" i="6"/>
  <c r="CP33" i="6"/>
  <c r="CJ33" i="6"/>
  <c r="CH33" i="6"/>
  <c r="CF33" i="6"/>
  <c r="CB33" i="6"/>
  <c r="CT33" i="6"/>
  <c r="CR33" i="6"/>
  <c r="CL33" i="6"/>
  <c r="CN66" i="6"/>
  <c r="CD82" i="6"/>
  <c r="BZ82" i="6"/>
  <c r="CH78" i="6"/>
  <c r="BS89" i="6"/>
  <c r="CW89" i="6" s="1"/>
  <c r="CD24" i="6"/>
  <c r="CB96" i="6"/>
  <c r="CB116" i="6"/>
  <c r="CP116" i="6"/>
  <c r="BS58" i="6"/>
  <c r="CW58" i="6" s="1"/>
  <c r="BS121" i="6"/>
  <c r="CW121" i="6" s="1"/>
  <c r="CO122" i="6"/>
  <c r="CD60" i="6"/>
  <c r="CR116" i="6"/>
  <c r="CD85" i="6"/>
  <c r="CE117" i="6"/>
  <c r="BS72" i="6"/>
  <c r="CW72" i="6" s="1"/>
  <c r="BS95" i="6"/>
  <c r="CW95" i="6" s="1"/>
  <c r="CN49" i="6"/>
  <c r="CF54" i="6"/>
  <c r="CD54" i="6"/>
  <c r="BS54" i="6"/>
  <c r="CW54" i="6" s="1"/>
  <c r="CJ59" i="6"/>
  <c r="BX21" i="6"/>
  <c r="CP43" i="6"/>
  <c r="BS59" i="6"/>
  <c r="CW59" i="6" s="1"/>
  <c r="CT84" i="6"/>
  <c r="BX50" i="6"/>
  <c r="CP41" i="6"/>
  <c r="BW28" i="6"/>
  <c r="CB60" i="6"/>
  <c r="CC60" i="6" s="1"/>
  <c r="BS60" i="6"/>
  <c r="CW60" i="6" s="1"/>
  <c r="CH60" i="6"/>
  <c r="BZ59" i="6"/>
  <c r="CE28" i="6"/>
  <c r="CR42" i="6"/>
  <c r="BS57" i="6"/>
  <c r="CW57" i="6" s="1"/>
  <c r="CL41" i="6"/>
  <c r="CI28" i="6"/>
  <c r="CH65" i="6"/>
  <c r="CN65" i="6"/>
  <c r="BZ19" i="6"/>
  <c r="CB74" i="6"/>
  <c r="CB19" i="6"/>
  <c r="CP24" i="6"/>
  <c r="CT22" i="6"/>
  <c r="BZ65" i="6"/>
  <c r="CJ66" i="6"/>
  <c r="CR69" i="6"/>
  <c r="CL65" i="6"/>
  <c r="CJ65" i="6"/>
  <c r="BZ66" i="6"/>
  <c r="BX16" i="6"/>
  <c r="CN69" i="6"/>
  <c r="CH83" i="6"/>
  <c r="CB65" i="6"/>
  <c r="BX66" i="6"/>
  <c r="CT18" i="6"/>
  <c r="CB22" i="6"/>
  <c r="BZ69" i="6"/>
  <c r="CL70" i="6"/>
  <c r="CH22" i="6"/>
  <c r="BS71" i="6"/>
  <c r="CW71" i="6" s="1"/>
  <c r="CB24" i="6"/>
  <c r="CJ74" i="6"/>
  <c r="BX65" i="6"/>
  <c r="CH16" i="6"/>
  <c r="BV20" i="6"/>
  <c r="CL19" i="6"/>
  <c r="CA72" i="6"/>
  <c r="CK72" i="6"/>
  <c r="BW72" i="6"/>
  <c r="BT73" i="6"/>
  <c r="BS73" i="6"/>
  <c r="CW73" i="6" s="1"/>
  <c r="CP70" i="6"/>
  <c r="CF24" i="6"/>
  <c r="CH19" i="6"/>
  <c r="BX85" i="6"/>
  <c r="CR108" i="6"/>
  <c r="BS87" i="6"/>
  <c r="CW87" i="6" s="1"/>
  <c r="BR23" i="6"/>
  <c r="CR91" i="6"/>
  <c r="CB70" i="6"/>
  <c r="CI25" i="6"/>
  <c r="CR93" i="6"/>
  <c r="BT18" i="6"/>
  <c r="BX86" i="6"/>
  <c r="BS122" i="6"/>
  <c r="CW122" i="6" s="1"/>
  <c r="CP22" i="6"/>
  <c r="CK76" i="6"/>
  <c r="CT122" i="6"/>
  <c r="CU122" i="6" s="1"/>
  <c r="BT95" i="6"/>
  <c r="CT70" i="6"/>
  <c r="BV86" i="6"/>
  <c r="CR18" i="6"/>
  <c r="BX69" i="6"/>
  <c r="CP19" i="6"/>
  <c r="BV22" i="6"/>
  <c r="CD74" i="6"/>
  <c r="BS78" i="6"/>
  <c r="CW78" i="6" s="1"/>
  <c r="BX74" i="6"/>
  <c r="BS99" i="6"/>
  <c r="CW99" i="6" s="1"/>
  <c r="CF34" i="6"/>
  <c r="CF92" i="6"/>
  <c r="CR102" i="6"/>
  <c r="CT103" i="6"/>
  <c r="CL92" i="6"/>
  <c r="BZ102" i="6"/>
  <c r="CT102" i="6"/>
  <c r="CJ103" i="6"/>
  <c r="BS110" i="6"/>
  <c r="CW110" i="6" s="1"/>
  <c r="BV35" i="6"/>
  <c r="CN93" i="6"/>
  <c r="CD98" i="6"/>
  <c r="BR108" i="6"/>
  <c r="BT108" i="6"/>
  <c r="BS113" i="6"/>
  <c r="CW113" i="6" s="1"/>
  <c r="CR29" i="6"/>
  <c r="BX24" i="6"/>
  <c r="CJ24" i="6"/>
  <c r="CP93" i="6"/>
  <c r="CH103" i="6"/>
  <c r="CR122" i="6"/>
  <c r="CS122" i="6" s="1"/>
  <c r="BS126" i="6"/>
  <c r="CW126" i="6" s="1"/>
  <c r="BT109" i="6"/>
  <c r="CJ32" i="6"/>
  <c r="CP35" i="6"/>
  <c r="BV102" i="6"/>
  <c r="CN36" i="6"/>
  <c r="BS94" i="6"/>
  <c r="CW94" i="6" s="1"/>
  <c r="CH102" i="6"/>
  <c r="CR36" i="6"/>
  <c r="CA117" i="6"/>
  <c r="CS117" i="6"/>
  <c r="BZ118" i="6"/>
  <c r="CR124" i="6"/>
  <c r="BS44" i="6"/>
  <c r="CW44" i="6" s="1"/>
  <c r="BT107" i="6"/>
  <c r="CT123" i="6"/>
  <c r="BZ103" i="6"/>
  <c r="BZ107" i="6"/>
  <c r="CH107" i="6"/>
  <c r="CA122" i="6"/>
  <c r="CN31" i="6"/>
  <c r="BV126" i="6"/>
  <c r="CP126" i="6"/>
  <c r="BS30" i="6"/>
  <c r="CW30" i="6" s="1"/>
  <c r="BX126" i="6"/>
  <c r="CN30" i="6"/>
  <c r="BS33" i="6"/>
  <c r="CW33" i="6" s="1"/>
  <c r="CR35" i="6"/>
  <c r="CN29" i="6"/>
  <c r="CO28" i="6"/>
  <c r="CC28" i="6"/>
  <c r="CM28" i="6"/>
  <c r="CB36" i="6"/>
  <c r="CM117" i="6"/>
  <c r="CA28" i="6"/>
  <c r="CB30" i="6"/>
  <c r="BX43" i="6"/>
  <c r="CN32" i="6"/>
  <c r="CF41" i="6"/>
  <c r="CJ41" i="6"/>
  <c r="BY51" i="6"/>
  <c r="BS111" i="6"/>
  <c r="CW111" i="6" s="1"/>
  <c r="CP61" i="6"/>
  <c r="CJ34" i="6"/>
  <c r="BS125" i="6"/>
  <c r="CW125" i="6" s="1"/>
  <c r="CR31" i="6"/>
  <c r="CR41" i="6"/>
  <c r="CJ47" i="6"/>
  <c r="BS114" i="6"/>
  <c r="CW114" i="6" s="1"/>
  <c r="CK28" i="6"/>
  <c r="CJ29" i="6"/>
  <c r="BV34" i="6"/>
  <c r="CF35" i="6"/>
  <c r="CL43" i="6"/>
  <c r="CP55" i="6"/>
  <c r="BY28" i="6"/>
  <c r="CF31" i="6"/>
  <c r="CJ36" i="6"/>
  <c r="BS37" i="6"/>
  <c r="CW37" i="6" s="1"/>
  <c r="CR47" i="6"/>
  <c r="CB61" i="6"/>
  <c r="CJ31" i="6"/>
  <c r="CB41" i="6"/>
  <c r="CF36" i="6"/>
  <c r="CH42" i="6"/>
  <c r="BS45" i="6"/>
  <c r="CW45" i="6" s="1"/>
  <c r="CH47" i="6"/>
  <c r="CH41" i="6"/>
  <c r="CT53" i="6"/>
  <c r="BV36" i="6"/>
  <c r="CT37" i="6"/>
  <c r="BV47" i="6"/>
  <c r="CJ43" i="6"/>
  <c r="CR55" i="6"/>
  <c r="CR43" i="6"/>
  <c r="BW46" i="6"/>
  <c r="CB43" i="6"/>
  <c r="CN43" i="6"/>
  <c r="CT50" i="6"/>
  <c r="CF55" i="6"/>
  <c r="BY48" i="6"/>
  <c r="BX49" i="6"/>
  <c r="CD50" i="6"/>
  <c r="BZ53" i="6"/>
  <c r="CJ54" i="6"/>
  <c r="BY58" i="6"/>
  <c r="BS62" i="6"/>
  <c r="CW62" i="6" s="1"/>
  <c r="BZ43" i="6"/>
  <c r="BX47" i="6"/>
  <c r="BX53" i="6"/>
  <c r="BS55" i="6"/>
  <c r="CW55" i="6" s="1"/>
  <c r="CJ55" i="6"/>
  <c r="BZ61" i="6"/>
  <c r="CF60" i="6"/>
  <c r="CF53" i="6"/>
  <c r="CG48" i="6"/>
  <c r="BW60" i="6"/>
  <c r="BZ63" i="6"/>
  <c r="CX112" i="6" l="1"/>
  <c r="CX30" i="6"/>
  <c r="CX29" i="6"/>
  <c r="CX73" i="6"/>
  <c r="CX27" i="6"/>
  <c r="CX55" i="6"/>
  <c r="CX37" i="6"/>
  <c r="CX46" i="6"/>
  <c r="CX125" i="6"/>
  <c r="CX58" i="6"/>
  <c r="CX113" i="6"/>
  <c r="CX114" i="6"/>
  <c r="CX126" i="6"/>
  <c r="CX122" i="6"/>
  <c r="CX71" i="6"/>
  <c r="CX59" i="6"/>
  <c r="CX57" i="6"/>
  <c r="CX121" i="6"/>
  <c r="CX45" i="6"/>
  <c r="CX111" i="6"/>
  <c r="CX87" i="6"/>
  <c r="CX62" i="6"/>
  <c r="CX33" i="6"/>
  <c r="CX99" i="6"/>
  <c r="CX95" i="6"/>
  <c r="CX78" i="6"/>
  <c r="CX110" i="6"/>
  <c r="CX94" i="6"/>
  <c r="CX54" i="6"/>
  <c r="CX60" i="6"/>
  <c r="CX44" i="6"/>
  <c r="CX72" i="6"/>
  <c r="CX89" i="6"/>
  <c r="CN112" i="6"/>
  <c r="CO112" i="6" s="1"/>
  <c r="CF57" i="6"/>
  <c r="CG57" i="6" s="1"/>
  <c r="CP45" i="6"/>
  <c r="CQ45" i="6" s="1"/>
  <c r="CB112" i="6"/>
  <c r="CC112" i="6" s="1"/>
  <c r="CD59" i="6"/>
  <c r="CR95" i="6"/>
  <c r="CS95" i="6" s="1"/>
  <c r="CH105" i="6"/>
  <c r="CI105" i="6" s="1"/>
  <c r="CR103" i="6"/>
  <c r="CS103" i="6" s="1"/>
  <c r="CB121" i="6"/>
  <c r="CC121" i="6" s="1"/>
  <c r="CD96" i="6"/>
  <c r="CE96" i="6" s="1"/>
  <c r="CB118" i="6"/>
  <c r="CR80" i="6"/>
  <c r="CS80" i="6" s="1"/>
  <c r="CN59" i="6"/>
  <c r="CD80" i="6"/>
  <c r="CE80" i="6" s="1"/>
  <c r="CR121" i="6"/>
  <c r="CS121" i="6" s="1"/>
  <c r="CB95" i="6"/>
  <c r="CC95" i="6" s="1"/>
  <c r="CB58" i="6"/>
  <c r="CC58" i="6" s="1"/>
  <c r="CP82" i="6"/>
  <c r="CQ82" i="6" s="1"/>
  <c r="CP94" i="6"/>
  <c r="CR46" i="6"/>
  <c r="CS46" i="6" s="1"/>
  <c r="CF78" i="6"/>
  <c r="CG78" i="6" s="1"/>
  <c r="BZ57" i="6"/>
  <c r="CA57" i="6" s="1"/>
  <c r="BZ60" i="6"/>
  <c r="CA60" i="6" s="1"/>
  <c r="CF91" i="6"/>
  <c r="CG91" i="6" s="1"/>
  <c r="CH112" i="6"/>
  <c r="CI112" i="6" s="1"/>
  <c r="CN120" i="6"/>
  <c r="CO120" i="6" s="1"/>
  <c r="CH58" i="6"/>
  <c r="CI58" i="6" s="1"/>
  <c r="CR60" i="6"/>
  <c r="CS60" i="6" s="1"/>
  <c r="CT111" i="6"/>
  <c r="CF83" i="6"/>
  <c r="CJ88" i="6"/>
  <c r="CA73" i="6"/>
  <c r="CQ73" i="6"/>
  <c r="CM73" i="6"/>
  <c r="CK73" i="6"/>
  <c r="CA82" i="6"/>
  <c r="BW27" i="6"/>
  <c r="CQ27" i="6"/>
  <c r="CC27" i="6"/>
  <c r="CI27" i="6"/>
  <c r="CU27" i="6"/>
  <c r="BS100" i="6"/>
  <c r="CW100" i="6" s="1"/>
  <c r="BS102" i="6"/>
  <c r="CW102" i="6" s="1"/>
  <c r="CF113" i="6"/>
  <c r="CM82" i="6"/>
  <c r="CO82" i="6"/>
  <c r="BW82" i="6"/>
  <c r="BY82" i="6"/>
  <c r="CH84" i="6"/>
  <c r="CI84" i="6" s="1"/>
  <c r="BS109" i="6"/>
  <c r="CW109" i="6" s="1"/>
  <c r="CB113" i="6"/>
  <c r="CC113" i="6" s="1"/>
  <c r="BS51" i="6"/>
  <c r="CW51" i="6" s="1"/>
  <c r="BS118" i="6"/>
  <c r="CW118" i="6" s="1"/>
  <c r="BS106" i="6"/>
  <c r="CW106" i="6" s="1"/>
  <c r="CU84" i="6"/>
  <c r="BW108" i="6"/>
  <c r="BY108" i="6"/>
  <c r="CI77" i="6"/>
  <c r="CK77" i="6"/>
  <c r="CO77" i="6"/>
  <c r="CJ95" i="6"/>
  <c r="CK95" i="6" s="1"/>
  <c r="BS117" i="6"/>
  <c r="CW117" i="6" s="1"/>
  <c r="CD121" i="6"/>
  <c r="CE121" i="6" s="1"/>
  <c r="CA123" i="6"/>
  <c r="CM46" i="6"/>
  <c r="BZ95" i="6"/>
  <c r="CA95" i="6" s="1"/>
  <c r="CP120" i="6"/>
  <c r="CQ120" i="6" s="1"/>
  <c r="BS108" i="6"/>
  <c r="CW108" i="6" s="1"/>
  <c r="CS25" i="6"/>
  <c r="CG25" i="6"/>
  <c r="CU25" i="6"/>
  <c r="CM25" i="6"/>
  <c r="BS47" i="6"/>
  <c r="CW47" i="6" s="1"/>
  <c r="CC117" i="6"/>
  <c r="CG117" i="6"/>
  <c r="BS96" i="6"/>
  <c r="CW96" i="6" s="1"/>
  <c r="CS108" i="6"/>
  <c r="CK117" i="6"/>
  <c r="CE109" i="6"/>
  <c r="CA124" i="6"/>
  <c r="BS80" i="6"/>
  <c r="CW80" i="6" s="1"/>
  <c r="CR105" i="6"/>
  <c r="CS105" i="6" s="1"/>
  <c r="CT75" i="6"/>
  <c r="CD46" i="6"/>
  <c r="CE46" i="6" s="1"/>
  <c r="BY118" i="6"/>
  <c r="CT104" i="6"/>
  <c r="CU104" i="6" s="1"/>
  <c r="CN95" i="6"/>
  <c r="CO95" i="6" s="1"/>
  <c r="BW117" i="6"/>
  <c r="CR78" i="6"/>
  <c r="CS78" i="6" s="1"/>
  <c r="BY117" i="6"/>
  <c r="BS90" i="6"/>
  <c r="CW90" i="6" s="1"/>
  <c r="CI117" i="6"/>
  <c r="BS76" i="6"/>
  <c r="CW76" i="6" s="1"/>
  <c r="CN46" i="6"/>
  <c r="CO46" i="6" s="1"/>
  <c r="BR117" i="6"/>
  <c r="CR111" i="6"/>
  <c r="CS111" i="6" s="1"/>
  <c r="CQ117" i="6"/>
  <c r="BZ58" i="6"/>
  <c r="CA58" i="6" s="1"/>
  <c r="CD116" i="6"/>
  <c r="CB59" i="6"/>
  <c r="BY120" i="6"/>
  <c r="BS63" i="6"/>
  <c r="CW63" i="6" s="1"/>
  <c r="CN52" i="6"/>
  <c r="CT60" i="6"/>
  <c r="CU60" i="6" s="1"/>
  <c r="BT70" i="6"/>
  <c r="CP75" i="6"/>
  <c r="CG29" i="6"/>
  <c r="CE29" i="6"/>
  <c r="CS29" i="6"/>
  <c r="CQ29" i="6"/>
  <c r="BS50" i="6"/>
  <c r="CW50" i="6" s="1"/>
  <c r="CE122" i="6"/>
  <c r="CI122" i="6"/>
  <c r="CK122" i="6"/>
  <c r="CG122" i="6"/>
  <c r="BR122" i="6"/>
  <c r="BW122" i="6"/>
  <c r="CM122" i="6"/>
  <c r="CQ122" i="6"/>
  <c r="BY122" i="6"/>
  <c r="BR63" i="6"/>
  <c r="CC55" i="6"/>
  <c r="CI55" i="6"/>
  <c r="BS48" i="6"/>
  <c r="CW48" i="6" s="1"/>
  <c r="BS41" i="6"/>
  <c r="CW41" i="6" s="1"/>
  <c r="CC122" i="6"/>
  <c r="BZ121" i="6"/>
  <c r="CA121" i="6" s="1"/>
  <c r="BR49" i="6"/>
  <c r="BS93" i="6"/>
  <c r="CW93" i="6" s="1"/>
  <c r="BS82" i="6"/>
  <c r="CW82" i="6" s="1"/>
  <c r="BW102" i="6"/>
  <c r="BZ33" i="6"/>
  <c r="CN57" i="6"/>
  <c r="CO57" i="6" s="1"/>
  <c r="CA48" i="6"/>
  <c r="CE48" i="6"/>
  <c r="CK48" i="6"/>
  <c r="CS123" i="6"/>
  <c r="CI123" i="6"/>
  <c r="CB120" i="6"/>
  <c r="CC120" i="6" s="1"/>
  <c r="BS34" i="6"/>
  <c r="CW34" i="6" s="1"/>
  <c r="CP60" i="6"/>
  <c r="CQ60" i="6" s="1"/>
  <c r="CP101" i="6"/>
  <c r="CH46" i="6"/>
  <c r="CI46" i="6" s="1"/>
  <c r="CU123" i="6"/>
  <c r="CO72" i="6"/>
  <c r="CM72" i="6"/>
  <c r="CD95" i="6"/>
  <c r="CE95" i="6" s="1"/>
  <c r="CF59" i="6"/>
  <c r="CT39" i="6"/>
  <c r="BS56" i="6"/>
  <c r="CW56" i="6" s="1"/>
  <c r="CP88" i="6"/>
  <c r="CE72" i="6"/>
  <c r="CD75" i="6"/>
  <c r="CA25" i="6"/>
  <c r="CI72" i="6"/>
  <c r="CS72" i="6"/>
  <c r="CF82" i="6"/>
  <c r="CG82" i="6" s="1"/>
  <c r="CN33" i="6"/>
  <c r="BR82" i="6"/>
  <c r="CI60" i="6"/>
  <c r="CQ55" i="6"/>
  <c r="CU72" i="6"/>
  <c r="CK59" i="6"/>
  <c r="CP84" i="6"/>
  <c r="CQ84" i="6" s="1"/>
  <c r="CP108" i="6"/>
  <c r="CQ108" i="6" s="1"/>
  <c r="CT78" i="6"/>
  <c r="CU78" i="6" s="1"/>
  <c r="CH82" i="6"/>
  <c r="CI82" i="6" s="1"/>
  <c r="CG72" i="6"/>
  <c r="CF112" i="6"/>
  <c r="CG112" i="6" s="1"/>
  <c r="CT82" i="6"/>
  <c r="CU82" i="6" s="1"/>
  <c r="CQ109" i="6"/>
  <c r="CC109" i="6"/>
  <c r="BZ108" i="6"/>
  <c r="CA108" i="6" s="1"/>
  <c r="CJ82" i="6"/>
  <c r="CK82" i="6" s="1"/>
  <c r="BY72" i="6"/>
  <c r="CT121" i="6"/>
  <c r="CU121" i="6" s="1"/>
  <c r="BS103" i="6"/>
  <c r="CW103" i="6" s="1"/>
  <c r="BY39" i="6"/>
  <c r="BY88" i="6"/>
  <c r="CG77" i="6"/>
  <c r="BS115" i="6"/>
  <c r="CW115" i="6" s="1"/>
  <c r="CT105" i="6"/>
  <c r="CU105" i="6" s="1"/>
  <c r="CS77" i="6"/>
  <c r="CC72" i="6"/>
  <c r="CI73" i="6"/>
  <c r="CR84" i="6"/>
  <c r="CS84" i="6" s="1"/>
  <c r="CU117" i="6"/>
  <c r="CB108" i="6"/>
  <c r="CC108" i="6" s="1"/>
  <c r="CD78" i="6"/>
  <c r="CE78" i="6" s="1"/>
  <c r="CN116" i="6"/>
  <c r="CO116" i="6" s="1"/>
  <c r="CO117" i="6"/>
  <c r="CB82" i="6"/>
  <c r="CC82" i="6" s="1"/>
  <c r="BY49" i="6"/>
  <c r="CA63" i="6"/>
  <c r="CK29" i="6"/>
  <c r="BS104" i="6"/>
  <c r="CW104" i="6" s="1"/>
  <c r="CP98" i="6"/>
  <c r="CQ98" i="6" s="1"/>
  <c r="CQ72" i="6"/>
  <c r="CD112" i="6"/>
  <c r="CE112" i="6" s="1"/>
  <c r="CB54" i="6"/>
  <c r="CC54" i="6" s="1"/>
  <c r="CK109" i="6"/>
  <c r="CN58" i="6"/>
  <c r="CO58" i="6" s="1"/>
  <c r="BZ116" i="6"/>
  <c r="CA116" i="6" s="1"/>
  <c r="CE82" i="6"/>
  <c r="BW101" i="6"/>
  <c r="CH52" i="6"/>
  <c r="CJ94" i="6"/>
  <c r="CT110" i="6"/>
  <c r="CT97" i="6"/>
  <c r="CN91" i="6"/>
  <c r="BT85" i="6"/>
  <c r="CR57" i="6"/>
  <c r="CS57" i="6" s="1"/>
  <c r="CR62" i="6"/>
  <c r="CD52" i="6"/>
  <c r="BS42" i="6"/>
  <c r="CW42" i="6" s="1"/>
  <c r="CT46" i="6"/>
  <c r="CU46" i="6" s="1"/>
  <c r="CH51" i="6"/>
  <c r="CI51" i="6" s="1"/>
  <c r="BW112" i="6"/>
  <c r="BR112" i="6"/>
  <c r="CA112" i="6"/>
  <c r="CK112" i="6"/>
  <c r="CS112" i="6"/>
  <c r="CM112" i="6"/>
  <c r="BY112" i="6"/>
  <c r="BR121" i="6"/>
  <c r="BY121" i="6"/>
  <c r="BW121" i="6"/>
  <c r="CM121" i="6"/>
  <c r="CC30" i="6"/>
  <c r="CR97" i="6"/>
  <c r="BS83" i="6"/>
  <c r="CW83" i="6" s="1"/>
  <c r="CF52" i="6"/>
  <c r="CR119" i="6"/>
  <c r="CS119" i="6" s="1"/>
  <c r="CJ91" i="6"/>
  <c r="CQ37" i="6"/>
  <c r="CE37" i="6"/>
  <c r="BR37" i="6"/>
  <c r="BW37" i="6"/>
  <c r="CS37" i="6"/>
  <c r="BY37" i="6"/>
  <c r="CO37" i="6"/>
  <c r="CI37" i="6"/>
  <c r="CK37" i="6"/>
  <c r="CA37" i="6"/>
  <c r="CM37" i="6"/>
  <c r="CC37" i="6"/>
  <c r="CG37" i="6"/>
  <c r="CP121" i="6"/>
  <c r="CQ121" i="6" s="1"/>
  <c r="BS107" i="6"/>
  <c r="CW107" i="6" s="1"/>
  <c r="CK103" i="6"/>
  <c r="BS98" i="6"/>
  <c r="CW98" i="6" s="1"/>
  <c r="BY86" i="6"/>
  <c r="BR89" i="6"/>
  <c r="CM89" i="6"/>
  <c r="BW89" i="6"/>
  <c r="CS89" i="6"/>
  <c r="CI89" i="6"/>
  <c r="CA89" i="6"/>
  <c r="CQ89" i="6"/>
  <c r="CK89" i="6"/>
  <c r="CG89" i="6"/>
  <c r="CO89" i="6"/>
  <c r="CC89" i="6"/>
  <c r="CE89" i="6"/>
  <c r="CU89" i="6"/>
  <c r="BY89" i="6"/>
  <c r="BZ88" i="6"/>
  <c r="CD58" i="6"/>
  <c r="CE58" i="6" s="1"/>
  <c r="CF42" i="6"/>
  <c r="BV49" i="6"/>
  <c r="CJ51" i="6"/>
  <c r="CK51" i="6" s="1"/>
  <c r="CN105" i="6"/>
  <c r="CO105" i="6" s="1"/>
  <c r="CR83" i="6"/>
  <c r="CB88" i="6"/>
  <c r="CN63" i="6"/>
  <c r="CH121" i="6"/>
  <c r="CI121" i="6" s="1"/>
  <c r="CT88" i="6"/>
  <c r="BS25" i="6"/>
  <c r="CW25" i="6" s="1"/>
  <c r="CH39" i="6"/>
  <c r="CN94" i="6"/>
  <c r="CF111" i="6"/>
  <c r="BR54" i="6"/>
  <c r="BW54" i="6"/>
  <c r="BY54" i="6"/>
  <c r="CM54" i="6"/>
  <c r="BS43" i="6"/>
  <c r="CW43" i="6" s="1"/>
  <c r="CA107" i="6"/>
  <c r="CU112" i="6"/>
  <c r="CB80" i="6"/>
  <c r="CC80" i="6" s="1"/>
  <c r="CT83" i="6"/>
  <c r="CF80" i="6"/>
  <c r="BS92" i="6"/>
  <c r="CW92" i="6" s="1"/>
  <c r="CP58" i="6"/>
  <c r="CQ58" i="6" s="1"/>
  <c r="BZ113" i="6"/>
  <c r="CJ62" i="6"/>
  <c r="CJ104" i="6"/>
  <c r="CK104" i="6" s="1"/>
  <c r="CJ108" i="6"/>
  <c r="CK108" i="6" s="1"/>
  <c r="BZ62" i="6"/>
  <c r="CJ58" i="6"/>
  <c r="CK58" i="6" s="1"/>
  <c r="CT54" i="6"/>
  <c r="CU54" i="6" s="1"/>
  <c r="CF45" i="6"/>
  <c r="CD51" i="6"/>
  <c r="CE51" i="6" s="1"/>
  <c r="BZ45" i="6"/>
  <c r="CA45" i="6" s="1"/>
  <c r="CG49" i="6"/>
  <c r="BZ46" i="6"/>
  <c r="CA46" i="6" s="1"/>
  <c r="CN121" i="6"/>
  <c r="CO121" i="6" s="1"/>
  <c r="CT120" i="6"/>
  <c r="CU120" i="6" s="1"/>
  <c r="CT116" i="6"/>
  <c r="CU116" i="6" s="1"/>
  <c r="CB106" i="6"/>
  <c r="CD90" i="6"/>
  <c r="CH80" i="6"/>
  <c r="CT95" i="6"/>
  <c r="CU95" i="6" s="1"/>
  <c r="CS42" i="6"/>
  <c r="CF51" i="6"/>
  <c r="CG51" i="6" s="1"/>
  <c r="CD99" i="6"/>
  <c r="CR98" i="6"/>
  <c r="BR22" i="6"/>
  <c r="BR78" i="6"/>
  <c r="BY78" i="6"/>
  <c r="CM78" i="6"/>
  <c r="BW78" i="6"/>
  <c r="CI78" i="6"/>
  <c r="CB119" i="6"/>
  <c r="CC119" i="6" s="1"/>
  <c r="CH43" i="6"/>
  <c r="CH104" i="6"/>
  <c r="CI104" i="6" s="1"/>
  <c r="CJ119" i="6"/>
  <c r="CK119" i="6" s="1"/>
  <c r="CF105" i="6"/>
  <c r="CG105" i="6" s="1"/>
  <c r="CE98" i="6"/>
  <c r="BZ94" i="6"/>
  <c r="CT94" i="6"/>
  <c r="CP78" i="6"/>
  <c r="CQ78" i="6" s="1"/>
  <c r="BS40" i="6"/>
  <c r="CW40" i="6" s="1"/>
  <c r="BS123" i="6"/>
  <c r="CW123" i="6" s="1"/>
  <c r="BZ104" i="6"/>
  <c r="CA104" i="6" s="1"/>
  <c r="CP95" i="6"/>
  <c r="CQ95" i="6" s="1"/>
  <c r="CF104" i="6"/>
  <c r="CG104" i="6" s="1"/>
  <c r="CJ84" i="6"/>
  <c r="CK84" i="6" s="1"/>
  <c r="BZ105" i="6"/>
  <c r="CA105" i="6" s="1"/>
  <c r="CU103" i="6"/>
  <c r="CJ97" i="6"/>
  <c r="BR58" i="6"/>
  <c r="CM58" i="6"/>
  <c r="BS39" i="6"/>
  <c r="CW39" i="6" s="1"/>
  <c r="CT99" i="6"/>
  <c r="CC61" i="6"/>
  <c r="CH54" i="6"/>
  <c r="CI54" i="6" s="1"/>
  <c r="BZ110" i="6"/>
  <c r="CA110" i="6" s="1"/>
  <c r="CP57" i="6"/>
  <c r="CH62" i="6"/>
  <c r="CI62" i="6" s="1"/>
  <c r="BW58" i="6"/>
  <c r="CP62" i="6"/>
  <c r="CQ62" i="6" s="1"/>
  <c r="BW63" i="6"/>
  <c r="BY63" i="6"/>
  <c r="CP119" i="6"/>
  <c r="CQ119" i="6" s="1"/>
  <c r="CJ116" i="6"/>
  <c r="CK116" i="6" s="1"/>
  <c r="BR116" i="6"/>
  <c r="BW116" i="6"/>
  <c r="CM116" i="6"/>
  <c r="BY116" i="6"/>
  <c r="CQ116" i="6"/>
  <c r="CD111" i="6"/>
  <c r="CE111" i="6" s="1"/>
  <c r="CF95" i="6"/>
  <c r="CG95" i="6" s="1"/>
  <c r="BZ75" i="6"/>
  <c r="CH90" i="6"/>
  <c r="CB78" i="6"/>
  <c r="CC78" i="6" s="1"/>
  <c r="CN88" i="6"/>
  <c r="BT22" i="6"/>
  <c r="BS22" i="6"/>
  <c r="CW22" i="6" s="1"/>
  <c r="BR55" i="6"/>
  <c r="BY55" i="6"/>
  <c r="CM55" i="6"/>
  <c r="CA55" i="6"/>
  <c r="CB53" i="6"/>
  <c r="CJ42" i="6"/>
  <c r="CP46" i="6"/>
  <c r="CQ46" i="6" s="1"/>
  <c r="CS55" i="6"/>
  <c r="CU37" i="6"/>
  <c r="CN51" i="6"/>
  <c r="CO51" i="6" s="1"/>
  <c r="CK46" i="6"/>
  <c r="CH45" i="6"/>
  <c r="CJ53" i="6"/>
  <c r="BS120" i="6"/>
  <c r="CW120" i="6" s="1"/>
  <c r="CL39" i="6"/>
  <c r="CB107" i="6"/>
  <c r="CC107" i="6" s="1"/>
  <c r="CC111" i="6"/>
  <c r="CT108" i="6"/>
  <c r="CU108" i="6" s="1"/>
  <c r="BR104" i="6"/>
  <c r="CM104" i="6"/>
  <c r="CJ120" i="6"/>
  <c r="CK120" i="6" s="1"/>
  <c r="CT113" i="6"/>
  <c r="CD88" i="6"/>
  <c r="BR105" i="6"/>
  <c r="CI103" i="6"/>
  <c r="CD91" i="6"/>
  <c r="CF85" i="6"/>
  <c r="CA29" i="6"/>
  <c r="CF97" i="6"/>
  <c r="CG97" i="6" s="1"/>
  <c r="CT98" i="6"/>
  <c r="CU98" i="6" s="1"/>
  <c r="CF110" i="6"/>
  <c r="CG110" i="6" s="1"/>
  <c r="CT106" i="6"/>
  <c r="BW104" i="6"/>
  <c r="BZ17" i="6"/>
  <c r="CQ76" i="6"/>
  <c r="CC76" i="6"/>
  <c r="CO76" i="6"/>
  <c r="CA76" i="6"/>
  <c r="CS76" i="6"/>
  <c r="BR76" i="6"/>
  <c r="CI76" i="6"/>
  <c r="BW76" i="6"/>
  <c r="CE76" i="6"/>
  <c r="CU76" i="6"/>
  <c r="CG76" i="6"/>
  <c r="CP110" i="6"/>
  <c r="CQ110" i="6" s="1"/>
  <c r="CH94" i="6"/>
  <c r="CT90" i="6"/>
  <c r="CN83" i="6"/>
  <c r="CJ78" i="6"/>
  <c r="CK78" i="6" s="1"/>
  <c r="BR77" i="6"/>
  <c r="CE77" i="6"/>
  <c r="CQ77" i="6"/>
  <c r="CC77" i="6"/>
  <c r="CU77" i="6"/>
  <c r="CA77" i="6"/>
  <c r="BW77" i="6"/>
  <c r="CM77" i="6"/>
  <c r="CF96" i="6"/>
  <c r="BW34" i="6"/>
  <c r="CF121" i="6"/>
  <c r="CG121" i="6" s="1"/>
  <c r="CH116" i="6"/>
  <c r="CI116" i="6" s="1"/>
  <c r="CS118" i="6"/>
  <c r="CG118" i="6"/>
  <c r="BZ39" i="6"/>
  <c r="BZ111" i="6"/>
  <c r="CA111" i="6" s="1"/>
  <c r="CD113" i="6"/>
  <c r="CB105" i="6"/>
  <c r="CC105" i="6" s="1"/>
  <c r="CD97" i="6"/>
  <c r="CR58" i="6"/>
  <c r="CS58" i="6" s="1"/>
  <c r="CR45" i="6"/>
  <c r="CO55" i="6"/>
  <c r="CN62" i="6"/>
  <c r="CK55" i="6"/>
  <c r="CP49" i="6"/>
  <c r="CQ49" i="6" s="1"/>
  <c r="CT42" i="6"/>
  <c r="CF46" i="6"/>
  <c r="CG46" i="6" s="1"/>
  <c r="BR46" i="6"/>
  <c r="CR51" i="6"/>
  <c r="CS51" i="6" s="1"/>
  <c r="CN45" i="6"/>
  <c r="CO45" i="6" s="1"/>
  <c r="CO36" i="6"/>
  <c r="CH120" i="6"/>
  <c r="CI120" i="6" s="1"/>
  <c r="BS116" i="6"/>
  <c r="CW116" i="6" s="1"/>
  <c r="CR39" i="6"/>
  <c r="CC48" i="6"/>
  <c r="CP111" i="6"/>
  <c r="CU107" i="6"/>
  <c r="CN104" i="6"/>
  <c r="CO104" i="6" s="1"/>
  <c r="CD119" i="6"/>
  <c r="CE119" i="6" s="1"/>
  <c r="CJ113" i="6"/>
  <c r="CE104" i="6"/>
  <c r="BS81" i="6"/>
  <c r="CW81" i="6" s="1"/>
  <c r="CD105" i="6"/>
  <c r="CE105" i="6" s="1"/>
  <c r="CL75" i="6"/>
  <c r="CB110" i="6"/>
  <c r="CC110" i="6" s="1"/>
  <c r="CQ103" i="6"/>
  <c r="CJ99" i="6"/>
  <c r="CB98" i="6"/>
  <c r="CC98" i="6" s="1"/>
  <c r="BZ106" i="6"/>
  <c r="BZ83" i="6"/>
  <c r="CN78" i="6"/>
  <c r="CO78" i="6" s="1"/>
  <c r="CT80" i="6"/>
  <c r="CN24" i="6"/>
  <c r="BW105" i="6"/>
  <c r="CF43" i="6"/>
  <c r="CD62" i="6"/>
  <c r="BS52" i="6"/>
  <c r="CW52" i="6" s="1"/>
  <c r="CB42" i="6"/>
  <c r="CM43" i="6"/>
  <c r="CH113" i="6"/>
  <c r="CH99" i="6"/>
  <c r="CP90" i="6"/>
  <c r="CN98" i="6"/>
  <c r="CD110" i="6"/>
  <c r="CE110" i="6" s="1"/>
  <c r="BS97" i="6"/>
  <c r="CW97" i="6" s="1"/>
  <c r="CB94" i="6"/>
  <c r="BR84" i="6"/>
  <c r="BY84" i="6"/>
  <c r="BW84" i="6"/>
  <c r="BZ90" i="6"/>
  <c r="BR73" i="6"/>
  <c r="CH57" i="6"/>
  <c r="CJ63" i="6"/>
  <c r="CH63" i="6"/>
  <c r="CU55" i="6"/>
  <c r="BZ54" i="6"/>
  <c r="CA54" i="6" s="1"/>
  <c r="CK60" i="6"/>
  <c r="CK54" i="6"/>
  <c r="CD33" i="6"/>
  <c r="CT45" i="6"/>
  <c r="CU45" i="6" s="1"/>
  <c r="BS61" i="6"/>
  <c r="CW61" i="6" s="1"/>
  <c r="BS38" i="6"/>
  <c r="CW38" i="6" s="1"/>
  <c r="CF58" i="6"/>
  <c r="CG58" i="6" s="1"/>
  <c r="BR120" i="6"/>
  <c r="BW120" i="6"/>
  <c r="CD39" i="6"/>
  <c r="CE39" i="6" s="1"/>
  <c r="CO29" i="6"/>
  <c r="CH111" i="6"/>
  <c r="CA103" i="6"/>
  <c r="BZ120" i="6"/>
  <c r="CA120" i="6" s="1"/>
  <c r="CH108" i="6"/>
  <c r="CI108" i="6" s="1"/>
  <c r="CF119" i="6"/>
  <c r="CG119" i="6" s="1"/>
  <c r="CN113" i="6"/>
  <c r="BZ99" i="6"/>
  <c r="CH95" i="6"/>
  <c r="CI95" i="6" s="1"/>
  <c r="CR99" i="6"/>
  <c r="CQ93" i="6"/>
  <c r="BS105" i="6"/>
  <c r="CW105" i="6" s="1"/>
  <c r="CF98" i="6"/>
  <c r="CG98" i="6" s="1"/>
  <c r="CM29" i="6"/>
  <c r="CR110" i="6"/>
  <c r="CS110" i="6" s="1"/>
  <c r="BZ97" i="6"/>
  <c r="CD94" i="6"/>
  <c r="CH106" i="6"/>
  <c r="CD106" i="6"/>
  <c r="CB90" i="6"/>
  <c r="CD83" i="6"/>
  <c r="BS88" i="6"/>
  <c r="CW88" i="6" s="1"/>
  <c r="CC84" i="6"/>
  <c r="BS77" i="6"/>
  <c r="CW77" i="6" s="1"/>
  <c r="CJ70" i="6"/>
  <c r="BZ80" i="6"/>
  <c r="CA80" i="6" s="1"/>
  <c r="CM84" i="6"/>
  <c r="BX20" i="6"/>
  <c r="CS81" i="6"/>
  <c r="CC81" i="6"/>
  <c r="CU81" i="6"/>
  <c r="CI81" i="6"/>
  <c r="BY81" i="6"/>
  <c r="BW81" i="6"/>
  <c r="CK81" i="6"/>
  <c r="CA81" i="6"/>
  <c r="CE54" i="6"/>
  <c r="BZ51" i="6"/>
  <c r="CA51" i="6" s="1"/>
  <c r="BS124" i="6"/>
  <c r="CW124" i="6" s="1"/>
  <c r="CD120" i="6"/>
  <c r="CE120" i="6" s="1"/>
  <c r="CJ39" i="6"/>
  <c r="CP39" i="6"/>
  <c r="CQ123" i="6"/>
  <c r="CE123" i="6"/>
  <c r="BR123" i="6"/>
  <c r="CO123" i="6"/>
  <c r="CC123" i="6"/>
  <c r="CK123" i="6"/>
  <c r="BY123" i="6"/>
  <c r="BW123" i="6"/>
  <c r="CG123" i="6"/>
  <c r="CB104" i="6"/>
  <c r="CC104" i="6" s="1"/>
  <c r="CN108" i="6"/>
  <c r="CO108" i="6" s="1"/>
  <c r="BS36" i="6"/>
  <c r="CW36" i="6" s="1"/>
  <c r="CN99" i="6"/>
  <c r="CM95" i="6"/>
  <c r="CS116" i="6"/>
  <c r="CH97" i="6"/>
  <c r="CF84" i="6"/>
  <c r="CG84" i="6" s="1"/>
  <c r="BS28" i="6"/>
  <c r="CW28" i="6" s="1"/>
  <c r="CN97" i="6"/>
  <c r="CH91" i="6"/>
  <c r="CJ106" i="6"/>
  <c r="CR106" i="6"/>
  <c r="CR90" i="6"/>
  <c r="CB83" i="6"/>
  <c r="CH24" i="6"/>
  <c r="CH88" i="6"/>
  <c r="CP80" i="6"/>
  <c r="CQ80" i="6" s="1"/>
  <c r="CQ22" i="6"/>
  <c r="BS79" i="6"/>
  <c r="CW79" i="6" s="1"/>
  <c r="BS75" i="6"/>
  <c r="CW75" i="6" s="1"/>
  <c r="CD107" i="6"/>
  <c r="BZ24" i="6"/>
  <c r="CR65" i="6"/>
  <c r="CB57" i="6"/>
  <c r="CN54" i="6"/>
  <c r="CO54" i="6" s="1"/>
  <c r="CT63" i="6"/>
  <c r="CG60" i="6"/>
  <c r="CF62" i="6"/>
  <c r="CR52" i="6"/>
  <c r="CP51" i="6"/>
  <c r="CQ51" i="6" s="1"/>
  <c r="CK47" i="6"/>
  <c r="BX35" i="6"/>
  <c r="CP112" i="6"/>
  <c r="CQ112" i="6" s="1"/>
  <c r="CR120" i="6"/>
  <c r="CS120" i="6" s="1"/>
  <c r="CN39" i="6"/>
  <c r="CF107" i="6"/>
  <c r="CJ121" i="6"/>
  <c r="CK121" i="6" s="1"/>
  <c r="CR104" i="6"/>
  <c r="CS104" i="6" s="1"/>
  <c r="CT119" i="6"/>
  <c r="CU119" i="6" s="1"/>
  <c r="CM105" i="6"/>
  <c r="CB91" i="6"/>
  <c r="BZ84" i="6"/>
  <c r="CA84" i="6" s="1"/>
  <c r="CJ105" i="6"/>
  <c r="CK105" i="6" s="1"/>
  <c r="CH98" i="6"/>
  <c r="CI98" i="6" s="1"/>
  <c r="BZ91" i="6"/>
  <c r="CD84" i="6"/>
  <c r="CE84" i="6" s="1"/>
  <c r="CB97" i="6"/>
  <c r="CC97" i="6" s="1"/>
  <c r="CR94" i="6"/>
  <c r="CF106" i="6"/>
  <c r="BY104" i="6"/>
  <c r="BY95" i="6"/>
  <c r="CJ90" i="6"/>
  <c r="CP83" i="6"/>
  <c r="CM120" i="6"/>
  <c r="CJ80" i="6"/>
  <c r="CK80" i="6" s="1"/>
  <c r="BY76" i="6"/>
  <c r="BS69" i="6"/>
  <c r="CW69" i="6" s="1"/>
  <c r="CP65" i="6"/>
  <c r="CP54" i="6"/>
  <c r="CQ54" i="6" s="1"/>
  <c r="CU49" i="6"/>
  <c r="BS49" i="6"/>
  <c r="CW49" i="6" s="1"/>
  <c r="CT51" i="6"/>
  <c r="CU51" i="6" s="1"/>
  <c r="CJ111" i="6"/>
  <c r="CK111" i="6" s="1"/>
  <c r="CB26" i="6"/>
  <c r="CP104" i="6"/>
  <c r="CQ104" i="6" s="1"/>
  <c r="CF108" i="6"/>
  <c r="CG108" i="6" s="1"/>
  <c r="CB85" i="6"/>
  <c r="CN106" i="6"/>
  <c r="BZ78" i="6"/>
  <c r="CA78" i="6" s="1"/>
  <c r="CO73" i="6"/>
  <c r="BY73" i="6"/>
  <c r="CU73" i="6"/>
  <c r="CG73" i="6"/>
  <c r="CC73" i="6"/>
  <c r="CS93" i="6"/>
  <c r="BZ70" i="6"/>
  <c r="CE55" i="6"/>
  <c r="CP63" i="6"/>
  <c r="CI48" i="6"/>
  <c r="BR48" i="6"/>
  <c r="CU48" i="6"/>
  <c r="CQ48" i="6"/>
  <c r="CM48" i="6"/>
  <c r="BW48" i="6"/>
  <c r="CO48" i="6"/>
  <c r="CO60" i="6"/>
  <c r="BY60" i="6"/>
  <c r="BR60" i="6"/>
  <c r="CE60" i="6"/>
  <c r="CT58" i="6"/>
  <c r="CU58" i="6" s="1"/>
  <c r="BS53" i="6"/>
  <c r="CW53" i="6" s="1"/>
  <c r="CM60" i="6"/>
  <c r="CJ57" i="6"/>
  <c r="CF63" i="6"/>
  <c r="CT62" i="6"/>
  <c r="CP53" i="6"/>
  <c r="CJ52" i="6"/>
  <c r="BZ52" i="6"/>
  <c r="CP42" i="6"/>
  <c r="CG55" i="6"/>
  <c r="CB46" i="6"/>
  <c r="CC46" i="6" s="1"/>
  <c r="CS48" i="6"/>
  <c r="CB51" i="6"/>
  <c r="CC51" i="6" s="1"/>
  <c r="CB45" i="6"/>
  <c r="CG33" i="6"/>
  <c r="BS119" i="6"/>
  <c r="CW119" i="6" s="1"/>
  <c r="CO124" i="6"/>
  <c r="BY124" i="6"/>
  <c r="BZ119" i="6"/>
  <c r="CA119" i="6" s="1"/>
  <c r="CB39" i="6"/>
  <c r="CP105" i="6"/>
  <c r="CQ105" i="6" s="1"/>
  <c r="CJ107" i="6"/>
  <c r="CK107" i="6" s="1"/>
  <c r="CR107" i="6"/>
  <c r="CC116" i="6"/>
  <c r="CL108" i="6"/>
  <c r="CM108" i="6" s="1"/>
  <c r="CP113" i="6"/>
  <c r="CB99" i="6"/>
  <c r="CR82" i="6"/>
  <c r="CS82" i="6" s="1"/>
  <c r="CH49" i="6"/>
  <c r="CI49" i="6" s="1"/>
  <c r="CN84" i="6"/>
  <c r="CO84" i="6" s="1"/>
  <c r="CT91" i="6"/>
  <c r="CM119" i="6"/>
  <c r="BW119" i="6"/>
  <c r="CH110" i="6"/>
  <c r="CI110" i="6" s="1"/>
  <c r="CP97" i="6"/>
  <c r="CM76" i="6"/>
  <c r="CP91" i="6"/>
  <c r="CN90" i="6"/>
  <c r="CJ83" i="6"/>
  <c r="CE73" i="6"/>
  <c r="CN80" i="6"/>
  <c r="CO80" i="6" s="1"/>
  <c r="CS73" i="6"/>
  <c r="BW73" i="6"/>
  <c r="BY77" i="6"/>
  <c r="CE25" i="6"/>
  <c r="BR25" i="6"/>
  <c r="CQ25" i="6"/>
  <c r="CC25" i="6"/>
  <c r="CO25" i="6"/>
  <c r="CK25" i="6"/>
  <c r="BW25" i="6"/>
  <c r="BY25" i="6"/>
  <c r="CD65" i="6"/>
  <c r="CP52" i="6"/>
  <c r="CQ52" i="6" s="1"/>
  <c r="CT57" i="6"/>
  <c r="CU57" i="6" s="1"/>
  <c r="CR54" i="6"/>
  <c r="CS54" i="6" s="1"/>
  <c r="BY46" i="6"/>
  <c r="CG54" i="6"/>
  <c r="CN42" i="6"/>
  <c r="BR29" i="6"/>
  <c r="CI29" i="6"/>
  <c r="BY29" i="6"/>
  <c r="BW29" i="6"/>
  <c r="CU29" i="6"/>
  <c r="CC29" i="6"/>
  <c r="CP59" i="6"/>
  <c r="CD57" i="6"/>
  <c r="CR63" i="6"/>
  <c r="CS63" i="6" s="1"/>
  <c r="BW55" i="6"/>
  <c r="CT52" i="6"/>
  <c r="CB62" i="6"/>
  <c r="CD45" i="6"/>
  <c r="CE45" i="6" s="1"/>
  <c r="CD42" i="6"/>
  <c r="CJ45" i="6"/>
  <c r="CF120" i="6"/>
  <c r="CG120" i="6" s="1"/>
  <c r="CF116" i="6"/>
  <c r="CG116" i="6" s="1"/>
  <c r="BR51" i="6"/>
  <c r="BW51" i="6"/>
  <c r="CM51" i="6"/>
  <c r="CF39" i="6"/>
  <c r="CN107" i="6"/>
  <c r="CN111" i="6"/>
  <c r="CO111" i="6" s="1"/>
  <c r="CM27" i="6"/>
  <c r="CA27" i="6"/>
  <c r="CG27" i="6"/>
  <c r="BR27" i="6"/>
  <c r="CS27" i="6"/>
  <c r="CE27" i="6"/>
  <c r="BY27" i="6"/>
  <c r="CO27" i="6"/>
  <c r="CK27" i="6"/>
  <c r="CD108" i="6"/>
  <c r="CE108" i="6" s="1"/>
  <c r="BY105" i="6"/>
  <c r="CF88" i="6"/>
  <c r="CH119" i="6"/>
  <c r="CI119" i="6" s="1"/>
  <c r="CR113" i="6"/>
  <c r="CP99" i="6"/>
  <c r="CN119" i="6"/>
  <c r="CO119" i="6" s="1"/>
  <c r="CF99" i="6"/>
  <c r="BS84" i="6"/>
  <c r="CW84" i="6" s="1"/>
  <c r="CJ110" i="6"/>
  <c r="CK110" i="6" s="1"/>
  <c r="CJ98" i="6"/>
  <c r="BS91" i="6"/>
  <c r="CW91" i="6" s="1"/>
  <c r="CF90" i="6"/>
  <c r="CN110" i="6"/>
  <c r="CO110" i="6" s="1"/>
  <c r="CF94" i="6"/>
  <c r="CP106" i="6"/>
  <c r="BZ98" i="6"/>
  <c r="BR95" i="6"/>
  <c r="BS19" i="6"/>
  <c r="CW19" i="6" s="1"/>
  <c r="BR80" i="6"/>
  <c r="BW80" i="6"/>
  <c r="CL24" i="6"/>
  <c r="CN70" i="6"/>
  <c r="BS17" i="6"/>
  <c r="CW17" i="6" s="1"/>
  <c r="CT65" i="6"/>
  <c r="CX56" i="6" l="1"/>
  <c r="CX63" i="6"/>
  <c r="CX106" i="6"/>
  <c r="CX100" i="6"/>
  <c r="CX17" i="6"/>
  <c r="CX91" i="6"/>
  <c r="CX49" i="6"/>
  <c r="CX41" i="6"/>
  <c r="CX118" i="6"/>
  <c r="CX119" i="6"/>
  <c r="CX25" i="6"/>
  <c r="CX117" i="6"/>
  <c r="CX109" i="6"/>
  <c r="CX124" i="6"/>
  <c r="CX69" i="6"/>
  <c r="CX115" i="6"/>
  <c r="CX47" i="6"/>
  <c r="CX19" i="6"/>
  <c r="CX75" i="6"/>
  <c r="CX28" i="6"/>
  <c r="CX77" i="6"/>
  <c r="CX105" i="6"/>
  <c r="CX104" i="6"/>
  <c r="CX53" i="6"/>
  <c r="CX79" i="6"/>
  <c r="CX98" i="6"/>
  <c r="CX42" i="6"/>
  <c r="CX36" i="6"/>
  <c r="CX50" i="6"/>
  <c r="CX88" i="6"/>
  <c r="CX120" i="6"/>
  <c r="CX43" i="6"/>
  <c r="CX82" i="6"/>
  <c r="CX97" i="6"/>
  <c r="CX83" i="6"/>
  <c r="CX123" i="6"/>
  <c r="CX107" i="6"/>
  <c r="CX103" i="6"/>
  <c r="CX93" i="6"/>
  <c r="CX76" i="6"/>
  <c r="CX80" i="6"/>
  <c r="CX81" i="6"/>
  <c r="CX92" i="6"/>
  <c r="CX48" i="6"/>
  <c r="CX96" i="6"/>
  <c r="CX84" i="6"/>
  <c r="CX38" i="6"/>
  <c r="CX22" i="6"/>
  <c r="CX40" i="6"/>
  <c r="CX34" i="6"/>
  <c r="CX108" i="6"/>
  <c r="CX51" i="6"/>
  <c r="CX61" i="6"/>
  <c r="CX52" i="6"/>
  <c r="CX116" i="6"/>
  <c r="CX39" i="6"/>
  <c r="CX90" i="6"/>
  <c r="CX102" i="6"/>
  <c r="CE62" i="6"/>
  <c r="CS49" i="6"/>
  <c r="CQ57" i="6"/>
  <c r="CI39" i="6"/>
  <c r="CC124" i="6"/>
  <c r="BR119" i="6"/>
  <c r="BY119" i="6"/>
  <c r="CA61" i="6"/>
  <c r="CI118" i="6"/>
  <c r="CU118" i="6"/>
  <c r="CA83" i="6"/>
  <c r="CO30" i="6"/>
  <c r="CO39" i="6"/>
  <c r="CC57" i="6"/>
  <c r="CQ39" i="6"/>
  <c r="CO98" i="6"/>
  <c r="CG43" i="6"/>
  <c r="CK118" i="6"/>
  <c r="CI107" i="6"/>
  <c r="CA62" i="6"/>
  <c r="CM57" i="6"/>
  <c r="CQ124" i="6"/>
  <c r="CE59" i="6"/>
  <c r="CO52" i="6"/>
  <c r="CS124" i="6"/>
  <c r="CE116" i="6"/>
  <c r="BR88" i="6"/>
  <c r="CA52" i="6"/>
  <c r="CC118" i="6"/>
  <c r="CG88" i="6"/>
  <c r="CO49" i="6"/>
  <c r="CK57" i="6"/>
  <c r="BW118" i="6"/>
  <c r="CQ111" i="6"/>
  <c r="CK43" i="6"/>
  <c r="CK62" i="6"/>
  <c r="CG80" i="6"/>
  <c r="BW57" i="6"/>
  <c r="CG124" i="6"/>
  <c r="BW88" i="6"/>
  <c r="CS39" i="6"/>
  <c r="CG62" i="6"/>
  <c r="CO83" i="6"/>
  <c r="CK83" i="6"/>
  <c r="CG39" i="6"/>
  <c r="CU124" i="6"/>
  <c r="CK52" i="6"/>
  <c r="CI111" i="6"/>
  <c r="CO62" i="6"/>
  <c r="CM118" i="6"/>
  <c r="CI43" i="6"/>
  <c r="BZ101" i="6"/>
  <c r="CA101" i="6" s="1"/>
  <c r="BY57" i="6"/>
  <c r="CK124" i="6"/>
  <c r="CE124" i="6"/>
  <c r="CS52" i="6"/>
  <c r="BR118" i="6"/>
  <c r="BR57" i="6"/>
  <c r="CA59" i="6"/>
  <c r="CS109" i="6"/>
  <c r="BW109" i="6"/>
  <c r="CA109" i="6"/>
  <c r="CG109" i="6"/>
  <c r="CO109" i="6"/>
  <c r="CU109" i="6"/>
  <c r="BR109" i="6"/>
  <c r="CM109" i="6"/>
  <c r="CI109" i="6"/>
  <c r="BY109" i="6"/>
  <c r="CE118" i="6"/>
  <c r="CA43" i="6"/>
  <c r="BR124" i="6"/>
  <c r="CM124" i="6"/>
  <c r="CI124" i="6"/>
  <c r="CA118" i="6"/>
  <c r="CC62" i="6"/>
  <c r="CI57" i="6"/>
  <c r="CU52" i="6"/>
  <c r="CE57" i="6"/>
  <c r="BW124" i="6"/>
  <c r="CU62" i="6"/>
  <c r="CO118" i="6"/>
  <c r="CQ118" i="6"/>
  <c r="CI80" i="6"/>
  <c r="BW49" i="6"/>
  <c r="CE52" i="6"/>
  <c r="CM123" i="6"/>
  <c r="CG81" i="6"/>
  <c r="CO81" i="6"/>
  <c r="CQ81" i="6"/>
  <c r="CM81" i="6"/>
  <c r="CE81" i="6"/>
  <c r="BR81" i="6"/>
  <c r="CU50" i="6"/>
  <c r="CE50" i="6"/>
  <c r="CE107" i="6"/>
  <c r="CK39" i="6"/>
  <c r="CO59" i="6"/>
  <c r="CG106" i="6"/>
  <c r="CG107" i="6"/>
  <c r="CE97" i="6"/>
  <c r="BW86" i="6"/>
  <c r="CK88" i="6"/>
  <c r="CE88" i="6"/>
  <c r="CK36" i="6"/>
  <c r="CA88" i="6"/>
  <c r="CS47" i="6"/>
  <c r="CO94" i="6"/>
  <c r="CS65" i="6"/>
  <c r="CI88" i="6"/>
  <c r="CI106" i="6"/>
  <c r="CO113" i="6"/>
  <c r="CM88" i="6"/>
  <c r="CC88" i="6"/>
  <c r="CE65" i="6"/>
  <c r="CQ88" i="6"/>
  <c r="BW39" i="6"/>
  <c r="CA39" i="6"/>
  <c r="CC36" i="6"/>
  <c r="CI45" i="6"/>
  <c r="CG45" i="6"/>
  <c r="CU83" i="6"/>
  <c r="CM65" i="6"/>
  <c r="BR52" i="6"/>
  <c r="BW52" i="6"/>
  <c r="CM52" i="6"/>
  <c r="BY52" i="6"/>
  <c r="CQ101" i="6"/>
  <c r="CC59" i="6"/>
  <c r="BR44" i="6"/>
  <c r="CQ44" i="6"/>
  <c r="CC44" i="6"/>
  <c r="BY44" i="6"/>
  <c r="CO44" i="6"/>
  <c r="CI44" i="6"/>
  <c r="CA44" i="6"/>
  <c r="BW44" i="6"/>
  <c r="CG44" i="6"/>
  <c r="CS44" i="6"/>
  <c r="CK44" i="6"/>
  <c r="CM44" i="6"/>
  <c r="CE44" i="6"/>
  <c r="CU44" i="6"/>
  <c r="BR59" i="6"/>
  <c r="CM59" i="6"/>
  <c r="BY59" i="6"/>
  <c r="CU59" i="6"/>
  <c r="BW59" i="6"/>
  <c r="CS59" i="6"/>
  <c r="CI59" i="6"/>
  <c r="CU91" i="6"/>
  <c r="CO106" i="6"/>
  <c r="CI42" i="6"/>
  <c r="CA98" i="6"/>
  <c r="CK98" i="6"/>
  <c r="CQ113" i="6"/>
  <c r="CS94" i="6"/>
  <c r="CC83" i="6"/>
  <c r="CS36" i="6"/>
  <c r="BR39" i="6"/>
  <c r="CU113" i="6"/>
  <c r="CM39" i="6"/>
  <c r="CE63" i="6"/>
  <c r="CA113" i="6"/>
  <c r="CO63" i="6"/>
  <c r="BW95" i="6"/>
  <c r="CC52" i="6"/>
  <c r="BW47" i="6"/>
  <c r="CE106" i="6"/>
  <c r="CG94" i="6"/>
  <c r="CK106" i="6"/>
  <c r="CE113" i="6"/>
  <c r="BT15" i="6"/>
  <c r="CU106" i="6"/>
  <c r="CO88" i="6"/>
  <c r="CU39" i="6"/>
  <c r="CC39" i="6"/>
  <c r="CG63" i="6"/>
  <c r="CQ59" i="6"/>
  <c r="CE83" i="6"/>
  <c r="CI63" i="6"/>
  <c r="CS45" i="6"/>
  <c r="CC63" i="6"/>
  <c r="CG59" i="6"/>
  <c r="CC45" i="6"/>
  <c r="CS113" i="6"/>
  <c r="CO107" i="6"/>
  <c r="CK45" i="6"/>
  <c r="CQ97" i="6"/>
  <c r="CQ63" i="6"/>
  <c r="CU22" i="6"/>
  <c r="CM63" i="6"/>
  <c r="CS98" i="6"/>
  <c r="CG52" i="6"/>
  <c r="CI52" i="6"/>
  <c r="CM80" i="6"/>
  <c r="BY80" i="6"/>
  <c r="BR101" i="6"/>
  <c r="BY101" i="6"/>
  <c r="CM101" i="6"/>
  <c r="CS88" i="6"/>
  <c r="CS107" i="6"/>
  <c r="CU63" i="6"/>
  <c r="CQ83" i="6"/>
  <c r="CK63" i="6"/>
  <c r="CC106" i="6"/>
  <c r="CU88" i="6"/>
  <c r="BR41" i="6"/>
  <c r="CO41" i="6"/>
  <c r="CA41" i="6"/>
  <c r="CE41" i="6"/>
  <c r="BW41" i="6"/>
  <c r="BY41" i="6"/>
  <c r="CM41" i="6"/>
  <c r="CQ41" i="6"/>
  <c r="CU41" i="6"/>
  <c r="CG41" i="6"/>
  <c r="CI41" i="6"/>
  <c r="CK41" i="6"/>
  <c r="CS41" i="6"/>
  <c r="CC41" i="6"/>
  <c r="CO79" i="6"/>
  <c r="CA79" i="6"/>
  <c r="CM79" i="6"/>
  <c r="BR79" i="6"/>
  <c r="BW79" i="6"/>
  <c r="CK79" i="6"/>
  <c r="CE79" i="6"/>
  <c r="CQ79" i="6"/>
  <c r="CU79" i="6"/>
  <c r="CI79" i="6"/>
  <c r="CG79" i="6"/>
  <c r="CC79" i="6"/>
  <c r="CS79" i="6"/>
  <c r="BY79" i="6"/>
  <c r="BS24" i="6"/>
  <c r="CW24" i="6" s="1"/>
  <c r="CB17" i="6"/>
  <c r="CS32" i="6"/>
  <c r="CI32" i="6"/>
  <c r="CG32" i="6"/>
  <c r="BR32" i="6"/>
  <c r="BW32" i="6"/>
  <c r="CC32" i="6"/>
  <c r="CE32" i="6"/>
  <c r="CU32" i="6"/>
  <c r="CQ32" i="6"/>
  <c r="BY32" i="6"/>
  <c r="CA32" i="6"/>
  <c r="CM32" i="6"/>
  <c r="CO114" i="6"/>
  <c r="CK114" i="6"/>
  <c r="CU114" i="6"/>
  <c r="CQ114" i="6"/>
  <c r="CC114" i="6"/>
  <c r="CM114" i="6"/>
  <c r="BY114" i="6"/>
  <c r="BR114" i="6"/>
  <c r="CI114" i="6"/>
  <c r="CS114" i="6"/>
  <c r="BW114" i="6"/>
  <c r="CG114" i="6"/>
  <c r="CE114" i="6"/>
  <c r="CA114" i="6"/>
  <c r="CJ49" i="6"/>
  <c r="CK49" i="6" s="1"/>
  <c r="CJ40" i="6"/>
  <c r="CR86" i="6"/>
  <c r="CS86" i="6" s="1"/>
  <c r="BY97" i="6"/>
  <c r="CM97" i="6"/>
  <c r="BW97" i="6"/>
  <c r="BR97" i="6"/>
  <c r="CG99" i="6"/>
  <c r="CM106" i="6"/>
  <c r="BR106" i="6"/>
  <c r="BW106" i="6"/>
  <c r="BY106" i="6"/>
  <c r="CK34" i="6"/>
  <c r="CE115" i="6"/>
  <c r="CS115" i="6"/>
  <c r="BR115" i="6"/>
  <c r="CG115" i="6"/>
  <c r="CA115" i="6"/>
  <c r="CM115" i="6"/>
  <c r="CO115" i="6"/>
  <c r="CI115" i="6"/>
  <c r="CQ115" i="6"/>
  <c r="BW115" i="6"/>
  <c r="CK115" i="6"/>
  <c r="CC115" i="6"/>
  <c r="CU115" i="6"/>
  <c r="BY115" i="6"/>
  <c r="CS106" i="6"/>
  <c r="CO97" i="6"/>
  <c r="CO99" i="6"/>
  <c r="CC90" i="6"/>
  <c r="CT40" i="6"/>
  <c r="CQ90" i="6"/>
  <c r="CA106" i="6"/>
  <c r="CI94" i="6"/>
  <c r="CB101" i="6"/>
  <c r="CC101" i="6" s="1"/>
  <c r="CU100" i="6"/>
  <c r="BR100" i="6"/>
  <c r="BY100" i="6"/>
  <c r="CG100" i="6"/>
  <c r="CK100" i="6"/>
  <c r="BW100" i="6"/>
  <c r="CI100" i="6"/>
  <c r="CM100" i="6"/>
  <c r="CE100" i="6"/>
  <c r="CQ100" i="6"/>
  <c r="CO100" i="6"/>
  <c r="CS100" i="6"/>
  <c r="CA100" i="6"/>
  <c r="CC100" i="6"/>
  <c r="CG42" i="6"/>
  <c r="CS97" i="6"/>
  <c r="CU97" i="6"/>
  <c r="CU94" i="6"/>
  <c r="BR62" i="6"/>
  <c r="BY62" i="6"/>
  <c r="CM62" i="6"/>
  <c r="BW62" i="6"/>
  <c r="CG111" i="6"/>
  <c r="CK91" i="6"/>
  <c r="CS102" i="6"/>
  <c r="CU110" i="6"/>
  <c r="BR26" i="6"/>
  <c r="BW26" i="6"/>
  <c r="CA26" i="6"/>
  <c r="BY26" i="6"/>
  <c r="CB21" i="6"/>
  <c r="BR93" i="6"/>
  <c r="CA93" i="6"/>
  <c r="CI93" i="6"/>
  <c r="CU93" i="6"/>
  <c r="BY93" i="6"/>
  <c r="CM93" i="6"/>
  <c r="BW93" i="6"/>
  <c r="CE93" i="6"/>
  <c r="CC93" i="6"/>
  <c r="CK93" i="6"/>
  <c r="CG93" i="6"/>
  <c r="CC42" i="6"/>
  <c r="BR125" i="6"/>
  <c r="CA125" i="6"/>
  <c r="BY125" i="6"/>
  <c r="CO125" i="6"/>
  <c r="CC125" i="6"/>
  <c r="CI125" i="6"/>
  <c r="CM125" i="6"/>
  <c r="CU125" i="6"/>
  <c r="BW125" i="6"/>
  <c r="CQ125" i="6"/>
  <c r="CG125" i="6"/>
  <c r="CE125" i="6"/>
  <c r="CS125" i="6"/>
  <c r="CK125" i="6"/>
  <c r="CU38" i="6"/>
  <c r="CI38" i="6"/>
  <c r="BW38" i="6"/>
  <c r="BR38" i="6"/>
  <c r="CG38" i="6"/>
  <c r="CS38" i="6"/>
  <c r="CM38" i="6"/>
  <c r="CK38" i="6"/>
  <c r="CA38" i="6"/>
  <c r="CC38" i="6"/>
  <c r="CO38" i="6"/>
  <c r="BY38" i="6"/>
  <c r="CE38" i="6"/>
  <c r="CQ38" i="6"/>
  <c r="CE99" i="6"/>
  <c r="CA90" i="6"/>
  <c r="CO93" i="6"/>
  <c r="CU42" i="6"/>
  <c r="CH75" i="6"/>
  <c r="BZ49" i="6"/>
  <c r="CA49" i="6" s="1"/>
  <c r="CC50" i="6"/>
  <c r="CK50" i="6"/>
  <c r="BR50" i="6"/>
  <c r="BW50" i="6"/>
  <c r="CO50" i="6"/>
  <c r="CS50" i="6"/>
  <c r="CG50" i="6"/>
  <c r="CI50" i="6"/>
  <c r="CQ50" i="6"/>
  <c r="CM50" i="6"/>
  <c r="BY50" i="6"/>
  <c r="CA50" i="6"/>
  <c r="CR75" i="6"/>
  <c r="CU47" i="6"/>
  <c r="BR47" i="6"/>
  <c r="CQ47" i="6"/>
  <c r="CE47" i="6"/>
  <c r="CA47" i="6"/>
  <c r="CO47" i="6"/>
  <c r="CM47" i="6"/>
  <c r="CG47" i="6"/>
  <c r="CC47" i="6"/>
  <c r="CI97" i="6"/>
  <c r="BW113" i="6"/>
  <c r="BY113" i="6"/>
  <c r="BR113" i="6"/>
  <c r="CM113" i="6"/>
  <c r="CI22" i="6"/>
  <c r="CK70" i="6"/>
  <c r="CS99" i="6"/>
  <c r="BR45" i="6"/>
  <c r="BY45" i="6"/>
  <c r="BW45" i="6"/>
  <c r="CM45" i="6"/>
  <c r="CU99" i="6"/>
  <c r="CR101" i="6"/>
  <c r="CS101" i="6" s="1"/>
  <c r="CT86" i="6"/>
  <c r="CU86" i="6" s="1"/>
  <c r="BS65" i="6"/>
  <c r="CW65" i="6" s="1"/>
  <c r="CC22" i="6"/>
  <c r="BR110" i="6"/>
  <c r="BY110" i="6"/>
  <c r="BW110" i="6"/>
  <c r="CM110" i="6"/>
  <c r="CU90" i="6"/>
  <c r="BS26" i="6"/>
  <c r="CW26" i="6" s="1"/>
  <c r="BZ40" i="6"/>
  <c r="CQ71" i="6"/>
  <c r="CU71" i="6"/>
  <c r="CG71" i="6"/>
  <c r="BR71" i="6"/>
  <c r="CM71" i="6"/>
  <c r="CS71" i="6"/>
  <c r="BY71" i="6"/>
  <c r="CI71" i="6"/>
  <c r="CE71" i="6"/>
  <c r="CK71" i="6"/>
  <c r="CO71" i="6"/>
  <c r="CC71" i="6"/>
  <c r="CA71" i="6"/>
  <c r="BW71" i="6"/>
  <c r="BS20" i="6"/>
  <c r="CW20" i="6" s="1"/>
  <c r="BR94" i="6"/>
  <c r="BW94" i="6"/>
  <c r="BY94" i="6"/>
  <c r="CQ94" i="6"/>
  <c r="CM94" i="6"/>
  <c r="BR92" i="6"/>
  <c r="BY92" i="6"/>
  <c r="CO92" i="6"/>
  <c r="CK92" i="6"/>
  <c r="CA92" i="6"/>
  <c r="BW92" i="6"/>
  <c r="CE92" i="6"/>
  <c r="CQ92" i="6"/>
  <c r="CC92" i="6"/>
  <c r="CU92" i="6"/>
  <c r="CS92" i="6"/>
  <c r="CI92" i="6"/>
  <c r="CG92" i="6"/>
  <c r="BS31" i="6"/>
  <c r="CW31" i="6" s="1"/>
  <c r="CN86" i="6"/>
  <c r="CO86" i="6" s="1"/>
  <c r="CK90" i="6"/>
  <c r="CC91" i="6"/>
  <c r="CD40" i="6"/>
  <c r="CB40" i="6"/>
  <c r="CQ70" i="6"/>
  <c r="CQ106" i="6"/>
  <c r="BS74" i="6"/>
  <c r="CW74" i="6" s="1"/>
  <c r="CF86" i="6"/>
  <c r="CG86" i="6" s="1"/>
  <c r="CO42" i="6"/>
  <c r="CC99" i="6"/>
  <c r="BW83" i="6"/>
  <c r="BR83" i="6"/>
  <c r="CM83" i="6"/>
  <c r="BY83" i="6"/>
  <c r="BY47" i="6"/>
  <c r="CI91" i="6"/>
  <c r="CC70" i="6"/>
  <c r="CK113" i="6"/>
  <c r="BR36" i="6"/>
  <c r="CE36" i="6"/>
  <c r="CQ36" i="6"/>
  <c r="CI36" i="6"/>
  <c r="CU36" i="6"/>
  <c r="BY36" i="6"/>
  <c r="CA36" i="6"/>
  <c r="CM36" i="6"/>
  <c r="BR103" i="6"/>
  <c r="BY103" i="6"/>
  <c r="BW103" i="6"/>
  <c r="CG103" i="6"/>
  <c r="CC103" i="6"/>
  <c r="CM103" i="6"/>
  <c r="CE103" i="6"/>
  <c r="CO103" i="6"/>
  <c r="CO43" i="6"/>
  <c r="BW36" i="6"/>
  <c r="CA94" i="6"/>
  <c r="CI83" i="6"/>
  <c r="BX64" i="6"/>
  <c r="CM86" i="6"/>
  <c r="BR86" i="6"/>
  <c r="CD86" i="6"/>
  <c r="CE86" i="6" s="1"/>
  <c r="BR42" i="6"/>
  <c r="CM42" i="6"/>
  <c r="CA42" i="6"/>
  <c r="BW42" i="6"/>
  <c r="BY42" i="6"/>
  <c r="CF101" i="6"/>
  <c r="CG101" i="6" s="1"/>
  <c r="CS90" i="6"/>
  <c r="CR40" i="6"/>
  <c r="BZ86" i="6"/>
  <c r="CA86" i="6" s="1"/>
  <c r="BS35" i="6"/>
  <c r="CW35" i="6" s="1"/>
  <c r="CR53" i="6"/>
  <c r="CF75" i="6"/>
  <c r="CO90" i="6"/>
  <c r="CA102" i="6"/>
  <c r="CO32" i="6"/>
  <c r="CC26" i="6"/>
  <c r="CA91" i="6"/>
  <c r="CS43" i="6"/>
  <c r="CN101" i="6"/>
  <c r="CO101" i="6" s="1"/>
  <c r="CE94" i="6"/>
  <c r="CK96" i="6"/>
  <c r="BY96" i="6"/>
  <c r="CM96" i="6"/>
  <c r="BR96" i="6"/>
  <c r="CA96" i="6"/>
  <c r="CO96" i="6"/>
  <c r="CS96" i="6"/>
  <c r="CU96" i="6"/>
  <c r="BW96" i="6"/>
  <c r="CI96" i="6"/>
  <c r="CC96" i="6"/>
  <c r="CQ96" i="6"/>
  <c r="CA99" i="6"/>
  <c r="BX67" i="6"/>
  <c r="CM92" i="6"/>
  <c r="BY20" i="6"/>
  <c r="CU80" i="6"/>
  <c r="BS101" i="6"/>
  <c r="CW101" i="6" s="1"/>
  <c r="CE91" i="6"/>
  <c r="BR111" i="6"/>
  <c r="CM111" i="6"/>
  <c r="BW111" i="6"/>
  <c r="BY111" i="6"/>
  <c r="CK65" i="6"/>
  <c r="CJ101" i="6"/>
  <c r="CK101" i="6" s="1"/>
  <c r="CI47" i="6"/>
  <c r="CG113" i="6"/>
  <c r="CU111" i="6"/>
  <c r="CG36" i="6"/>
  <c r="CS83" i="6"/>
  <c r="CN75" i="6"/>
  <c r="CQ34" i="6"/>
  <c r="CI34" i="6"/>
  <c r="CO34" i="6"/>
  <c r="CM34" i="6"/>
  <c r="BR34" i="6"/>
  <c r="CC34" i="6"/>
  <c r="CU34" i="6"/>
  <c r="CE34" i="6"/>
  <c r="CA34" i="6"/>
  <c r="BY34" i="6"/>
  <c r="CS34" i="6"/>
  <c r="CO70" i="6"/>
  <c r="CM75" i="6"/>
  <c r="CF40" i="6"/>
  <c r="CG40" i="6" s="1"/>
  <c r="CE42" i="6"/>
  <c r="CQ42" i="6"/>
  <c r="CU102" i="6"/>
  <c r="CI99" i="6"/>
  <c r="CK99" i="6"/>
  <c r="CG96" i="6"/>
  <c r="CC65" i="6"/>
  <c r="CB75" i="6"/>
  <c r="CI90" i="6"/>
  <c r="CM61" i="6"/>
  <c r="BR61" i="6"/>
  <c r="BW61" i="6"/>
  <c r="CU61" i="6"/>
  <c r="CO61" i="6"/>
  <c r="CG61" i="6"/>
  <c r="CK61" i="6"/>
  <c r="CS61" i="6"/>
  <c r="CI61" i="6"/>
  <c r="CE61" i="6"/>
  <c r="BY61" i="6"/>
  <c r="CK97" i="6"/>
  <c r="CH85" i="6"/>
  <c r="CD26" i="6"/>
  <c r="CE26" i="6" s="1"/>
  <c r="BW107" i="6"/>
  <c r="CM107" i="6"/>
  <c r="BR107" i="6"/>
  <c r="CQ107" i="6"/>
  <c r="BY107" i="6"/>
  <c r="BT64" i="6"/>
  <c r="CO102" i="6"/>
  <c r="CE102" i="6"/>
  <c r="CG102" i="6"/>
  <c r="BR102" i="6"/>
  <c r="BY102" i="6"/>
  <c r="CK102" i="6"/>
  <c r="CM102" i="6"/>
  <c r="CC102" i="6"/>
  <c r="CQ102" i="6"/>
  <c r="BR33" i="6"/>
  <c r="BW33" i="6"/>
  <c r="CS33" i="6"/>
  <c r="CI33" i="6"/>
  <c r="CQ33" i="6"/>
  <c r="CK33" i="6"/>
  <c r="CO33" i="6"/>
  <c r="CC33" i="6"/>
  <c r="BY33" i="6"/>
  <c r="CU33" i="6"/>
  <c r="BY91" i="6"/>
  <c r="BR91" i="6"/>
  <c r="CM91" i="6"/>
  <c r="BW91" i="6"/>
  <c r="CO91" i="6"/>
  <c r="CI56" i="6"/>
  <c r="CA56" i="6"/>
  <c r="CS56" i="6"/>
  <c r="CQ56" i="6"/>
  <c r="BR56" i="6"/>
  <c r="BY56" i="6"/>
  <c r="CU56" i="6"/>
  <c r="CC56" i="6"/>
  <c r="CM56" i="6"/>
  <c r="CG56" i="6"/>
  <c r="CO56" i="6"/>
  <c r="BW56" i="6"/>
  <c r="CE56" i="6"/>
  <c r="CK56" i="6"/>
  <c r="CC94" i="6"/>
  <c r="CH70" i="6"/>
  <c r="CI70" i="6" s="1"/>
  <c r="CH40" i="6"/>
  <c r="CI40" i="6" s="1"/>
  <c r="CK32" i="6"/>
  <c r="CA33" i="6"/>
  <c r="BS21" i="6"/>
  <c r="CW21" i="6" s="1"/>
  <c r="BS32" i="6"/>
  <c r="CW32" i="6" s="1"/>
  <c r="CO22" i="6"/>
  <c r="BY22" i="6"/>
  <c r="CK22" i="6"/>
  <c r="CM22" i="6"/>
  <c r="CA22" i="6"/>
  <c r="CG22" i="6"/>
  <c r="CS22" i="6"/>
  <c r="CE22" i="6"/>
  <c r="CE90" i="6"/>
  <c r="BW22" i="6"/>
  <c r="CM90" i="6"/>
  <c r="BR90" i="6"/>
  <c r="BY90" i="6"/>
  <c r="BW90" i="6"/>
  <c r="BS86" i="6"/>
  <c r="CW86" i="6" s="1"/>
  <c r="CQ87" i="6"/>
  <c r="CO87" i="6"/>
  <c r="CG87" i="6"/>
  <c r="CU87" i="6"/>
  <c r="BR87" i="6"/>
  <c r="CS87" i="6"/>
  <c r="BW87" i="6"/>
  <c r="CM87" i="6"/>
  <c r="CE87" i="6"/>
  <c r="CI87" i="6"/>
  <c r="CC87" i="6"/>
  <c r="CK87" i="6"/>
  <c r="BY87" i="6"/>
  <c r="CA87" i="6"/>
  <c r="CP40" i="6"/>
  <c r="CG90" i="6"/>
  <c r="CH101" i="6"/>
  <c r="CI101" i="6" s="1"/>
  <c r="BV64" i="6"/>
  <c r="BW99" i="6"/>
  <c r="CM99" i="6"/>
  <c r="BR99" i="6"/>
  <c r="BY99" i="6"/>
  <c r="CK42" i="6"/>
  <c r="CB86" i="6"/>
  <c r="CC86" i="6" s="1"/>
  <c r="CS70" i="6"/>
  <c r="CG70" i="6"/>
  <c r="BW70" i="6"/>
  <c r="CE70" i="6"/>
  <c r="BY70" i="6"/>
  <c r="CQ91" i="6"/>
  <c r="CJ86" i="6"/>
  <c r="CK86" i="6" s="1"/>
  <c r="CA70" i="6"/>
  <c r="CT101" i="6"/>
  <c r="CU101" i="6" s="1"/>
  <c r="CA24" i="6"/>
  <c r="CA97" i="6"/>
  <c r="CH86" i="6"/>
  <c r="CI86" i="6" s="1"/>
  <c r="BR43" i="6"/>
  <c r="CQ43" i="6"/>
  <c r="CE43" i="6"/>
  <c r="BW43" i="6"/>
  <c r="CU43" i="6"/>
  <c r="CG34" i="6"/>
  <c r="CQ99" i="6"/>
  <c r="CN40" i="6"/>
  <c r="CO40" i="6" s="1"/>
  <c r="CS91" i="6"/>
  <c r="CC43" i="6"/>
  <c r="CM33" i="6"/>
  <c r="CP86" i="6"/>
  <c r="CQ86" i="6" s="1"/>
  <c r="BY43" i="6"/>
  <c r="CE33" i="6"/>
  <c r="CI113" i="6"/>
  <c r="BS64" i="6"/>
  <c r="CW64" i="6" s="1"/>
  <c r="CQ61" i="6"/>
  <c r="CC53" i="6"/>
  <c r="CI102" i="6"/>
  <c r="BR70" i="6"/>
  <c r="CG83" i="6"/>
  <c r="CM98" i="6"/>
  <c r="BW98" i="6"/>
  <c r="BY98" i="6"/>
  <c r="BR98" i="6"/>
  <c r="CD101" i="6"/>
  <c r="CE101" i="6" s="1"/>
  <c r="CJ75" i="6"/>
  <c r="BW30" i="6"/>
  <c r="BR30" i="6"/>
  <c r="CI30" i="6"/>
  <c r="CG30" i="6"/>
  <c r="CE30" i="6"/>
  <c r="CQ30" i="6"/>
  <c r="CA30" i="6"/>
  <c r="BY30" i="6"/>
  <c r="CK30" i="6"/>
  <c r="CU30" i="6"/>
  <c r="CM30" i="6"/>
  <c r="CS30" i="6"/>
  <c r="CS62" i="6"/>
  <c r="BS85" i="6"/>
  <c r="CW85" i="6" s="1"/>
  <c r="CK94" i="6"/>
  <c r="CX32" i="6" l="1"/>
  <c r="CX21" i="6"/>
  <c r="CX26" i="6"/>
  <c r="CX31" i="6"/>
  <c r="CX85" i="6"/>
  <c r="CX64" i="6"/>
  <c r="CX101" i="6"/>
  <c r="CX74" i="6"/>
  <c r="CX65" i="6"/>
  <c r="CX24" i="6"/>
  <c r="CX86" i="6"/>
  <c r="CX35" i="6"/>
  <c r="CX20" i="6"/>
  <c r="CO24" i="6"/>
  <c r="CM24" i="6"/>
  <c r="CQ53" i="6"/>
  <c r="BS70" i="6"/>
  <c r="CW70" i="6" s="1"/>
  <c r="CI24" i="6"/>
  <c r="CG65" i="6"/>
  <c r="BY65" i="6"/>
  <c r="BW65" i="6"/>
  <c r="BR126" i="6"/>
  <c r="CK126" i="6"/>
  <c r="CE126" i="6"/>
  <c r="CM126" i="6"/>
  <c r="CI126" i="6"/>
  <c r="CC126" i="6"/>
  <c r="CO126" i="6"/>
  <c r="CA126" i="6"/>
  <c r="CU126" i="6"/>
  <c r="CG126" i="6"/>
  <c r="CS126" i="6"/>
  <c r="BW126" i="6"/>
  <c r="BY126" i="6"/>
  <c r="CQ126" i="6"/>
  <c r="CU65" i="6"/>
  <c r="CQ40" i="6"/>
  <c r="CQ65" i="6"/>
  <c r="CE40" i="6"/>
  <c r="CS40" i="6"/>
  <c r="BR65" i="6"/>
  <c r="CI65" i="6"/>
  <c r="CA75" i="6"/>
  <c r="CO65" i="6"/>
  <c r="CA65" i="6"/>
  <c r="CK40" i="6"/>
  <c r="CU70" i="6"/>
  <c r="CM70" i="6"/>
  <c r="CC75" i="6"/>
  <c r="BR75" i="6"/>
  <c r="BY75" i="6"/>
  <c r="BW75" i="6"/>
  <c r="CU75" i="6"/>
  <c r="CA85" i="6"/>
  <c r="BW85" i="6"/>
  <c r="CE85" i="6"/>
  <c r="BY85" i="6"/>
  <c r="BR85" i="6"/>
  <c r="CD21" i="6"/>
  <c r="CE21" i="6" s="1"/>
  <c r="BZ67" i="6"/>
  <c r="CS75" i="6"/>
  <c r="BR69" i="6"/>
  <c r="CU69" i="6"/>
  <c r="CK69" i="6"/>
  <c r="CG69" i="6"/>
  <c r="BW69" i="6"/>
  <c r="CI69" i="6"/>
  <c r="CQ69" i="6"/>
  <c r="CM69" i="6"/>
  <c r="CC69" i="6"/>
  <c r="CE69" i="6"/>
  <c r="BY69" i="6"/>
  <c r="CS69" i="6"/>
  <c r="CA69" i="6"/>
  <c r="CO69" i="6"/>
  <c r="BR21" i="6"/>
  <c r="BW21" i="6"/>
  <c r="CA21" i="6"/>
  <c r="BY21" i="6"/>
  <c r="BX14" i="6"/>
  <c r="CB49" i="6"/>
  <c r="CC49" i="6" s="1"/>
  <c r="CJ85" i="6"/>
  <c r="CK85" i="6" s="1"/>
  <c r="CA74" i="6"/>
  <c r="CM74" i="6"/>
  <c r="CU74" i="6"/>
  <c r="BW74" i="6"/>
  <c r="CI74" i="6"/>
  <c r="BR74" i="6"/>
  <c r="CQ74" i="6"/>
  <c r="CS74" i="6"/>
  <c r="CG74" i="6"/>
  <c r="CO74" i="6"/>
  <c r="BY74" i="6"/>
  <c r="CK74" i="6"/>
  <c r="CE74" i="6"/>
  <c r="CC74" i="6"/>
  <c r="CI18" i="6"/>
  <c r="CM18" i="6"/>
  <c r="CO18" i="6"/>
  <c r="BY18" i="6"/>
  <c r="CQ18" i="6"/>
  <c r="CK18" i="6"/>
  <c r="BW18" i="6"/>
  <c r="CA18" i="6"/>
  <c r="CE18" i="6"/>
  <c r="CG18" i="6"/>
  <c r="CC18" i="6"/>
  <c r="CS18" i="6"/>
  <c r="CU18" i="6"/>
  <c r="CG75" i="6"/>
  <c r="BS67" i="6"/>
  <c r="CW67" i="6" s="1"/>
  <c r="CG85" i="6"/>
  <c r="CD17" i="6"/>
  <c r="CE17" i="6" s="1"/>
  <c r="CI85" i="6"/>
  <c r="CE75" i="6"/>
  <c r="BR35" i="6"/>
  <c r="CO35" i="6"/>
  <c r="CA35" i="6"/>
  <c r="CK35" i="6"/>
  <c r="CE35" i="6"/>
  <c r="CC35" i="6"/>
  <c r="CU35" i="6"/>
  <c r="CM35" i="6"/>
  <c r="CI35" i="6"/>
  <c r="CS35" i="6"/>
  <c r="CG35" i="6"/>
  <c r="BW35" i="6"/>
  <c r="CQ35" i="6"/>
  <c r="CC85" i="6"/>
  <c r="BY17" i="6"/>
  <c r="BR17" i="6"/>
  <c r="BW17" i="6"/>
  <c r="CF26" i="6"/>
  <c r="CG26" i="6" s="1"/>
  <c r="CS53" i="6"/>
  <c r="BS16" i="6"/>
  <c r="CW16" i="6" s="1"/>
  <c r="BZ20" i="6"/>
  <c r="CA20" i="6" s="1"/>
  <c r="BR20" i="6"/>
  <c r="BW20" i="6"/>
  <c r="BR19" i="6"/>
  <c r="CE19" i="6"/>
  <c r="BW19" i="6"/>
  <c r="BY19" i="6"/>
  <c r="CS19" i="6"/>
  <c r="CO19" i="6"/>
  <c r="CU19" i="6"/>
  <c r="CG19" i="6"/>
  <c r="CK19" i="6"/>
  <c r="CC19" i="6"/>
  <c r="CM19" i="6"/>
  <c r="CQ19" i="6"/>
  <c r="CA19" i="6"/>
  <c r="CI19" i="6"/>
  <c r="CG16" i="6"/>
  <c r="BR16" i="6"/>
  <c r="CS16" i="6"/>
  <c r="BW16" i="6"/>
  <c r="CC16" i="6"/>
  <c r="CA16" i="6"/>
  <c r="CE16" i="6"/>
  <c r="CK16" i="6"/>
  <c r="CM16" i="6"/>
  <c r="CQ16" i="6"/>
  <c r="CO16" i="6"/>
  <c r="CU16" i="6"/>
  <c r="CI16" i="6"/>
  <c r="BY16" i="6"/>
  <c r="BY35" i="6"/>
  <c r="CI75" i="6"/>
  <c r="CK75" i="6"/>
  <c r="CC40" i="6"/>
  <c r="CL49" i="6"/>
  <c r="CM49" i="6" s="1"/>
  <c r="CQ75" i="6"/>
  <c r="CU40" i="6"/>
  <c r="BR53" i="6"/>
  <c r="CE53" i="6"/>
  <c r="CI53" i="6"/>
  <c r="CM53" i="6"/>
  <c r="BW53" i="6"/>
  <c r="BY53" i="6"/>
  <c r="CG53" i="6"/>
  <c r="CO53" i="6"/>
  <c r="CA53" i="6"/>
  <c r="CU53" i="6"/>
  <c r="BR24" i="6"/>
  <c r="CE24" i="6"/>
  <c r="CS24" i="6"/>
  <c r="CU24" i="6"/>
  <c r="BW24" i="6"/>
  <c r="CC24" i="6"/>
  <c r="CQ24" i="6"/>
  <c r="CG24" i="6"/>
  <c r="CK24" i="6"/>
  <c r="BY24" i="6"/>
  <c r="CA17" i="6"/>
  <c r="BT14" i="6"/>
  <c r="CK53" i="6"/>
  <c r="CO75" i="6"/>
  <c r="BR31" i="6"/>
  <c r="CQ31" i="6"/>
  <c r="BY31" i="6"/>
  <c r="CC31" i="6"/>
  <c r="CU31" i="6"/>
  <c r="CM31" i="6"/>
  <c r="BW31" i="6"/>
  <c r="CI31" i="6"/>
  <c r="CE31" i="6"/>
  <c r="CA31" i="6"/>
  <c r="CG31" i="6"/>
  <c r="CS31" i="6"/>
  <c r="CK31" i="6"/>
  <c r="CO31" i="6"/>
  <c r="CC17" i="6"/>
  <c r="BV14" i="6"/>
  <c r="BS66" i="6"/>
  <c r="CW66" i="6" s="1"/>
  <c r="BZ64" i="6"/>
  <c r="CM40" i="6"/>
  <c r="BR40" i="6"/>
  <c r="BW40" i="6"/>
  <c r="BY40" i="6"/>
  <c r="CA40" i="6"/>
  <c r="CC21" i="6"/>
  <c r="CX66" i="6" l="1"/>
  <c r="CX70" i="6"/>
  <c r="CX16" i="6"/>
  <c r="CX67" i="6"/>
  <c r="BS15" i="6"/>
  <c r="CW15" i="6" s="1"/>
  <c r="CF64" i="6"/>
  <c r="CF14" i="6" s="1"/>
  <c r="CB64" i="6"/>
  <c r="BR67" i="6"/>
  <c r="BW67" i="6"/>
  <c r="BY67" i="6"/>
  <c r="CH26" i="6"/>
  <c r="CB67" i="6"/>
  <c r="CC67" i="6" s="1"/>
  <c r="BR66" i="6"/>
  <c r="CE66" i="6"/>
  <c r="CI66" i="6"/>
  <c r="CM66" i="6"/>
  <c r="CQ66" i="6"/>
  <c r="CS66" i="6"/>
  <c r="CC66" i="6"/>
  <c r="CU66" i="6"/>
  <c r="BW66" i="6"/>
  <c r="CG66" i="6"/>
  <c r="CO66" i="6"/>
  <c r="CA66" i="6"/>
  <c r="CK66" i="6"/>
  <c r="BY66" i="6"/>
  <c r="CF21" i="6"/>
  <c r="CG21" i="6" s="1"/>
  <c r="CA67" i="6"/>
  <c r="BZ14" i="6"/>
  <c r="CL85" i="6"/>
  <c r="CD49" i="6"/>
  <c r="CB20" i="6"/>
  <c r="CC20" i="6" s="1"/>
  <c r="BS14" i="6"/>
  <c r="CF17" i="6"/>
  <c r="CG17" i="6" s="1"/>
  <c r="CX15" i="6" l="1"/>
  <c r="CB14" i="6"/>
  <c r="CT21" i="6"/>
  <c r="CU21" i="6" s="1"/>
  <c r="CJ26" i="6"/>
  <c r="CH17" i="6"/>
  <c r="CI17" i="6" s="1"/>
  <c r="CS15" i="6"/>
  <c r="CG15" i="6"/>
  <c r="BW15" i="6"/>
  <c r="CI15" i="6"/>
  <c r="CU15" i="6"/>
  <c r="CM15" i="6"/>
  <c r="CA14" i="6"/>
  <c r="CA15" i="6"/>
  <c r="CQ15" i="6"/>
  <c r="CO15" i="6"/>
  <c r="CK15" i="6"/>
  <c r="BY15" i="6"/>
  <c r="CC15" i="6"/>
  <c r="CE15" i="6"/>
  <c r="BR15" i="6"/>
  <c r="CD67" i="6"/>
  <c r="CE67" i="6" s="1"/>
  <c r="CH21" i="6"/>
  <c r="CI21" i="6" s="1"/>
  <c r="CE49" i="6"/>
  <c r="CD64" i="6"/>
  <c r="CM85" i="6"/>
  <c r="CD20" i="6"/>
  <c r="CE20" i="6" s="1"/>
  <c r="CI26" i="6"/>
  <c r="CH64" i="6"/>
  <c r="CN85" i="6"/>
  <c r="CC14" i="6" l="1"/>
  <c r="CG14" i="6"/>
  <c r="CJ17" i="6"/>
  <c r="CK17" i="6" s="1"/>
  <c r="BR14" i="6"/>
  <c r="BY14" i="6"/>
  <c r="BW14" i="6"/>
  <c r="CJ21" i="6"/>
  <c r="CK21" i="6" s="1"/>
  <c r="CF67" i="6"/>
  <c r="CG67" i="6" s="1"/>
  <c r="CP85" i="6"/>
  <c r="CR26" i="6"/>
  <c r="CS26" i="6" s="1"/>
  <c r="CD14" i="6"/>
  <c r="CE14" i="6" s="1"/>
  <c r="CL26" i="6"/>
  <c r="CO85" i="6"/>
  <c r="CF20" i="6"/>
  <c r="CG20" i="6" s="1"/>
  <c r="CK26" i="6"/>
  <c r="CJ64" i="6"/>
  <c r="CH14" i="6"/>
  <c r="CI14" i="6" s="1"/>
  <c r="CN26" i="6" l="1"/>
  <c r="CR21" i="6"/>
  <c r="CS21" i="6" s="1"/>
  <c r="CQ85" i="6"/>
  <c r="CL21" i="6"/>
  <c r="CM21" i="6" s="1"/>
  <c r="CM26" i="6"/>
  <c r="CL64" i="6"/>
  <c r="CL17" i="6"/>
  <c r="CM17" i="6" s="1"/>
  <c r="CH20" i="6"/>
  <c r="CI20" i="6" s="1"/>
  <c r="CH67" i="6"/>
  <c r="CI67" i="6" s="1"/>
  <c r="CT26" i="6"/>
  <c r="CU26" i="6" s="1"/>
  <c r="CJ14" i="6"/>
  <c r="CK14" i="6" s="1"/>
  <c r="CR85" i="6"/>
  <c r="CN21" i="6" l="1"/>
  <c r="CO21" i="6" s="1"/>
  <c r="CL14" i="6"/>
  <c r="CM14" i="6" s="1"/>
  <c r="CO26" i="6"/>
  <c r="CN64" i="6"/>
  <c r="CJ67" i="6"/>
  <c r="CK67" i="6" s="1"/>
  <c r="CS85" i="6"/>
  <c r="CR64" i="6"/>
  <c r="CN17" i="6"/>
  <c r="CO17" i="6" s="1"/>
  <c r="CJ20" i="6"/>
  <c r="CK20" i="6" s="1"/>
  <c r="CP26" i="6"/>
  <c r="CT85" i="6"/>
  <c r="CL67" i="6" l="1"/>
  <c r="CM67" i="6" s="1"/>
  <c r="CQ26" i="6"/>
  <c r="CP64" i="6"/>
  <c r="CL20" i="6"/>
  <c r="CM20" i="6" s="1"/>
  <c r="CR14" i="6"/>
  <c r="CS14" i="6" s="1"/>
  <c r="CP21" i="6"/>
  <c r="CQ21" i="6" s="1"/>
  <c r="CN14" i="6"/>
  <c r="CO14" i="6" s="1"/>
  <c r="CU85" i="6"/>
  <c r="CT64" i="6"/>
  <c r="CP17" i="6"/>
  <c r="CQ17" i="6" s="1"/>
  <c r="CT14" i="6" l="1"/>
  <c r="CU14" i="6" s="1"/>
  <c r="CR67" i="6"/>
  <c r="CS67" i="6" s="1"/>
  <c r="CN67" i="6"/>
  <c r="CO67" i="6" s="1"/>
  <c r="CP14" i="6"/>
  <c r="CQ14" i="6" s="1"/>
  <c r="CN20" i="6"/>
  <c r="CO20" i="6" s="1"/>
  <c r="CR17" i="6"/>
  <c r="CS17" i="6" s="1"/>
  <c r="CP20" i="6" l="1"/>
  <c r="CQ20" i="6" s="1"/>
  <c r="CT17" i="6"/>
  <c r="CU17" i="6" s="1"/>
  <c r="CT67" i="6"/>
  <c r="CU67" i="6" s="1"/>
  <c r="CP67" i="6"/>
  <c r="CQ67" i="6" s="1"/>
  <c r="CR20" i="6" l="1"/>
  <c r="CS20" i="6" s="1"/>
  <c r="CT20" i="6" l="1"/>
  <c r="CU20" i="6" s="1"/>
  <c r="DG587" i="5" l="1"/>
  <c r="BN586" i="5"/>
  <c r="BJ586" i="5"/>
  <c r="BX585" i="5"/>
  <c r="BY585" i="5" s="1"/>
  <c r="BV585" i="5"/>
  <c r="BT585" i="5"/>
  <c r="BN585" i="5"/>
  <c r="BM585" i="5"/>
  <c r="BL585" i="5"/>
  <c r="F585" i="5"/>
  <c r="D585" i="5" s="1"/>
  <c r="BX584" i="5"/>
  <c r="BV584" i="5"/>
  <c r="BT584" i="5"/>
  <c r="BN584" i="5"/>
  <c r="O584" i="5"/>
  <c r="O583" i="5" s="1"/>
  <c r="F584" i="5"/>
  <c r="CF583" i="5"/>
  <c r="BR583" i="5"/>
  <c r="BP583" i="5"/>
  <c r="BN583" i="5"/>
  <c r="N583" i="5"/>
  <c r="M583" i="5"/>
  <c r="L583" i="5"/>
  <c r="K583" i="5"/>
  <c r="I583" i="5"/>
  <c r="H583" i="5"/>
  <c r="G583" i="5"/>
  <c r="E583" i="5"/>
  <c r="BN582" i="5"/>
  <c r="F582" i="5"/>
  <c r="BZ582" i="5" s="1"/>
  <c r="CH581" i="5"/>
  <c r="BT581" i="5"/>
  <c r="BN581" i="5"/>
  <c r="O581" i="5"/>
  <c r="O580" i="5" s="1"/>
  <c r="F581" i="5"/>
  <c r="D581" i="5" s="1"/>
  <c r="CF580" i="5"/>
  <c r="BR580" i="5"/>
  <c r="BP580" i="5"/>
  <c r="BN580" i="5"/>
  <c r="N580" i="5"/>
  <c r="M580" i="5"/>
  <c r="L580" i="5"/>
  <c r="K580" i="5"/>
  <c r="I580" i="5"/>
  <c r="H580" i="5"/>
  <c r="G580" i="5"/>
  <c r="E580" i="5"/>
  <c r="BN579" i="5"/>
  <c r="F579" i="5"/>
  <c r="BJ579" i="5" s="1"/>
  <c r="BN578" i="5"/>
  <c r="O578" i="5"/>
  <c r="F578" i="5"/>
  <c r="D578" i="5" s="1"/>
  <c r="CO578" i="5" s="1"/>
  <c r="BN577" i="5"/>
  <c r="O577" i="5"/>
  <c r="F577" i="5"/>
  <c r="D577" i="5" s="1"/>
  <c r="CO577" i="5" s="1"/>
  <c r="BN576" i="5"/>
  <c r="O576" i="5"/>
  <c r="F576" i="5"/>
  <c r="CN575" i="5"/>
  <c r="CL575" i="5"/>
  <c r="CL574" i="5" s="1"/>
  <c r="CJ575" i="5"/>
  <c r="CJ574" i="5" s="1"/>
  <c r="CH575" i="5"/>
  <c r="CH574" i="5" s="1"/>
  <c r="CF575" i="5"/>
  <c r="CF574" i="5" s="1"/>
  <c r="CD575" i="5"/>
  <c r="CD574" i="5" s="1"/>
  <c r="CB575" i="5"/>
  <c r="BZ575" i="5"/>
  <c r="BZ574" i="5" s="1"/>
  <c r="BX575" i="5"/>
  <c r="BV575" i="5"/>
  <c r="BT575" i="5"/>
  <c r="BR575" i="5"/>
  <c r="BP575" i="5"/>
  <c r="BN575" i="5"/>
  <c r="L575" i="5"/>
  <c r="L574" i="5" s="1"/>
  <c r="K575" i="5"/>
  <c r="K574" i="5" s="1"/>
  <c r="I575" i="5"/>
  <c r="I574" i="5" s="1"/>
  <c r="H575" i="5"/>
  <c r="H574" i="5" s="1"/>
  <c r="G575" i="5"/>
  <c r="G574" i="5" s="1"/>
  <c r="E575" i="5"/>
  <c r="CN574" i="5"/>
  <c r="BV574" i="5"/>
  <c r="BT574" i="5"/>
  <c r="BR574" i="5"/>
  <c r="BN574" i="5"/>
  <c r="N574" i="5"/>
  <c r="M574" i="5"/>
  <c r="BN573" i="5"/>
  <c r="O573" i="5"/>
  <c r="F573" i="5"/>
  <c r="CL573" i="5" s="1"/>
  <c r="CL572" i="5" s="1"/>
  <c r="CF572" i="5"/>
  <c r="BR572" i="5"/>
  <c r="BP572" i="5"/>
  <c r="BN572" i="5"/>
  <c r="L572" i="5"/>
  <c r="K572" i="5"/>
  <c r="I572" i="5"/>
  <c r="H572" i="5"/>
  <c r="G572" i="5"/>
  <c r="E572" i="5"/>
  <c r="BN571" i="5"/>
  <c r="O571" i="5"/>
  <c r="F571" i="5"/>
  <c r="BZ571" i="5" s="1"/>
  <c r="BZ570" i="5" s="1"/>
  <c r="CF570" i="5"/>
  <c r="BR570" i="5"/>
  <c r="BP570" i="5"/>
  <c r="BN570" i="5"/>
  <c r="L570" i="5"/>
  <c r="K570" i="5"/>
  <c r="I570" i="5"/>
  <c r="H570" i="5"/>
  <c r="G570" i="5"/>
  <c r="F570" i="5"/>
  <c r="E570" i="5"/>
  <c r="BN569" i="5"/>
  <c r="F569" i="5"/>
  <c r="CL569" i="5" s="1"/>
  <c r="BN568" i="5"/>
  <c r="O568" i="5"/>
  <c r="O567" i="5" s="1"/>
  <c r="F568" i="5"/>
  <c r="CF567" i="5"/>
  <c r="BR567" i="5"/>
  <c r="BP567" i="5"/>
  <c r="BN567" i="5"/>
  <c r="N567" i="5"/>
  <c r="M567" i="5"/>
  <c r="L567" i="5"/>
  <c r="K567" i="5"/>
  <c r="I567" i="5"/>
  <c r="H567" i="5"/>
  <c r="G567" i="5"/>
  <c r="E567" i="5"/>
  <c r="BN566" i="5"/>
  <c r="F566" i="5"/>
  <c r="BN565" i="5"/>
  <c r="O565" i="5"/>
  <c r="O564" i="5" s="1"/>
  <c r="F565" i="5"/>
  <c r="CF564" i="5"/>
  <c r="BR564" i="5"/>
  <c r="BP564" i="5"/>
  <c r="BN564" i="5"/>
  <c r="N564" i="5"/>
  <c r="M564" i="5"/>
  <c r="L564" i="5"/>
  <c r="K564" i="5"/>
  <c r="I564" i="5"/>
  <c r="H564" i="5"/>
  <c r="G564" i="5"/>
  <c r="E564" i="5"/>
  <c r="CN563" i="5"/>
  <c r="CL563" i="5"/>
  <c r="CL561" i="5" s="1"/>
  <c r="BN563" i="5"/>
  <c r="F563" i="5"/>
  <c r="BN562" i="5"/>
  <c r="O562" i="5"/>
  <c r="F562" i="5"/>
  <c r="CJ561" i="5"/>
  <c r="CH561" i="5"/>
  <c r="CF561" i="5"/>
  <c r="CD561" i="5"/>
  <c r="CB561" i="5"/>
  <c r="BZ561" i="5"/>
  <c r="BX561" i="5"/>
  <c r="BV561" i="5"/>
  <c r="BT561" i="5"/>
  <c r="BR561" i="5"/>
  <c r="BP561" i="5"/>
  <c r="BN561" i="5"/>
  <c r="O561" i="5"/>
  <c r="N561" i="5"/>
  <c r="M561" i="5"/>
  <c r="L561" i="5"/>
  <c r="K561" i="5"/>
  <c r="I561" i="5"/>
  <c r="H561" i="5"/>
  <c r="G561" i="5"/>
  <c r="E561" i="5"/>
  <c r="CN560" i="5"/>
  <c r="CL560" i="5"/>
  <c r="CL558" i="5" s="1"/>
  <c r="CJ560" i="5"/>
  <c r="CJ558" i="5" s="1"/>
  <c r="CH560" i="5"/>
  <c r="CF560" i="5"/>
  <c r="CF558" i="5" s="1"/>
  <c r="CD560" i="5"/>
  <c r="CD558" i="5" s="1"/>
  <c r="CB560" i="5"/>
  <c r="BZ560" i="5"/>
  <c r="BZ558" i="5" s="1"/>
  <c r="BX560" i="5"/>
  <c r="BV560" i="5"/>
  <c r="BT560" i="5"/>
  <c r="BN560" i="5"/>
  <c r="F560" i="5"/>
  <c r="BJ560" i="5" s="1"/>
  <c r="BR559" i="5"/>
  <c r="BR558" i="5" s="1"/>
  <c r="BN559" i="5"/>
  <c r="O559" i="5"/>
  <c r="O558" i="5" s="1"/>
  <c r="F559" i="5"/>
  <c r="D559" i="5" s="1"/>
  <c r="BL559" i="5" s="1"/>
  <c r="BP558" i="5"/>
  <c r="BN558" i="5"/>
  <c r="N558" i="5"/>
  <c r="M558" i="5"/>
  <c r="L558" i="5"/>
  <c r="K558" i="5"/>
  <c r="I558" i="5"/>
  <c r="H558" i="5"/>
  <c r="G558" i="5"/>
  <c r="E558" i="5"/>
  <c r="BN557" i="5"/>
  <c r="O557" i="5"/>
  <c r="F557" i="5"/>
  <c r="BX557" i="5" s="1"/>
  <c r="BX556" i="5" s="1"/>
  <c r="CF556" i="5"/>
  <c r="BR556" i="5"/>
  <c r="BP556" i="5"/>
  <c r="BN556" i="5"/>
  <c r="L556" i="5"/>
  <c r="K556" i="5"/>
  <c r="I556" i="5"/>
  <c r="H556" i="5"/>
  <c r="G556" i="5"/>
  <c r="F556" i="5"/>
  <c r="E556" i="5"/>
  <c r="CN555" i="5"/>
  <c r="CN553" i="5" s="1"/>
  <c r="CB555" i="5"/>
  <c r="CB553" i="5" s="1"/>
  <c r="BZ555" i="5"/>
  <c r="BV555" i="5"/>
  <c r="BV553" i="5" s="1"/>
  <c r="BN555" i="5"/>
  <c r="F555" i="5"/>
  <c r="CL555" i="5" s="1"/>
  <c r="BZ554" i="5"/>
  <c r="BN554" i="5"/>
  <c r="O554" i="5"/>
  <c r="F554" i="5"/>
  <c r="D554" i="5" s="1"/>
  <c r="CF553" i="5"/>
  <c r="BX553" i="5"/>
  <c r="BT553" i="5"/>
  <c r="BR553" i="5"/>
  <c r="BP553" i="5"/>
  <c r="BN553" i="5"/>
  <c r="O553" i="5"/>
  <c r="N553" i="5"/>
  <c r="M553" i="5"/>
  <c r="L553" i="5"/>
  <c r="K553" i="5"/>
  <c r="I553" i="5"/>
  <c r="H553" i="5"/>
  <c r="G553" i="5"/>
  <c r="E553" i="5"/>
  <c r="BN552" i="5"/>
  <c r="BM552" i="5"/>
  <c r="BJ552" i="5"/>
  <c r="D552" i="5"/>
  <c r="CM552" i="5" s="1"/>
  <c r="CN551" i="5"/>
  <c r="CL551" i="5"/>
  <c r="CJ551" i="5"/>
  <c r="CH551" i="5"/>
  <c r="CF551" i="5"/>
  <c r="CD551" i="5"/>
  <c r="CB551" i="5"/>
  <c r="BZ551" i="5"/>
  <c r="BX551" i="5"/>
  <c r="BV551" i="5"/>
  <c r="BT551" i="5"/>
  <c r="BT550" i="5" s="1"/>
  <c r="BR551" i="5"/>
  <c r="BP551" i="5"/>
  <c r="BN551" i="5"/>
  <c r="O551" i="5"/>
  <c r="N551" i="5"/>
  <c r="M551" i="5"/>
  <c r="L551" i="5"/>
  <c r="K551" i="5"/>
  <c r="I551" i="5"/>
  <c r="H551" i="5"/>
  <c r="G551" i="5"/>
  <c r="G550" i="5" s="1"/>
  <c r="F551" i="5"/>
  <c r="E551" i="5"/>
  <c r="BN550" i="5"/>
  <c r="BN549" i="5"/>
  <c r="O549" i="5"/>
  <c r="F549" i="5"/>
  <c r="F548" i="5" s="1"/>
  <c r="CF548" i="5"/>
  <c r="BR548" i="5"/>
  <c r="BP548" i="5"/>
  <c r="BN548" i="5"/>
  <c r="L548" i="5"/>
  <c r="K548" i="5"/>
  <c r="I548" i="5"/>
  <c r="H548" i="5"/>
  <c r="G548" i="5"/>
  <c r="O548" i="5" s="1"/>
  <c r="E548" i="5"/>
  <c r="BN547" i="5"/>
  <c r="O547" i="5"/>
  <c r="F547" i="5"/>
  <c r="CN547" i="5" s="1"/>
  <c r="CF546" i="5"/>
  <c r="BR546" i="5"/>
  <c r="BP546" i="5"/>
  <c r="BN546" i="5"/>
  <c r="L546" i="5"/>
  <c r="K546" i="5"/>
  <c r="I546" i="5"/>
  <c r="H546" i="5"/>
  <c r="G546" i="5"/>
  <c r="E546" i="5"/>
  <c r="CB545" i="5"/>
  <c r="BZ545" i="5"/>
  <c r="BX545" i="5"/>
  <c r="BV545" i="5"/>
  <c r="BT545" i="5"/>
  <c r="BN545" i="5"/>
  <c r="F545" i="5"/>
  <c r="BJ545" i="5" s="1"/>
  <c r="BN544" i="5"/>
  <c r="O544" i="5"/>
  <c r="F544" i="5"/>
  <c r="BN543" i="5"/>
  <c r="O543" i="5"/>
  <c r="F543" i="5"/>
  <c r="CN542" i="5"/>
  <c r="CL542" i="5"/>
  <c r="CJ542" i="5"/>
  <c r="CJ541" i="5" s="1"/>
  <c r="CH542" i="5"/>
  <c r="CF542" i="5"/>
  <c r="CF541" i="5" s="1"/>
  <c r="CD542" i="5"/>
  <c r="CD541" i="5" s="1"/>
  <c r="CB542" i="5"/>
  <c r="CB541" i="5" s="1"/>
  <c r="BZ542" i="5"/>
  <c r="BZ541" i="5" s="1"/>
  <c r="BX542" i="5"/>
  <c r="BV542" i="5"/>
  <c r="BT542" i="5"/>
  <c r="BR542" i="5"/>
  <c r="BR541" i="5" s="1"/>
  <c r="BP542" i="5"/>
  <c r="BN542" i="5"/>
  <c r="L542" i="5"/>
  <c r="L541" i="5" s="1"/>
  <c r="K542" i="5"/>
  <c r="K541" i="5" s="1"/>
  <c r="I542" i="5"/>
  <c r="I541" i="5" s="1"/>
  <c r="H542" i="5"/>
  <c r="G542" i="5"/>
  <c r="E542" i="5"/>
  <c r="CN541" i="5"/>
  <c r="CL541" i="5"/>
  <c r="BP541" i="5"/>
  <c r="BN541" i="5"/>
  <c r="R541" i="5"/>
  <c r="N541" i="5"/>
  <c r="M541" i="5"/>
  <c r="H541" i="5"/>
  <c r="CN540" i="5"/>
  <c r="CL540" i="5"/>
  <c r="BN540" i="5"/>
  <c r="F540" i="5"/>
  <c r="BJ540" i="5" s="1"/>
  <c r="BN539" i="5"/>
  <c r="O539" i="5"/>
  <c r="F539" i="5"/>
  <c r="D539" i="5" s="1"/>
  <c r="BT538" i="5"/>
  <c r="BN538" i="5"/>
  <c r="O538" i="5"/>
  <c r="F538" i="5"/>
  <c r="BJ538" i="5" s="1"/>
  <c r="D538" i="5"/>
  <c r="CN537" i="5"/>
  <c r="CN536" i="5" s="1"/>
  <c r="CL537" i="5"/>
  <c r="CJ537" i="5"/>
  <c r="CJ536" i="5" s="1"/>
  <c r="CH537" i="5"/>
  <c r="CH536" i="5" s="1"/>
  <c r="CF537" i="5"/>
  <c r="CF536" i="5" s="1"/>
  <c r="CD537" i="5"/>
  <c r="CD536" i="5" s="1"/>
  <c r="CB537" i="5"/>
  <c r="CB536" i="5" s="1"/>
  <c r="BZ537" i="5"/>
  <c r="BX537" i="5"/>
  <c r="BX536" i="5" s="1"/>
  <c r="BV537" i="5"/>
  <c r="BV536" i="5" s="1"/>
  <c r="BR537" i="5"/>
  <c r="BR536" i="5" s="1"/>
  <c r="BP537" i="5"/>
  <c r="BP536" i="5" s="1"/>
  <c r="BN537" i="5"/>
  <c r="L537" i="5"/>
  <c r="L536" i="5" s="1"/>
  <c r="K537" i="5"/>
  <c r="K536" i="5" s="1"/>
  <c r="I537" i="5"/>
  <c r="I536" i="5" s="1"/>
  <c r="H537" i="5"/>
  <c r="H536" i="5" s="1"/>
  <c r="G537" i="5"/>
  <c r="G536" i="5" s="1"/>
  <c r="E537" i="5"/>
  <c r="E536" i="5" s="1"/>
  <c r="BZ536" i="5"/>
  <c r="BN536" i="5"/>
  <c r="N536" i="5"/>
  <c r="M536" i="5"/>
  <c r="CJ535" i="5"/>
  <c r="CJ534" i="5" s="1"/>
  <c r="CB535" i="5"/>
  <c r="BR535" i="5"/>
  <c r="BT535" i="5" s="1"/>
  <c r="BN535" i="5"/>
  <c r="BM535" i="5"/>
  <c r="CQ535" i="5" s="1"/>
  <c r="BJ535" i="5"/>
  <c r="D535" i="5"/>
  <c r="D534" i="5" s="1"/>
  <c r="Q534" i="5" s="1"/>
  <c r="CN534" i="5"/>
  <c r="CL534" i="5"/>
  <c r="CH534" i="5"/>
  <c r="BZ534" i="5"/>
  <c r="BR534" i="5"/>
  <c r="BP534" i="5"/>
  <c r="BQ534" i="5" s="1"/>
  <c r="BN534" i="5"/>
  <c r="O534" i="5"/>
  <c r="N534" i="5"/>
  <c r="M534" i="5"/>
  <c r="M533" i="5" s="1"/>
  <c r="L534" i="5"/>
  <c r="K534" i="5"/>
  <c r="I534" i="5"/>
  <c r="I533" i="5" s="1"/>
  <c r="H534" i="5"/>
  <c r="H533" i="5" s="1"/>
  <c r="G534" i="5"/>
  <c r="F534" i="5"/>
  <c r="E534" i="5"/>
  <c r="BN533" i="5"/>
  <c r="BN532" i="5"/>
  <c r="F532" i="5"/>
  <c r="BN531" i="5"/>
  <c r="O531" i="5"/>
  <c r="O530" i="5" s="1"/>
  <c r="F531" i="5"/>
  <c r="D531" i="5" s="1"/>
  <c r="CE531" i="5" s="1"/>
  <c r="CN530" i="5"/>
  <c r="CL530" i="5"/>
  <c r="CJ530" i="5"/>
  <c r="CH530" i="5"/>
  <c r="CF530" i="5"/>
  <c r="CD530" i="5"/>
  <c r="CB530" i="5"/>
  <c r="BZ530" i="5"/>
  <c r="BX530" i="5"/>
  <c r="BV530" i="5"/>
  <c r="BT530" i="5"/>
  <c r="BR530" i="5"/>
  <c r="BP530" i="5"/>
  <c r="BN530" i="5"/>
  <c r="N530" i="5"/>
  <c r="M530" i="5"/>
  <c r="L530" i="5"/>
  <c r="K530" i="5"/>
  <c r="I530" i="5"/>
  <c r="H530" i="5"/>
  <c r="G530" i="5"/>
  <c r="E530" i="5"/>
  <c r="CD529" i="5"/>
  <c r="CB529" i="5"/>
  <c r="BZ529" i="5"/>
  <c r="BX529" i="5"/>
  <c r="BV529" i="5"/>
  <c r="BR529" i="5"/>
  <c r="BN529" i="5"/>
  <c r="F529" i="5"/>
  <c r="BN528" i="5"/>
  <c r="O528" i="5"/>
  <c r="F528" i="5"/>
  <c r="BJ528" i="5" s="1"/>
  <c r="BN527" i="5"/>
  <c r="O527" i="5"/>
  <c r="F527" i="5"/>
  <c r="CN526" i="5"/>
  <c r="CL526" i="5"/>
  <c r="CL525" i="5" s="1"/>
  <c r="CJ526" i="5"/>
  <c r="CJ525" i="5" s="1"/>
  <c r="CH526" i="5"/>
  <c r="CH525" i="5" s="1"/>
  <c r="CF526" i="5"/>
  <c r="CD526" i="5"/>
  <c r="CB526" i="5"/>
  <c r="BZ526" i="5"/>
  <c r="BX526" i="5"/>
  <c r="BV526" i="5"/>
  <c r="BT526" i="5"/>
  <c r="BR526" i="5"/>
  <c r="BP526" i="5"/>
  <c r="BP525" i="5" s="1"/>
  <c r="BN526" i="5"/>
  <c r="L526" i="5"/>
  <c r="L525" i="5" s="1"/>
  <c r="K526" i="5"/>
  <c r="K525" i="5" s="1"/>
  <c r="I526" i="5"/>
  <c r="H526" i="5"/>
  <c r="H525" i="5" s="1"/>
  <c r="G526" i="5"/>
  <c r="E526" i="5"/>
  <c r="CF525" i="5"/>
  <c r="BT525" i="5"/>
  <c r="BN525" i="5"/>
  <c r="N525" i="5"/>
  <c r="M525" i="5"/>
  <c r="G525" i="5"/>
  <c r="BN524" i="5"/>
  <c r="F524" i="5"/>
  <c r="CN524" i="5" s="1"/>
  <c r="BN523" i="5"/>
  <c r="O523" i="5"/>
  <c r="O522" i="5" s="1"/>
  <c r="F523" i="5"/>
  <c r="CF522" i="5"/>
  <c r="BR522" i="5"/>
  <c r="BP522" i="5"/>
  <c r="BN522" i="5"/>
  <c r="N522" i="5"/>
  <c r="M522" i="5"/>
  <c r="L522" i="5"/>
  <c r="K522" i="5"/>
  <c r="I522" i="5"/>
  <c r="H522" i="5"/>
  <c r="G522" i="5"/>
  <c r="E522" i="5"/>
  <c r="BN521" i="5"/>
  <c r="BJ521" i="5"/>
  <c r="F521" i="5"/>
  <c r="BN520" i="5"/>
  <c r="O520" i="5"/>
  <c r="O519" i="5" s="1"/>
  <c r="F520" i="5"/>
  <c r="BR519" i="5"/>
  <c r="BP519" i="5"/>
  <c r="BN519" i="5"/>
  <c r="N519" i="5"/>
  <c r="M519" i="5"/>
  <c r="L519" i="5"/>
  <c r="K519" i="5"/>
  <c r="I519" i="5"/>
  <c r="H519" i="5"/>
  <c r="G519" i="5"/>
  <c r="E519" i="5"/>
  <c r="BN518" i="5"/>
  <c r="F518" i="5"/>
  <c r="BN517" i="5"/>
  <c r="O517" i="5"/>
  <c r="F517" i="5"/>
  <c r="CN516" i="5"/>
  <c r="CL516" i="5"/>
  <c r="CJ516" i="5"/>
  <c r="CH516" i="5"/>
  <c r="CF516" i="5"/>
  <c r="CD516" i="5"/>
  <c r="CB516" i="5"/>
  <c r="BZ516" i="5"/>
  <c r="BX516" i="5"/>
  <c r="BV516" i="5"/>
  <c r="BT516" i="5"/>
  <c r="BR516" i="5"/>
  <c r="BP516" i="5"/>
  <c r="BN516" i="5"/>
  <c r="O516" i="5"/>
  <c r="N516" i="5"/>
  <c r="M516" i="5"/>
  <c r="L516" i="5"/>
  <c r="K516" i="5"/>
  <c r="I516" i="5"/>
  <c r="H516" i="5"/>
  <c r="G516" i="5"/>
  <c r="E516" i="5"/>
  <c r="CN515" i="5"/>
  <c r="CL515" i="5"/>
  <c r="CL513" i="5" s="1"/>
  <c r="CJ515" i="5"/>
  <c r="CH515" i="5"/>
  <c r="CF515" i="5"/>
  <c r="CD515" i="5"/>
  <c r="CB515" i="5"/>
  <c r="BZ515" i="5"/>
  <c r="BX515" i="5"/>
  <c r="BV515" i="5"/>
  <c r="BT515" i="5"/>
  <c r="BT513" i="5" s="1"/>
  <c r="BR515" i="5"/>
  <c r="BR513" i="5" s="1"/>
  <c r="BN515" i="5"/>
  <c r="F515" i="5"/>
  <c r="BN514" i="5"/>
  <c r="O514" i="5"/>
  <c r="O513" i="5" s="1"/>
  <c r="F514" i="5"/>
  <c r="CJ513" i="5"/>
  <c r="CH513" i="5"/>
  <c r="BP513" i="5"/>
  <c r="BN513" i="5"/>
  <c r="N513" i="5"/>
  <c r="M513" i="5"/>
  <c r="L513" i="5"/>
  <c r="K513" i="5"/>
  <c r="I513" i="5"/>
  <c r="H513" i="5"/>
  <c r="G513" i="5"/>
  <c r="E513" i="5"/>
  <c r="BN512" i="5"/>
  <c r="BM512" i="5"/>
  <c r="BJ512" i="5"/>
  <c r="D512" i="5"/>
  <c r="CE512" i="5" s="1"/>
  <c r="CN511" i="5"/>
  <c r="CL511" i="5"/>
  <c r="CJ511" i="5"/>
  <c r="CH511" i="5"/>
  <c r="CF511" i="5"/>
  <c r="CD511" i="5"/>
  <c r="CB511" i="5"/>
  <c r="BZ511" i="5"/>
  <c r="BX511" i="5"/>
  <c r="BV511" i="5"/>
  <c r="BT511" i="5"/>
  <c r="BR511" i="5"/>
  <c r="BR510" i="5" s="1"/>
  <c r="BP511" i="5"/>
  <c r="BN511" i="5"/>
  <c r="P511" i="5"/>
  <c r="O511" i="5"/>
  <c r="N511" i="5"/>
  <c r="M511" i="5"/>
  <c r="L511" i="5"/>
  <c r="L510" i="5" s="1"/>
  <c r="K511" i="5"/>
  <c r="K510" i="5" s="1"/>
  <c r="I511" i="5"/>
  <c r="I510" i="5" s="1"/>
  <c r="H511" i="5"/>
  <c r="H510" i="5" s="1"/>
  <c r="G511" i="5"/>
  <c r="G510" i="5" s="1"/>
  <c r="F511" i="5"/>
  <c r="E511" i="5"/>
  <c r="BN510" i="5"/>
  <c r="BN509" i="5"/>
  <c r="O509" i="5"/>
  <c r="F509" i="5"/>
  <c r="CJ509" i="5" s="1"/>
  <c r="CJ508" i="5" s="1"/>
  <c r="CF508" i="5"/>
  <c r="BR508" i="5"/>
  <c r="BP508" i="5"/>
  <c r="BN508" i="5"/>
  <c r="L508" i="5"/>
  <c r="K508" i="5"/>
  <c r="I508" i="5"/>
  <c r="H508" i="5"/>
  <c r="G508" i="5"/>
  <c r="E508" i="5"/>
  <c r="BN507" i="5"/>
  <c r="F507" i="5"/>
  <c r="D507" i="5" s="1"/>
  <c r="BN506" i="5"/>
  <c r="O506" i="5"/>
  <c r="O505" i="5" s="1"/>
  <c r="F506" i="5"/>
  <c r="BJ506" i="5" s="1"/>
  <c r="CN505" i="5"/>
  <c r="CL505" i="5"/>
  <c r="CJ505" i="5"/>
  <c r="CH505" i="5"/>
  <c r="CF505" i="5"/>
  <c r="CD505" i="5"/>
  <c r="CB505" i="5"/>
  <c r="BZ505" i="5"/>
  <c r="BX505" i="5"/>
  <c r="BV505" i="5"/>
  <c r="BT505" i="5"/>
  <c r="BR505" i="5"/>
  <c r="BP505" i="5"/>
  <c r="BN505" i="5"/>
  <c r="N505" i="5"/>
  <c r="M505" i="5"/>
  <c r="L505" i="5"/>
  <c r="K505" i="5"/>
  <c r="I505" i="5"/>
  <c r="H505" i="5"/>
  <c r="G505" i="5"/>
  <c r="E505" i="5"/>
  <c r="BN504" i="5"/>
  <c r="BM504" i="5"/>
  <c r="BJ504" i="5"/>
  <c r="D504" i="5"/>
  <c r="CN503" i="5"/>
  <c r="CL503" i="5"/>
  <c r="CJ503" i="5"/>
  <c r="CH503" i="5"/>
  <c r="CF503" i="5"/>
  <c r="CD503" i="5"/>
  <c r="CB503" i="5"/>
  <c r="BZ503" i="5"/>
  <c r="BX503" i="5"/>
  <c r="BV503" i="5"/>
  <c r="BT503" i="5"/>
  <c r="BT502" i="5" s="1"/>
  <c r="BR503" i="5"/>
  <c r="BR502" i="5" s="1"/>
  <c r="BP503" i="5"/>
  <c r="BP502" i="5" s="1"/>
  <c r="BN503" i="5"/>
  <c r="P503" i="5"/>
  <c r="O503" i="5"/>
  <c r="N503" i="5"/>
  <c r="M503" i="5"/>
  <c r="L503" i="5"/>
  <c r="K503" i="5"/>
  <c r="I503" i="5"/>
  <c r="H503" i="5"/>
  <c r="G503" i="5"/>
  <c r="F503" i="5"/>
  <c r="E503" i="5"/>
  <c r="D503" i="5"/>
  <c r="BN502" i="5"/>
  <c r="BN501" i="5"/>
  <c r="F501" i="5"/>
  <c r="CB501" i="5" s="1"/>
  <c r="BN500" i="5"/>
  <c r="O500" i="5"/>
  <c r="F500" i="5"/>
  <c r="BZ500" i="5" s="1"/>
  <c r="BN499" i="5"/>
  <c r="O499" i="5"/>
  <c r="F499" i="5"/>
  <c r="CH499" i="5" s="1"/>
  <c r="BR498" i="5"/>
  <c r="BP498" i="5"/>
  <c r="BP497" i="5" s="1"/>
  <c r="BN498" i="5"/>
  <c r="L498" i="5"/>
  <c r="L497" i="5" s="1"/>
  <c r="K498" i="5"/>
  <c r="K497" i="5" s="1"/>
  <c r="I498" i="5"/>
  <c r="H498" i="5"/>
  <c r="H497" i="5" s="1"/>
  <c r="G498" i="5"/>
  <c r="E498" i="5"/>
  <c r="CF497" i="5"/>
  <c r="BN497" i="5"/>
  <c r="N497" i="5"/>
  <c r="M497" i="5"/>
  <c r="I497" i="5"/>
  <c r="BN496" i="5"/>
  <c r="F496" i="5"/>
  <c r="CL496" i="5" s="1"/>
  <c r="D496" i="5"/>
  <c r="BQ496" i="5" s="1"/>
  <c r="BN495" i="5"/>
  <c r="O495" i="5"/>
  <c r="O494" i="5" s="1"/>
  <c r="F495" i="5"/>
  <c r="BR494" i="5"/>
  <c r="BP494" i="5"/>
  <c r="BN494" i="5"/>
  <c r="N494" i="5"/>
  <c r="M494" i="5"/>
  <c r="L494" i="5"/>
  <c r="K494" i="5"/>
  <c r="I494" i="5"/>
  <c r="H494" i="5"/>
  <c r="G494" i="5"/>
  <c r="E494" i="5"/>
  <c r="BN493" i="5"/>
  <c r="F493" i="5"/>
  <c r="D493" i="5" s="1"/>
  <c r="BN492" i="5"/>
  <c r="O492" i="5"/>
  <c r="O491" i="5" s="1"/>
  <c r="F492" i="5"/>
  <c r="CN491" i="5"/>
  <c r="CL491" i="5"/>
  <c r="CJ491" i="5"/>
  <c r="CH491" i="5"/>
  <c r="CF491" i="5"/>
  <c r="CD491" i="5"/>
  <c r="CB491" i="5"/>
  <c r="BZ491" i="5"/>
  <c r="BX491" i="5"/>
  <c r="BV491" i="5"/>
  <c r="BT491" i="5"/>
  <c r="BR491" i="5"/>
  <c r="BP491" i="5"/>
  <c r="BN491" i="5"/>
  <c r="N491" i="5"/>
  <c r="M491" i="5"/>
  <c r="L491" i="5"/>
  <c r="K491" i="5"/>
  <c r="I491" i="5"/>
  <c r="H491" i="5"/>
  <c r="G491" i="5"/>
  <c r="E491" i="5"/>
  <c r="CN490" i="5"/>
  <c r="CN488" i="5" s="1"/>
  <c r="BN490" i="5"/>
  <c r="F490" i="5"/>
  <c r="BM490" i="5" s="1"/>
  <c r="D490" i="5"/>
  <c r="BZ489" i="5"/>
  <c r="BZ488" i="5" s="1"/>
  <c r="BN489" i="5"/>
  <c r="O489" i="5"/>
  <c r="O488" i="5" s="1"/>
  <c r="F489" i="5"/>
  <c r="CL488" i="5"/>
  <c r="CJ488" i="5"/>
  <c r="CH488" i="5"/>
  <c r="CF488" i="5"/>
  <c r="CD488" i="5"/>
  <c r="CB488" i="5"/>
  <c r="BX488" i="5"/>
  <c r="BV488" i="5"/>
  <c r="BT488" i="5"/>
  <c r="BR488" i="5"/>
  <c r="BP488" i="5"/>
  <c r="BN488" i="5"/>
  <c r="N488" i="5"/>
  <c r="M488" i="5"/>
  <c r="L488" i="5"/>
  <c r="K488" i="5"/>
  <c r="I488" i="5"/>
  <c r="H488" i="5"/>
  <c r="G488" i="5"/>
  <c r="E488" i="5"/>
  <c r="BN487" i="5"/>
  <c r="F487" i="5"/>
  <c r="BM487" i="5" s="1"/>
  <c r="CP487" i="5" s="1"/>
  <c r="BN486" i="5"/>
  <c r="O486" i="5"/>
  <c r="F486" i="5"/>
  <c r="BN485" i="5"/>
  <c r="O485" i="5"/>
  <c r="F485" i="5"/>
  <c r="BJ485" i="5" s="1"/>
  <c r="CN484" i="5"/>
  <c r="CN483" i="5" s="1"/>
  <c r="CL484" i="5"/>
  <c r="CL483" i="5" s="1"/>
  <c r="CJ484" i="5"/>
  <c r="CJ483" i="5" s="1"/>
  <c r="CH484" i="5"/>
  <c r="CH483" i="5" s="1"/>
  <c r="CF484" i="5"/>
  <c r="CF483" i="5" s="1"/>
  <c r="CD484" i="5"/>
  <c r="CD483" i="5" s="1"/>
  <c r="CB484" i="5"/>
  <c r="BZ484" i="5"/>
  <c r="BX484" i="5"/>
  <c r="BX483" i="5" s="1"/>
  <c r="BV484" i="5"/>
  <c r="BV483" i="5" s="1"/>
  <c r="BT484" i="5"/>
  <c r="BT483" i="5" s="1"/>
  <c r="BR484" i="5"/>
  <c r="BR483" i="5" s="1"/>
  <c r="BP484" i="5"/>
  <c r="BN484" i="5"/>
  <c r="L484" i="5"/>
  <c r="L483" i="5" s="1"/>
  <c r="K484" i="5"/>
  <c r="K483" i="5" s="1"/>
  <c r="I484" i="5"/>
  <c r="I483" i="5" s="1"/>
  <c r="H484" i="5"/>
  <c r="H483" i="5" s="1"/>
  <c r="G484" i="5"/>
  <c r="E484" i="5"/>
  <c r="E483" i="5" s="1"/>
  <c r="CB483" i="5"/>
  <c r="BZ483" i="5"/>
  <c r="BP483" i="5"/>
  <c r="BN483" i="5"/>
  <c r="P483" i="5"/>
  <c r="N483" i="5"/>
  <c r="M483" i="5"/>
  <c r="CN482" i="5"/>
  <c r="CL482" i="5"/>
  <c r="CJ482" i="5"/>
  <c r="BN482" i="5"/>
  <c r="F482" i="5"/>
  <c r="BN481" i="5"/>
  <c r="O481" i="5"/>
  <c r="F481" i="5"/>
  <c r="BJ481" i="5" s="1"/>
  <c r="BN480" i="5"/>
  <c r="O480" i="5"/>
  <c r="F480" i="5"/>
  <c r="BM480" i="5" s="1"/>
  <c r="CP480" i="5" s="1"/>
  <c r="BR479" i="5"/>
  <c r="BR478" i="5" s="1"/>
  <c r="BR477" i="5" s="1"/>
  <c r="BN479" i="5"/>
  <c r="O479" i="5"/>
  <c r="H479" i="5"/>
  <c r="CN478" i="5"/>
  <c r="CL478" i="5"/>
  <c r="CJ478" i="5"/>
  <c r="CH478" i="5"/>
  <c r="CH477" i="5" s="1"/>
  <c r="CF478" i="5"/>
  <c r="CF477" i="5" s="1"/>
  <c r="CD478" i="5"/>
  <c r="CD477" i="5" s="1"/>
  <c r="CB478" i="5"/>
  <c r="CB477" i="5" s="1"/>
  <c r="BZ478" i="5"/>
  <c r="BX478" i="5"/>
  <c r="BX477" i="5" s="1"/>
  <c r="BV478" i="5"/>
  <c r="BV477" i="5" s="1"/>
  <c r="BT478" i="5"/>
  <c r="BT477" i="5" s="1"/>
  <c r="BP478" i="5"/>
  <c r="BP477" i="5" s="1"/>
  <c r="BN478" i="5"/>
  <c r="L478" i="5"/>
  <c r="K478" i="5"/>
  <c r="K477" i="5" s="1"/>
  <c r="I478" i="5"/>
  <c r="G478" i="5"/>
  <c r="G477" i="5" s="1"/>
  <c r="E478" i="5"/>
  <c r="BN477" i="5"/>
  <c r="N477" i="5"/>
  <c r="M477" i="5"/>
  <c r="L477" i="5"/>
  <c r="BN476" i="5"/>
  <c r="F476" i="5"/>
  <c r="BN475" i="5"/>
  <c r="O475" i="5"/>
  <c r="F475" i="5"/>
  <c r="D475" i="5" s="1"/>
  <c r="BN474" i="5"/>
  <c r="O474" i="5"/>
  <c r="F474" i="5"/>
  <c r="D474" i="5" s="1"/>
  <c r="CO474" i="5" s="1"/>
  <c r="CN473" i="5"/>
  <c r="CL473" i="5"/>
  <c r="CJ473" i="5"/>
  <c r="CJ472" i="5" s="1"/>
  <c r="CH473" i="5"/>
  <c r="CH472" i="5" s="1"/>
  <c r="CF473" i="5"/>
  <c r="CF472" i="5" s="1"/>
  <c r="CD473" i="5"/>
  <c r="CD472" i="5" s="1"/>
  <c r="CB473" i="5"/>
  <c r="BZ473" i="5"/>
  <c r="BX473" i="5"/>
  <c r="BX472" i="5" s="1"/>
  <c r="BV473" i="5"/>
  <c r="BT473" i="5"/>
  <c r="BR473" i="5"/>
  <c r="BR472" i="5" s="1"/>
  <c r="BP473" i="5"/>
  <c r="BN473" i="5"/>
  <c r="L473" i="5"/>
  <c r="L472" i="5" s="1"/>
  <c r="K473" i="5"/>
  <c r="I473" i="5"/>
  <c r="H473" i="5"/>
  <c r="H472" i="5" s="1"/>
  <c r="G473" i="5"/>
  <c r="G472" i="5" s="1"/>
  <c r="F473" i="5"/>
  <c r="BM473" i="5" s="1"/>
  <c r="E473" i="5"/>
  <c r="E472" i="5" s="1"/>
  <c r="CB472" i="5"/>
  <c r="BT472" i="5"/>
  <c r="BN472" i="5"/>
  <c r="N472" i="5"/>
  <c r="M472" i="5"/>
  <c r="K472" i="5"/>
  <c r="BN471" i="5"/>
  <c r="F471" i="5"/>
  <c r="CD471" i="5" s="1"/>
  <c r="CN470" i="5"/>
  <c r="CL470" i="5"/>
  <c r="CJ470" i="5"/>
  <c r="CH470" i="5"/>
  <c r="CF470" i="5"/>
  <c r="CD470" i="5"/>
  <c r="CB470" i="5"/>
  <c r="BZ470" i="5"/>
  <c r="BX470" i="5"/>
  <c r="BV470" i="5"/>
  <c r="BT470" i="5"/>
  <c r="BN470" i="5"/>
  <c r="O470" i="5"/>
  <c r="O469" i="5" s="1"/>
  <c r="F470" i="5"/>
  <c r="BJ470" i="5" s="1"/>
  <c r="BR469" i="5"/>
  <c r="BP469" i="5"/>
  <c r="BN469" i="5"/>
  <c r="N469" i="5"/>
  <c r="M469" i="5"/>
  <c r="L469" i="5"/>
  <c r="K469" i="5"/>
  <c r="I469" i="5"/>
  <c r="H469" i="5"/>
  <c r="G469" i="5"/>
  <c r="E469" i="5"/>
  <c r="CF468" i="5"/>
  <c r="BN468" i="5"/>
  <c r="F468" i="5"/>
  <c r="BJ468" i="5" s="1"/>
  <c r="BN467" i="5"/>
  <c r="O467" i="5"/>
  <c r="F467" i="5"/>
  <c r="D467" i="5" s="1"/>
  <c r="BN466" i="5"/>
  <c r="O466" i="5"/>
  <c r="O465" i="5" s="1"/>
  <c r="O464" i="5" s="1"/>
  <c r="F466" i="5"/>
  <c r="D466" i="5" s="1"/>
  <c r="CN465" i="5"/>
  <c r="CN464" i="5" s="1"/>
  <c r="CL465" i="5"/>
  <c r="CL464" i="5" s="1"/>
  <c r="CJ465" i="5"/>
  <c r="CH465" i="5"/>
  <c r="CF465" i="5"/>
  <c r="CD465" i="5"/>
  <c r="CD464" i="5" s="1"/>
  <c r="CB465" i="5"/>
  <c r="BZ465" i="5"/>
  <c r="BZ464" i="5" s="1"/>
  <c r="BX465" i="5"/>
  <c r="BX464" i="5" s="1"/>
  <c r="BV465" i="5"/>
  <c r="BT465" i="5"/>
  <c r="BT464" i="5" s="1"/>
  <c r="BR465" i="5"/>
  <c r="BP465" i="5"/>
  <c r="BN465" i="5"/>
  <c r="L465" i="5"/>
  <c r="L464" i="5" s="1"/>
  <c r="K465" i="5"/>
  <c r="K464" i="5" s="1"/>
  <c r="I465" i="5"/>
  <c r="I464" i="5" s="1"/>
  <c r="H465" i="5"/>
  <c r="H464" i="5" s="1"/>
  <c r="G465" i="5"/>
  <c r="G464" i="5" s="1"/>
  <c r="F465" i="5"/>
  <c r="E465" i="5"/>
  <c r="E464" i="5" s="1"/>
  <c r="CH464" i="5"/>
  <c r="BP464" i="5"/>
  <c r="BN464" i="5"/>
  <c r="N464" i="5"/>
  <c r="M464" i="5"/>
  <c r="CN463" i="5"/>
  <c r="CL463" i="5"/>
  <c r="CJ463" i="5"/>
  <c r="CH463" i="5"/>
  <c r="CF463" i="5"/>
  <c r="CD463" i="5"/>
  <c r="CB463" i="5"/>
  <c r="BZ463" i="5"/>
  <c r="BX463" i="5"/>
  <c r="BV463" i="5"/>
  <c r="BT463" i="5"/>
  <c r="BN463" i="5"/>
  <c r="F463" i="5"/>
  <c r="BN462" i="5"/>
  <c r="O462" i="5"/>
  <c r="F462" i="5"/>
  <c r="BN461" i="5"/>
  <c r="G461" i="5"/>
  <c r="O461" i="5" s="1"/>
  <c r="F461" i="5"/>
  <c r="BM461" i="5" s="1"/>
  <c r="CQ461" i="5" s="1"/>
  <c r="BN460" i="5"/>
  <c r="O460" i="5"/>
  <c r="H460" i="5"/>
  <c r="F460" i="5" s="1"/>
  <c r="D460" i="5" s="1"/>
  <c r="BN459" i="5"/>
  <c r="O459" i="5"/>
  <c r="H459" i="5"/>
  <c r="BN458" i="5"/>
  <c r="O458" i="5"/>
  <c r="F458" i="5"/>
  <c r="BN457" i="5"/>
  <c r="O457" i="5"/>
  <c r="F457" i="5"/>
  <c r="BN456" i="5"/>
  <c r="O456" i="5"/>
  <c r="F456" i="5"/>
  <c r="BM456" i="5" s="1"/>
  <c r="BN455" i="5"/>
  <c r="O455" i="5"/>
  <c r="F455" i="5"/>
  <c r="D455" i="5" s="1"/>
  <c r="BL455" i="5" s="1"/>
  <c r="CN454" i="5"/>
  <c r="CL454" i="5"/>
  <c r="CJ454" i="5"/>
  <c r="CH454" i="5"/>
  <c r="CH453" i="5" s="1"/>
  <c r="CF454" i="5"/>
  <c r="CF453" i="5" s="1"/>
  <c r="CD454" i="5"/>
  <c r="CD453" i="5" s="1"/>
  <c r="CB454" i="5"/>
  <c r="BZ454" i="5"/>
  <c r="BX454" i="5"/>
  <c r="BV454" i="5"/>
  <c r="BT454" i="5"/>
  <c r="BR454" i="5"/>
  <c r="BR453" i="5" s="1"/>
  <c r="BP454" i="5"/>
  <c r="BP453" i="5" s="1"/>
  <c r="BN454" i="5"/>
  <c r="L454" i="5"/>
  <c r="K454" i="5"/>
  <c r="K453" i="5" s="1"/>
  <c r="I454" i="5"/>
  <c r="I453" i="5" s="1"/>
  <c r="G454" i="5"/>
  <c r="E454" i="5"/>
  <c r="E453" i="5" s="1"/>
  <c r="BZ453" i="5"/>
  <c r="BX453" i="5"/>
  <c r="BN453" i="5"/>
  <c r="N453" i="5"/>
  <c r="M453" i="5"/>
  <c r="L453" i="5"/>
  <c r="CN452" i="5"/>
  <c r="CN450" i="5" s="1"/>
  <c r="CL452" i="5"/>
  <c r="CL450" i="5" s="1"/>
  <c r="CJ452" i="5"/>
  <c r="CJ450" i="5" s="1"/>
  <c r="CH452" i="5"/>
  <c r="CH450" i="5" s="1"/>
  <c r="CF452" i="5"/>
  <c r="CF450" i="5" s="1"/>
  <c r="CD452" i="5"/>
  <c r="CD450" i="5" s="1"/>
  <c r="CB452" i="5"/>
  <c r="BZ452" i="5"/>
  <c r="BZ450" i="5" s="1"/>
  <c r="BX452" i="5"/>
  <c r="BX450" i="5" s="1"/>
  <c r="BV452" i="5"/>
  <c r="BT452" i="5"/>
  <c r="BN452" i="5"/>
  <c r="F452" i="5"/>
  <c r="BM452" i="5" s="1"/>
  <c r="BN451" i="5"/>
  <c r="O451" i="5"/>
  <c r="O450" i="5" s="1"/>
  <c r="F451" i="5"/>
  <c r="BJ451" i="5" s="1"/>
  <c r="BV450" i="5"/>
  <c r="BR450" i="5"/>
  <c r="BP450" i="5"/>
  <c r="BN450" i="5"/>
  <c r="N450" i="5"/>
  <c r="M450" i="5"/>
  <c r="L450" i="5"/>
  <c r="K450" i="5"/>
  <c r="I450" i="5"/>
  <c r="H450" i="5"/>
  <c r="G450" i="5"/>
  <c r="E450" i="5"/>
  <c r="CN449" i="5"/>
  <c r="CL449" i="5"/>
  <c r="CJ449" i="5"/>
  <c r="CJ447" i="5" s="1"/>
  <c r="CH449" i="5"/>
  <c r="CF449" i="5"/>
  <c r="CF447" i="5" s="1"/>
  <c r="CD449" i="5"/>
  <c r="CB449" i="5"/>
  <c r="CB447" i="5" s="1"/>
  <c r="BZ449" i="5"/>
  <c r="BZ447" i="5" s="1"/>
  <c r="BX449" i="5"/>
  <c r="BX447" i="5" s="1"/>
  <c r="BV449" i="5"/>
  <c r="BT449" i="5"/>
  <c r="BT447" i="5" s="1"/>
  <c r="BN449" i="5"/>
  <c r="F449" i="5"/>
  <c r="BN448" i="5"/>
  <c r="O448" i="5"/>
  <c r="O447" i="5" s="1"/>
  <c r="F448" i="5"/>
  <c r="D448" i="5" s="1"/>
  <c r="CM448" i="5" s="1"/>
  <c r="BR447" i="5"/>
  <c r="BP447" i="5"/>
  <c r="BN447" i="5"/>
  <c r="N447" i="5"/>
  <c r="M447" i="5"/>
  <c r="L447" i="5"/>
  <c r="K447" i="5"/>
  <c r="I447" i="5"/>
  <c r="H447" i="5"/>
  <c r="G447" i="5"/>
  <c r="E447" i="5"/>
  <c r="CN446" i="5"/>
  <c r="CN444" i="5" s="1"/>
  <c r="BN446" i="5"/>
  <c r="F446" i="5"/>
  <c r="BM446" i="5" s="1"/>
  <c r="CQ446" i="5" s="1"/>
  <c r="BN445" i="5"/>
  <c r="O445" i="5"/>
  <c r="O444" i="5" s="1"/>
  <c r="F445" i="5"/>
  <c r="CL444" i="5"/>
  <c r="CJ444" i="5"/>
  <c r="CH444" i="5"/>
  <c r="CF444" i="5"/>
  <c r="CD444" i="5"/>
  <c r="CB444" i="5"/>
  <c r="BZ444" i="5"/>
  <c r="BX444" i="5"/>
  <c r="BV444" i="5"/>
  <c r="BT444" i="5"/>
  <c r="BR444" i="5"/>
  <c r="BP444" i="5"/>
  <c r="BN444" i="5"/>
  <c r="N444" i="5"/>
  <c r="M444" i="5"/>
  <c r="L444" i="5"/>
  <c r="K444" i="5"/>
  <c r="I444" i="5"/>
  <c r="H444" i="5"/>
  <c r="G444" i="5"/>
  <c r="E444" i="5"/>
  <c r="CB443" i="5"/>
  <c r="BZ443" i="5"/>
  <c r="BN443" i="5"/>
  <c r="BM443" i="5"/>
  <c r="O443" i="5"/>
  <c r="F443" i="5"/>
  <c r="BJ443" i="5" s="1"/>
  <c r="CN442" i="5"/>
  <c r="CL442" i="5"/>
  <c r="CJ442" i="5"/>
  <c r="CH442" i="5"/>
  <c r="CF442" i="5"/>
  <c r="CD442" i="5"/>
  <c r="CB442" i="5"/>
  <c r="BZ442" i="5"/>
  <c r="BX442" i="5"/>
  <c r="BV442" i="5"/>
  <c r="BT442" i="5"/>
  <c r="BR442" i="5"/>
  <c r="BP442" i="5"/>
  <c r="BN442" i="5"/>
  <c r="L442" i="5"/>
  <c r="K442" i="5"/>
  <c r="I442" i="5"/>
  <c r="H442" i="5"/>
  <c r="G442" i="5"/>
  <c r="E442" i="5"/>
  <c r="BV441" i="5"/>
  <c r="BX441" i="5" s="1"/>
  <c r="BN441" i="5"/>
  <c r="F441" i="5"/>
  <c r="BJ441" i="5" s="1"/>
  <c r="BZ440" i="5"/>
  <c r="BV440" i="5"/>
  <c r="BX440" i="5" s="1"/>
  <c r="BN440" i="5"/>
  <c r="O440" i="5"/>
  <c r="F440" i="5"/>
  <c r="BZ439" i="5"/>
  <c r="CB439" i="5" s="1"/>
  <c r="CD439" i="5" s="1"/>
  <c r="BN439" i="5"/>
  <c r="O439" i="5"/>
  <c r="F439" i="5"/>
  <c r="CL438" i="5"/>
  <c r="BV438" i="5"/>
  <c r="BN438" i="5"/>
  <c r="O438" i="5"/>
  <c r="F438" i="5"/>
  <c r="BT437" i="5"/>
  <c r="BT435" i="5" s="1"/>
  <c r="BR437" i="5"/>
  <c r="BR435" i="5" s="1"/>
  <c r="BP437" i="5"/>
  <c r="BN437" i="5"/>
  <c r="L437" i="5"/>
  <c r="L435" i="5" s="1"/>
  <c r="K437" i="5"/>
  <c r="K435" i="5" s="1"/>
  <c r="I437" i="5"/>
  <c r="I435" i="5" s="1"/>
  <c r="H437" i="5"/>
  <c r="H435" i="5" s="1"/>
  <c r="G437" i="5"/>
  <c r="E437" i="5"/>
  <c r="E435" i="5" s="1"/>
  <c r="F436" i="5"/>
  <c r="BN435" i="5"/>
  <c r="N435" i="5"/>
  <c r="M435" i="5"/>
  <c r="J435" i="5"/>
  <c r="BN434" i="5"/>
  <c r="F434" i="5"/>
  <c r="BJ434" i="5" s="1"/>
  <c r="BN433" i="5"/>
  <c r="O433" i="5"/>
  <c r="F433" i="5"/>
  <c r="BM433" i="5" s="1"/>
  <c r="CQ433" i="5" s="1"/>
  <c r="BN432" i="5"/>
  <c r="O432" i="5"/>
  <c r="F432" i="5"/>
  <c r="D432" i="5" s="1"/>
  <c r="CN431" i="5"/>
  <c r="CN429" i="5" s="1"/>
  <c r="CL431" i="5"/>
  <c r="CL429" i="5" s="1"/>
  <c r="CJ431" i="5"/>
  <c r="CJ429" i="5" s="1"/>
  <c r="CH431" i="5"/>
  <c r="CF431" i="5"/>
  <c r="CF429" i="5" s="1"/>
  <c r="CD431" i="5"/>
  <c r="CB431" i="5"/>
  <c r="BZ431" i="5"/>
  <c r="BZ429" i="5" s="1"/>
  <c r="BX431" i="5"/>
  <c r="BX429" i="5" s="1"/>
  <c r="BV431" i="5"/>
  <c r="BV429" i="5" s="1"/>
  <c r="BT431" i="5"/>
  <c r="BR431" i="5"/>
  <c r="BP431" i="5"/>
  <c r="BP429" i="5" s="1"/>
  <c r="BK431" i="5"/>
  <c r="BN431" i="5" s="1"/>
  <c r="L431" i="5"/>
  <c r="L429" i="5" s="1"/>
  <c r="K431" i="5"/>
  <c r="K429" i="5" s="1"/>
  <c r="I431" i="5"/>
  <c r="I429" i="5" s="1"/>
  <c r="H431" i="5"/>
  <c r="H429" i="5" s="1"/>
  <c r="G431" i="5"/>
  <c r="E431" i="5"/>
  <c r="E429" i="5" s="1"/>
  <c r="F430" i="5"/>
  <c r="CD429" i="5"/>
  <c r="BC429" i="5"/>
  <c r="BB429" i="5"/>
  <c r="BA429" i="5"/>
  <c r="AZ429" i="5"/>
  <c r="AY429" i="5"/>
  <c r="AX429" i="5"/>
  <c r="AW429" i="5"/>
  <c r="AV429" i="5"/>
  <c r="AU429" i="5"/>
  <c r="AT429" i="5"/>
  <c r="AS429" i="5"/>
  <c r="AR429" i="5"/>
  <c r="AQ429" i="5"/>
  <c r="AP429" i="5"/>
  <c r="AO429" i="5"/>
  <c r="AN429" i="5"/>
  <c r="AM429" i="5"/>
  <c r="AL429" i="5"/>
  <c r="AK429" i="5"/>
  <c r="AJ429" i="5"/>
  <c r="AI429" i="5"/>
  <c r="AH429" i="5"/>
  <c r="AG429" i="5"/>
  <c r="AF429" i="5"/>
  <c r="AE429" i="5"/>
  <c r="AD429" i="5"/>
  <c r="BN429" i="5" s="1"/>
  <c r="AC429" i="5"/>
  <c r="AB429" i="5"/>
  <c r="AA429" i="5"/>
  <c r="Z429" i="5"/>
  <c r="Y429" i="5"/>
  <c r="X429" i="5"/>
  <c r="W429" i="5"/>
  <c r="V429" i="5"/>
  <c r="U429" i="5"/>
  <c r="T429" i="5"/>
  <c r="S429" i="5"/>
  <c r="R429" i="5"/>
  <c r="P429" i="5"/>
  <c r="N429" i="5"/>
  <c r="M429" i="5"/>
  <c r="J429" i="5"/>
  <c r="BN428" i="5"/>
  <c r="O428" i="5"/>
  <c r="F428" i="5"/>
  <c r="CN427" i="5"/>
  <c r="CL427" i="5"/>
  <c r="CJ427" i="5"/>
  <c r="CH427" i="5"/>
  <c r="CF427" i="5"/>
  <c r="CD427" i="5"/>
  <c r="CB427" i="5"/>
  <c r="BZ427" i="5"/>
  <c r="BX427" i="5"/>
  <c r="BV427" i="5"/>
  <c r="BT427" i="5"/>
  <c r="BR427" i="5"/>
  <c r="BP427" i="5"/>
  <c r="BN427" i="5"/>
  <c r="L427" i="5"/>
  <c r="K427" i="5"/>
  <c r="I427" i="5"/>
  <c r="H427" i="5"/>
  <c r="G427" i="5"/>
  <c r="E427" i="5"/>
  <c r="CL426" i="5"/>
  <c r="BN426" i="5"/>
  <c r="F426" i="5"/>
  <c r="BN425" i="5"/>
  <c r="O425" i="5"/>
  <c r="O424" i="5" s="1"/>
  <c r="F425" i="5"/>
  <c r="CN424" i="5"/>
  <c r="CL424" i="5"/>
  <c r="CJ424" i="5"/>
  <c r="CH424" i="5"/>
  <c r="CF424" i="5"/>
  <c r="CD424" i="5"/>
  <c r="CB424" i="5"/>
  <c r="BZ424" i="5"/>
  <c r="BX424" i="5"/>
  <c r="BV424" i="5"/>
  <c r="BT424" i="5"/>
  <c r="BR424" i="5"/>
  <c r="BP424" i="5"/>
  <c r="BK424" i="5"/>
  <c r="BN424" i="5" s="1"/>
  <c r="N424" i="5"/>
  <c r="M424" i="5"/>
  <c r="L424" i="5"/>
  <c r="K424" i="5"/>
  <c r="I424" i="5"/>
  <c r="H424" i="5"/>
  <c r="G424" i="5"/>
  <c r="E424" i="5"/>
  <c r="CN423" i="5"/>
  <c r="CN421" i="5" s="1"/>
  <c r="CL423" i="5"/>
  <c r="CL421" i="5" s="1"/>
  <c r="BN423" i="5"/>
  <c r="F423" i="5"/>
  <c r="BJ423" i="5" s="1"/>
  <c r="BN422" i="5"/>
  <c r="O422" i="5"/>
  <c r="O421" i="5" s="1"/>
  <c r="F422" i="5"/>
  <c r="D422" i="5" s="1"/>
  <c r="Q422" i="5" s="1"/>
  <c r="CJ421" i="5"/>
  <c r="CH421" i="5"/>
  <c r="CF421" i="5"/>
  <c r="CD421" i="5"/>
  <c r="CB421" i="5"/>
  <c r="BZ421" i="5"/>
  <c r="BX421" i="5"/>
  <c r="BV421" i="5"/>
  <c r="BT421" i="5"/>
  <c r="BR421" i="5"/>
  <c r="BP421" i="5"/>
  <c r="BK421" i="5"/>
  <c r="BN421" i="5" s="1"/>
  <c r="N421" i="5"/>
  <c r="M421" i="5"/>
  <c r="L421" i="5"/>
  <c r="K421" i="5"/>
  <c r="I421" i="5"/>
  <c r="H421" i="5"/>
  <c r="G421" i="5"/>
  <c r="F421" i="5"/>
  <c r="E421" i="5"/>
  <c r="CN420" i="5"/>
  <c r="CN418" i="5" s="1"/>
  <c r="CL420" i="5"/>
  <c r="BN420" i="5"/>
  <c r="F420" i="5"/>
  <c r="D420" i="5" s="1"/>
  <c r="BN419" i="5"/>
  <c r="O419" i="5"/>
  <c r="O418" i="5" s="1"/>
  <c r="F419" i="5"/>
  <c r="D419" i="5" s="1"/>
  <c r="CC419" i="5" s="1"/>
  <c r="CL418" i="5"/>
  <c r="CJ418" i="5"/>
  <c r="CH418" i="5"/>
  <c r="CF418" i="5"/>
  <c r="CD418" i="5"/>
  <c r="CB418" i="5"/>
  <c r="BZ418" i="5"/>
  <c r="BX418" i="5"/>
  <c r="BV418" i="5"/>
  <c r="BT418" i="5"/>
  <c r="BR418" i="5"/>
  <c r="BP418" i="5"/>
  <c r="BN418" i="5"/>
  <c r="N418" i="5"/>
  <c r="M418" i="5"/>
  <c r="L418" i="5"/>
  <c r="K418" i="5"/>
  <c r="I418" i="5"/>
  <c r="H418" i="5"/>
  <c r="G418" i="5"/>
  <c r="E418" i="5"/>
  <c r="BN417" i="5"/>
  <c r="F417" i="5"/>
  <c r="BJ417" i="5" s="1"/>
  <c r="BN416" i="5"/>
  <c r="O416" i="5"/>
  <c r="O415" i="5" s="1"/>
  <c r="F416" i="5"/>
  <c r="CF415" i="5"/>
  <c r="BR415" i="5"/>
  <c r="BP415" i="5"/>
  <c r="BN415" i="5"/>
  <c r="N415" i="5"/>
  <c r="M415" i="5"/>
  <c r="L415" i="5"/>
  <c r="K415" i="5"/>
  <c r="I415" i="5"/>
  <c r="H415" i="5"/>
  <c r="G415" i="5"/>
  <c r="E415" i="5"/>
  <c r="BN414" i="5"/>
  <c r="F414" i="5"/>
  <c r="BN413" i="5"/>
  <c r="O413" i="5"/>
  <c r="O412" i="5" s="1"/>
  <c r="F413" i="5"/>
  <c r="BT413" i="5" s="1"/>
  <c r="CF412" i="5"/>
  <c r="BR412" i="5"/>
  <c r="BP412" i="5"/>
  <c r="BN412" i="5"/>
  <c r="N412" i="5"/>
  <c r="M412" i="5"/>
  <c r="L412" i="5"/>
  <c r="K412" i="5"/>
  <c r="I412" i="5"/>
  <c r="H412" i="5"/>
  <c r="G412" i="5"/>
  <c r="E412" i="5"/>
  <c r="BN411" i="5"/>
  <c r="F411" i="5"/>
  <c r="BV411" i="5" s="1"/>
  <c r="BN410" i="5"/>
  <c r="O410" i="5"/>
  <c r="O409" i="5" s="1"/>
  <c r="F410" i="5"/>
  <c r="BV410" i="5" s="1"/>
  <c r="CF409" i="5"/>
  <c r="BR409" i="5"/>
  <c r="BP409" i="5"/>
  <c r="BK409" i="5"/>
  <c r="BN409" i="5" s="1"/>
  <c r="N409" i="5"/>
  <c r="M409" i="5"/>
  <c r="L409" i="5"/>
  <c r="K409" i="5"/>
  <c r="I409" i="5"/>
  <c r="H409" i="5"/>
  <c r="G409" i="5"/>
  <c r="E409" i="5"/>
  <c r="BT408" i="5"/>
  <c r="BN408" i="5"/>
  <c r="F408" i="5"/>
  <c r="BR407" i="5"/>
  <c r="BR406" i="5" s="1"/>
  <c r="BN407" i="5"/>
  <c r="O407" i="5"/>
  <c r="O406" i="5" s="1"/>
  <c r="F407" i="5"/>
  <c r="CN406" i="5"/>
  <c r="CL406" i="5"/>
  <c r="CJ406" i="5"/>
  <c r="CH406" i="5"/>
  <c r="CF406" i="5"/>
  <c r="CD406" i="5"/>
  <c r="CB406" i="5"/>
  <c r="BZ406" i="5"/>
  <c r="BX406" i="5"/>
  <c r="BP406" i="5"/>
  <c r="BK406" i="5"/>
  <c r="BN406" i="5" s="1"/>
  <c r="N406" i="5"/>
  <c r="M406" i="5"/>
  <c r="L406" i="5"/>
  <c r="K406" i="5"/>
  <c r="I406" i="5"/>
  <c r="H406" i="5"/>
  <c r="G406" i="5"/>
  <c r="E406" i="5"/>
  <c r="BN405" i="5"/>
  <c r="O405" i="5"/>
  <c r="F405" i="5"/>
  <c r="F404" i="5" s="1"/>
  <c r="CN404" i="5"/>
  <c r="CL404" i="5"/>
  <c r="CJ404" i="5"/>
  <c r="CH404" i="5"/>
  <c r="CF404" i="5"/>
  <c r="CD404" i="5"/>
  <c r="CB404" i="5"/>
  <c r="BZ404" i="5"/>
  <c r="BX404" i="5"/>
  <c r="BV404" i="5"/>
  <c r="BT404" i="5"/>
  <c r="BR404" i="5"/>
  <c r="BP404" i="5"/>
  <c r="BN404" i="5"/>
  <c r="L404" i="5"/>
  <c r="K404" i="5"/>
  <c r="I404" i="5"/>
  <c r="H404" i="5"/>
  <c r="G404" i="5"/>
  <c r="E404" i="5"/>
  <c r="BN403" i="5"/>
  <c r="O403" i="5"/>
  <c r="F403" i="5"/>
  <c r="D403" i="5" s="1"/>
  <c r="CF402" i="5"/>
  <c r="BR402" i="5"/>
  <c r="BP402" i="5"/>
  <c r="BN402" i="5"/>
  <c r="L402" i="5"/>
  <c r="K402" i="5"/>
  <c r="I402" i="5"/>
  <c r="H402" i="5"/>
  <c r="G402" i="5"/>
  <c r="E402" i="5"/>
  <c r="BN401" i="5"/>
  <c r="F401" i="5"/>
  <c r="BM401" i="5" s="1"/>
  <c r="BN400" i="5"/>
  <c r="O400" i="5"/>
  <c r="O399" i="5" s="1"/>
  <c r="F400" i="5"/>
  <c r="CN399" i="5"/>
  <c r="CL399" i="5"/>
  <c r="CJ399" i="5"/>
  <c r="CH399" i="5"/>
  <c r="CF399" i="5"/>
  <c r="CD399" i="5"/>
  <c r="CB399" i="5"/>
  <c r="BZ399" i="5"/>
  <c r="BX399" i="5"/>
  <c r="BV399" i="5"/>
  <c r="BT399" i="5"/>
  <c r="BR399" i="5"/>
  <c r="BP399" i="5"/>
  <c r="BN399" i="5"/>
  <c r="N399" i="5"/>
  <c r="M399" i="5"/>
  <c r="L399" i="5"/>
  <c r="K399" i="5"/>
  <c r="I399" i="5"/>
  <c r="H399" i="5"/>
  <c r="G399" i="5"/>
  <c r="E399" i="5"/>
  <c r="CB398" i="5"/>
  <c r="CB396" i="5" s="1"/>
  <c r="BN398" i="5"/>
  <c r="F398" i="5"/>
  <c r="BX397" i="5"/>
  <c r="BN397" i="5"/>
  <c r="O397" i="5"/>
  <c r="O396" i="5" s="1"/>
  <c r="F397" i="5"/>
  <c r="BM397" i="5" s="1"/>
  <c r="CQ397" i="5" s="1"/>
  <c r="CN396" i="5"/>
  <c r="CL396" i="5"/>
  <c r="CJ396" i="5"/>
  <c r="CH396" i="5"/>
  <c r="CF396" i="5"/>
  <c r="CD396" i="5"/>
  <c r="BZ396" i="5"/>
  <c r="BV396" i="5"/>
  <c r="BT396" i="5"/>
  <c r="BR396" i="5"/>
  <c r="BP396" i="5"/>
  <c r="BK396" i="5"/>
  <c r="N396" i="5"/>
  <c r="M396" i="5"/>
  <c r="L396" i="5"/>
  <c r="K396" i="5"/>
  <c r="I396" i="5"/>
  <c r="H396" i="5"/>
  <c r="G396" i="5"/>
  <c r="E396" i="5"/>
  <c r="BN395" i="5"/>
  <c r="F395" i="5"/>
  <c r="BZ395" i="5" s="1"/>
  <c r="BN394" i="5"/>
  <c r="O394" i="5"/>
  <c r="O393" i="5" s="1"/>
  <c r="F394" i="5"/>
  <c r="CF393" i="5"/>
  <c r="BR393" i="5"/>
  <c r="BP393" i="5"/>
  <c r="BN393" i="5"/>
  <c r="N393" i="5"/>
  <c r="M393" i="5"/>
  <c r="L393" i="5"/>
  <c r="K393" i="5"/>
  <c r="I393" i="5"/>
  <c r="H393" i="5"/>
  <c r="G393" i="5"/>
  <c r="E393" i="5"/>
  <c r="BV392" i="5"/>
  <c r="BN392" i="5"/>
  <c r="F392" i="5"/>
  <c r="BJ392" i="5" s="1"/>
  <c r="BN391" i="5"/>
  <c r="O391" i="5"/>
  <c r="O390" i="5" s="1"/>
  <c r="F391" i="5"/>
  <c r="CL391" i="5" s="1"/>
  <c r="CL390" i="5" s="1"/>
  <c r="D391" i="5"/>
  <c r="CF390" i="5"/>
  <c r="BR390" i="5"/>
  <c r="BP390" i="5"/>
  <c r="BK390" i="5"/>
  <c r="BN390" i="5" s="1"/>
  <c r="N390" i="5"/>
  <c r="M390" i="5"/>
  <c r="L390" i="5"/>
  <c r="K390" i="5"/>
  <c r="I390" i="5"/>
  <c r="H390" i="5"/>
  <c r="G390" i="5"/>
  <c r="E390" i="5"/>
  <c r="BN389" i="5"/>
  <c r="F389" i="5"/>
  <c r="BN388" i="5"/>
  <c r="O388" i="5"/>
  <c r="O387" i="5" s="1"/>
  <c r="F388" i="5"/>
  <c r="CF387" i="5"/>
  <c r="BR387" i="5"/>
  <c r="BP387" i="5"/>
  <c r="BK387" i="5"/>
  <c r="BN387" i="5" s="1"/>
  <c r="N387" i="5"/>
  <c r="M387" i="5"/>
  <c r="L387" i="5"/>
  <c r="K387" i="5"/>
  <c r="I387" i="5"/>
  <c r="H387" i="5"/>
  <c r="G387" i="5"/>
  <c r="E387" i="5"/>
  <c r="BN386" i="5"/>
  <c r="F386" i="5"/>
  <c r="CB386" i="5" s="1"/>
  <c r="BN385" i="5"/>
  <c r="O385" i="5"/>
  <c r="F385" i="5"/>
  <c r="CJ385" i="5" s="1"/>
  <c r="CF384" i="5"/>
  <c r="BR384" i="5"/>
  <c r="BP384" i="5"/>
  <c r="BN384" i="5"/>
  <c r="O384" i="5"/>
  <c r="N384" i="5"/>
  <c r="M384" i="5"/>
  <c r="L384" i="5"/>
  <c r="K384" i="5"/>
  <c r="I384" i="5"/>
  <c r="H384" i="5"/>
  <c r="G384" i="5"/>
  <c r="E384" i="5"/>
  <c r="BN383" i="5"/>
  <c r="F383" i="5"/>
  <c r="BJ383" i="5" s="1"/>
  <c r="BN382" i="5"/>
  <c r="O382" i="5"/>
  <c r="F382" i="5"/>
  <c r="D382" i="5" s="1"/>
  <c r="CN381" i="5"/>
  <c r="CL381" i="5"/>
  <c r="CJ381" i="5"/>
  <c r="CH381" i="5"/>
  <c r="CF381" i="5"/>
  <c r="CD381" i="5"/>
  <c r="CB381" i="5"/>
  <c r="BZ381" i="5"/>
  <c r="BX381" i="5"/>
  <c r="BV381" i="5"/>
  <c r="BT381" i="5"/>
  <c r="BR381" i="5"/>
  <c r="BP381" i="5"/>
  <c r="BK381" i="5"/>
  <c r="BN381" i="5" s="1"/>
  <c r="O381" i="5"/>
  <c r="N381" i="5"/>
  <c r="M381" i="5"/>
  <c r="L381" i="5"/>
  <c r="K381" i="5"/>
  <c r="I381" i="5"/>
  <c r="H381" i="5"/>
  <c r="G381" i="5"/>
  <c r="E381" i="5"/>
  <c r="BN380" i="5"/>
  <c r="F380" i="5"/>
  <c r="D380" i="5" s="1"/>
  <c r="BN379" i="5"/>
  <c r="O379" i="5"/>
  <c r="F379" i="5"/>
  <c r="CN379" i="5" s="1"/>
  <c r="BR378" i="5"/>
  <c r="BP378" i="5"/>
  <c r="BK378" i="5"/>
  <c r="BN378" i="5" s="1"/>
  <c r="O378" i="5"/>
  <c r="N378" i="5"/>
  <c r="M378" i="5"/>
  <c r="L378" i="5"/>
  <c r="K378" i="5"/>
  <c r="I378" i="5"/>
  <c r="H378" i="5"/>
  <c r="G378" i="5"/>
  <c r="E378" i="5"/>
  <c r="BN377" i="5"/>
  <c r="F377" i="5"/>
  <c r="BT377" i="5" s="1"/>
  <c r="BN376" i="5"/>
  <c r="O376" i="5"/>
  <c r="O375" i="5" s="1"/>
  <c r="F376" i="5"/>
  <c r="CF375" i="5"/>
  <c r="BR375" i="5"/>
  <c r="BP375" i="5"/>
  <c r="BK375" i="5"/>
  <c r="N375" i="5"/>
  <c r="M375" i="5"/>
  <c r="L375" i="5"/>
  <c r="K375" i="5"/>
  <c r="I375" i="5"/>
  <c r="H375" i="5"/>
  <c r="G375" i="5"/>
  <c r="E375" i="5"/>
  <c r="BN374" i="5"/>
  <c r="F374" i="5"/>
  <c r="D374" i="5" s="1"/>
  <c r="BQ374" i="5" s="1"/>
  <c r="BN373" i="5"/>
  <c r="O373" i="5"/>
  <c r="O372" i="5" s="1"/>
  <c r="F373" i="5"/>
  <c r="BX373" i="5" s="1"/>
  <c r="CF372" i="5"/>
  <c r="BR372" i="5"/>
  <c r="BP372" i="5"/>
  <c r="BN372" i="5"/>
  <c r="N372" i="5"/>
  <c r="M372" i="5"/>
  <c r="L372" i="5"/>
  <c r="K372" i="5"/>
  <c r="I372" i="5"/>
  <c r="H372" i="5"/>
  <c r="G372" i="5"/>
  <c r="E372" i="5"/>
  <c r="BN371" i="5"/>
  <c r="F371" i="5"/>
  <c r="BN370" i="5"/>
  <c r="O370" i="5"/>
  <c r="F370" i="5"/>
  <c r="CF369" i="5"/>
  <c r="BR369" i="5"/>
  <c r="BP369" i="5"/>
  <c r="BN369" i="5"/>
  <c r="O369" i="5"/>
  <c r="N369" i="5"/>
  <c r="M369" i="5"/>
  <c r="L369" i="5"/>
  <c r="K369" i="5"/>
  <c r="I369" i="5"/>
  <c r="H369" i="5"/>
  <c r="G369" i="5"/>
  <c r="E369" i="5"/>
  <c r="BN368" i="5"/>
  <c r="F368" i="5"/>
  <c r="CH368" i="5" s="1"/>
  <c r="BN367" i="5"/>
  <c r="O367" i="5"/>
  <c r="O366" i="5" s="1"/>
  <c r="F367" i="5"/>
  <c r="CF366" i="5"/>
  <c r="BR366" i="5"/>
  <c r="BP366" i="5"/>
  <c r="BN366" i="5"/>
  <c r="N366" i="5"/>
  <c r="M366" i="5"/>
  <c r="L366" i="5"/>
  <c r="K366" i="5"/>
  <c r="I366" i="5"/>
  <c r="H366" i="5"/>
  <c r="G366" i="5"/>
  <c r="E366" i="5"/>
  <c r="CN365" i="5"/>
  <c r="CL365" i="5"/>
  <c r="CJ365" i="5"/>
  <c r="CH365" i="5"/>
  <c r="CF365" i="5"/>
  <c r="CD365" i="5"/>
  <c r="CD363" i="5" s="1"/>
  <c r="CB365" i="5"/>
  <c r="BZ365" i="5"/>
  <c r="BX365" i="5"/>
  <c r="BV365" i="5"/>
  <c r="BV363" i="5" s="1"/>
  <c r="BT365" i="5"/>
  <c r="BN365" i="5"/>
  <c r="F365" i="5"/>
  <c r="CH364" i="5"/>
  <c r="CB364" i="5"/>
  <c r="BX364" i="5"/>
  <c r="BT364" i="5"/>
  <c r="BN364" i="5"/>
  <c r="O364" i="5"/>
  <c r="O363" i="5" s="1"/>
  <c r="F364" i="5"/>
  <c r="D364" i="5" s="1"/>
  <c r="CN363" i="5"/>
  <c r="BR363" i="5"/>
  <c r="BP363" i="5"/>
  <c r="BN363" i="5"/>
  <c r="N363" i="5"/>
  <c r="M363" i="5"/>
  <c r="L363" i="5"/>
  <c r="K363" i="5"/>
  <c r="I363" i="5"/>
  <c r="H363" i="5"/>
  <c r="G363" i="5"/>
  <c r="E363" i="5"/>
  <c r="CN362" i="5"/>
  <c r="CL362" i="5"/>
  <c r="BN362" i="5"/>
  <c r="F362" i="5"/>
  <c r="BJ362" i="5" s="1"/>
  <c r="BN361" i="5"/>
  <c r="O361" i="5"/>
  <c r="F361" i="5"/>
  <c r="BM361" i="5" s="1"/>
  <c r="D361" i="5"/>
  <c r="BN360" i="5"/>
  <c r="O360" i="5"/>
  <c r="F360" i="5"/>
  <c r="CN359" i="5"/>
  <c r="CL359" i="5"/>
  <c r="CL358" i="5" s="1"/>
  <c r="CJ359" i="5"/>
  <c r="CJ358" i="5" s="1"/>
  <c r="CH359" i="5"/>
  <c r="CH358" i="5" s="1"/>
  <c r="CF359" i="5"/>
  <c r="CD359" i="5"/>
  <c r="CB359" i="5"/>
  <c r="BZ359" i="5"/>
  <c r="BZ358" i="5" s="1"/>
  <c r="BX359" i="5"/>
  <c r="BX358" i="5" s="1"/>
  <c r="BV359" i="5"/>
  <c r="BV358" i="5" s="1"/>
  <c r="BT359" i="5"/>
  <c r="BT358" i="5" s="1"/>
  <c r="BR359" i="5"/>
  <c r="BR358" i="5" s="1"/>
  <c r="BP359" i="5"/>
  <c r="BP358" i="5" s="1"/>
  <c r="BK359" i="5"/>
  <c r="L359" i="5"/>
  <c r="K359" i="5"/>
  <c r="I359" i="5"/>
  <c r="H359" i="5"/>
  <c r="H358" i="5" s="1"/>
  <c r="G359" i="5"/>
  <c r="E359" i="5"/>
  <c r="E358" i="5" s="1"/>
  <c r="CF358" i="5"/>
  <c r="CD358" i="5"/>
  <c r="BN358" i="5"/>
  <c r="N358" i="5"/>
  <c r="M358" i="5"/>
  <c r="L358" i="5"/>
  <c r="K358" i="5"/>
  <c r="I358" i="5"/>
  <c r="BN357" i="5"/>
  <c r="F357" i="5"/>
  <c r="CL357" i="5" s="1"/>
  <c r="BN356" i="5"/>
  <c r="O356" i="5"/>
  <c r="F356" i="5"/>
  <c r="CH356" i="5" s="1"/>
  <c r="BN355" i="5"/>
  <c r="O355" i="5"/>
  <c r="F355" i="5"/>
  <c r="BN354" i="5"/>
  <c r="O354" i="5"/>
  <c r="F354" i="5"/>
  <c r="CN354" i="5" s="1"/>
  <c r="CF353" i="5"/>
  <c r="BR353" i="5"/>
  <c r="BR352" i="5" s="1"/>
  <c r="BP353" i="5"/>
  <c r="BP352" i="5" s="1"/>
  <c r="BK353" i="5"/>
  <c r="BN353" i="5" s="1"/>
  <c r="L353" i="5"/>
  <c r="L352" i="5" s="1"/>
  <c r="K353" i="5"/>
  <c r="K352" i="5" s="1"/>
  <c r="I353" i="5"/>
  <c r="I352" i="5" s="1"/>
  <c r="H353" i="5"/>
  <c r="H352" i="5" s="1"/>
  <c r="G353" i="5"/>
  <c r="G352" i="5" s="1"/>
  <c r="E353" i="5"/>
  <c r="E352" i="5" s="1"/>
  <c r="CF352" i="5"/>
  <c r="BN352" i="5"/>
  <c r="N352" i="5"/>
  <c r="M352" i="5"/>
  <c r="CN351" i="5"/>
  <c r="CL351" i="5"/>
  <c r="CJ351" i="5"/>
  <c r="CH351" i="5"/>
  <c r="BN351" i="5"/>
  <c r="F351" i="5"/>
  <c r="BN350" i="5"/>
  <c r="O350" i="5"/>
  <c r="O349" i="5" s="1"/>
  <c r="F350" i="5"/>
  <c r="CL349" i="5"/>
  <c r="CJ349" i="5"/>
  <c r="CH349" i="5"/>
  <c r="CF349" i="5"/>
  <c r="CD349" i="5"/>
  <c r="CB349" i="5"/>
  <c r="BZ349" i="5"/>
  <c r="BX349" i="5"/>
  <c r="BV349" i="5"/>
  <c r="BT349" i="5"/>
  <c r="BR349" i="5"/>
  <c r="BP349" i="5"/>
  <c r="BK349" i="5"/>
  <c r="N349" i="5"/>
  <c r="M349" i="5"/>
  <c r="L349" i="5"/>
  <c r="K349" i="5"/>
  <c r="I349" i="5"/>
  <c r="H349" i="5"/>
  <c r="G349" i="5"/>
  <c r="E349" i="5"/>
  <c r="BN348" i="5"/>
  <c r="F348" i="5"/>
  <c r="BZ348" i="5" s="1"/>
  <c r="BN347" i="5"/>
  <c r="O347" i="5"/>
  <c r="O346" i="5" s="1"/>
  <c r="F347" i="5"/>
  <c r="CF346" i="5"/>
  <c r="BR346" i="5"/>
  <c r="BP346" i="5"/>
  <c r="BK346" i="5"/>
  <c r="BN346" i="5" s="1"/>
  <c r="N346" i="5"/>
  <c r="M346" i="5"/>
  <c r="L346" i="5"/>
  <c r="K346" i="5"/>
  <c r="I346" i="5"/>
  <c r="H346" i="5"/>
  <c r="G346" i="5"/>
  <c r="F346" i="5"/>
  <c r="E346" i="5"/>
  <c r="BN345" i="5"/>
  <c r="F345" i="5"/>
  <c r="D345" i="5" s="1"/>
  <c r="BN344" i="5"/>
  <c r="O344" i="5"/>
  <c r="F344" i="5"/>
  <c r="BT344" i="5" s="1"/>
  <c r="CF343" i="5"/>
  <c r="BR343" i="5"/>
  <c r="BP343" i="5"/>
  <c r="BK343" i="5"/>
  <c r="O343" i="5"/>
  <c r="N343" i="5"/>
  <c r="M343" i="5"/>
  <c r="L343" i="5"/>
  <c r="K343" i="5"/>
  <c r="I343" i="5"/>
  <c r="H343" i="5"/>
  <c r="G343" i="5"/>
  <c r="E343" i="5"/>
  <c r="BN342" i="5"/>
  <c r="F342" i="5"/>
  <c r="BM342" i="5" s="1"/>
  <c r="BN341" i="5"/>
  <c r="O341" i="5"/>
  <c r="O340" i="5" s="1"/>
  <c r="F341" i="5"/>
  <c r="CF340" i="5"/>
  <c r="BR340" i="5"/>
  <c r="BP340" i="5"/>
  <c r="BK340" i="5"/>
  <c r="BN340" i="5" s="1"/>
  <c r="N340" i="5"/>
  <c r="M340" i="5"/>
  <c r="L340" i="5"/>
  <c r="K340" i="5"/>
  <c r="I340" i="5"/>
  <c r="H340" i="5"/>
  <c r="G340" i="5"/>
  <c r="E340" i="5"/>
  <c r="CN339" i="5"/>
  <c r="CL339" i="5"/>
  <c r="CL337" i="5" s="1"/>
  <c r="BN339" i="5"/>
  <c r="F339" i="5"/>
  <c r="BJ339" i="5" s="1"/>
  <c r="BV338" i="5"/>
  <c r="BN338" i="5"/>
  <c r="O338" i="5"/>
  <c r="O337" i="5" s="1"/>
  <c r="F338" i="5"/>
  <c r="D338" i="5" s="1"/>
  <c r="CJ337" i="5"/>
  <c r="CH337" i="5"/>
  <c r="CF337" i="5"/>
  <c r="CD337" i="5"/>
  <c r="CB337" i="5"/>
  <c r="BT337" i="5"/>
  <c r="BR337" i="5"/>
  <c r="BP337" i="5"/>
  <c r="BK337" i="5"/>
  <c r="BN337" i="5" s="1"/>
  <c r="N337" i="5"/>
  <c r="M337" i="5"/>
  <c r="L337" i="5"/>
  <c r="K337" i="5"/>
  <c r="I337" i="5"/>
  <c r="H337" i="5"/>
  <c r="G337" i="5"/>
  <c r="E337" i="5"/>
  <c r="BN336" i="5"/>
  <c r="F336" i="5"/>
  <c r="BN335" i="5"/>
  <c r="O335" i="5"/>
  <c r="O334" i="5" s="1"/>
  <c r="F335" i="5"/>
  <c r="CN335" i="5" s="1"/>
  <c r="CF334" i="5"/>
  <c r="BR334" i="5"/>
  <c r="BP334" i="5"/>
  <c r="BK334" i="5"/>
  <c r="N334" i="5"/>
  <c r="M334" i="5"/>
  <c r="L334" i="5"/>
  <c r="K334" i="5"/>
  <c r="I334" i="5"/>
  <c r="H334" i="5"/>
  <c r="G334" i="5"/>
  <c r="E334" i="5"/>
  <c r="BN333" i="5"/>
  <c r="F333" i="5"/>
  <c r="BN332" i="5"/>
  <c r="O332" i="5"/>
  <c r="F332" i="5"/>
  <c r="CF331" i="5"/>
  <c r="BR331" i="5"/>
  <c r="BP331" i="5"/>
  <c r="BK331" i="5"/>
  <c r="BN331" i="5" s="1"/>
  <c r="O331" i="5"/>
  <c r="N331" i="5"/>
  <c r="M331" i="5"/>
  <c r="L331" i="5"/>
  <c r="K331" i="5"/>
  <c r="I331" i="5"/>
  <c r="H331" i="5"/>
  <c r="G331" i="5"/>
  <c r="E331" i="5"/>
  <c r="CN330" i="5"/>
  <c r="BN330" i="5"/>
  <c r="F330" i="5"/>
  <c r="D330" i="5" s="1"/>
  <c r="CN329" i="5"/>
  <c r="CL329" i="5"/>
  <c r="CL328" i="5" s="1"/>
  <c r="CJ329" i="5"/>
  <c r="CH329" i="5"/>
  <c r="CH328" i="5" s="1"/>
  <c r="CF329" i="5"/>
  <c r="BN329" i="5"/>
  <c r="O329" i="5"/>
  <c r="F329" i="5"/>
  <c r="D329" i="5" s="1"/>
  <c r="Q329" i="5" s="1"/>
  <c r="CJ328" i="5"/>
  <c r="CD328" i="5"/>
  <c r="CB328" i="5"/>
  <c r="BZ328" i="5"/>
  <c r="BX328" i="5"/>
  <c r="BV328" i="5"/>
  <c r="BT328" i="5"/>
  <c r="BR328" i="5"/>
  <c r="BP328" i="5"/>
  <c r="BN328" i="5"/>
  <c r="O328" i="5"/>
  <c r="N328" i="5"/>
  <c r="M328" i="5"/>
  <c r="L328" i="5"/>
  <c r="K328" i="5"/>
  <c r="I328" i="5"/>
  <c r="H328" i="5"/>
  <c r="G328" i="5"/>
  <c r="E328" i="5"/>
  <c r="CH327" i="5"/>
  <c r="CF327" i="5"/>
  <c r="CD327" i="5"/>
  <c r="CD325" i="5" s="1"/>
  <c r="CB327" i="5"/>
  <c r="BZ327" i="5"/>
  <c r="BX327" i="5"/>
  <c r="BN327" i="5"/>
  <c r="F327" i="5"/>
  <c r="BN326" i="5"/>
  <c r="O326" i="5"/>
  <c r="O325" i="5" s="1"/>
  <c r="F326" i="5"/>
  <c r="D326" i="5" s="1"/>
  <c r="CN325" i="5"/>
  <c r="CL325" i="5"/>
  <c r="CJ325" i="5"/>
  <c r="CH325" i="5"/>
  <c r="CB325" i="5"/>
  <c r="BZ325" i="5"/>
  <c r="BX325" i="5"/>
  <c r="BV325" i="5"/>
  <c r="BT325" i="5"/>
  <c r="BR325" i="5"/>
  <c r="BP325" i="5"/>
  <c r="BN325" i="5"/>
  <c r="N325" i="5"/>
  <c r="M325" i="5"/>
  <c r="L325" i="5"/>
  <c r="K325" i="5"/>
  <c r="I325" i="5"/>
  <c r="H325" i="5"/>
  <c r="G325" i="5"/>
  <c r="E325" i="5"/>
  <c r="BN324" i="5"/>
  <c r="F324" i="5"/>
  <c r="BM324" i="5" s="1"/>
  <c r="CP324" i="5" s="1"/>
  <c r="BN323" i="5"/>
  <c r="O323" i="5"/>
  <c r="O322" i="5" s="1"/>
  <c r="F323" i="5"/>
  <c r="BX323" i="5" s="1"/>
  <c r="CF322" i="5"/>
  <c r="BR322" i="5"/>
  <c r="BP322" i="5"/>
  <c r="BN322" i="5"/>
  <c r="N322" i="5"/>
  <c r="M322" i="5"/>
  <c r="L322" i="5"/>
  <c r="K322" i="5"/>
  <c r="I322" i="5"/>
  <c r="H322" i="5"/>
  <c r="G322" i="5"/>
  <c r="E322" i="5"/>
  <c r="BN321" i="5"/>
  <c r="F321" i="5"/>
  <c r="BZ321" i="5" s="1"/>
  <c r="BN320" i="5"/>
  <c r="O320" i="5"/>
  <c r="O319" i="5" s="1"/>
  <c r="F320" i="5"/>
  <c r="BJ320" i="5" s="1"/>
  <c r="CF319" i="5"/>
  <c r="BR319" i="5"/>
  <c r="BP319" i="5"/>
  <c r="BN319" i="5"/>
  <c r="N319" i="5"/>
  <c r="M319" i="5"/>
  <c r="L319" i="5"/>
  <c r="K319" i="5"/>
  <c r="I319" i="5"/>
  <c r="H319" i="5"/>
  <c r="G319" i="5"/>
  <c r="E319" i="5"/>
  <c r="BN318" i="5"/>
  <c r="F318" i="5"/>
  <c r="BM318" i="5" s="1"/>
  <c r="BN317" i="5"/>
  <c r="O317" i="5"/>
  <c r="O316" i="5" s="1"/>
  <c r="F317" i="5"/>
  <c r="D317" i="5" s="1"/>
  <c r="CK317" i="5" s="1"/>
  <c r="CN316" i="5"/>
  <c r="CL316" i="5"/>
  <c r="CJ316" i="5"/>
  <c r="CH316" i="5"/>
  <c r="CF316" i="5"/>
  <c r="CD316" i="5"/>
  <c r="CB316" i="5"/>
  <c r="BZ316" i="5"/>
  <c r="BX316" i="5"/>
  <c r="BV316" i="5"/>
  <c r="BT316" i="5"/>
  <c r="BR316" i="5"/>
  <c r="BP316" i="5"/>
  <c r="BN316" i="5"/>
  <c r="N316" i="5"/>
  <c r="M316" i="5"/>
  <c r="L316" i="5"/>
  <c r="K316" i="5"/>
  <c r="I316" i="5"/>
  <c r="H316" i="5"/>
  <c r="G316" i="5"/>
  <c r="E316" i="5"/>
  <c r="BN315" i="5"/>
  <c r="F315" i="5"/>
  <c r="BX315" i="5" s="1"/>
  <c r="BN314" i="5"/>
  <c r="O314" i="5"/>
  <c r="O313" i="5" s="1"/>
  <c r="F314" i="5"/>
  <c r="D314" i="5" s="1"/>
  <c r="BQ314" i="5" s="1"/>
  <c r="CF313" i="5"/>
  <c r="BR313" i="5"/>
  <c r="BP313" i="5"/>
  <c r="BN313" i="5"/>
  <c r="N313" i="5"/>
  <c r="M313" i="5"/>
  <c r="L313" i="5"/>
  <c r="K313" i="5"/>
  <c r="I313" i="5"/>
  <c r="H313" i="5"/>
  <c r="G313" i="5"/>
  <c r="E313" i="5"/>
  <c r="BN312" i="5"/>
  <c r="F312" i="5"/>
  <c r="BN311" i="5"/>
  <c r="BJ311" i="5"/>
  <c r="O311" i="5"/>
  <c r="O310" i="5" s="1"/>
  <c r="F311" i="5"/>
  <c r="BM311" i="5" s="1"/>
  <c r="CN310" i="5"/>
  <c r="CL310" i="5"/>
  <c r="CJ310" i="5"/>
  <c r="CH310" i="5"/>
  <c r="CF310" i="5"/>
  <c r="CD310" i="5"/>
  <c r="CB310" i="5"/>
  <c r="BZ310" i="5"/>
  <c r="BX310" i="5"/>
  <c r="BV310" i="5"/>
  <c r="BT310" i="5"/>
  <c r="BR310" i="5"/>
  <c r="BP310" i="5"/>
  <c r="BN310" i="5"/>
  <c r="N310" i="5"/>
  <c r="M310" i="5"/>
  <c r="L310" i="5"/>
  <c r="K310" i="5"/>
  <c r="I310" i="5"/>
  <c r="H310" i="5"/>
  <c r="G310" i="5"/>
  <c r="E310" i="5"/>
  <c r="BN309" i="5"/>
  <c r="F309" i="5"/>
  <c r="D309" i="5" s="1"/>
  <c r="BN308" i="5"/>
  <c r="O308" i="5"/>
  <c r="F308" i="5"/>
  <c r="CJ308" i="5" s="1"/>
  <c r="BN307" i="5"/>
  <c r="O307" i="5"/>
  <c r="F307" i="5"/>
  <c r="BZ307" i="5" s="1"/>
  <c r="BN306" i="5"/>
  <c r="O306" i="5"/>
  <c r="F306" i="5"/>
  <c r="D306" i="5" s="1"/>
  <c r="BN305" i="5"/>
  <c r="O305" i="5"/>
  <c r="F305" i="5"/>
  <c r="CH305" i="5" s="1"/>
  <c r="BN304" i="5"/>
  <c r="O304" i="5"/>
  <c r="F304" i="5"/>
  <c r="D304" i="5" s="1"/>
  <c r="A304" i="5"/>
  <c r="A305" i="5" s="1"/>
  <c r="BN303" i="5"/>
  <c r="BJ303" i="5"/>
  <c r="O303" i="5"/>
  <c r="F303" i="5"/>
  <c r="D303" i="5" s="1"/>
  <c r="BR302" i="5"/>
  <c r="BP302" i="5"/>
  <c r="BK302" i="5"/>
  <c r="BN302" i="5" s="1"/>
  <c r="L302" i="5"/>
  <c r="L301" i="5" s="1"/>
  <c r="K302" i="5"/>
  <c r="K301" i="5" s="1"/>
  <c r="I302" i="5"/>
  <c r="I301" i="5" s="1"/>
  <c r="H302" i="5"/>
  <c r="H301" i="5" s="1"/>
  <c r="G302" i="5"/>
  <c r="E302" i="5"/>
  <c r="E301" i="5" s="1"/>
  <c r="CF301" i="5"/>
  <c r="BR301" i="5"/>
  <c r="BN301" i="5"/>
  <c r="N301" i="5"/>
  <c r="M301" i="5"/>
  <c r="CB300" i="5"/>
  <c r="BV300" i="5"/>
  <c r="BX300" i="5" s="1"/>
  <c r="BN300" i="5"/>
  <c r="F300" i="5"/>
  <c r="BN299" i="5"/>
  <c r="O299" i="5"/>
  <c r="F299" i="5"/>
  <c r="BM299" i="5" s="1"/>
  <c r="BV298" i="5"/>
  <c r="BN298" i="5"/>
  <c r="O298" i="5"/>
  <c r="F298" i="5"/>
  <c r="D298" i="5" s="1"/>
  <c r="BV297" i="5"/>
  <c r="BX297" i="5" s="1"/>
  <c r="BN297" i="5"/>
  <c r="O297" i="5"/>
  <c r="F297" i="5"/>
  <c r="D297" i="5" s="1"/>
  <c r="A297" i="5"/>
  <c r="A298" i="5" s="1"/>
  <c r="BV296" i="5"/>
  <c r="BN296" i="5"/>
  <c r="O296" i="5"/>
  <c r="F296" i="5"/>
  <c r="D296" i="5" s="1"/>
  <c r="BL296" i="5" s="1"/>
  <c r="BT295" i="5"/>
  <c r="BT294" i="5" s="1"/>
  <c r="BR295" i="5"/>
  <c r="BR294" i="5" s="1"/>
  <c r="BP295" i="5"/>
  <c r="BP294" i="5" s="1"/>
  <c r="BK295" i="5"/>
  <c r="BN295" i="5" s="1"/>
  <c r="L295" i="5"/>
  <c r="L294" i="5" s="1"/>
  <c r="K295" i="5"/>
  <c r="K294" i="5" s="1"/>
  <c r="I295" i="5"/>
  <c r="I294" i="5" s="1"/>
  <c r="H295" i="5"/>
  <c r="H294" i="5" s="1"/>
  <c r="G295" i="5"/>
  <c r="G294" i="5" s="1"/>
  <c r="E295" i="5"/>
  <c r="N294" i="5"/>
  <c r="M294" i="5"/>
  <c r="E294" i="5"/>
  <c r="BN293" i="5"/>
  <c r="O293" i="5"/>
  <c r="F293" i="5"/>
  <c r="CJ293" i="5" s="1"/>
  <c r="CF292" i="5"/>
  <c r="BR292" i="5"/>
  <c r="BP292" i="5"/>
  <c r="BN292" i="5"/>
  <c r="L292" i="5"/>
  <c r="K292" i="5"/>
  <c r="I292" i="5"/>
  <c r="H292" i="5"/>
  <c r="G292" i="5"/>
  <c r="E292" i="5"/>
  <c r="BZ291" i="5"/>
  <c r="BN291" i="5"/>
  <c r="F291" i="5"/>
  <c r="CD291" i="5" s="1"/>
  <c r="BN290" i="5"/>
  <c r="O290" i="5"/>
  <c r="O289" i="5" s="1"/>
  <c r="F290" i="5"/>
  <c r="CF289" i="5"/>
  <c r="BR289" i="5"/>
  <c r="BP289" i="5"/>
  <c r="BN289" i="5"/>
  <c r="N289" i="5"/>
  <c r="M289" i="5"/>
  <c r="L289" i="5"/>
  <c r="K289" i="5"/>
  <c r="I289" i="5"/>
  <c r="H289" i="5"/>
  <c r="G289" i="5"/>
  <c r="E289" i="5"/>
  <c r="BN288" i="5"/>
  <c r="O288" i="5"/>
  <c r="F288" i="5"/>
  <c r="CF287" i="5"/>
  <c r="BR287" i="5"/>
  <c r="BP287" i="5"/>
  <c r="BN287" i="5"/>
  <c r="L287" i="5"/>
  <c r="K287" i="5"/>
  <c r="I287" i="5"/>
  <c r="O287" i="5" s="1"/>
  <c r="H287" i="5"/>
  <c r="G287" i="5"/>
  <c r="E287" i="5"/>
  <c r="CQ286" i="5"/>
  <c r="BN286" i="5"/>
  <c r="F286" i="5"/>
  <c r="BM286" i="5" s="1"/>
  <c r="CP286" i="5" s="1"/>
  <c r="BN285" i="5"/>
  <c r="O285" i="5"/>
  <c r="O284" i="5" s="1"/>
  <c r="F285" i="5"/>
  <c r="D285" i="5"/>
  <c r="CN284" i="5"/>
  <c r="CL284" i="5"/>
  <c r="CJ284" i="5"/>
  <c r="CH284" i="5"/>
  <c r="CF284" i="5"/>
  <c r="CD284" i="5"/>
  <c r="CB284" i="5"/>
  <c r="BZ284" i="5"/>
  <c r="BX284" i="5"/>
  <c r="BV284" i="5"/>
  <c r="BT284" i="5"/>
  <c r="BR284" i="5"/>
  <c r="BP284" i="5"/>
  <c r="BK284" i="5"/>
  <c r="BN284" i="5" s="1"/>
  <c r="N284" i="5"/>
  <c r="M284" i="5"/>
  <c r="L284" i="5"/>
  <c r="K284" i="5"/>
  <c r="I284" i="5"/>
  <c r="H284" i="5"/>
  <c r="G284" i="5"/>
  <c r="E284" i="5"/>
  <c r="BN283" i="5"/>
  <c r="F283" i="5"/>
  <c r="D283" i="5" s="1"/>
  <c r="BN282" i="5"/>
  <c r="O282" i="5"/>
  <c r="O281" i="5" s="1"/>
  <c r="F282" i="5"/>
  <c r="CN282" i="5" s="1"/>
  <c r="CF281" i="5"/>
  <c r="BR281" i="5"/>
  <c r="BP281" i="5"/>
  <c r="BK281" i="5"/>
  <c r="N281" i="5"/>
  <c r="M281" i="5"/>
  <c r="L281" i="5"/>
  <c r="K281" i="5"/>
  <c r="I281" i="5"/>
  <c r="H281" i="5"/>
  <c r="G281" i="5"/>
  <c r="E281" i="5"/>
  <c r="CN280" i="5"/>
  <c r="CN278" i="5" s="1"/>
  <c r="BN280" i="5"/>
  <c r="F280" i="5"/>
  <c r="BN279" i="5"/>
  <c r="O279" i="5"/>
  <c r="F279" i="5"/>
  <c r="BM279" i="5" s="1"/>
  <c r="CP279" i="5" s="1"/>
  <c r="CL278" i="5"/>
  <c r="CJ278" i="5"/>
  <c r="CH278" i="5"/>
  <c r="CF278" i="5"/>
  <c r="CD278" i="5"/>
  <c r="CB278" i="5"/>
  <c r="BZ278" i="5"/>
  <c r="BX278" i="5"/>
  <c r="BV278" i="5"/>
  <c r="BT278" i="5"/>
  <c r="BR278" i="5"/>
  <c r="BP278" i="5"/>
  <c r="BK278" i="5"/>
  <c r="BN278" i="5" s="1"/>
  <c r="O278" i="5"/>
  <c r="N278" i="5"/>
  <c r="M278" i="5"/>
  <c r="L278" i="5"/>
  <c r="K278" i="5"/>
  <c r="I278" i="5"/>
  <c r="H278" i="5"/>
  <c r="G278" i="5"/>
  <c r="E278" i="5"/>
  <c r="BN277" i="5"/>
  <c r="F277" i="5"/>
  <c r="CH277" i="5" s="1"/>
  <c r="BN276" i="5"/>
  <c r="O276" i="5"/>
  <c r="O275" i="5" s="1"/>
  <c r="F276" i="5"/>
  <c r="CH276" i="5" s="1"/>
  <c r="CF275" i="5"/>
  <c r="BR275" i="5"/>
  <c r="BP275" i="5"/>
  <c r="BK275" i="5"/>
  <c r="BN275" i="5" s="1"/>
  <c r="N275" i="5"/>
  <c r="M275" i="5"/>
  <c r="L275" i="5"/>
  <c r="K275" i="5"/>
  <c r="I275" i="5"/>
  <c r="H275" i="5"/>
  <c r="G275" i="5"/>
  <c r="E275" i="5"/>
  <c r="CN274" i="5"/>
  <c r="CN272" i="5" s="1"/>
  <c r="CL274" i="5"/>
  <c r="CL272" i="5" s="1"/>
  <c r="BN274" i="5"/>
  <c r="F274" i="5"/>
  <c r="BN273" i="5"/>
  <c r="O273" i="5"/>
  <c r="F273" i="5"/>
  <c r="CJ272" i="5"/>
  <c r="CH272" i="5"/>
  <c r="CF272" i="5"/>
  <c r="CD272" i="5"/>
  <c r="CB272" i="5"/>
  <c r="BZ272" i="5"/>
  <c r="BX272" i="5"/>
  <c r="BV272" i="5"/>
  <c r="BT272" i="5"/>
  <c r="BR272" i="5"/>
  <c r="BP272" i="5"/>
  <c r="BN272" i="5"/>
  <c r="BK272" i="5"/>
  <c r="O272" i="5"/>
  <c r="N272" i="5"/>
  <c r="M272" i="5"/>
  <c r="L272" i="5"/>
  <c r="K272" i="5"/>
  <c r="I272" i="5"/>
  <c r="H272" i="5"/>
  <c r="G272" i="5"/>
  <c r="E272" i="5"/>
  <c r="BN271" i="5"/>
  <c r="F271" i="5"/>
  <c r="BN270" i="5"/>
  <c r="O270" i="5"/>
  <c r="O269" i="5" s="1"/>
  <c r="F270" i="5"/>
  <c r="CN269" i="5"/>
  <c r="CL269" i="5"/>
  <c r="CJ269" i="5"/>
  <c r="CH269" i="5"/>
  <c r="CF269" i="5"/>
  <c r="CD269" i="5"/>
  <c r="CB269" i="5"/>
  <c r="BZ269" i="5"/>
  <c r="BX269" i="5"/>
  <c r="BV269" i="5"/>
  <c r="BT269" i="5"/>
  <c r="BR269" i="5"/>
  <c r="BP269" i="5"/>
  <c r="BN269" i="5"/>
  <c r="N269" i="5"/>
  <c r="M269" i="5"/>
  <c r="L269" i="5"/>
  <c r="K269" i="5"/>
  <c r="I269" i="5"/>
  <c r="H269" i="5"/>
  <c r="G269" i="5"/>
  <c r="E269" i="5"/>
  <c r="BN268" i="5"/>
  <c r="BM268" i="5"/>
  <c r="CQ268" i="5" s="1"/>
  <c r="O268" i="5"/>
  <c r="F268" i="5"/>
  <c r="D268" i="5" s="1"/>
  <c r="CK268" i="5" s="1"/>
  <c r="CN267" i="5"/>
  <c r="CL267" i="5"/>
  <c r="CJ267" i="5"/>
  <c r="CH267" i="5"/>
  <c r="CF267" i="5"/>
  <c r="CD267" i="5"/>
  <c r="CB267" i="5"/>
  <c r="BZ267" i="5"/>
  <c r="BX267" i="5"/>
  <c r="BV267" i="5"/>
  <c r="BT267" i="5"/>
  <c r="BR267" i="5"/>
  <c r="BP267" i="5"/>
  <c r="BN267" i="5"/>
  <c r="L267" i="5"/>
  <c r="K267" i="5"/>
  <c r="I267" i="5"/>
  <c r="H267" i="5"/>
  <c r="G267" i="5"/>
  <c r="F267" i="5"/>
  <c r="E267" i="5"/>
  <c r="BN266" i="5"/>
  <c r="F266" i="5"/>
  <c r="BJ266" i="5" s="1"/>
  <c r="BN265" i="5"/>
  <c r="BM265" i="5"/>
  <c r="O265" i="5"/>
  <c r="F265" i="5"/>
  <c r="BJ265" i="5" s="1"/>
  <c r="D265" i="5"/>
  <c r="Q265" i="5" s="1"/>
  <c r="BN264" i="5"/>
  <c r="O264" i="5"/>
  <c r="F264" i="5"/>
  <c r="BN263" i="5"/>
  <c r="O263" i="5"/>
  <c r="F263" i="5"/>
  <c r="BJ263" i="5" s="1"/>
  <c r="CN262" i="5"/>
  <c r="CN261" i="5" s="1"/>
  <c r="CL262" i="5"/>
  <c r="CL261" i="5" s="1"/>
  <c r="CJ262" i="5"/>
  <c r="CJ261" i="5" s="1"/>
  <c r="CH262" i="5"/>
  <c r="CH261" i="5" s="1"/>
  <c r="CF262" i="5"/>
  <c r="CF261" i="5" s="1"/>
  <c r="CD262" i="5"/>
  <c r="CB262" i="5"/>
  <c r="CB261" i="5" s="1"/>
  <c r="BZ262" i="5"/>
  <c r="BZ261" i="5" s="1"/>
  <c r="BX262" i="5"/>
  <c r="BV262" i="5"/>
  <c r="BT262" i="5"/>
  <c r="BR262" i="5"/>
  <c r="BR261" i="5" s="1"/>
  <c r="BP262" i="5"/>
  <c r="BN262" i="5"/>
  <c r="L262" i="5"/>
  <c r="L261" i="5" s="1"/>
  <c r="K262" i="5"/>
  <c r="K261" i="5" s="1"/>
  <c r="I262" i="5"/>
  <c r="I261" i="5" s="1"/>
  <c r="H262" i="5"/>
  <c r="H261" i="5" s="1"/>
  <c r="G262" i="5"/>
  <c r="G261" i="5" s="1"/>
  <c r="E262" i="5"/>
  <c r="BX261" i="5"/>
  <c r="BV261" i="5"/>
  <c r="BN261" i="5"/>
  <c r="N261" i="5"/>
  <c r="M261" i="5"/>
  <c r="BN260" i="5"/>
  <c r="BM260" i="5"/>
  <c r="CQ260" i="5" s="1"/>
  <c r="BJ260" i="5"/>
  <c r="D260" i="5"/>
  <c r="CN259" i="5"/>
  <c r="CL259" i="5"/>
  <c r="CJ259" i="5"/>
  <c r="CH259" i="5"/>
  <c r="CF259" i="5"/>
  <c r="CD259" i="5"/>
  <c r="CB259" i="5"/>
  <c r="BZ259" i="5"/>
  <c r="BX259" i="5"/>
  <c r="BV259" i="5"/>
  <c r="BV258" i="5" s="1"/>
  <c r="BT259" i="5"/>
  <c r="BR259" i="5"/>
  <c r="BP259" i="5"/>
  <c r="BN259" i="5"/>
  <c r="O259" i="5"/>
  <c r="N259" i="5"/>
  <c r="M259" i="5"/>
  <c r="L259" i="5"/>
  <c r="K259" i="5"/>
  <c r="K258" i="5" s="1"/>
  <c r="I259" i="5"/>
  <c r="H259" i="5"/>
  <c r="G259" i="5"/>
  <c r="F259" i="5"/>
  <c r="BM259" i="5" s="1"/>
  <c r="E259" i="5"/>
  <c r="BX258" i="5"/>
  <c r="BN258" i="5"/>
  <c r="BN257" i="5"/>
  <c r="F257" i="5"/>
  <c r="BZ257" i="5" s="1"/>
  <c r="BN256" i="5"/>
  <c r="O256" i="5"/>
  <c r="F256" i="5"/>
  <c r="BT256" i="5" s="1"/>
  <c r="BN255" i="5"/>
  <c r="O255" i="5"/>
  <c r="F255" i="5"/>
  <c r="CN255" i="5" s="1"/>
  <c r="BR254" i="5"/>
  <c r="BR253" i="5" s="1"/>
  <c r="BP254" i="5"/>
  <c r="BP253" i="5" s="1"/>
  <c r="BK254" i="5"/>
  <c r="L254" i="5"/>
  <c r="L253" i="5" s="1"/>
  <c r="K254" i="5"/>
  <c r="K253" i="5" s="1"/>
  <c r="I254" i="5"/>
  <c r="I253" i="5" s="1"/>
  <c r="H254" i="5"/>
  <c r="H253" i="5" s="1"/>
  <c r="G254" i="5"/>
  <c r="E254" i="5"/>
  <c r="E253" i="5" s="1"/>
  <c r="BN253" i="5"/>
  <c r="N253" i="5"/>
  <c r="M253" i="5"/>
  <c r="CK252" i="5"/>
  <c r="BS252" i="5"/>
  <c r="BN252" i="5"/>
  <c r="F252" i="5"/>
  <c r="D252" i="5" s="1"/>
  <c r="BW252" i="5" s="1"/>
  <c r="CJ251" i="5"/>
  <c r="BN251" i="5"/>
  <c r="O251" i="5"/>
  <c r="F251" i="5"/>
  <c r="D251" i="5" s="1"/>
  <c r="CM251" i="5" s="1"/>
  <c r="CN250" i="5"/>
  <c r="CN249" i="5" s="1"/>
  <c r="CN248" i="5" s="1"/>
  <c r="BN250" i="5"/>
  <c r="O250" i="5"/>
  <c r="F250" i="5"/>
  <c r="CL249" i="5"/>
  <c r="CJ249" i="5"/>
  <c r="CH249" i="5"/>
  <c r="CF249" i="5"/>
  <c r="CF248" i="5" s="1"/>
  <c r="CD249" i="5"/>
  <c r="CD248" i="5" s="1"/>
  <c r="CB249" i="5"/>
  <c r="CB248" i="5" s="1"/>
  <c r="BZ249" i="5"/>
  <c r="BZ248" i="5" s="1"/>
  <c r="BX249" i="5"/>
  <c r="BX248" i="5" s="1"/>
  <c r="BV249" i="5"/>
  <c r="BV248" i="5" s="1"/>
  <c r="BT249" i="5"/>
  <c r="BT248" i="5" s="1"/>
  <c r="BR249" i="5"/>
  <c r="BP249" i="5"/>
  <c r="BP248" i="5" s="1"/>
  <c r="BK249" i="5"/>
  <c r="BN249" i="5" s="1"/>
  <c r="L249" i="5"/>
  <c r="L248" i="5" s="1"/>
  <c r="K249" i="5"/>
  <c r="K248" i="5" s="1"/>
  <c r="I249" i="5"/>
  <c r="H249" i="5"/>
  <c r="H248" i="5" s="1"/>
  <c r="G249" i="5"/>
  <c r="E249" i="5"/>
  <c r="E248" i="5" s="1"/>
  <c r="BR248" i="5"/>
  <c r="BN248" i="5"/>
  <c r="N248" i="5"/>
  <c r="M248" i="5"/>
  <c r="I248" i="5"/>
  <c r="BN247" i="5"/>
  <c r="F247" i="5"/>
  <c r="BJ247" i="5" s="1"/>
  <c r="BN246" i="5"/>
  <c r="O246" i="5"/>
  <c r="O245" i="5" s="1"/>
  <c r="F246" i="5"/>
  <c r="CN245" i="5"/>
  <c r="CL245" i="5"/>
  <c r="CJ245" i="5"/>
  <c r="CH245" i="5"/>
  <c r="CF245" i="5"/>
  <c r="CD245" i="5"/>
  <c r="CB245" i="5"/>
  <c r="BZ245" i="5"/>
  <c r="BX245" i="5"/>
  <c r="BV245" i="5"/>
  <c r="BT245" i="5"/>
  <c r="BR245" i="5"/>
  <c r="BP245" i="5"/>
  <c r="BK245" i="5"/>
  <c r="N245" i="5"/>
  <c r="M245" i="5"/>
  <c r="L245" i="5"/>
  <c r="K245" i="5"/>
  <c r="I245" i="5"/>
  <c r="H245" i="5"/>
  <c r="G245" i="5"/>
  <c r="E245" i="5"/>
  <c r="BN244" i="5"/>
  <c r="F244" i="5"/>
  <c r="BM244" i="5" s="1"/>
  <c r="CQ244" i="5" s="1"/>
  <c r="BN243" i="5"/>
  <c r="O243" i="5"/>
  <c r="O242" i="5" s="1"/>
  <c r="F243" i="5"/>
  <c r="CN242" i="5"/>
  <c r="CL242" i="5"/>
  <c r="CJ242" i="5"/>
  <c r="CH242" i="5"/>
  <c r="CF242" i="5"/>
  <c r="CD242" i="5"/>
  <c r="CB242" i="5"/>
  <c r="BZ242" i="5"/>
  <c r="BX242" i="5"/>
  <c r="BV242" i="5"/>
  <c r="BT242" i="5"/>
  <c r="BR242" i="5"/>
  <c r="BP242" i="5"/>
  <c r="BK242" i="5"/>
  <c r="BN242" i="5" s="1"/>
  <c r="N242" i="5"/>
  <c r="M242" i="5"/>
  <c r="L242" i="5"/>
  <c r="K242" i="5"/>
  <c r="I242" i="5"/>
  <c r="H242" i="5"/>
  <c r="G242" i="5"/>
  <c r="E242" i="5"/>
  <c r="A242" i="5"/>
  <c r="BN241" i="5"/>
  <c r="F241" i="5"/>
  <c r="BM241" i="5" s="1"/>
  <c r="CP241" i="5" s="1"/>
  <c r="BN240" i="5"/>
  <c r="O240" i="5"/>
  <c r="F240" i="5"/>
  <c r="CN239" i="5"/>
  <c r="CL239" i="5"/>
  <c r="CJ239" i="5"/>
  <c r="CH239" i="5"/>
  <c r="CF239" i="5"/>
  <c r="CD239" i="5"/>
  <c r="CB239" i="5"/>
  <c r="BZ239" i="5"/>
  <c r="BX239" i="5"/>
  <c r="BV239" i="5"/>
  <c r="BT239" i="5"/>
  <c r="BR239" i="5"/>
  <c r="BP239" i="5"/>
  <c r="BN239" i="5"/>
  <c r="L239" i="5"/>
  <c r="K239" i="5"/>
  <c r="I239" i="5"/>
  <c r="H239" i="5"/>
  <c r="G239" i="5"/>
  <c r="E239" i="5"/>
  <c r="BM238" i="5"/>
  <c r="BJ238" i="5"/>
  <c r="D238" i="5"/>
  <c r="BB237" i="5"/>
  <c r="BA237" i="5"/>
  <c r="AZ237" i="5"/>
  <c r="AY237" i="5"/>
  <c r="AX237" i="5"/>
  <c r="AW237" i="5"/>
  <c r="AV237" i="5"/>
  <c r="AU237" i="5"/>
  <c r="AT237" i="5"/>
  <c r="AS237" i="5"/>
  <c r="AR237" i="5"/>
  <c r="AQ237" i="5"/>
  <c r="AP237" i="5"/>
  <c r="AO237" i="5"/>
  <c r="AN237" i="5"/>
  <c r="AM237" i="5"/>
  <c r="AL237" i="5"/>
  <c r="AK237" i="5"/>
  <c r="AJ237" i="5"/>
  <c r="AI237" i="5"/>
  <c r="AH237" i="5"/>
  <c r="AG237" i="5"/>
  <c r="AF237" i="5"/>
  <c r="AE237" i="5"/>
  <c r="AD237" i="5"/>
  <c r="AC237" i="5"/>
  <c r="AB237" i="5"/>
  <c r="AA237" i="5"/>
  <c r="Z237" i="5"/>
  <c r="Y237" i="5"/>
  <c r="X237" i="5"/>
  <c r="W237" i="5"/>
  <c r="V237" i="5"/>
  <c r="U237" i="5"/>
  <c r="T237" i="5"/>
  <c r="S237" i="5"/>
  <c r="R237" i="5"/>
  <c r="Q237" i="5"/>
  <c r="P237" i="5"/>
  <c r="O237" i="5"/>
  <c r="N237" i="5"/>
  <c r="M237" i="5"/>
  <c r="L237" i="5"/>
  <c r="K237" i="5"/>
  <c r="J237" i="5"/>
  <c r="I237" i="5"/>
  <c r="H237" i="5"/>
  <c r="G237" i="5"/>
  <c r="F237" i="5"/>
  <c r="E237" i="5"/>
  <c r="BM237" i="5" s="1"/>
  <c r="BN236" i="5"/>
  <c r="BM236" i="5"/>
  <c r="CQ236" i="5" s="1"/>
  <c r="BJ236" i="5"/>
  <c r="D236" i="5"/>
  <c r="CN235" i="5"/>
  <c r="CL235" i="5"/>
  <c r="CJ235" i="5"/>
  <c r="CJ234" i="5" s="1"/>
  <c r="CH235" i="5"/>
  <c r="CH234" i="5" s="1"/>
  <c r="CF235" i="5"/>
  <c r="CF234" i="5" s="1"/>
  <c r="CD235" i="5"/>
  <c r="CB235" i="5"/>
  <c r="CB234" i="5" s="1"/>
  <c r="BZ235" i="5"/>
  <c r="BZ234" i="5" s="1"/>
  <c r="BX235" i="5"/>
  <c r="BX234" i="5" s="1"/>
  <c r="BV235" i="5"/>
  <c r="BV234" i="5" s="1"/>
  <c r="BT235" i="5"/>
  <c r="BT234" i="5" s="1"/>
  <c r="BR235" i="5"/>
  <c r="BR234" i="5" s="1"/>
  <c r="BP235" i="5"/>
  <c r="BP234" i="5" s="1"/>
  <c r="BK235" i="5"/>
  <c r="P235" i="5"/>
  <c r="O235" i="5"/>
  <c r="N235" i="5"/>
  <c r="M235" i="5"/>
  <c r="M234" i="5" s="1"/>
  <c r="L235" i="5"/>
  <c r="L234" i="5" s="1"/>
  <c r="K235" i="5"/>
  <c r="I235" i="5"/>
  <c r="I234" i="5" s="1"/>
  <c r="H235" i="5"/>
  <c r="H234" i="5" s="1"/>
  <c r="G235" i="5"/>
  <c r="G234" i="5" s="1"/>
  <c r="F235" i="5"/>
  <c r="F234" i="5" s="1"/>
  <c r="E235" i="5"/>
  <c r="E234" i="5" s="1"/>
  <c r="CN234" i="5"/>
  <c r="CD234" i="5"/>
  <c r="O234" i="5"/>
  <c r="N234" i="5"/>
  <c r="K234" i="5"/>
  <c r="CF233" i="5"/>
  <c r="CJ233" i="5" s="1"/>
  <c r="BN233" i="5"/>
  <c r="O233" i="5"/>
  <c r="F233" i="5"/>
  <c r="BZ232" i="5"/>
  <c r="BZ231" i="5" s="1"/>
  <c r="BX232" i="5"/>
  <c r="BX231" i="5" s="1"/>
  <c r="BN232" i="5"/>
  <c r="O232" i="5"/>
  <c r="F232" i="5"/>
  <c r="CF232" i="5" s="1"/>
  <c r="CD231" i="5"/>
  <c r="BV231" i="5"/>
  <c r="BT231" i="5"/>
  <c r="BR231" i="5"/>
  <c r="BP231" i="5"/>
  <c r="BK231" i="5"/>
  <c r="BN231" i="5" s="1"/>
  <c r="L231" i="5"/>
  <c r="K231" i="5"/>
  <c r="I231" i="5"/>
  <c r="H231" i="5"/>
  <c r="G231" i="5"/>
  <c r="E231" i="5"/>
  <c r="BV230" i="5"/>
  <c r="BV229" i="5" s="1"/>
  <c r="BV228" i="5" s="1"/>
  <c r="BT230" i="5"/>
  <c r="BT229" i="5" s="1"/>
  <c r="BN230" i="5"/>
  <c r="O230" i="5"/>
  <c r="F230" i="5"/>
  <c r="CL229" i="5"/>
  <c r="BR229" i="5"/>
  <c r="BP229" i="5"/>
  <c r="BN229" i="5"/>
  <c r="BK229" i="5"/>
  <c r="L229" i="5"/>
  <c r="K229" i="5"/>
  <c r="K228" i="5" s="1"/>
  <c r="I229" i="5"/>
  <c r="I228" i="5" s="1"/>
  <c r="H229" i="5"/>
  <c r="G229" i="5"/>
  <c r="G228" i="5" s="1"/>
  <c r="E229" i="5"/>
  <c r="H228" i="5"/>
  <c r="BN227" i="5"/>
  <c r="O227" i="5"/>
  <c r="F227" i="5"/>
  <c r="F226" i="5" s="1"/>
  <c r="A227" i="5"/>
  <c r="A230" i="5" s="1"/>
  <c r="BP226" i="5"/>
  <c r="BP224" i="5" s="1"/>
  <c r="BK226" i="5"/>
  <c r="BN226" i="5" s="1"/>
  <c r="L226" i="5"/>
  <c r="L224" i="5" s="1"/>
  <c r="K226" i="5"/>
  <c r="K224" i="5" s="1"/>
  <c r="I226" i="5"/>
  <c r="I224" i="5" s="1"/>
  <c r="H226" i="5"/>
  <c r="H224" i="5" s="1"/>
  <c r="G226" i="5"/>
  <c r="O226" i="5" s="1"/>
  <c r="E226" i="5"/>
  <c r="E224" i="5" s="1"/>
  <c r="F225" i="5"/>
  <c r="D225" i="5" s="1"/>
  <c r="BM225" i="5" s="1"/>
  <c r="BC224" i="5"/>
  <c r="M224" i="5"/>
  <c r="J224" i="5"/>
  <c r="CN223" i="5"/>
  <c r="BZ223" i="5"/>
  <c r="CA223" i="5" s="1"/>
  <c r="BN223" i="5"/>
  <c r="BM223" i="5"/>
  <c r="CP223" i="5" s="1"/>
  <c r="BJ223" i="5"/>
  <c r="D223" i="5"/>
  <c r="BX222" i="5"/>
  <c r="BV222" i="5"/>
  <c r="BT222" i="5"/>
  <c r="BR222" i="5"/>
  <c r="BP222" i="5"/>
  <c r="BK222" i="5"/>
  <c r="P222" i="5"/>
  <c r="O222" i="5"/>
  <c r="N222" i="5"/>
  <c r="N221" i="5" s="1"/>
  <c r="M222" i="5"/>
  <c r="M221" i="5" s="1"/>
  <c r="L222" i="5"/>
  <c r="K222" i="5"/>
  <c r="I222" i="5"/>
  <c r="H222" i="5"/>
  <c r="G222" i="5"/>
  <c r="F222" i="5"/>
  <c r="E222" i="5"/>
  <c r="BN221" i="5"/>
  <c r="BN220" i="5"/>
  <c r="O220" i="5"/>
  <c r="F220" i="5"/>
  <c r="BJ220" i="5" s="1"/>
  <c r="A220" i="5"/>
  <c r="BN219" i="5"/>
  <c r="L219" i="5"/>
  <c r="L218" i="5" s="1"/>
  <c r="K219" i="5"/>
  <c r="K218" i="5" s="1"/>
  <c r="I219" i="5"/>
  <c r="I218" i="5" s="1"/>
  <c r="H219" i="5"/>
  <c r="H218" i="5" s="1"/>
  <c r="G219" i="5"/>
  <c r="G218" i="5" s="1"/>
  <c r="F219" i="5"/>
  <c r="E219" i="5"/>
  <c r="BJ219" i="5" s="1"/>
  <c r="BN218" i="5"/>
  <c r="F218" i="5"/>
  <c r="E218" i="5"/>
  <c r="BR217" i="5"/>
  <c r="BN217" i="5"/>
  <c r="O217" i="5"/>
  <c r="F217" i="5"/>
  <c r="D217" i="5" s="1"/>
  <c r="BP216" i="5"/>
  <c r="BP214" i="5" s="1"/>
  <c r="BP213" i="5" s="1"/>
  <c r="BN216" i="5"/>
  <c r="L216" i="5"/>
  <c r="K216" i="5"/>
  <c r="K214" i="5" s="1"/>
  <c r="I216" i="5"/>
  <c r="I214" i="5" s="1"/>
  <c r="H216" i="5"/>
  <c r="H214" i="5" s="1"/>
  <c r="H213" i="5" s="1"/>
  <c r="G216" i="5"/>
  <c r="G214" i="5" s="1"/>
  <c r="E216" i="5"/>
  <c r="E214" i="5" s="1"/>
  <c r="F215" i="5"/>
  <c r="BJ215" i="5" s="1"/>
  <c r="BN214" i="5"/>
  <c r="BC214" i="5"/>
  <c r="M214" i="5"/>
  <c r="J214" i="5"/>
  <c r="BN213" i="5"/>
  <c r="CD212" i="5"/>
  <c r="CB212" i="5"/>
  <c r="CB211" i="5" s="1"/>
  <c r="CB210" i="5" s="1"/>
  <c r="BN212" i="5"/>
  <c r="O212" i="5"/>
  <c r="F212" i="5"/>
  <c r="BM212" i="5" s="1"/>
  <c r="CQ212" i="5" s="1"/>
  <c r="CN211" i="5"/>
  <c r="CN210" i="5" s="1"/>
  <c r="CL211" i="5"/>
  <c r="CL210" i="5" s="1"/>
  <c r="CL209" i="5" s="1"/>
  <c r="CJ211" i="5"/>
  <c r="CJ210" i="5" s="1"/>
  <c r="CH211" i="5"/>
  <c r="CH210" i="5" s="1"/>
  <c r="CH209" i="5" s="1"/>
  <c r="CF211" i="5"/>
  <c r="BZ211" i="5"/>
  <c r="BX211" i="5"/>
  <c r="BV211" i="5"/>
  <c r="BT211" i="5"/>
  <c r="BT210" i="5" s="1"/>
  <c r="BR211" i="5"/>
  <c r="BR210" i="5" s="1"/>
  <c r="BP211" i="5"/>
  <c r="BP210" i="5" s="1"/>
  <c r="BN211" i="5"/>
  <c r="BK211" i="5"/>
  <c r="BK210" i="5" s="1"/>
  <c r="L211" i="5"/>
  <c r="L210" i="5" s="1"/>
  <c r="L209" i="5" s="1"/>
  <c r="K211" i="5"/>
  <c r="K210" i="5" s="1"/>
  <c r="K209" i="5" s="1"/>
  <c r="I211" i="5"/>
  <c r="I210" i="5" s="1"/>
  <c r="I209" i="5" s="1"/>
  <c r="H211" i="5"/>
  <c r="H210" i="5" s="1"/>
  <c r="G211" i="5"/>
  <c r="G210" i="5" s="1"/>
  <c r="E211" i="5"/>
  <c r="E210" i="5" s="1"/>
  <c r="CF210" i="5"/>
  <c r="CF209" i="5" s="1"/>
  <c r="BZ210" i="5"/>
  <c r="BZ209" i="5" s="1"/>
  <c r="BV210" i="5"/>
  <c r="BR209" i="5"/>
  <c r="H209" i="5"/>
  <c r="E209" i="5"/>
  <c r="CN208" i="5"/>
  <c r="CN206" i="5" s="1"/>
  <c r="BN208" i="5"/>
  <c r="BF208" i="5"/>
  <c r="O208" i="5"/>
  <c r="F208" i="5"/>
  <c r="D208" i="5" s="1"/>
  <c r="BS208" i="5" s="1"/>
  <c r="A208" i="5"/>
  <c r="BV207" i="5"/>
  <c r="BV206" i="5" s="1"/>
  <c r="BV205" i="5" s="1"/>
  <c r="BN207" i="5"/>
  <c r="BM207" i="5"/>
  <c r="CQ207" i="5" s="1"/>
  <c r="O207" i="5"/>
  <c r="F207" i="5"/>
  <c r="BJ207" i="5" s="1"/>
  <c r="D207" i="5"/>
  <c r="Q207" i="5" s="1"/>
  <c r="CL206" i="5"/>
  <c r="CL205" i="5" s="1"/>
  <c r="CJ206" i="5"/>
  <c r="CH206" i="5"/>
  <c r="CF206" i="5"/>
  <c r="CF205" i="5" s="1"/>
  <c r="CD206" i="5"/>
  <c r="CD205" i="5" s="1"/>
  <c r="CB206" i="5"/>
  <c r="BZ206" i="5"/>
  <c r="BX206" i="5"/>
  <c r="BX205" i="5" s="1"/>
  <c r="BT206" i="5"/>
  <c r="BT205" i="5" s="1"/>
  <c r="BR206" i="5"/>
  <c r="BP206" i="5"/>
  <c r="BK206" i="5"/>
  <c r="BN206" i="5" s="1"/>
  <c r="N206" i="5"/>
  <c r="M206" i="5"/>
  <c r="L206" i="5"/>
  <c r="L205" i="5" s="1"/>
  <c r="K206" i="5"/>
  <c r="K205" i="5" s="1"/>
  <c r="I206" i="5"/>
  <c r="I205" i="5" s="1"/>
  <c r="H206" i="5"/>
  <c r="H205" i="5" s="1"/>
  <c r="G206" i="5"/>
  <c r="G205" i="5" s="1"/>
  <c r="F206" i="5"/>
  <c r="F205" i="5" s="1"/>
  <c r="E206" i="5"/>
  <c r="E205" i="5" s="1"/>
  <c r="CJ205" i="5"/>
  <c r="CH205" i="5"/>
  <c r="BP205" i="5"/>
  <c r="BN205" i="5"/>
  <c r="BN204" i="5"/>
  <c r="O204" i="5"/>
  <c r="F204" i="5"/>
  <c r="F203" i="5" s="1"/>
  <c r="F202" i="5" s="1"/>
  <c r="CN203" i="5"/>
  <c r="CN202" i="5" s="1"/>
  <c r="CL203" i="5"/>
  <c r="CJ203" i="5"/>
  <c r="CJ202" i="5" s="1"/>
  <c r="CH203" i="5"/>
  <c r="CH202" i="5" s="1"/>
  <c r="CF203" i="5"/>
  <c r="CF202" i="5" s="1"/>
  <c r="CD203" i="5"/>
  <c r="CD202" i="5" s="1"/>
  <c r="CB203" i="5"/>
  <c r="CB202" i="5" s="1"/>
  <c r="BZ203" i="5"/>
  <c r="BZ202" i="5" s="1"/>
  <c r="BX203" i="5"/>
  <c r="BV203" i="5"/>
  <c r="BV202" i="5" s="1"/>
  <c r="BT203" i="5"/>
  <c r="BR203" i="5"/>
  <c r="BP203" i="5"/>
  <c r="BP202" i="5" s="1"/>
  <c r="BK203" i="5"/>
  <c r="BN203" i="5" s="1"/>
  <c r="O203" i="5"/>
  <c r="N203" i="5"/>
  <c r="M203" i="5"/>
  <c r="L203" i="5"/>
  <c r="L202" i="5" s="1"/>
  <c r="K203" i="5"/>
  <c r="K202" i="5" s="1"/>
  <c r="I203" i="5"/>
  <c r="I202" i="5" s="1"/>
  <c r="H203" i="5"/>
  <c r="H202" i="5" s="1"/>
  <c r="G203" i="5"/>
  <c r="G202" i="5" s="1"/>
  <c r="E203" i="5"/>
  <c r="CL202" i="5"/>
  <c r="BX202" i="5"/>
  <c r="BT202" i="5"/>
  <c r="BN202" i="5"/>
  <c r="E202" i="5"/>
  <c r="BN201" i="5"/>
  <c r="O201" i="5"/>
  <c r="F201" i="5"/>
  <c r="D201" i="5" s="1"/>
  <c r="BR200" i="5"/>
  <c r="BN200" i="5"/>
  <c r="O200" i="5"/>
  <c r="F200" i="5"/>
  <c r="BM200" i="5" s="1"/>
  <c r="CQ200" i="5" s="1"/>
  <c r="CL199" i="5"/>
  <c r="CL197" i="5" s="1"/>
  <c r="CL196" i="5" s="1"/>
  <c r="BN199" i="5"/>
  <c r="O199" i="5"/>
  <c r="F199" i="5"/>
  <c r="D199" i="5" s="1"/>
  <c r="BL199" i="5" s="1"/>
  <c r="A199" i="5"/>
  <c r="BN198" i="5"/>
  <c r="O198" i="5"/>
  <c r="F198" i="5"/>
  <c r="D198" i="5" s="1"/>
  <c r="BW198" i="5" s="1"/>
  <c r="CN197" i="5"/>
  <c r="CJ197" i="5"/>
  <c r="CJ196" i="5" s="1"/>
  <c r="CH197" i="5"/>
  <c r="CH196" i="5" s="1"/>
  <c r="CF197" i="5"/>
  <c r="CD197" i="5"/>
  <c r="CB197" i="5"/>
  <c r="CB196" i="5" s="1"/>
  <c r="BZ197" i="5"/>
  <c r="BZ196" i="5" s="1"/>
  <c r="BX197" i="5"/>
  <c r="BX196" i="5" s="1"/>
  <c r="BV197" i="5"/>
  <c r="BV196" i="5" s="1"/>
  <c r="BT197" i="5"/>
  <c r="BT196" i="5" s="1"/>
  <c r="BR197" i="5"/>
  <c r="BR196" i="5" s="1"/>
  <c r="BP197" i="5"/>
  <c r="BP196" i="5" s="1"/>
  <c r="BK197" i="5"/>
  <c r="BK196" i="5" s="1"/>
  <c r="BN196" i="5" s="1"/>
  <c r="L197" i="5"/>
  <c r="L196" i="5" s="1"/>
  <c r="K197" i="5"/>
  <c r="K196" i="5" s="1"/>
  <c r="I197" i="5"/>
  <c r="I196" i="5" s="1"/>
  <c r="H197" i="5"/>
  <c r="H196" i="5" s="1"/>
  <c r="G197" i="5"/>
  <c r="E197" i="5"/>
  <c r="E196" i="5" s="1"/>
  <c r="CN196" i="5"/>
  <c r="CD196" i="5"/>
  <c r="CH195" i="5"/>
  <c r="CJ195" i="5" s="1"/>
  <c r="CB195" i="5"/>
  <c r="CD195" i="5" s="1"/>
  <c r="BN195" i="5"/>
  <c r="O195" i="5"/>
  <c r="H195" i="5"/>
  <c r="F195" i="5" s="1"/>
  <c r="BN194" i="5"/>
  <c r="O194" i="5"/>
  <c r="H194" i="5"/>
  <c r="BV194" i="5" s="1"/>
  <c r="CQ193" i="5"/>
  <c r="CP193" i="5"/>
  <c r="BN193" i="5"/>
  <c r="O193" i="5"/>
  <c r="F193" i="5"/>
  <c r="D193" i="5" s="1"/>
  <c r="Q193" i="5" s="1"/>
  <c r="CB192" i="5"/>
  <c r="CD192" i="5" s="1"/>
  <c r="BN192" i="5"/>
  <c r="O192" i="5"/>
  <c r="F192" i="5"/>
  <c r="CQ191" i="5"/>
  <c r="CP191" i="5"/>
  <c r="BN191" i="5"/>
  <c r="O191" i="5"/>
  <c r="F191" i="5"/>
  <c r="BJ191" i="5" s="1"/>
  <c r="CN190" i="5"/>
  <c r="CL190" i="5"/>
  <c r="CJ190" i="5"/>
  <c r="CH190" i="5"/>
  <c r="CF190" i="5"/>
  <c r="CD190" i="5"/>
  <c r="CB190" i="5"/>
  <c r="BN190" i="5"/>
  <c r="O190" i="5"/>
  <c r="F190" i="5"/>
  <c r="BM190" i="5" s="1"/>
  <c r="CQ190" i="5" s="1"/>
  <c r="D190" i="5"/>
  <c r="CL189" i="5"/>
  <c r="BV189" i="5"/>
  <c r="BX189" i="5" s="1"/>
  <c r="BN189" i="5"/>
  <c r="O189" i="5"/>
  <c r="F189" i="5"/>
  <c r="BM189" i="5" s="1"/>
  <c r="CP189" i="5" s="1"/>
  <c r="CH188" i="5"/>
  <c r="CJ188" i="5" s="1"/>
  <c r="CL188" i="5" s="1"/>
  <c r="CN188" i="5" s="1"/>
  <c r="BN188" i="5"/>
  <c r="O188" i="5"/>
  <c r="H188" i="5"/>
  <c r="CJ187" i="5"/>
  <c r="CF187" i="5"/>
  <c r="BN187" i="5"/>
  <c r="O187" i="5"/>
  <c r="F187" i="5"/>
  <c r="CQ186" i="5"/>
  <c r="CP186" i="5"/>
  <c r="BN186" i="5"/>
  <c r="O186" i="5"/>
  <c r="F186" i="5"/>
  <c r="BJ186" i="5" s="1"/>
  <c r="BT185" i="5"/>
  <c r="BR185" i="5"/>
  <c r="BP185" i="5"/>
  <c r="BK185" i="5"/>
  <c r="BN185" i="5" s="1"/>
  <c r="P185" i="5"/>
  <c r="L185" i="5"/>
  <c r="K185" i="5"/>
  <c r="I185" i="5"/>
  <c r="G185" i="5"/>
  <c r="E185" i="5"/>
  <c r="BV184" i="5"/>
  <c r="BX184" i="5" s="1"/>
  <c r="BZ184" i="5" s="1"/>
  <c r="BN184" i="5"/>
  <c r="O184" i="5"/>
  <c r="H184" i="5"/>
  <c r="F184" i="5"/>
  <c r="BJ184" i="5" s="1"/>
  <c r="CN183" i="5"/>
  <c r="BR183" i="5"/>
  <c r="BN183" i="5"/>
  <c r="O183" i="5"/>
  <c r="H183" i="5"/>
  <c r="F183" i="5" s="1"/>
  <c r="BJ183" i="5" s="1"/>
  <c r="CN182" i="5"/>
  <c r="BZ182" i="5"/>
  <c r="CB182" i="5" s="1"/>
  <c r="CD182" i="5" s="1"/>
  <c r="BN182" i="5"/>
  <c r="O182" i="5"/>
  <c r="H182" i="5"/>
  <c r="F182" i="5" s="1"/>
  <c r="BM182" i="5" s="1"/>
  <c r="CQ182" i="5" s="1"/>
  <c r="BN181" i="5"/>
  <c r="O181" i="5"/>
  <c r="F181" i="5"/>
  <c r="BZ181" i="5" s="1"/>
  <c r="CB181" i="5" s="1"/>
  <c r="BN180" i="5"/>
  <c r="O180" i="5"/>
  <c r="H180" i="5"/>
  <c r="BN179" i="5"/>
  <c r="O179" i="5"/>
  <c r="F179" i="5"/>
  <c r="BM179" i="5" s="1"/>
  <c r="BN178" i="5"/>
  <c r="O178" i="5"/>
  <c r="F178" i="5"/>
  <c r="D178" i="5" s="1"/>
  <c r="BN177" i="5"/>
  <c r="O177" i="5"/>
  <c r="F177" i="5"/>
  <c r="BM177" i="5" s="1"/>
  <c r="CQ176" i="5"/>
  <c r="CP176" i="5"/>
  <c r="BN176" i="5"/>
  <c r="O176" i="5"/>
  <c r="F176" i="5"/>
  <c r="CH175" i="5"/>
  <c r="BN175" i="5"/>
  <c r="O175" i="5"/>
  <c r="F175" i="5"/>
  <c r="D175" i="5" s="1"/>
  <c r="CA175" i="5" s="1"/>
  <c r="CQ174" i="5"/>
  <c r="CP174" i="5"/>
  <c r="BN174" i="5"/>
  <c r="O174" i="5"/>
  <c r="F174" i="5"/>
  <c r="CJ173" i="5"/>
  <c r="CB173" i="5"/>
  <c r="CD173" i="5" s="1"/>
  <c r="CF173" i="5" s="1"/>
  <c r="CG173" i="5" s="1"/>
  <c r="BN173" i="5"/>
  <c r="O173" i="5"/>
  <c r="F173" i="5"/>
  <c r="D173" i="5" s="1"/>
  <c r="CD172" i="5"/>
  <c r="CF172" i="5" s="1"/>
  <c r="CH172" i="5" s="1"/>
  <c r="CJ172" i="5" s="1"/>
  <c r="CL172" i="5" s="1"/>
  <c r="CN172" i="5" s="1"/>
  <c r="BX172" i="5"/>
  <c r="BV172" i="5"/>
  <c r="BN172" i="5"/>
  <c r="O172" i="5"/>
  <c r="F172" i="5"/>
  <c r="CQ171" i="5"/>
  <c r="CP171" i="5"/>
  <c r="BN171" i="5"/>
  <c r="O171" i="5"/>
  <c r="F171" i="5"/>
  <c r="D171" i="5" s="1"/>
  <c r="Q171" i="5" s="1"/>
  <c r="CN170" i="5"/>
  <c r="BN170" i="5"/>
  <c r="O170" i="5"/>
  <c r="H170" i="5"/>
  <c r="F170" i="5" s="1"/>
  <c r="BX169" i="5"/>
  <c r="BZ169" i="5" s="1"/>
  <c r="CB169" i="5" s="1"/>
  <c r="BR169" i="5"/>
  <c r="BT169" i="5" s="1"/>
  <c r="BN169" i="5"/>
  <c r="O169" i="5"/>
  <c r="H169" i="5"/>
  <c r="F169" i="5" s="1"/>
  <c r="CJ168" i="5"/>
  <c r="CL168" i="5" s="1"/>
  <c r="CB168" i="5"/>
  <c r="CD168" i="5" s="1"/>
  <c r="CF168" i="5" s="1"/>
  <c r="BX168" i="5"/>
  <c r="BN168" i="5"/>
  <c r="O168" i="5"/>
  <c r="H168" i="5"/>
  <c r="F168" i="5" s="1"/>
  <c r="CN167" i="5"/>
  <c r="CF167" i="5"/>
  <c r="CB167" i="5"/>
  <c r="BN167" i="5"/>
  <c r="O167" i="5"/>
  <c r="H167" i="5"/>
  <c r="F167" i="5" s="1"/>
  <c r="CQ166" i="5"/>
  <c r="CP166" i="5"/>
  <c r="BN166" i="5"/>
  <c r="O166" i="5"/>
  <c r="F166" i="5"/>
  <c r="D166" i="5" s="1"/>
  <c r="Q166" i="5" s="1"/>
  <c r="CF165" i="5"/>
  <c r="CH165" i="5" s="1"/>
  <c r="CJ165" i="5" s="1"/>
  <c r="BX165" i="5"/>
  <c r="BN165" i="5"/>
  <c r="O165" i="5"/>
  <c r="F165" i="5"/>
  <c r="BJ165" i="5" s="1"/>
  <c r="CH164" i="5"/>
  <c r="CJ164" i="5" s="1"/>
  <c r="CL164" i="5" s="1"/>
  <c r="BN164" i="5"/>
  <c r="O164" i="5"/>
  <c r="F164" i="5"/>
  <c r="CL163" i="5"/>
  <c r="CH163" i="5"/>
  <c r="CB163" i="5"/>
  <c r="CD163" i="5" s="1"/>
  <c r="BN163" i="5"/>
  <c r="O163" i="5"/>
  <c r="F163" i="5"/>
  <c r="CN162" i="5"/>
  <c r="CJ162" i="5"/>
  <c r="CH162" i="5"/>
  <c r="CB162" i="5"/>
  <c r="BN162" i="5"/>
  <c r="O162" i="5"/>
  <c r="H162" i="5"/>
  <c r="F162" i="5" s="1"/>
  <c r="D162" i="5" s="1"/>
  <c r="CG162" i="5" s="1"/>
  <c r="CF161" i="5"/>
  <c r="CH161" i="5" s="1"/>
  <c r="CJ161" i="5" s="1"/>
  <c r="BN161" i="5"/>
  <c r="O161" i="5"/>
  <c r="F161" i="5"/>
  <c r="CN160" i="5"/>
  <c r="BX160" i="5"/>
  <c r="BZ160" i="5" s="1"/>
  <c r="CB160" i="5" s="1"/>
  <c r="BN160" i="5"/>
  <c r="O160" i="5"/>
  <c r="H160" i="5"/>
  <c r="F160" i="5" s="1"/>
  <c r="BJ160" i="5" s="1"/>
  <c r="CQ159" i="5"/>
  <c r="CP159" i="5"/>
  <c r="BN159" i="5"/>
  <c r="O159" i="5"/>
  <c r="F159" i="5"/>
  <c r="D159" i="5" s="1"/>
  <c r="Q159" i="5" s="1"/>
  <c r="CF158" i="5"/>
  <c r="CH158" i="5" s="1"/>
  <c r="BN158" i="5"/>
  <c r="O158" i="5"/>
  <c r="H158" i="5"/>
  <c r="BN157" i="5"/>
  <c r="O157" i="5"/>
  <c r="F157" i="5"/>
  <c r="CQ156" i="5"/>
  <c r="CP156" i="5"/>
  <c r="BN156" i="5"/>
  <c r="O156" i="5"/>
  <c r="F156" i="5"/>
  <c r="BJ156" i="5" s="1"/>
  <c r="BP155" i="5"/>
  <c r="BK155" i="5"/>
  <c r="BK154" i="5" s="1"/>
  <c r="BN154" i="5" s="1"/>
  <c r="P155" i="5"/>
  <c r="L155" i="5"/>
  <c r="K155" i="5"/>
  <c r="K154" i="5" s="1"/>
  <c r="I155" i="5"/>
  <c r="I154" i="5" s="1"/>
  <c r="G155" i="5"/>
  <c r="E155" i="5"/>
  <c r="BN153" i="5"/>
  <c r="O153" i="5"/>
  <c r="F153" i="5"/>
  <c r="BM153" i="5" s="1"/>
  <c r="CQ153" i="5" s="1"/>
  <c r="BN152" i="5"/>
  <c r="O152" i="5"/>
  <c r="F152" i="5"/>
  <c r="BM152" i="5" s="1"/>
  <c r="CQ152" i="5" s="1"/>
  <c r="D152" i="5"/>
  <c r="BN151" i="5"/>
  <c r="O151" i="5"/>
  <c r="F151" i="5"/>
  <c r="BM151" i="5" s="1"/>
  <c r="CQ151" i="5" s="1"/>
  <c r="CJ150" i="5"/>
  <c r="CD150" i="5"/>
  <c r="BN150" i="5"/>
  <c r="O150" i="5"/>
  <c r="F150" i="5"/>
  <c r="D150" i="5" s="1"/>
  <c r="CC150" i="5" s="1"/>
  <c r="BN149" i="5"/>
  <c r="O149" i="5"/>
  <c r="F149" i="5"/>
  <c r="D149" i="5" s="1"/>
  <c r="CA149" i="5" s="1"/>
  <c r="BN148" i="5"/>
  <c r="O148" i="5"/>
  <c r="F148" i="5"/>
  <c r="D148" i="5" s="1"/>
  <c r="BN147" i="5"/>
  <c r="O147" i="5"/>
  <c r="F147" i="5"/>
  <c r="D147" i="5" s="1"/>
  <c r="A147" i="5"/>
  <c r="BN146" i="5"/>
  <c r="O146" i="5"/>
  <c r="F146" i="5"/>
  <c r="D146" i="5" s="1"/>
  <c r="Q146" i="5" s="1"/>
  <c r="CN145" i="5"/>
  <c r="CL145" i="5"/>
  <c r="CJ145" i="5"/>
  <c r="CH145" i="5"/>
  <c r="CB145" i="5"/>
  <c r="BZ145" i="5"/>
  <c r="BX145" i="5"/>
  <c r="BV145" i="5"/>
  <c r="BT145" i="5"/>
  <c r="BR145" i="5"/>
  <c r="BP145" i="5"/>
  <c r="BK145" i="5"/>
  <c r="N145" i="5"/>
  <c r="M145" i="5"/>
  <c r="L145" i="5"/>
  <c r="K145" i="5"/>
  <c r="I145" i="5"/>
  <c r="H145" i="5"/>
  <c r="G145" i="5"/>
  <c r="E145" i="5"/>
  <c r="BN144" i="5"/>
  <c r="BT143" i="5"/>
  <c r="BT142" i="5" s="1"/>
  <c r="BN143" i="5"/>
  <c r="O143" i="5"/>
  <c r="F143" i="5"/>
  <c r="BR142" i="5"/>
  <c r="BP142" i="5"/>
  <c r="BK142" i="5"/>
  <c r="BN142" i="5" s="1"/>
  <c r="L142" i="5"/>
  <c r="L141" i="5" s="1"/>
  <c r="K142" i="5"/>
  <c r="K141" i="5" s="1"/>
  <c r="I142" i="5"/>
  <c r="I141" i="5" s="1"/>
  <c r="H142" i="5"/>
  <c r="H141" i="5" s="1"/>
  <c r="G142" i="5"/>
  <c r="O142" i="5" s="1"/>
  <c r="E142" i="5"/>
  <c r="BT141" i="5"/>
  <c r="BR141" i="5"/>
  <c r="BP141" i="5"/>
  <c r="BN141" i="5"/>
  <c r="BN140" i="5"/>
  <c r="BM140" i="5"/>
  <c r="BJ140" i="5"/>
  <c r="D140" i="5"/>
  <c r="CK140" i="5" s="1"/>
  <c r="BN139" i="5"/>
  <c r="BM139" i="5"/>
  <c r="CP139" i="5" s="1"/>
  <c r="BJ139" i="5"/>
  <c r="D139" i="5"/>
  <c r="BL139" i="5" s="1"/>
  <c r="BN138" i="5"/>
  <c r="BM138" i="5"/>
  <c r="CQ138" i="5" s="1"/>
  <c r="BJ138" i="5"/>
  <c r="D138" i="5"/>
  <c r="BL138" i="5" s="1"/>
  <c r="BN137" i="5"/>
  <c r="BM137" i="5"/>
  <c r="BJ137" i="5"/>
  <c r="D137" i="5"/>
  <c r="BL137" i="5" s="1"/>
  <c r="BN136" i="5"/>
  <c r="BM136" i="5"/>
  <c r="BJ136" i="5"/>
  <c r="D136" i="5"/>
  <c r="BL136" i="5" s="1"/>
  <c r="BN135" i="5"/>
  <c r="O135" i="5"/>
  <c r="H135" i="5"/>
  <c r="H128" i="5" s="1"/>
  <c r="H127" i="5" s="1"/>
  <c r="BN134" i="5"/>
  <c r="O134" i="5"/>
  <c r="F134" i="5"/>
  <c r="D134" i="5" s="1"/>
  <c r="CM134" i="5" s="1"/>
  <c r="BN133" i="5"/>
  <c r="O133" i="5"/>
  <c r="F133" i="5"/>
  <c r="D133" i="5" s="1"/>
  <c r="BN132" i="5"/>
  <c r="O132" i="5"/>
  <c r="F132" i="5"/>
  <c r="D132" i="5" s="1"/>
  <c r="BN131" i="5"/>
  <c r="O131" i="5"/>
  <c r="F131" i="5"/>
  <c r="D131" i="5" s="1"/>
  <c r="BN130" i="5"/>
  <c r="O130" i="5"/>
  <c r="F130" i="5"/>
  <c r="D130" i="5" s="1"/>
  <c r="A130" i="5"/>
  <c r="A131" i="5" s="1"/>
  <c r="A132" i="5" s="1"/>
  <c r="BN129" i="5"/>
  <c r="O129" i="5"/>
  <c r="F129" i="5"/>
  <c r="D129" i="5" s="1"/>
  <c r="CN128" i="5"/>
  <c r="CN127" i="5" s="1"/>
  <c r="CL128" i="5"/>
  <c r="CL127" i="5" s="1"/>
  <c r="CJ128" i="5"/>
  <c r="CH128" i="5"/>
  <c r="CF128" i="5"/>
  <c r="CF127" i="5" s="1"/>
  <c r="CD128" i="5"/>
  <c r="CD127" i="5" s="1"/>
  <c r="CB128" i="5"/>
  <c r="CB127" i="5" s="1"/>
  <c r="BZ128" i="5"/>
  <c r="BZ127" i="5" s="1"/>
  <c r="BX128" i="5"/>
  <c r="BV128" i="5"/>
  <c r="BT128" i="5"/>
  <c r="BT127" i="5" s="1"/>
  <c r="BR128" i="5"/>
  <c r="BR127" i="5" s="1"/>
  <c r="BP128" i="5"/>
  <c r="BP127" i="5" s="1"/>
  <c r="BN128" i="5"/>
  <c r="AA128" i="5"/>
  <c r="X128" i="5"/>
  <c r="U128" i="5"/>
  <c r="N128" i="5"/>
  <c r="M128" i="5"/>
  <c r="L128" i="5"/>
  <c r="L127" i="5" s="1"/>
  <c r="K128" i="5"/>
  <c r="K127" i="5" s="1"/>
  <c r="I128" i="5"/>
  <c r="G128" i="5"/>
  <c r="G127" i="5" s="1"/>
  <c r="E128" i="5"/>
  <c r="E127" i="5" s="1"/>
  <c r="CJ127" i="5"/>
  <c r="CH127" i="5"/>
  <c r="BX127" i="5"/>
  <c r="BV127" i="5"/>
  <c r="BN127" i="5"/>
  <c r="I127" i="5"/>
  <c r="CS126" i="5"/>
  <c r="BN126" i="5"/>
  <c r="H126" i="5"/>
  <c r="F126" i="5" s="1"/>
  <c r="G126" i="5"/>
  <c r="O126" i="5" s="1"/>
  <c r="CS125" i="5"/>
  <c r="BN125" i="5"/>
  <c r="O125" i="5"/>
  <c r="H125" i="5"/>
  <c r="CS124" i="5"/>
  <c r="BN124" i="5"/>
  <c r="O124" i="5"/>
  <c r="F124" i="5"/>
  <c r="D124" i="5" s="1"/>
  <c r="CS123" i="5"/>
  <c r="BN123" i="5"/>
  <c r="O123" i="5"/>
  <c r="F123" i="5"/>
  <c r="D123" i="5" s="1"/>
  <c r="CO123" i="5" s="1"/>
  <c r="CS122" i="5"/>
  <c r="BN122" i="5"/>
  <c r="O122" i="5"/>
  <c r="F122" i="5"/>
  <c r="BM122" i="5" s="1"/>
  <c r="CS121" i="5"/>
  <c r="BN121" i="5"/>
  <c r="O121" i="5"/>
  <c r="F121" i="5"/>
  <c r="BM121" i="5" s="1"/>
  <c r="CQ121" i="5" s="1"/>
  <c r="CS120" i="5"/>
  <c r="BN120" i="5"/>
  <c r="O120" i="5"/>
  <c r="F120" i="5"/>
  <c r="BJ120" i="5" s="1"/>
  <c r="CS119" i="5"/>
  <c r="BN119" i="5"/>
  <c r="G119" i="5"/>
  <c r="O119" i="5" s="1"/>
  <c r="F119" i="5"/>
  <c r="BJ119" i="5" s="1"/>
  <c r="CS118" i="5"/>
  <c r="BN118" i="5"/>
  <c r="O118" i="5"/>
  <c r="F118" i="5"/>
  <c r="CS117" i="5"/>
  <c r="BN117" i="5"/>
  <c r="O117" i="5"/>
  <c r="F117" i="5"/>
  <c r="CS116" i="5"/>
  <c r="BN116" i="5"/>
  <c r="O116" i="5"/>
  <c r="F116" i="5"/>
  <c r="D116" i="5" s="1"/>
  <c r="CS115" i="5"/>
  <c r="BN115" i="5"/>
  <c r="G115" i="5"/>
  <c r="F115" i="5" s="1"/>
  <c r="BM115" i="5" s="1"/>
  <c r="CS114" i="5"/>
  <c r="BN114" i="5"/>
  <c r="O114" i="5"/>
  <c r="F114" i="5"/>
  <c r="D114" i="5" s="1"/>
  <c r="Q114" i="5" s="1"/>
  <c r="CS113" i="5"/>
  <c r="BN113" i="5"/>
  <c r="O113" i="5"/>
  <c r="F113" i="5"/>
  <c r="BM113" i="5" s="1"/>
  <c r="CS112" i="5"/>
  <c r="BN112" i="5"/>
  <c r="G112" i="5"/>
  <c r="O112" i="5" s="1"/>
  <c r="CS111" i="5"/>
  <c r="BN111" i="5"/>
  <c r="G111" i="5"/>
  <c r="F111" i="5" s="1"/>
  <c r="CS110" i="5"/>
  <c r="BN110" i="5"/>
  <c r="O110" i="5"/>
  <c r="F110" i="5"/>
  <c r="BM110" i="5" s="1"/>
  <c r="CP110" i="5" s="1"/>
  <c r="CS109" i="5"/>
  <c r="BN109" i="5"/>
  <c r="G109" i="5"/>
  <c r="CS108" i="5"/>
  <c r="BN108" i="5"/>
  <c r="G108" i="5"/>
  <c r="O108" i="5" s="1"/>
  <c r="CS107" i="5"/>
  <c r="CQ107" i="5"/>
  <c r="CP107" i="5"/>
  <c r="BN107" i="5"/>
  <c r="O107" i="5"/>
  <c r="F107" i="5"/>
  <c r="BJ107" i="5" s="1"/>
  <c r="CS106" i="5"/>
  <c r="BN106" i="5"/>
  <c r="G106" i="5"/>
  <c r="F106" i="5" s="1"/>
  <c r="D106" i="5" s="1"/>
  <c r="CS105" i="5"/>
  <c r="BN105" i="5"/>
  <c r="G105" i="5"/>
  <c r="F105" i="5" s="1"/>
  <c r="BM105" i="5" s="1"/>
  <c r="CS104" i="5"/>
  <c r="BN104" i="5"/>
  <c r="O104" i="5"/>
  <c r="F104" i="5"/>
  <c r="D104" i="5" s="1"/>
  <c r="CK104" i="5" s="1"/>
  <c r="CS103" i="5"/>
  <c r="BN103" i="5"/>
  <c r="G103" i="5"/>
  <c r="O103" i="5" s="1"/>
  <c r="F103" i="5"/>
  <c r="BM103" i="5" s="1"/>
  <c r="CS102" i="5"/>
  <c r="BN102" i="5"/>
  <c r="O102" i="5"/>
  <c r="F102" i="5"/>
  <c r="D102" i="5" s="1"/>
  <c r="CS101" i="5"/>
  <c r="CQ101" i="5"/>
  <c r="CP101" i="5"/>
  <c r="BN101" i="5"/>
  <c r="O101" i="5"/>
  <c r="F101" i="5"/>
  <c r="BJ101" i="5" s="1"/>
  <c r="CS100" i="5"/>
  <c r="BN100" i="5"/>
  <c r="G100" i="5"/>
  <c r="CS99" i="5"/>
  <c r="BN99" i="5"/>
  <c r="O99" i="5"/>
  <c r="F99" i="5"/>
  <c r="D99" i="5" s="1"/>
  <c r="CS98" i="5"/>
  <c r="BN98" i="5"/>
  <c r="O98" i="5"/>
  <c r="F98" i="5"/>
  <c r="BJ98" i="5" s="1"/>
  <c r="CS97" i="5"/>
  <c r="BN97" i="5"/>
  <c r="O97" i="5"/>
  <c r="F97" i="5"/>
  <c r="D97" i="5" s="1"/>
  <c r="CS96" i="5"/>
  <c r="BN96" i="5"/>
  <c r="O96" i="5"/>
  <c r="F96" i="5"/>
  <c r="BM96" i="5" s="1"/>
  <c r="CQ96" i="5" s="1"/>
  <c r="CS95" i="5"/>
  <c r="CQ95" i="5"/>
  <c r="CP95" i="5"/>
  <c r="BN95" i="5"/>
  <c r="O95" i="5"/>
  <c r="F95" i="5"/>
  <c r="BJ95" i="5" s="1"/>
  <c r="CS94" i="5"/>
  <c r="BN94" i="5"/>
  <c r="O94" i="5"/>
  <c r="F94" i="5"/>
  <c r="BJ94" i="5" s="1"/>
  <c r="CS93" i="5"/>
  <c r="BN93" i="5"/>
  <c r="G93" i="5"/>
  <c r="CS92" i="5"/>
  <c r="BN92" i="5"/>
  <c r="G92" i="5"/>
  <c r="CS91" i="5"/>
  <c r="BN91" i="5"/>
  <c r="G91" i="5"/>
  <c r="O91" i="5" s="1"/>
  <c r="CS90" i="5"/>
  <c r="BN90" i="5"/>
  <c r="O90" i="5"/>
  <c r="H90" i="5"/>
  <c r="F90" i="5" s="1"/>
  <c r="CS89" i="5"/>
  <c r="BN89" i="5"/>
  <c r="G89" i="5"/>
  <c r="F89" i="5" s="1"/>
  <c r="BJ89" i="5" s="1"/>
  <c r="CS88" i="5"/>
  <c r="BN88" i="5"/>
  <c r="O88" i="5"/>
  <c r="F88" i="5"/>
  <c r="D88" i="5" s="1"/>
  <c r="CS87" i="5"/>
  <c r="CQ87" i="5"/>
  <c r="CP87" i="5"/>
  <c r="BN87" i="5"/>
  <c r="O87" i="5"/>
  <c r="F87" i="5"/>
  <c r="D87" i="5" s="1"/>
  <c r="Q87" i="5" s="1"/>
  <c r="CS86" i="5"/>
  <c r="BN86" i="5"/>
  <c r="G86" i="5"/>
  <c r="CS85" i="5"/>
  <c r="BN85" i="5"/>
  <c r="BM85" i="5"/>
  <c r="CQ85" i="5" s="1"/>
  <c r="O85" i="5"/>
  <c r="F85" i="5"/>
  <c r="CS84" i="5"/>
  <c r="BN84" i="5"/>
  <c r="O84" i="5"/>
  <c r="F84" i="5"/>
  <c r="BJ84" i="5" s="1"/>
  <c r="CS83" i="5"/>
  <c r="BN83" i="5"/>
  <c r="O83" i="5"/>
  <c r="F83" i="5"/>
  <c r="BJ83" i="5" s="1"/>
  <c r="CS82" i="5"/>
  <c r="CQ82" i="5"/>
  <c r="CP82" i="5"/>
  <c r="BN82" i="5"/>
  <c r="O82" i="5"/>
  <c r="F82" i="5"/>
  <c r="D82" i="5" s="1"/>
  <c r="Q82" i="5" s="1"/>
  <c r="CS81" i="5"/>
  <c r="BN81" i="5"/>
  <c r="O81" i="5"/>
  <c r="F81" i="5"/>
  <c r="D81" i="5" s="1"/>
  <c r="CS80" i="5"/>
  <c r="BN80" i="5"/>
  <c r="O80" i="5"/>
  <c r="F80" i="5"/>
  <c r="BJ80" i="5" s="1"/>
  <c r="CS79" i="5"/>
  <c r="BN79" i="5"/>
  <c r="O79" i="5"/>
  <c r="F79" i="5"/>
  <c r="D79" i="5" s="1"/>
  <c r="CS78" i="5"/>
  <c r="CQ78" i="5"/>
  <c r="CP78" i="5"/>
  <c r="BN78" i="5"/>
  <c r="O78" i="5"/>
  <c r="F78" i="5"/>
  <c r="D78" i="5" s="1"/>
  <c r="Q78" i="5" s="1"/>
  <c r="CN77" i="5"/>
  <c r="CL77" i="5"/>
  <c r="CJ77" i="5"/>
  <c r="CH77" i="5"/>
  <c r="CF77" i="5"/>
  <c r="CD77" i="5"/>
  <c r="CB77" i="5"/>
  <c r="BZ77" i="5"/>
  <c r="BX77" i="5"/>
  <c r="BV77" i="5"/>
  <c r="BT77" i="5"/>
  <c r="BR77" i="5"/>
  <c r="BP77" i="5"/>
  <c r="BK77" i="5"/>
  <c r="CS77" i="5" s="1"/>
  <c r="L77" i="5"/>
  <c r="K77" i="5"/>
  <c r="I77" i="5"/>
  <c r="E77" i="5"/>
  <c r="CS76" i="5"/>
  <c r="BN76" i="5"/>
  <c r="O76" i="5"/>
  <c r="F76" i="5"/>
  <c r="BJ76" i="5" s="1"/>
  <c r="CS75" i="5"/>
  <c r="BN75" i="5"/>
  <c r="O75" i="5"/>
  <c r="F75" i="5"/>
  <c r="D75" i="5" s="1"/>
  <c r="CS74" i="5"/>
  <c r="BN74" i="5"/>
  <c r="O74" i="5"/>
  <c r="H74" i="5"/>
  <c r="F74" i="5" s="1"/>
  <c r="BJ74" i="5" s="1"/>
  <c r="CS73" i="5"/>
  <c r="BN73" i="5"/>
  <c r="BF73" i="5"/>
  <c r="O73" i="5"/>
  <c r="F73" i="5"/>
  <c r="D73" i="5" s="1"/>
  <c r="CM73" i="5" s="1"/>
  <c r="CS72" i="5"/>
  <c r="BN72" i="5"/>
  <c r="O72" i="5"/>
  <c r="F72" i="5"/>
  <c r="BJ72" i="5" s="1"/>
  <c r="CS71" i="5"/>
  <c r="BN71" i="5"/>
  <c r="O71" i="5"/>
  <c r="F71" i="5"/>
  <c r="CS70" i="5"/>
  <c r="BN70" i="5"/>
  <c r="O70" i="5"/>
  <c r="K70" i="5"/>
  <c r="F70" i="5" s="1"/>
  <c r="D70" i="5" s="1"/>
  <c r="BQ70" i="5" s="1"/>
  <c r="A70" i="5"/>
  <c r="CS69" i="5"/>
  <c r="BN69" i="5"/>
  <c r="O69" i="5"/>
  <c r="F69" i="5"/>
  <c r="D69" i="5" s="1"/>
  <c r="Q69" i="5" s="1"/>
  <c r="CN68" i="5"/>
  <c r="CL68" i="5"/>
  <c r="CJ68" i="5"/>
  <c r="CH68" i="5"/>
  <c r="CH66" i="5" s="1"/>
  <c r="CF68" i="5"/>
  <c r="CD68" i="5"/>
  <c r="CD66" i="5" s="1"/>
  <c r="CB68" i="5"/>
  <c r="BZ68" i="5"/>
  <c r="BX68" i="5"/>
  <c r="BX66" i="5" s="1"/>
  <c r="BV68" i="5"/>
  <c r="BT68" i="5"/>
  <c r="BR68" i="5"/>
  <c r="BP68" i="5"/>
  <c r="BK68" i="5"/>
  <c r="BN68" i="5" s="1"/>
  <c r="L68" i="5"/>
  <c r="L66" i="5" s="1"/>
  <c r="K68" i="5"/>
  <c r="K66" i="5" s="1"/>
  <c r="I68" i="5"/>
  <c r="G68" i="5"/>
  <c r="E68" i="5"/>
  <c r="CS67" i="5"/>
  <c r="CQ67" i="5"/>
  <c r="CP67" i="5"/>
  <c r="F67" i="5"/>
  <c r="CS66" i="5"/>
  <c r="CF66" i="5"/>
  <c r="BZ66" i="5"/>
  <c r="BV66" i="5"/>
  <c r="BN66" i="5"/>
  <c r="J66" i="5"/>
  <c r="E66" i="5"/>
  <c r="CS65" i="5"/>
  <c r="BN65" i="5"/>
  <c r="O65" i="5"/>
  <c r="H65" i="5"/>
  <c r="F65" i="5" s="1"/>
  <c r="CS64" i="5"/>
  <c r="CN64" i="5"/>
  <c r="CL64" i="5"/>
  <c r="CJ64" i="5"/>
  <c r="CH64" i="5"/>
  <c r="CF64" i="5"/>
  <c r="CD64" i="5"/>
  <c r="CB64" i="5"/>
  <c r="BZ64" i="5"/>
  <c r="BX64" i="5"/>
  <c r="BV64" i="5"/>
  <c r="BN64" i="5"/>
  <c r="O64" i="5"/>
  <c r="F64" i="5"/>
  <c r="BJ64" i="5" s="1"/>
  <c r="CS63" i="5"/>
  <c r="CQ63" i="5"/>
  <c r="CP63" i="5"/>
  <c r="BN63" i="5"/>
  <c r="O63" i="5"/>
  <c r="F63" i="5"/>
  <c r="BJ63" i="5" s="1"/>
  <c r="CS62" i="5"/>
  <c r="CN62" i="5"/>
  <c r="CL62" i="5"/>
  <c r="CJ62" i="5"/>
  <c r="CH62" i="5"/>
  <c r="CF62" i="5"/>
  <c r="CD62" i="5"/>
  <c r="CB62" i="5"/>
  <c r="BZ62" i="5"/>
  <c r="BN62" i="5"/>
  <c r="O62" i="5"/>
  <c r="F62" i="5"/>
  <c r="BJ62" i="5" s="1"/>
  <c r="CS61" i="5"/>
  <c r="CN61" i="5"/>
  <c r="CL61" i="5"/>
  <c r="CJ61" i="5"/>
  <c r="CH61" i="5"/>
  <c r="BN61" i="5"/>
  <c r="O61" i="5"/>
  <c r="F61" i="5"/>
  <c r="BJ61" i="5" s="1"/>
  <c r="CS60" i="5"/>
  <c r="CQ60" i="5"/>
  <c r="CP60" i="5"/>
  <c r="BN60" i="5"/>
  <c r="O60" i="5"/>
  <c r="F60" i="5"/>
  <c r="BJ60" i="5" s="1"/>
  <c r="CS59" i="5"/>
  <c r="CN59" i="5"/>
  <c r="CL59" i="5"/>
  <c r="CJ59" i="5"/>
  <c r="BN59" i="5"/>
  <c r="O59" i="5"/>
  <c r="F59" i="5"/>
  <c r="BM59" i="5" s="1"/>
  <c r="CS58" i="5"/>
  <c r="CN58" i="5"/>
  <c r="CL58" i="5"/>
  <c r="CJ58" i="5"/>
  <c r="CH58" i="5"/>
  <c r="CF58" i="5"/>
  <c r="CD58" i="5"/>
  <c r="CB58" i="5"/>
  <c r="BZ58" i="5"/>
  <c r="BX58" i="5"/>
  <c r="BV58" i="5"/>
  <c r="BT58" i="5"/>
  <c r="BR58" i="5"/>
  <c r="BR38" i="5" s="1"/>
  <c r="BN58" i="5"/>
  <c r="O58" i="5"/>
  <c r="F58" i="5"/>
  <c r="BJ58" i="5" s="1"/>
  <c r="CS57" i="5"/>
  <c r="CQ57" i="5"/>
  <c r="CP57" i="5"/>
  <c r="BN57" i="5"/>
  <c r="O57" i="5"/>
  <c r="F57" i="5"/>
  <c r="D57" i="5" s="1"/>
  <c r="Q57" i="5" s="1"/>
  <c r="CS56" i="5"/>
  <c r="BN56" i="5"/>
  <c r="O56" i="5"/>
  <c r="F56" i="5"/>
  <c r="BJ56" i="5" s="1"/>
  <c r="CS55" i="5"/>
  <c r="BN55" i="5"/>
  <c r="O55" i="5"/>
  <c r="F55" i="5"/>
  <c r="BJ55" i="5" s="1"/>
  <c r="CS54" i="5"/>
  <c r="BN54" i="5"/>
  <c r="O54" i="5"/>
  <c r="H54" i="5"/>
  <c r="F54" i="5" s="1"/>
  <c r="CS53" i="5"/>
  <c r="BN53" i="5"/>
  <c r="O53" i="5"/>
  <c r="F53" i="5"/>
  <c r="BM53" i="5" s="1"/>
  <c r="CS52" i="5"/>
  <c r="CN52" i="5"/>
  <c r="CL52" i="5"/>
  <c r="CJ52" i="5"/>
  <c r="CH52" i="5"/>
  <c r="CF52" i="5"/>
  <c r="CD52" i="5"/>
  <c r="CB52" i="5"/>
  <c r="BZ52" i="5"/>
  <c r="BX52" i="5"/>
  <c r="BV52" i="5"/>
  <c r="BN52" i="5"/>
  <c r="O52" i="5"/>
  <c r="H52" i="5"/>
  <c r="F52" i="5" s="1"/>
  <c r="BM52" i="5" s="1"/>
  <c r="CQ52" i="5" s="1"/>
  <c r="CS51" i="5"/>
  <c r="CN51" i="5"/>
  <c r="CL51" i="5"/>
  <c r="CJ51" i="5"/>
  <c r="CH51" i="5"/>
  <c r="CF51" i="5"/>
  <c r="BN51" i="5"/>
  <c r="O51" i="5"/>
  <c r="F51" i="5"/>
  <c r="BJ51" i="5" s="1"/>
  <c r="CS50" i="5"/>
  <c r="CQ50" i="5"/>
  <c r="CP50" i="5"/>
  <c r="BN50" i="5"/>
  <c r="O50" i="5"/>
  <c r="F50" i="5"/>
  <c r="D50" i="5" s="1"/>
  <c r="CS49" i="5"/>
  <c r="BN49" i="5"/>
  <c r="O49" i="5"/>
  <c r="F49" i="5"/>
  <c r="D49" i="5" s="1"/>
  <c r="CO49" i="5" s="1"/>
  <c r="CS48" i="5"/>
  <c r="BN48" i="5"/>
  <c r="O48" i="5"/>
  <c r="F48" i="5"/>
  <c r="BM48" i="5" s="1"/>
  <c r="CS47" i="5"/>
  <c r="BN47" i="5"/>
  <c r="O47" i="5"/>
  <c r="F47" i="5"/>
  <c r="BM47" i="5" s="1"/>
  <c r="CS46" i="5"/>
  <c r="BN46" i="5"/>
  <c r="O46" i="5"/>
  <c r="F46" i="5"/>
  <c r="BM46" i="5" s="1"/>
  <c r="CS45" i="5"/>
  <c r="CN45" i="5"/>
  <c r="CL45" i="5"/>
  <c r="CJ45" i="5"/>
  <c r="CH45" i="5"/>
  <c r="CF45" i="5"/>
  <c r="CD45" i="5"/>
  <c r="CB45" i="5"/>
  <c r="BZ45" i="5"/>
  <c r="BX45" i="5"/>
  <c r="BV45" i="5"/>
  <c r="BT45" i="5"/>
  <c r="BN45" i="5"/>
  <c r="O45" i="5"/>
  <c r="F45" i="5"/>
  <c r="BM45" i="5" s="1"/>
  <c r="CS44" i="5"/>
  <c r="BN44" i="5"/>
  <c r="O44" i="5"/>
  <c r="F44" i="5"/>
  <c r="BM44" i="5" s="1"/>
  <c r="CS43" i="5"/>
  <c r="BN43" i="5"/>
  <c r="O43" i="5"/>
  <c r="F43" i="5"/>
  <c r="BM43" i="5" s="1"/>
  <c r="CS42" i="5"/>
  <c r="CN42" i="5"/>
  <c r="BN42" i="5"/>
  <c r="O42" i="5"/>
  <c r="F42" i="5"/>
  <c r="BM42" i="5" s="1"/>
  <c r="CS41" i="5"/>
  <c r="CN41" i="5"/>
  <c r="CL41" i="5"/>
  <c r="CJ41" i="5"/>
  <c r="CH41" i="5"/>
  <c r="CF41" i="5"/>
  <c r="CD41" i="5"/>
  <c r="CB41" i="5"/>
  <c r="BZ41" i="5"/>
  <c r="BN41" i="5"/>
  <c r="O41" i="5"/>
  <c r="F41" i="5"/>
  <c r="BM41" i="5" s="1"/>
  <c r="CS40" i="5"/>
  <c r="CN40" i="5"/>
  <c r="CL40" i="5"/>
  <c r="BN40" i="5"/>
  <c r="O40" i="5"/>
  <c r="F40" i="5"/>
  <c r="D40" i="5" s="1"/>
  <c r="CO40" i="5" s="1"/>
  <c r="CS39" i="5"/>
  <c r="CQ39" i="5"/>
  <c r="CP39" i="5"/>
  <c r="BN39" i="5"/>
  <c r="BJ39" i="5"/>
  <c r="O39" i="5"/>
  <c r="D39" i="5"/>
  <c r="BT38" i="5"/>
  <c r="BP38" i="5"/>
  <c r="BK38" i="5"/>
  <c r="BN38" i="5" s="1"/>
  <c r="L38" i="5"/>
  <c r="K38" i="5"/>
  <c r="I38" i="5"/>
  <c r="G38" i="5"/>
  <c r="E38" i="5"/>
  <c r="CS37" i="5"/>
  <c r="CN37" i="5"/>
  <c r="CL37" i="5"/>
  <c r="CJ37" i="5"/>
  <c r="CH37" i="5"/>
  <c r="CF37" i="5"/>
  <c r="CD37" i="5"/>
  <c r="CB37" i="5"/>
  <c r="BZ37" i="5"/>
  <c r="BN37" i="5"/>
  <c r="O37" i="5"/>
  <c r="H37" i="5"/>
  <c r="F37" i="5" s="1"/>
  <c r="D37" i="5" s="1"/>
  <c r="CS36" i="5"/>
  <c r="CN36" i="5"/>
  <c r="BN36" i="5"/>
  <c r="O36" i="5"/>
  <c r="F36" i="5"/>
  <c r="BJ36" i="5" s="1"/>
  <c r="CS35" i="5"/>
  <c r="CN35" i="5"/>
  <c r="BN35" i="5"/>
  <c r="O35" i="5"/>
  <c r="H35" i="5"/>
  <c r="F35" i="5" s="1"/>
  <c r="CS34" i="5"/>
  <c r="BN34" i="5"/>
  <c r="O34" i="5"/>
  <c r="H34" i="5"/>
  <c r="F34" i="5" s="1"/>
  <c r="BM34" i="5" s="1"/>
  <c r="CS33" i="5"/>
  <c r="CN33" i="5"/>
  <c r="CL33" i="5"/>
  <c r="BN33" i="5"/>
  <c r="H33" i="5"/>
  <c r="G33" i="5"/>
  <c r="CS32" i="5"/>
  <c r="CL32" i="5"/>
  <c r="BN32" i="5"/>
  <c r="O32" i="5"/>
  <c r="F32" i="5"/>
  <c r="BJ32" i="5" s="1"/>
  <c r="CS31" i="5"/>
  <c r="BN31" i="5"/>
  <c r="O31" i="5"/>
  <c r="F31" i="5"/>
  <c r="D31" i="5" s="1"/>
  <c r="CS30" i="5"/>
  <c r="BN30" i="5"/>
  <c r="O30" i="5"/>
  <c r="F30" i="5"/>
  <c r="D30" i="5" s="1"/>
  <c r="CS29" i="5"/>
  <c r="CN29" i="5"/>
  <c r="CL29" i="5"/>
  <c r="BN29" i="5"/>
  <c r="O29" i="5"/>
  <c r="H29" i="5"/>
  <c r="CS28" i="5"/>
  <c r="CN28" i="5"/>
  <c r="CL28" i="5"/>
  <c r="CJ28" i="5"/>
  <c r="CH28" i="5"/>
  <c r="CF28" i="5"/>
  <c r="CD28" i="5"/>
  <c r="CB28" i="5"/>
  <c r="BZ28" i="5"/>
  <c r="BX28" i="5"/>
  <c r="BV28" i="5"/>
  <c r="BT28" i="5"/>
  <c r="BT18" i="5" s="1"/>
  <c r="BN28" i="5"/>
  <c r="O28" i="5"/>
  <c r="F28" i="5"/>
  <c r="BM28" i="5" s="1"/>
  <c r="CS27" i="5"/>
  <c r="CN27" i="5"/>
  <c r="CL27" i="5"/>
  <c r="BN27" i="5"/>
  <c r="O27" i="5"/>
  <c r="F27" i="5"/>
  <c r="BM27" i="5" s="1"/>
  <c r="CS26" i="5"/>
  <c r="CN26" i="5"/>
  <c r="CL26" i="5"/>
  <c r="BN26" i="5"/>
  <c r="O26" i="5"/>
  <c r="F26" i="5"/>
  <c r="BM26" i="5" s="1"/>
  <c r="CQ26" i="5" s="1"/>
  <c r="CS25" i="5"/>
  <c r="CN25" i="5"/>
  <c r="CL25" i="5"/>
  <c r="BN25" i="5"/>
  <c r="O25" i="5"/>
  <c r="F25" i="5"/>
  <c r="CS24" i="5"/>
  <c r="CN24" i="5"/>
  <c r="CL24" i="5"/>
  <c r="BN24" i="5"/>
  <c r="O24" i="5"/>
  <c r="F24" i="5"/>
  <c r="BM24" i="5" s="1"/>
  <c r="CS23" i="5"/>
  <c r="CN23" i="5"/>
  <c r="CL23" i="5"/>
  <c r="BN23" i="5"/>
  <c r="BF23" i="5"/>
  <c r="O23" i="5"/>
  <c r="F23" i="5"/>
  <c r="D23" i="5" s="1"/>
  <c r="CS22" i="5"/>
  <c r="CN22" i="5"/>
  <c r="CL22" i="5"/>
  <c r="CL18" i="5" s="1"/>
  <c r="CJ22" i="5"/>
  <c r="CH22" i="5"/>
  <c r="CF22" i="5"/>
  <c r="BN22" i="5"/>
  <c r="O22" i="5"/>
  <c r="F22" i="5"/>
  <c r="BM22" i="5" s="1"/>
  <c r="CS21" i="5"/>
  <c r="BN21" i="5"/>
  <c r="O21" i="5"/>
  <c r="F21" i="5"/>
  <c r="BM21" i="5" s="1"/>
  <c r="CS20" i="5"/>
  <c r="BV20" i="5"/>
  <c r="BN20" i="5"/>
  <c r="O20" i="5"/>
  <c r="F20" i="5"/>
  <c r="BM20" i="5" s="1"/>
  <c r="CS19" i="5"/>
  <c r="BN19" i="5"/>
  <c r="O19" i="5"/>
  <c r="F19" i="5"/>
  <c r="BM19" i="5" s="1"/>
  <c r="A19" i="5"/>
  <c r="BV18" i="5"/>
  <c r="BR18" i="5"/>
  <c r="BP18" i="5"/>
  <c r="BK18" i="5"/>
  <c r="AZ18" i="5"/>
  <c r="AZ14" i="5" s="1"/>
  <c r="CS14" i="5" s="1"/>
  <c r="P18" i="5"/>
  <c r="L18" i="5"/>
  <c r="K18" i="5"/>
  <c r="I18" i="5"/>
  <c r="E18" i="5"/>
  <c r="CS17" i="5"/>
  <c r="BN17" i="5"/>
  <c r="BM17" i="5"/>
  <c r="CQ17" i="5" s="1"/>
  <c r="BJ17" i="5"/>
  <c r="D17" i="5"/>
  <c r="CN16" i="5"/>
  <c r="CL16" i="5"/>
  <c r="CJ16" i="5"/>
  <c r="CH16" i="5"/>
  <c r="CF16" i="5"/>
  <c r="CD16" i="5"/>
  <c r="CB16" i="5"/>
  <c r="BZ16" i="5"/>
  <c r="BX16" i="5"/>
  <c r="BV16" i="5"/>
  <c r="BT16" i="5"/>
  <c r="BR16" i="5"/>
  <c r="BP16" i="5"/>
  <c r="BK16" i="5"/>
  <c r="BN16" i="5" s="1"/>
  <c r="O16" i="5"/>
  <c r="N16" i="5"/>
  <c r="N14" i="5" s="1"/>
  <c r="M16" i="5"/>
  <c r="M14" i="5" s="1"/>
  <c r="L16" i="5"/>
  <c r="K16" i="5"/>
  <c r="I16" i="5"/>
  <c r="H16" i="5"/>
  <c r="G16" i="5"/>
  <c r="F16" i="5"/>
  <c r="E16" i="5"/>
  <c r="CS15" i="5"/>
  <c r="CQ15" i="5"/>
  <c r="CP15" i="5"/>
  <c r="F15" i="5"/>
  <c r="D15" i="5" s="1"/>
  <c r="BL15" i="5" s="1"/>
  <c r="BN14" i="5"/>
  <c r="J14" i="5"/>
  <c r="DC3" i="5"/>
  <c r="CP18" i="3"/>
  <c r="CQ18" i="3"/>
  <c r="CP42" i="3"/>
  <c r="CQ42" i="3"/>
  <c r="CP53" i="3"/>
  <c r="CQ53" i="3"/>
  <c r="CP60" i="3"/>
  <c r="CQ60" i="3"/>
  <c r="CP63" i="3"/>
  <c r="CQ63" i="3"/>
  <c r="CP66" i="3"/>
  <c r="CQ66" i="3"/>
  <c r="CP70" i="3"/>
  <c r="CQ70" i="3"/>
  <c r="CP81" i="3"/>
  <c r="CQ81" i="3"/>
  <c r="CP85" i="3"/>
  <c r="CQ85" i="3"/>
  <c r="CP90" i="3"/>
  <c r="CQ90" i="3"/>
  <c r="CP98" i="3"/>
  <c r="CQ98" i="3"/>
  <c r="CP104" i="3"/>
  <c r="CQ104" i="3"/>
  <c r="CP110" i="3"/>
  <c r="CQ110" i="3"/>
  <c r="CP159" i="3"/>
  <c r="CQ159" i="3"/>
  <c r="CP162" i="3"/>
  <c r="CQ162" i="3"/>
  <c r="CP169" i="3"/>
  <c r="CQ169" i="3"/>
  <c r="CP174" i="3"/>
  <c r="CQ174" i="3"/>
  <c r="CP177" i="3"/>
  <c r="CQ177" i="3"/>
  <c r="CP179" i="3"/>
  <c r="CQ179" i="3"/>
  <c r="CP189" i="3"/>
  <c r="CQ189" i="3"/>
  <c r="CP194" i="3"/>
  <c r="CQ194" i="3"/>
  <c r="CP196" i="3"/>
  <c r="CQ196" i="3"/>
  <c r="BS466" i="5" l="1"/>
  <c r="CO466" i="5"/>
  <c r="BL309" i="5"/>
  <c r="BS309" i="5"/>
  <c r="CM554" i="5"/>
  <c r="CK554" i="5"/>
  <c r="BU554" i="5"/>
  <c r="CI554" i="5"/>
  <c r="BS554" i="5"/>
  <c r="BQ554" i="5"/>
  <c r="BW554" i="5"/>
  <c r="BM32" i="5"/>
  <c r="CQ32" i="5" s="1"/>
  <c r="BJ50" i="5"/>
  <c r="BT66" i="5"/>
  <c r="CQ110" i="5"/>
  <c r="CK114" i="5"/>
  <c r="CO134" i="5"/>
  <c r="CP151" i="5"/>
  <c r="BJ178" i="5"/>
  <c r="D182" i="5"/>
  <c r="BJ190" i="5"/>
  <c r="BJ193" i="5"/>
  <c r="BL208" i="5"/>
  <c r="BR228" i="5"/>
  <c r="BR221" i="5" s="1"/>
  <c r="BJ237" i="5"/>
  <c r="BJ244" i="5"/>
  <c r="BL251" i="5"/>
  <c r="CC252" i="5"/>
  <c r="BT257" i="5"/>
  <c r="CE268" i="5"/>
  <c r="BJ276" i="5"/>
  <c r="CL276" i="5"/>
  <c r="O292" i="5"/>
  <c r="CH303" i="5"/>
  <c r="CD305" i="5"/>
  <c r="CH307" i="5"/>
  <c r="BJ308" i="5"/>
  <c r="CN308" i="5"/>
  <c r="D339" i="5"/>
  <c r="CD354" i="5"/>
  <c r="BT363" i="5"/>
  <c r="BM368" i="5"/>
  <c r="BJ373" i="5"/>
  <c r="CB373" i="5"/>
  <c r="BX374" i="5"/>
  <c r="BY374" i="5" s="1"/>
  <c r="BM377" i="5"/>
  <c r="CQ377" i="5" s="1"/>
  <c r="D405" i="5"/>
  <c r="BT407" i="5"/>
  <c r="BX410" i="5"/>
  <c r="BM448" i="5"/>
  <c r="CP448" i="5" s="1"/>
  <c r="BW455" i="5"/>
  <c r="BM468" i="5"/>
  <c r="CQ468" i="5" s="1"/>
  <c r="D471" i="5"/>
  <c r="BQ471" i="5" s="1"/>
  <c r="BX471" i="5"/>
  <c r="BM496" i="5"/>
  <c r="D500" i="5"/>
  <c r="CG500" i="5" s="1"/>
  <c r="F530" i="5"/>
  <c r="BM530" i="5" s="1"/>
  <c r="CQ530" i="5" s="1"/>
  <c r="BP550" i="5"/>
  <c r="CB550" i="5"/>
  <c r="CB557" i="5"/>
  <c r="CB556" i="5" s="1"/>
  <c r="CN557" i="5"/>
  <c r="CN556" i="5" s="1"/>
  <c r="BM560" i="5"/>
  <c r="BT571" i="5"/>
  <c r="BT570" i="5" s="1"/>
  <c r="CJ585" i="5"/>
  <c r="CP17" i="5"/>
  <c r="D27" i="5"/>
  <c r="BW27" i="5" s="1"/>
  <c r="CS38" i="5"/>
  <c r="D45" i="5"/>
  <c r="BL45" i="5" s="1"/>
  <c r="D48" i="5"/>
  <c r="CL66" i="5"/>
  <c r="D96" i="5"/>
  <c r="F112" i="5"/>
  <c r="D112" i="5" s="1"/>
  <c r="CI112" i="5" s="1"/>
  <c r="Q123" i="5"/>
  <c r="CM123" i="5"/>
  <c r="BS175" i="5"/>
  <c r="CO175" i="5"/>
  <c r="CO223" i="5"/>
  <c r="BQ252" i="5"/>
  <c r="CE252" i="5"/>
  <c r="N258" i="5"/>
  <c r="BZ258" i="5"/>
  <c r="BL268" i="5"/>
  <c r="D276" i="5"/>
  <c r="D279" i="5"/>
  <c r="CL303" i="5"/>
  <c r="CJ307" i="5"/>
  <c r="BM308" i="5"/>
  <c r="F310" i="5"/>
  <c r="BM310" i="5" s="1"/>
  <c r="BJ317" i="5"/>
  <c r="D323" i="5"/>
  <c r="BQ323" i="5" s="1"/>
  <c r="CD323" i="5"/>
  <c r="BM373" i="5"/>
  <c r="CP373" i="5" s="1"/>
  <c r="CD374" i="5"/>
  <c r="CE374" i="5" s="1"/>
  <c r="D377" i="5"/>
  <c r="D383" i="5"/>
  <c r="BJ397" i="5"/>
  <c r="BJ413" i="5"/>
  <c r="CA422" i="5"/>
  <c r="Q448" i="5"/>
  <c r="BY455" i="5"/>
  <c r="CJ500" i="5"/>
  <c r="CK500" i="5" s="1"/>
  <c r="M502" i="5"/>
  <c r="BW531" i="5"/>
  <c r="BV547" i="5"/>
  <c r="BV546" i="5" s="1"/>
  <c r="CD555" i="5"/>
  <c r="CD553" i="5" s="1"/>
  <c r="CD557" i="5"/>
  <c r="BV571" i="5"/>
  <c r="BJ577" i="5"/>
  <c r="BJ578" i="5"/>
  <c r="CJ581" i="5"/>
  <c r="BJ16" i="5"/>
  <c r="CH18" i="5"/>
  <c r="D122" i="5"/>
  <c r="BL123" i="5"/>
  <c r="BU162" i="5"/>
  <c r="BW175" i="5"/>
  <c r="BQ208" i="5"/>
  <c r="CQ223" i="5"/>
  <c r="BZ276" i="5"/>
  <c r="CD314" i="5"/>
  <c r="BM317" i="5"/>
  <c r="CH323" i="5"/>
  <c r="CI323" i="5" s="1"/>
  <c r="BM329" i="5"/>
  <c r="CP329" i="5" s="1"/>
  <c r="BT348" i="5"/>
  <c r="BJ356" i="5"/>
  <c r="BZ357" i="5"/>
  <c r="D368" i="5"/>
  <c r="CL368" i="5"/>
  <c r="BX372" i="5"/>
  <c r="BU377" i="5"/>
  <c r="BV377" i="5"/>
  <c r="D397" i="5"/>
  <c r="CG422" i="5"/>
  <c r="BJ448" i="5"/>
  <c r="BU448" i="5"/>
  <c r="BS455" i="5"/>
  <c r="CE455" i="5"/>
  <c r="CF464" i="5"/>
  <c r="BM474" i="5"/>
  <c r="CQ480" i="5"/>
  <c r="BJ487" i="5"/>
  <c r="CN496" i="5"/>
  <c r="CB502" i="5"/>
  <c r="D509" i="5"/>
  <c r="CC531" i="5"/>
  <c r="BZ547" i="5"/>
  <c r="BZ546" i="5" s="1"/>
  <c r="CN550" i="5"/>
  <c r="BT557" i="5"/>
  <c r="BT556" i="5" s="1"/>
  <c r="CH557" i="5"/>
  <c r="BM571" i="5"/>
  <c r="CB571" i="5"/>
  <c r="BM578" i="5"/>
  <c r="BV581" i="5"/>
  <c r="CL581" i="5"/>
  <c r="CL582" i="5"/>
  <c r="CB585" i="5"/>
  <c r="BJ31" i="5"/>
  <c r="D36" i="5"/>
  <c r="I14" i="5"/>
  <c r="D42" i="5"/>
  <c r="BU42" i="5" s="1"/>
  <c r="BJ57" i="5"/>
  <c r="D83" i="5"/>
  <c r="O115" i="5"/>
  <c r="BM123" i="5"/>
  <c r="CP123" i="5" s="1"/>
  <c r="CC162" i="5"/>
  <c r="CC175" i="5"/>
  <c r="BJ208" i="5"/>
  <c r="BV221" i="5"/>
  <c r="Q251" i="5"/>
  <c r="BY252" i="5"/>
  <c r="H258" i="5"/>
  <c r="CJ276" i="5"/>
  <c r="BX282" i="5"/>
  <c r="BK294" i="5"/>
  <c r="BN294" i="5" s="1"/>
  <c r="D305" i="5"/>
  <c r="CI305" i="5" s="1"/>
  <c r="BV305" i="5"/>
  <c r="BW305" i="5" s="1"/>
  <c r="BV307" i="5"/>
  <c r="BT308" i="5"/>
  <c r="D311" i="5"/>
  <c r="CE311" i="5" s="1"/>
  <c r="D354" i="5"/>
  <c r="CB354" i="5"/>
  <c r="BM362" i="5"/>
  <c r="CQ362" i="5" s="1"/>
  <c r="CH363" i="5"/>
  <c r="CI368" i="5"/>
  <c r="CN368" i="5"/>
  <c r="BV373" i="5"/>
  <c r="BJ377" i="5"/>
  <c r="CH377" i="5"/>
  <c r="CI377" i="5" s="1"/>
  <c r="BX379" i="5"/>
  <c r="BM383" i="5"/>
  <c r="CQ383" i="5" s="1"/>
  <c r="BM405" i="5"/>
  <c r="BL448" i="5"/>
  <c r="BM451" i="5"/>
  <c r="BU455" i="5"/>
  <c r="D481" i="5"/>
  <c r="CO481" i="5" s="1"/>
  <c r="CD502" i="5"/>
  <c r="CJ510" i="5"/>
  <c r="E533" i="5"/>
  <c r="BJ549" i="5"/>
  <c r="BZ557" i="5"/>
  <c r="BZ556" i="5" s="1"/>
  <c r="CL557" i="5"/>
  <c r="CJ569" i="5"/>
  <c r="CD571" i="5"/>
  <c r="BX581" i="5"/>
  <c r="D582" i="5"/>
  <c r="BQ582" i="5" s="1"/>
  <c r="CN582" i="5"/>
  <c r="CO582" i="5" s="1"/>
  <c r="CH585" i="5"/>
  <c r="CI585" i="5" s="1"/>
  <c r="BS382" i="5"/>
  <c r="BU382" i="5"/>
  <c r="BL382" i="5"/>
  <c r="CE382" i="5"/>
  <c r="BW382" i="5"/>
  <c r="CO382" i="5"/>
  <c r="Q298" i="5"/>
  <c r="BS298" i="5"/>
  <c r="BS17" i="5"/>
  <c r="CE17" i="5"/>
  <c r="BU17" i="5"/>
  <c r="CE45" i="5"/>
  <c r="CP47" i="5"/>
  <c r="CQ47" i="5"/>
  <c r="D85" i="5"/>
  <c r="BJ85" i="5"/>
  <c r="BJ117" i="5"/>
  <c r="BM117" i="5"/>
  <c r="CQ117" i="5" s="1"/>
  <c r="D117" i="5"/>
  <c r="CA236" i="5"/>
  <c r="CC236" i="5"/>
  <c r="BY236" i="5"/>
  <c r="BW236" i="5"/>
  <c r="BS236" i="5"/>
  <c r="BQ236" i="5"/>
  <c r="D235" i="5"/>
  <c r="CA329" i="5"/>
  <c r="CE329" i="5"/>
  <c r="CC329" i="5"/>
  <c r="CA405" i="5"/>
  <c r="BQ405" i="5"/>
  <c r="BM439" i="5"/>
  <c r="F437" i="5"/>
  <c r="BM463" i="5"/>
  <c r="CQ463" i="5" s="1"/>
  <c r="D463" i="5"/>
  <c r="CI146" i="5"/>
  <c r="CE146" i="5"/>
  <c r="BJ205" i="5"/>
  <c r="CI383" i="5"/>
  <c r="CM383" i="5"/>
  <c r="CK383" i="5"/>
  <c r="BQ383" i="5"/>
  <c r="CD388" i="5"/>
  <c r="CB388" i="5"/>
  <c r="BT388" i="5"/>
  <c r="BJ463" i="5"/>
  <c r="CK463" i="5"/>
  <c r="BR525" i="5"/>
  <c r="O106" i="5"/>
  <c r="BL146" i="5"/>
  <c r="CP236" i="5"/>
  <c r="D440" i="5"/>
  <c r="BM440" i="5"/>
  <c r="BX469" i="5"/>
  <c r="CG512" i="5"/>
  <c r="BX521" i="5"/>
  <c r="BZ521" i="5"/>
  <c r="BV521" i="5"/>
  <c r="BT521" i="5"/>
  <c r="BM521" i="5"/>
  <c r="CD521" i="5"/>
  <c r="F100" i="5"/>
  <c r="BM100" i="5" s="1"/>
  <c r="O100" i="5"/>
  <c r="O33" i="5"/>
  <c r="O18" i="5" s="1"/>
  <c r="F33" i="5"/>
  <c r="CI83" i="5"/>
  <c r="CK83" i="5"/>
  <c r="BS83" i="5"/>
  <c r="CB291" i="5"/>
  <c r="D300" i="5"/>
  <c r="BM300" i="5"/>
  <c r="F442" i="5"/>
  <c r="CI79" i="5"/>
  <c r="CO79" i="5"/>
  <c r="CK79" i="5"/>
  <c r="BW79" i="5"/>
  <c r="E14" i="5"/>
  <c r="CA36" i="5"/>
  <c r="CC36" i="5"/>
  <c r="BS36" i="5"/>
  <c r="BQ36" i="5"/>
  <c r="CF38" i="5"/>
  <c r="BM64" i="5"/>
  <c r="CQ64" i="5" s="1"/>
  <c r="BY146" i="5"/>
  <c r="BJ277" i="5"/>
  <c r="BY300" i="5"/>
  <c r="CN304" i="5"/>
  <c r="CO304" i="5" s="1"/>
  <c r="CH304" i="5"/>
  <c r="CI304" i="5" s="1"/>
  <c r="CB304" i="5"/>
  <c r="CC304" i="5" s="1"/>
  <c r="BQ329" i="5"/>
  <c r="BJ351" i="5"/>
  <c r="D351" i="5"/>
  <c r="CN495" i="5"/>
  <c r="CN494" i="5" s="1"/>
  <c r="D495" i="5"/>
  <c r="BV495" i="5"/>
  <c r="BZ501" i="5"/>
  <c r="BJ563" i="5"/>
  <c r="BM563" i="5"/>
  <c r="CP563" i="5" s="1"/>
  <c r="D563" i="5"/>
  <c r="BZ293" i="5"/>
  <c r="BX293" i="5"/>
  <c r="BX292" i="5" s="1"/>
  <c r="BT293" i="5"/>
  <c r="BT292" i="5" s="1"/>
  <c r="BJ293" i="5"/>
  <c r="F292" i="5"/>
  <c r="CH293" i="5"/>
  <c r="CA538" i="5"/>
  <c r="BY538" i="5"/>
  <c r="BJ25" i="5"/>
  <c r="D25" i="5"/>
  <c r="BJ19" i="5"/>
  <c r="D22" i="5"/>
  <c r="D60" i="5"/>
  <c r="Q60" i="5" s="1"/>
  <c r="BJ79" i="5"/>
  <c r="CC146" i="5"/>
  <c r="O206" i="5"/>
  <c r="BS329" i="5"/>
  <c r="CQ373" i="5"/>
  <c r="F381" i="5"/>
  <c r="CJ413" i="5"/>
  <c r="D413" i="5"/>
  <c r="BL413" i="5" s="1"/>
  <c r="CD413" i="5"/>
  <c r="CB413" i="5"/>
  <c r="CC413" i="5" s="1"/>
  <c r="BX413" i="5"/>
  <c r="BY413" i="5" s="1"/>
  <c r="BV413" i="5"/>
  <c r="BM413" i="5"/>
  <c r="CN501" i="5"/>
  <c r="CB521" i="5"/>
  <c r="BJ246" i="5"/>
  <c r="BM246" i="5"/>
  <c r="F86" i="5"/>
  <c r="D86" i="5" s="1"/>
  <c r="O86" i="5"/>
  <c r="BJ445" i="5"/>
  <c r="D445" i="5"/>
  <c r="BJ527" i="5"/>
  <c r="F526" i="5"/>
  <c r="BM79" i="5"/>
  <c r="CQ79" i="5" s="1"/>
  <c r="O93" i="5"/>
  <c r="F93" i="5"/>
  <c r="BJ93" i="5" s="1"/>
  <c r="CG122" i="5"/>
  <c r="CE122" i="5"/>
  <c r="BW122" i="5"/>
  <c r="BS122" i="5"/>
  <c r="BQ122" i="5"/>
  <c r="I144" i="5"/>
  <c r="D237" i="5"/>
  <c r="BL237" i="5" s="1"/>
  <c r="BL238" i="5"/>
  <c r="CN333" i="5"/>
  <c r="BM333" i="5"/>
  <c r="CQ333" i="5" s="1"/>
  <c r="BJ382" i="5"/>
  <c r="BM382" i="5"/>
  <c r="CP382" i="5" s="1"/>
  <c r="CM463" i="5"/>
  <c r="BJ103" i="5"/>
  <c r="CD293" i="5"/>
  <c r="CD292" i="5" s="1"/>
  <c r="BL36" i="5"/>
  <c r="CA45" i="5"/>
  <c r="CK190" i="5"/>
  <c r="CJ257" i="5"/>
  <c r="CH257" i="5"/>
  <c r="CF257" i="5"/>
  <c r="CD257" i="5"/>
  <c r="CB257" i="5"/>
  <c r="D257" i="5"/>
  <c r="BU257" i="5" s="1"/>
  <c r="CG276" i="5"/>
  <c r="BQ276" i="5"/>
  <c r="CN309" i="5"/>
  <c r="CO309" i="5" s="1"/>
  <c r="CL309" i="5"/>
  <c r="CM309" i="5" s="1"/>
  <c r="CD309" i="5"/>
  <c r="CE309" i="5" s="1"/>
  <c r="CB309" i="5"/>
  <c r="CC309" i="5" s="1"/>
  <c r="BV309" i="5"/>
  <c r="BW309" i="5" s="1"/>
  <c r="CH410" i="5"/>
  <c r="CD410" i="5"/>
  <c r="CB410" i="5"/>
  <c r="D410" i="5"/>
  <c r="F459" i="5"/>
  <c r="H454" i="5"/>
  <c r="H453" i="5" s="1"/>
  <c r="BT495" i="5"/>
  <c r="BU495" i="5" s="1"/>
  <c r="D549" i="5"/>
  <c r="BL549" i="5" s="1"/>
  <c r="BM71" i="5"/>
  <c r="CQ71" i="5" s="1"/>
  <c r="BJ71" i="5"/>
  <c r="D71" i="5"/>
  <c r="CH411" i="5"/>
  <c r="D411" i="5"/>
  <c r="BW411" i="5" s="1"/>
  <c r="CL411" i="5"/>
  <c r="CJ411" i="5"/>
  <c r="CD411" i="5"/>
  <c r="BX411" i="5"/>
  <c r="BY411" i="5" s="1"/>
  <c r="BJ411" i="5"/>
  <c r="BL329" i="5"/>
  <c r="BT277" i="5"/>
  <c r="CD277" i="5"/>
  <c r="CB277" i="5"/>
  <c r="BX277" i="5"/>
  <c r="BM277" i="5"/>
  <c r="D277" i="5"/>
  <c r="CN277" i="5"/>
  <c r="CB344" i="5"/>
  <c r="BZ344" i="5"/>
  <c r="BT411" i="5"/>
  <c r="BQ79" i="5"/>
  <c r="BJ166" i="5"/>
  <c r="BJ187" i="5"/>
  <c r="CN187" i="5"/>
  <c r="BM187" i="5"/>
  <c r="CM207" i="5"/>
  <c r="CK207" i="5"/>
  <c r="BM257" i="5"/>
  <c r="BJ296" i="5"/>
  <c r="BM296" i="5"/>
  <c r="CQ296" i="5" s="1"/>
  <c r="CH333" i="5"/>
  <c r="CH341" i="5"/>
  <c r="CJ341" i="5"/>
  <c r="BT341" i="5"/>
  <c r="D430" i="5"/>
  <c r="BJ430" i="5"/>
  <c r="CL495" i="5"/>
  <c r="CL494" i="5" s="1"/>
  <c r="N533" i="5"/>
  <c r="P154" i="5"/>
  <c r="F287" i="5"/>
  <c r="BJ287" i="5" s="1"/>
  <c r="CL288" i="5"/>
  <c r="CL287" i="5" s="1"/>
  <c r="CJ288" i="5"/>
  <c r="CJ287" i="5" s="1"/>
  <c r="BT288" i="5"/>
  <c r="CD332" i="5"/>
  <c r="BZ332" i="5"/>
  <c r="BX332" i="5"/>
  <c r="BM16" i="5"/>
  <c r="CO27" i="5"/>
  <c r="CE36" i="5"/>
  <c r="CC45" i="5"/>
  <c r="D47" i="5"/>
  <c r="O68" i="5"/>
  <c r="BS79" i="5"/>
  <c r="BM157" i="5"/>
  <c r="D157" i="5"/>
  <c r="CC157" i="5" s="1"/>
  <c r="BM164" i="5"/>
  <c r="CP164" i="5" s="1"/>
  <c r="D164" i="5"/>
  <c r="CA164" i="5" s="1"/>
  <c r="BM181" i="5"/>
  <c r="CQ181" i="5" s="1"/>
  <c r="D181" i="5"/>
  <c r="BQ309" i="5"/>
  <c r="BM321" i="5"/>
  <c r="CE422" i="5"/>
  <c r="CO422" i="5"/>
  <c r="CM422" i="5"/>
  <c r="BS422" i="5"/>
  <c r="BJ426" i="5"/>
  <c r="D426" i="5"/>
  <c r="D443" i="5"/>
  <c r="BL443" i="5" s="1"/>
  <c r="BU466" i="5"/>
  <c r="BJ474" i="5"/>
  <c r="CA504" i="5"/>
  <c r="CK504" i="5"/>
  <c r="CC504" i="5"/>
  <c r="BW504" i="5"/>
  <c r="BS504" i="5"/>
  <c r="BQ504" i="5"/>
  <c r="BL504" i="5"/>
  <c r="D524" i="5"/>
  <c r="CL524" i="5"/>
  <c r="CM524" i="5" s="1"/>
  <c r="CJ524" i="5"/>
  <c r="CD524" i="5"/>
  <c r="BJ524" i="5"/>
  <c r="CE577" i="5"/>
  <c r="BM30" i="5"/>
  <c r="CQ30" i="5" s="1"/>
  <c r="BM80" i="5"/>
  <c r="CP80" i="5" s="1"/>
  <c r="BU175" i="5"/>
  <c r="BJ177" i="5"/>
  <c r="BM219" i="5"/>
  <c r="CD276" i="5"/>
  <c r="BJ307" i="5"/>
  <c r="BL311" i="5"/>
  <c r="BT323" i="5"/>
  <c r="BU323" i="5" s="1"/>
  <c r="BJ329" i="5"/>
  <c r="BW339" i="5"/>
  <c r="CE463" i="5"/>
  <c r="O38" i="5"/>
  <c r="CH38" i="5"/>
  <c r="CH14" i="5" s="1"/>
  <c r="BJ123" i="5"/>
  <c r="O128" i="5"/>
  <c r="CA134" i="5"/>
  <c r="L154" i="5"/>
  <c r="CI175" i="5"/>
  <c r="BM208" i="5"/>
  <c r="BJ222" i="5"/>
  <c r="BJ251" i="5"/>
  <c r="CO268" i="5"/>
  <c r="BT305" i="5"/>
  <c r="BU305" i="5" s="1"/>
  <c r="BX307" i="5"/>
  <c r="BL317" i="5"/>
  <c r="CJ323" i="5"/>
  <c r="BV354" i="5"/>
  <c r="BT373" i="5"/>
  <c r="BV374" i="5"/>
  <c r="BW374" i="5" s="1"/>
  <c r="CD377" i="5"/>
  <c r="CE377" i="5" s="1"/>
  <c r="BM442" i="5"/>
  <c r="CI463" i="5"/>
  <c r="BV471" i="5"/>
  <c r="BL578" i="5"/>
  <c r="BM31" i="5"/>
  <c r="CQ31" i="5" s="1"/>
  <c r="BM36" i="5"/>
  <c r="CQ36" i="5" s="1"/>
  <c r="K144" i="5"/>
  <c r="CP152" i="5"/>
  <c r="BU208" i="5"/>
  <c r="CG251" i="5"/>
  <c r="L258" i="5"/>
  <c r="D286" i="5"/>
  <c r="CL307" i="5"/>
  <c r="BX308" i="5"/>
  <c r="BQ317" i="5"/>
  <c r="BV348" i="5"/>
  <c r="CH354" i="5"/>
  <c r="CB357" i="5"/>
  <c r="BV368" i="5"/>
  <c r="CJ377" i="5"/>
  <c r="BV391" i="5"/>
  <c r="BW448" i="5"/>
  <c r="CO463" i="5"/>
  <c r="CJ471" i="5"/>
  <c r="CK471" i="5" s="1"/>
  <c r="D480" i="5"/>
  <c r="BY480" i="5" s="1"/>
  <c r="BT499" i="5"/>
  <c r="BT498" i="5" s="1"/>
  <c r="L502" i="5"/>
  <c r="CD509" i="5"/>
  <c r="CB570" i="5"/>
  <c r="BM577" i="5"/>
  <c r="CK578" i="5"/>
  <c r="BL577" i="5"/>
  <c r="BZ18" i="5"/>
  <c r="CO45" i="5"/>
  <c r="CI123" i="5"/>
  <c r="L144" i="5"/>
  <c r="D153" i="5"/>
  <c r="D186" i="5"/>
  <c r="Q186" i="5" s="1"/>
  <c r="K213" i="5"/>
  <c r="CI251" i="5"/>
  <c r="D263" i="5"/>
  <c r="Q263" i="5" s="1"/>
  <c r="D266" i="5"/>
  <c r="Q266" i="5" s="1"/>
  <c r="CN307" i="5"/>
  <c r="CD308" i="5"/>
  <c r="CI317" i="5"/>
  <c r="CB348" i="5"/>
  <c r="CD357" i="5"/>
  <c r="BZ368" i="5"/>
  <c r="CD373" i="5"/>
  <c r="CP377" i="5"/>
  <c r="CA448" i="5"/>
  <c r="CL471" i="5"/>
  <c r="CM471" i="5" s="1"/>
  <c r="BJ496" i="5"/>
  <c r="O510" i="5"/>
  <c r="BQ535" i="5"/>
  <c r="N550" i="5"/>
  <c r="BM582" i="5"/>
  <c r="CL585" i="5"/>
  <c r="CM585" i="5" s="1"/>
  <c r="CM25" i="5"/>
  <c r="BJ27" i="5"/>
  <c r="D107" i="5"/>
  <c r="Q107" i="5" s="1"/>
  <c r="CP138" i="5"/>
  <c r="BJ171" i="5"/>
  <c r="BJ173" i="5"/>
  <c r="CO208" i="5"/>
  <c r="K221" i="5"/>
  <c r="BJ241" i="5"/>
  <c r="CK251" i="5"/>
  <c r="F272" i="5"/>
  <c r="BT276" i="5"/>
  <c r="BU276" i="5" s="1"/>
  <c r="D308" i="5"/>
  <c r="BU308" i="5" s="1"/>
  <c r="CO317" i="5"/>
  <c r="CH348" i="5"/>
  <c r="CN357" i="5"/>
  <c r="D362" i="5"/>
  <c r="CB368" i="5"/>
  <c r="D373" i="5"/>
  <c r="Q373" i="5" s="1"/>
  <c r="BW463" i="5"/>
  <c r="CF502" i="5"/>
  <c r="O550" i="5"/>
  <c r="K550" i="5"/>
  <c r="D560" i="5"/>
  <c r="CM560" i="5" s="1"/>
  <c r="D571" i="5"/>
  <c r="Q571" i="5" s="1"/>
  <c r="BQ577" i="5"/>
  <c r="D579" i="5"/>
  <c r="BP14" i="5"/>
  <c r="D32" i="5"/>
  <c r="CM32" i="5" s="1"/>
  <c r="BW45" i="5"/>
  <c r="D72" i="5"/>
  <c r="BJ82" i="5"/>
  <c r="BM173" i="5"/>
  <c r="BL175" i="5"/>
  <c r="F194" i="5"/>
  <c r="D220" i="5"/>
  <c r="D219" i="5" s="1"/>
  <c r="BM266" i="5"/>
  <c r="BV276" i="5"/>
  <c r="BW276" i="5" s="1"/>
  <c r="BW298" i="5"/>
  <c r="BV314" i="5"/>
  <c r="CN348" i="5"/>
  <c r="CN373" i="5"/>
  <c r="CO373" i="5" s="1"/>
  <c r="F396" i="5"/>
  <c r="BM423" i="5"/>
  <c r="O431" i="5"/>
  <c r="O429" i="5" s="1"/>
  <c r="BM455" i="5"/>
  <c r="CQ455" i="5" s="1"/>
  <c r="BY463" i="5"/>
  <c r="D468" i="5"/>
  <c r="F469" i="5"/>
  <c r="CH502" i="5"/>
  <c r="BZ525" i="5"/>
  <c r="BJ531" i="5"/>
  <c r="BJ555" i="5"/>
  <c r="O556" i="5"/>
  <c r="BS577" i="5"/>
  <c r="BJ581" i="5"/>
  <c r="BX582" i="5"/>
  <c r="BY582" i="5" s="1"/>
  <c r="CF18" i="5"/>
  <c r="CF14" i="5" s="1"/>
  <c r="BJ59" i="5"/>
  <c r="CG104" i="5"/>
  <c r="BJ159" i="5"/>
  <c r="BM165" i="5"/>
  <c r="CB232" i="5"/>
  <c r="CB231" i="5" s="1"/>
  <c r="CL258" i="5"/>
  <c r="BJ268" i="5"/>
  <c r="BX276" i="5"/>
  <c r="BY276" i="5" s="1"/>
  <c r="CL308" i="5"/>
  <c r="CB314" i="5"/>
  <c r="CK329" i="5"/>
  <c r="CJ368" i="5"/>
  <c r="CK368" i="5" s="1"/>
  <c r="BM379" i="5"/>
  <c r="CQ379" i="5" s="1"/>
  <c r="BM470" i="5"/>
  <c r="CP470" i="5" s="1"/>
  <c r="BJ473" i="5"/>
  <c r="BJ511" i="5"/>
  <c r="BM531" i="5"/>
  <c r="CJ533" i="5"/>
  <c r="M550" i="5"/>
  <c r="BM555" i="5"/>
  <c r="CC577" i="5"/>
  <c r="BM579" i="5"/>
  <c r="CQ579" i="5" s="1"/>
  <c r="CQ48" i="5"/>
  <c r="CP48" i="5"/>
  <c r="CA326" i="5"/>
  <c r="CC326" i="5"/>
  <c r="BS326" i="5"/>
  <c r="BQ326" i="5"/>
  <c r="CK326" i="5"/>
  <c r="CM326" i="5"/>
  <c r="CI326" i="5"/>
  <c r="CG326" i="5"/>
  <c r="CE326" i="5"/>
  <c r="Q326" i="5"/>
  <c r="BL326" i="5"/>
  <c r="CO326" i="5"/>
  <c r="CQ16" i="5"/>
  <c r="CP16" i="5"/>
  <c r="CQ59" i="5"/>
  <c r="CP59" i="5"/>
  <c r="CI97" i="5"/>
  <c r="CO97" i="5"/>
  <c r="BS97" i="5"/>
  <c r="CK97" i="5"/>
  <c r="BW97" i="5"/>
  <c r="BQ97" i="5"/>
  <c r="CO130" i="5"/>
  <c r="CE130" i="5"/>
  <c r="CS18" i="5"/>
  <c r="CN18" i="5"/>
  <c r="BV38" i="5"/>
  <c r="BV14" i="5" s="1"/>
  <c r="F38" i="5"/>
  <c r="BJ38" i="5" s="1"/>
  <c r="D46" i="5"/>
  <c r="D63" i="5"/>
  <c r="Q63" i="5" s="1"/>
  <c r="H68" i="5"/>
  <c r="D76" i="5"/>
  <c r="BN77" i="5"/>
  <c r="BW83" i="5"/>
  <c r="D119" i="5"/>
  <c r="D121" i="5"/>
  <c r="D174" i="5"/>
  <c r="Q174" i="5" s="1"/>
  <c r="BJ174" i="5"/>
  <c r="D183" i="5"/>
  <c r="CQ189" i="5"/>
  <c r="CM190" i="5"/>
  <c r="CQ238" i="5"/>
  <c r="CP238" i="5"/>
  <c r="BJ240" i="5"/>
  <c r="D240" i="5"/>
  <c r="BM240" i="5"/>
  <c r="CQ240" i="5" s="1"/>
  <c r="CQ317" i="5"/>
  <c r="CP317" i="5"/>
  <c r="CN389" i="5"/>
  <c r="CH389" i="5"/>
  <c r="CD389" i="5"/>
  <c r="D389" i="5"/>
  <c r="Q389" i="5" s="1"/>
  <c r="BX389" i="5"/>
  <c r="BX513" i="5"/>
  <c r="BX510" i="5" s="1"/>
  <c r="CI563" i="5"/>
  <c r="BW563" i="5"/>
  <c r="CP113" i="5"/>
  <c r="CQ113" i="5"/>
  <c r="CO132" i="5"/>
  <c r="BQ132" i="5"/>
  <c r="BY153" i="5"/>
  <c r="BM98" i="5"/>
  <c r="BM205" i="5"/>
  <c r="CQ205" i="5" s="1"/>
  <c r="CA361" i="5"/>
  <c r="CO361" i="5"/>
  <c r="CM361" i="5"/>
  <c r="BL361" i="5"/>
  <c r="BW361" i="5"/>
  <c r="CG361" i="5"/>
  <c r="CE361" i="5"/>
  <c r="CC361" i="5"/>
  <c r="BU361" i="5"/>
  <c r="Q361" i="5"/>
  <c r="BS361" i="5"/>
  <c r="BQ361" i="5"/>
  <c r="D370" i="5"/>
  <c r="BS370" i="5" s="1"/>
  <c r="CH370" i="5"/>
  <c r="CB370" i="5"/>
  <c r="BV370" i="5"/>
  <c r="BT370" i="5"/>
  <c r="BU370" i="5" s="1"/>
  <c r="Q40" i="5"/>
  <c r="BZ38" i="5"/>
  <c r="Q42" i="5"/>
  <c r="D59" i="5"/>
  <c r="BQ59" i="5" s="1"/>
  <c r="D62" i="5"/>
  <c r="CO72" i="5"/>
  <c r="CQ80" i="5"/>
  <c r="CO83" i="5"/>
  <c r="BJ87" i="5"/>
  <c r="O89" i="5"/>
  <c r="BM97" i="5"/>
  <c r="BJ112" i="5"/>
  <c r="BJ113" i="5"/>
  <c r="BS132" i="5"/>
  <c r="CJ175" i="5"/>
  <c r="CK175" i="5" s="1"/>
  <c r="L214" i="5"/>
  <c r="L213" i="5" s="1"/>
  <c r="O216" i="5"/>
  <c r="BM233" i="5"/>
  <c r="F231" i="5"/>
  <c r="BJ231" i="5" s="1"/>
  <c r="CI303" i="5"/>
  <c r="BS303" i="5"/>
  <c r="BQ303" i="5"/>
  <c r="Q303" i="5"/>
  <c r="BL303" i="5"/>
  <c r="CO354" i="5"/>
  <c r="CG364" i="5"/>
  <c r="BW364" i="5"/>
  <c r="CO364" i="5"/>
  <c r="BM381" i="5"/>
  <c r="CQ381" i="5" s="1"/>
  <c r="BJ381" i="5"/>
  <c r="CP31" i="5"/>
  <c r="H38" i="5"/>
  <c r="BJ40" i="5"/>
  <c r="BJ42" i="5"/>
  <c r="Q49" i="5"/>
  <c r="BM76" i="5"/>
  <c r="BJ102" i="5"/>
  <c r="CA104" i="5"/>
  <c r="BL112" i="5"/>
  <c r="BJ121" i="5"/>
  <c r="BU132" i="5"/>
  <c r="BW153" i="5"/>
  <c r="Q220" i="5"/>
  <c r="F239" i="5"/>
  <c r="BM239" i="5" s="1"/>
  <c r="BM326" i="5"/>
  <c r="BJ326" i="5"/>
  <c r="F325" i="5"/>
  <c r="BM458" i="5"/>
  <c r="BJ458" i="5"/>
  <c r="D458" i="5"/>
  <c r="CM458" i="5" s="1"/>
  <c r="BL181" i="5"/>
  <c r="Q181" i="5"/>
  <c r="BY181" i="5"/>
  <c r="BM55" i="5"/>
  <c r="Q112" i="5"/>
  <c r="CP136" i="5"/>
  <c r="CQ136" i="5"/>
  <c r="CA190" i="5"/>
  <c r="BY190" i="5"/>
  <c r="CO190" i="5"/>
  <c r="BU190" i="5"/>
  <c r="BQ190" i="5"/>
  <c r="BM231" i="5"/>
  <c r="BV337" i="5"/>
  <c r="BX338" i="5"/>
  <c r="D350" i="5"/>
  <c r="F349" i="5"/>
  <c r="BV513" i="5"/>
  <c r="D26" i="5"/>
  <c r="CM26" i="5" s="1"/>
  <c r="BJ30" i="5"/>
  <c r="CA37" i="5"/>
  <c r="BM49" i="5"/>
  <c r="CQ49" i="5" s="1"/>
  <c r="D52" i="5"/>
  <c r="CE52" i="5" s="1"/>
  <c r="BJ78" i="5"/>
  <c r="D93" i="5"/>
  <c r="D101" i="5"/>
  <c r="Q101" i="5" s="1"/>
  <c r="BM102" i="5"/>
  <c r="CE104" i="5"/>
  <c r="BM112" i="5"/>
  <c r="BM119" i="5"/>
  <c r="CQ119" i="5" s="1"/>
  <c r="CM131" i="5"/>
  <c r="CO131" i="5"/>
  <c r="BY132" i="5"/>
  <c r="F135" i="5"/>
  <c r="CI147" i="5"/>
  <c r="BL147" i="5"/>
  <c r="Q147" i="5"/>
  <c r="CC147" i="5"/>
  <c r="D167" i="5"/>
  <c r="BM167" i="5"/>
  <c r="CP167" i="5" s="1"/>
  <c r="BJ167" i="5"/>
  <c r="D189" i="5"/>
  <c r="BW189" i="5" s="1"/>
  <c r="D402" i="5"/>
  <c r="CG403" i="5"/>
  <c r="BM489" i="5"/>
  <c r="BJ489" i="5"/>
  <c r="D489" i="5"/>
  <c r="F488" i="5"/>
  <c r="BJ488" i="5" s="1"/>
  <c r="CQ578" i="5"/>
  <c r="CP578" i="5"/>
  <c r="BW40" i="5"/>
  <c r="BL190" i="5"/>
  <c r="BU279" i="5"/>
  <c r="CK279" i="5"/>
  <c r="CG279" i="5"/>
  <c r="CA279" i="5"/>
  <c r="CS16" i="5"/>
  <c r="G18" i="5"/>
  <c r="G14" i="5" s="1"/>
  <c r="BM25" i="5"/>
  <c r="CP25" i="5" s="1"/>
  <c r="CG32" i="5"/>
  <c r="CG36" i="5"/>
  <c r="CD18" i="5"/>
  <c r="CE40" i="5"/>
  <c r="CE42" i="5"/>
  <c r="CI45" i="5"/>
  <c r="CI49" i="5"/>
  <c r="Q72" i="5"/>
  <c r="BJ81" i="5"/>
  <c r="BM84" i="5"/>
  <c r="BQ112" i="5"/>
  <c r="BJ115" i="5"/>
  <c r="CQ123" i="5"/>
  <c r="CA129" i="5"/>
  <c r="BS129" i="5"/>
  <c r="BY150" i="5"/>
  <c r="CC152" i="5"/>
  <c r="BY152" i="5"/>
  <c r="BW152" i="5"/>
  <c r="BS152" i="5"/>
  <c r="D194" i="5"/>
  <c r="BJ194" i="5"/>
  <c r="BM203" i="5"/>
  <c r="CQ203" i="5" s="1"/>
  <c r="BK209" i="5"/>
  <c r="BN209" i="5" s="1"/>
  <c r="BN210" i="5"/>
  <c r="CN222" i="5"/>
  <c r="BX230" i="5"/>
  <c r="CJ248" i="5"/>
  <c r="CK361" i="5"/>
  <c r="CF550" i="5"/>
  <c r="CO23" i="5"/>
  <c r="CO26" i="5"/>
  <c r="CP30" i="5"/>
  <c r="CI32" i="5"/>
  <c r="CI36" i="5"/>
  <c r="CG40" i="5"/>
  <c r="CJ38" i="5"/>
  <c r="CG42" i="5"/>
  <c r="CK49" i="5"/>
  <c r="BM51" i="5"/>
  <c r="BJ52" i="5"/>
  <c r="CO52" i="5"/>
  <c r="BM62" i="5"/>
  <c r="BM72" i="5"/>
  <c r="CQ72" i="5" s="1"/>
  <c r="BJ73" i="5"/>
  <c r="BM81" i="5"/>
  <c r="CQ81" i="5" s="1"/>
  <c r="BM94" i="5"/>
  <c r="BJ99" i="5"/>
  <c r="CE112" i="5"/>
  <c r="BU131" i="5"/>
  <c r="BV143" i="5"/>
  <c r="BY147" i="5"/>
  <c r="CA150" i="5"/>
  <c r="CQ157" i="5"/>
  <c r="CP157" i="5"/>
  <c r="BJ189" i="5"/>
  <c r="BN197" i="5"/>
  <c r="BU223" i="5"/>
  <c r="BS223" i="5"/>
  <c r="D222" i="5"/>
  <c r="Q222" i="5" s="1"/>
  <c r="BL223" i="5"/>
  <c r="L228" i="5"/>
  <c r="BQ277" i="5"/>
  <c r="D275" i="5"/>
  <c r="Q275" i="5" s="1"/>
  <c r="BL277" i="5"/>
  <c r="CM303" i="5"/>
  <c r="CM496" i="5"/>
  <c r="BJ97" i="5"/>
  <c r="CJ66" i="5"/>
  <c r="CA132" i="5"/>
  <c r="BN235" i="5"/>
  <c r="BK234" i="5"/>
  <c r="BN234" i="5" s="1"/>
  <c r="CO329" i="5"/>
  <c r="CN328" i="5"/>
  <c r="CI361" i="5"/>
  <c r="Q17" i="5"/>
  <c r="K14" i="5"/>
  <c r="D19" i="5"/>
  <c r="BJ26" i="5"/>
  <c r="H18" i="5"/>
  <c r="CK32" i="5"/>
  <c r="CK36" i="5"/>
  <c r="CI37" i="5"/>
  <c r="CL38" i="5"/>
  <c r="CL14" i="5" s="1"/>
  <c r="CO42" i="5"/>
  <c r="CM45" i="5"/>
  <c r="BJ48" i="5"/>
  <c r="CP52" i="5"/>
  <c r="D64" i="5"/>
  <c r="BM73" i="5"/>
  <c r="BJ75" i="5"/>
  <c r="I66" i="5"/>
  <c r="CP79" i="5"/>
  <c r="BM83" i="5"/>
  <c r="CQ83" i="5" s="1"/>
  <c r="BM93" i="5"/>
  <c r="BM99" i="5"/>
  <c r="D103" i="5"/>
  <c r="CK103" i="5" s="1"/>
  <c r="D105" i="5"/>
  <c r="BQ105" i="5" s="1"/>
  <c r="D110" i="5"/>
  <c r="O111" i="5"/>
  <c r="CP121" i="5"/>
  <c r="CA123" i="5"/>
  <c r="CG123" i="5"/>
  <c r="CE123" i="5"/>
  <c r="CC123" i="5"/>
  <c r="BW123" i="5"/>
  <c r="BU123" i="5"/>
  <c r="BQ123" i="5"/>
  <c r="CK124" i="5"/>
  <c r="CG124" i="5"/>
  <c r="BW131" i="5"/>
  <c r="CE147" i="5"/>
  <c r="O205" i="5"/>
  <c r="I221" i="5"/>
  <c r="BK228" i="5"/>
  <c r="BN228" i="5" s="1"/>
  <c r="BJ517" i="5"/>
  <c r="BM517" i="5"/>
  <c r="D517" i="5"/>
  <c r="BJ100" i="5"/>
  <c r="L14" i="5"/>
  <c r="BU25" i="5"/>
  <c r="Q32" i="5"/>
  <c r="Q36" i="5"/>
  <c r="CM36" i="5"/>
  <c r="BQ72" i="5"/>
  <c r="BM75" i="5"/>
  <c r="CQ75" i="5" s="1"/>
  <c r="BJ88" i="5"/>
  <c r="BW129" i="5"/>
  <c r="BY131" i="5"/>
  <c r="CG190" i="5"/>
  <c r="CP225" i="5"/>
  <c r="CQ225" i="5"/>
  <c r="CD256" i="5"/>
  <c r="CN256" i="5"/>
  <c r="D256" i="5"/>
  <c r="CL256" i="5"/>
  <c r="CH256" i="5"/>
  <c r="CF256" i="5"/>
  <c r="BZ256" i="5"/>
  <c r="BV256" i="5"/>
  <c r="BM256" i="5"/>
  <c r="CP256" i="5" s="1"/>
  <c r="BW279" i="5"/>
  <c r="Q304" i="5"/>
  <c r="BL304" i="5"/>
  <c r="BS304" i="5"/>
  <c r="BQ304" i="5"/>
  <c r="CG304" i="5"/>
  <c r="CO112" i="5"/>
  <c r="CK112" i="5"/>
  <c r="BJ398" i="5"/>
  <c r="BM398" i="5"/>
  <c r="D398" i="5"/>
  <c r="BW42" i="5"/>
  <c r="E154" i="5"/>
  <c r="CK22" i="5"/>
  <c r="BW25" i="5"/>
  <c r="CO36" i="5"/>
  <c r="BX38" i="5"/>
  <c r="D53" i="5"/>
  <c r="D55" i="5"/>
  <c r="BS72" i="5"/>
  <c r="BQ83" i="5"/>
  <c r="BM88" i="5"/>
  <c r="CQ88" i="5" s="1"/>
  <c r="D113" i="5"/>
  <c r="CK113" i="5" s="1"/>
  <c r="CC122" i="5"/>
  <c r="BL122" i="5"/>
  <c r="CO122" i="5"/>
  <c r="Q122" i="5"/>
  <c r="CK122" i="5"/>
  <c r="CI122" i="5"/>
  <c r="BY129" i="5"/>
  <c r="CA131" i="5"/>
  <c r="G141" i="5"/>
  <c r="O141" i="5" s="1"/>
  <c r="F145" i="5"/>
  <c r="BJ145" i="5" s="1"/>
  <c r="D170" i="5"/>
  <c r="BJ170" i="5"/>
  <c r="CE182" i="5"/>
  <c r="CF182" i="5"/>
  <c r="CI190" i="5"/>
  <c r="BJ225" i="5"/>
  <c r="BP228" i="5"/>
  <c r="BP221" i="5" s="1"/>
  <c r="O254" i="5"/>
  <c r="O253" i="5" s="1"/>
  <c r="G253" i="5"/>
  <c r="BS323" i="5"/>
  <c r="CL335" i="5"/>
  <c r="BT335" i="5"/>
  <c r="CJ335" i="5"/>
  <c r="BX335" i="5"/>
  <c r="BV335" i="5"/>
  <c r="D335" i="5"/>
  <c r="BL335" i="5" s="1"/>
  <c r="D360" i="5"/>
  <c r="BM360" i="5"/>
  <c r="F359" i="5"/>
  <c r="F358" i="5" s="1"/>
  <c r="BJ358" i="5" s="1"/>
  <c r="BJ360" i="5"/>
  <c r="CD367" i="5"/>
  <c r="BX367" i="5"/>
  <c r="BV367" i="5"/>
  <c r="BV366" i="5" s="1"/>
  <c r="CL367" i="5"/>
  <c r="CJ367" i="5"/>
  <c r="I525" i="5"/>
  <c r="O526" i="5"/>
  <c r="O525" i="5" s="1"/>
  <c r="BY222" i="5"/>
  <c r="D241" i="5"/>
  <c r="CQ257" i="5"/>
  <c r="CP257" i="5"/>
  <c r="Q296" i="5"/>
  <c r="BU296" i="5"/>
  <c r="BS296" i="5"/>
  <c r="BQ296" i="5"/>
  <c r="D327" i="5"/>
  <c r="CI327" i="5" s="1"/>
  <c r="BM327" i="5"/>
  <c r="BJ327" i="5"/>
  <c r="D356" i="5"/>
  <c r="CG362" i="5"/>
  <c r="BS373" i="5"/>
  <c r="BQ373" i="5"/>
  <c r="CG373" i="5"/>
  <c r="BU373" i="5"/>
  <c r="CQ563" i="5"/>
  <c r="D244" i="5"/>
  <c r="CI244" i="5" s="1"/>
  <c r="BX303" i="5"/>
  <c r="BV303" i="5"/>
  <c r="BW303" i="5" s="1"/>
  <c r="BT303" i="5"/>
  <c r="CD303" i="5"/>
  <c r="CN303" i="5"/>
  <c r="CO303" i="5" s="1"/>
  <c r="D320" i="5"/>
  <c r="CG320" i="5" s="1"/>
  <c r="CJ320" i="5"/>
  <c r="BZ320" i="5"/>
  <c r="BZ319" i="5" s="1"/>
  <c r="BV320" i="5"/>
  <c r="BZ333" i="5"/>
  <c r="CA333" i="5" s="1"/>
  <c r="CD333" i="5"/>
  <c r="CE333" i="5" s="1"/>
  <c r="D333" i="5"/>
  <c r="CI333" i="5" s="1"/>
  <c r="CB333" i="5"/>
  <c r="BV333" i="5"/>
  <c r="BM425" i="5"/>
  <c r="BJ425" i="5"/>
  <c r="D425" i="5"/>
  <c r="D424" i="5" s="1"/>
  <c r="BS424" i="5" s="1"/>
  <c r="F424" i="5"/>
  <c r="BJ424" i="5" s="1"/>
  <c r="CQ496" i="5"/>
  <c r="CP496" i="5"/>
  <c r="E510" i="5"/>
  <c r="D250" i="5"/>
  <c r="BM250" i="5"/>
  <c r="D271" i="5"/>
  <c r="BM271" i="5"/>
  <c r="CH290" i="5"/>
  <c r="CD290" i="5"/>
  <c r="BZ290" i="5"/>
  <c r="BZ289" i="5" s="1"/>
  <c r="BZ342" i="5"/>
  <c r="CN342" i="5"/>
  <c r="CL342" i="5"/>
  <c r="CJ342" i="5"/>
  <c r="CJ340" i="5" s="1"/>
  <c r="BX342" i="5"/>
  <c r="Q377" i="5"/>
  <c r="BS377" i="5"/>
  <c r="BQ377" i="5"/>
  <c r="CG377" i="5"/>
  <c r="BL377" i="5"/>
  <c r="CL394" i="5"/>
  <c r="CJ394" i="5"/>
  <c r="CH394" i="5"/>
  <c r="BV394" i="5"/>
  <c r="CD394" i="5"/>
  <c r="CE394" i="5" s="1"/>
  <c r="BX394" i="5"/>
  <c r="D394" i="5"/>
  <c r="CG480" i="5"/>
  <c r="BJ482" i="5"/>
  <c r="BM482" i="5"/>
  <c r="D482" i="5"/>
  <c r="CP531" i="5"/>
  <c r="CQ531" i="5"/>
  <c r="CD570" i="5"/>
  <c r="D584" i="5"/>
  <c r="BQ584" i="5" s="1"/>
  <c r="CJ584" i="5"/>
  <c r="CH584" i="5"/>
  <c r="O185" i="5"/>
  <c r="CA208" i="5"/>
  <c r="BJ234" i="5"/>
  <c r="CG236" i="5"/>
  <c r="BJ250" i="5"/>
  <c r="BJ264" i="5"/>
  <c r="D264" i="5"/>
  <c r="BZ304" i="5"/>
  <c r="CA304" i="5" s="1"/>
  <c r="BX304" i="5"/>
  <c r="BY304" i="5" s="1"/>
  <c r="BV304" i="5"/>
  <c r="BW304" i="5" s="1"/>
  <c r="BT304" i="5"/>
  <c r="BU304" i="5" s="1"/>
  <c r="CD304" i="5"/>
  <c r="CE304" i="5" s="1"/>
  <c r="BV345" i="5"/>
  <c r="CC354" i="5"/>
  <c r="CQ361" i="5"/>
  <c r="CP361" i="5"/>
  <c r="CL403" i="5"/>
  <c r="F402" i="5"/>
  <c r="BM403" i="5"/>
  <c r="BJ403" i="5"/>
  <c r="CN403" i="5"/>
  <c r="BZ403" i="5"/>
  <c r="BZ402" i="5" s="1"/>
  <c r="BV403" i="5"/>
  <c r="BT403" i="5"/>
  <c r="BT402" i="5" s="1"/>
  <c r="BU402" i="5" s="1"/>
  <c r="CB403" i="5"/>
  <c r="CB402" i="5" s="1"/>
  <c r="CC402" i="5" s="1"/>
  <c r="BM449" i="5"/>
  <c r="D449" i="5"/>
  <c r="CL447" i="5"/>
  <c r="BM529" i="5"/>
  <c r="BJ529" i="5"/>
  <c r="D529" i="5"/>
  <c r="BJ570" i="5"/>
  <c r="BM570" i="5"/>
  <c r="CP570" i="5" s="1"/>
  <c r="D165" i="5"/>
  <c r="CM175" i="5"/>
  <c r="BJ203" i="5"/>
  <c r="CG208" i="5"/>
  <c r="CO236" i="5"/>
  <c r="D291" i="5"/>
  <c r="BM303" i="5"/>
  <c r="BJ318" i="5"/>
  <c r="D318" i="5"/>
  <c r="BV342" i="5"/>
  <c r="CE354" i="5"/>
  <c r="BZ356" i="5"/>
  <c r="CQ368" i="5"/>
  <c r="CP368" i="5"/>
  <c r="BL373" i="5"/>
  <c r="CP383" i="5"/>
  <c r="BT394" i="5"/>
  <c r="BU394" i="5" s="1"/>
  <c r="BJ449" i="5"/>
  <c r="G533" i="5"/>
  <c r="BZ533" i="5"/>
  <c r="CB534" i="5"/>
  <c r="CB533" i="5" s="1"/>
  <c r="CD535" i="5"/>
  <c r="O145" i="5"/>
  <c r="D151" i="5"/>
  <c r="CP153" i="5"/>
  <c r="BN155" i="5"/>
  <c r="BM202" i="5"/>
  <c r="CP202" i="5" s="1"/>
  <c r="O202" i="5"/>
  <c r="CI208" i="5"/>
  <c r="F249" i="5"/>
  <c r="BM264" i="5"/>
  <c r="BJ280" i="5"/>
  <c r="F278" i="5"/>
  <c r="BM304" i="5"/>
  <c r="CC311" i="5"/>
  <c r="CA311" i="5"/>
  <c r="BY311" i="5"/>
  <c r="CN314" i="5"/>
  <c r="CO314" i="5" s="1"/>
  <c r="BT314" i="5"/>
  <c r="BU314" i="5" s="1"/>
  <c r="CH314" i="5"/>
  <c r="CI314" i="5" s="1"/>
  <c r="CP318" i="5"/>
  <c r="CQ318" i="5"/>
  <c r="CE323" i="5"/>
  <c r="CN332" i="5"/>
  <c r="CL332" i="5"/>
  <c r="F331" i="5"/>
  <c r="BM331" i="5" s="1"/>
  <c r="CJ332" i="5"/>
  <c r="BM332" i="5"/>
  <c r="BM346" i="5"/>
  <c r="CQ346" i="5" s="1"/>
  <c r="CO351" i="5"/>
  <c r="CN349" i="5"/>
  <c r="BJ361" i="5"/>
  <c r="D365" i="5"/>
  <c r="CK365" i="5" s="1"/>
  <c r="BM365" i="5"/>
  <c r="BJ365" i="5"/>
  <c r="CO432" i="5"/>
  <c r="CI432" i="5"/>
  <c r="CC432" i="5"/>
  <c r="BU480" i="5"/>
  <c r="CA507" i="5"/>
  <c r="CM507" i="5"/>
  <c r="CK507" i="5"/>
  <c r="BY507" i="5"/>
  <c r="BU507" i="5"/>
  <c r="BS507" i="5"/>
  <c r="D515" i="5"/>
  <c r="BY515" i="5" s="1"/>
  <c r="BM515" i="5"/>
  <c r="BJ515" i="5"/>
  <c r="F513" i="5"/>
  <c r="BM513" i="5" s="1"/>
  <c r="CJ523" i="5"/>
  <c r="D523" i="5"/>
  <c r="BL523" i="5" s="1"/>
  <c r="BJ122" i="5"/>
  <c r="BP154" i="5"/>
  <c r="BP144" i="5" s="1"/>
  <c r="BJ162" i="5"/>
  <c r="BM175" i="5"/>
  <c r="CQ175" i="5" s="1"/>
  <c r="BM178" i="5"/>
  <c r="BJ181" i="5"/>
  <c r="CP190" i="5"/>
  <c r="D206" i="5"/>
  <c r="BS206" i="5" s="1"/>
  <c r="CK208" i="5"/>
  <c r="O211" i="5"/>
  <c r="BM220" i="5"/>
  <c r="CH233" i="5"/>
  <c r="O262" i="5"/>
  <c r="O261" i="5" s="1"/>
  <c r="O258" i="5" s="1"/>
  <c r="CE277" i="5"/>
  <c r="BJ291" i="5"/>
  <c r="CP296" i="5"/>
  <c r="BZ303" i="5"/>
  <c r="F316" i="5"/>
  <c r="BM316" i="5" s="1"/>
  <c r="CQ316" i="5" s="1"/>
  <c r="BT333" i="5"/>
  <c r="BU333" i="5" s="1"/>
  <c r="CO339" i="5"/>
  <c r="CN337" i="5"/>
  <c r="CL344" i="5"/>
  <c r="CN344" i="5"/>
  <c r="CH344" i="5"/>
  <c r="CD344" i="5"/>
  <c r="BM344" i="5"/>
  <c r="CB347" i="5"/>
  <c r="CB346" i="5" s="1"/>
  <c r="BZ347" i="5"/>
  <c r="BZ346" i="5" s="1"/>
  <c r="CD347" i="5"/>
  <c r="BW377" i="5"/>
  <c r="CN394" i="5"/>
  <c r="BX403" i="5"/>
  <c r="BX402" i="5" s="1"/>
  <c r="BU463" i="5"/>
  <c r="BT453" i="5"/>
  <c r="BW480" i="5"/>
  <c r="BW529" i="5"/>
  <c r="BV525" i="5"/>
  <c r="D532" i="5"/>
  <c r="BM532" i="5"/>
  <c r="BJ532" i="5"/>
  <c r="CI534" i="5"/>
  <c r="CH533" i="5"/>
  <c r="D562" i="5"/>
  <c r="BM562" i="5"/>
  <c r="CQ562" i="5" s="1"/>
  <c r="BJ562" i="5"/>
  <c r="F561" i="5"/>
  <c r="BM561" i="5" s="1"/>
  <c r="CP561" i="5" s="1"/>
  <c r="CN566" i="5"/>
  <c r="CH566" i="5"/>
  <c r="CB566" i="5"/>
  <c r="BX566" i="5"/>
  <c r="O575" i="5"/>
  <c r="O574" i="5" s="1"/>
  <c r="BM120" i="5"/>
  <c r="O127" i="5"/>
  <c r="CQ139" i="5"/>
  <c r="BL162" i="5"/>
  <c r="BM204" i="5"/>
  <c r="CQ204" i="5" s="1"/>
  <c r="Q208" i="5"/>
  <c r="CM208" i="5"/>
  <c r="BK224" i="5"/>
  <c r="BN224" i="5" s="1"/>
  <c r="E228" i="5"/>
  <c r="E221" i="5" s="1"/>
  <c r="O231" i="5"/>
  <c r="BL236" i="5"/>
  <c r="F245" i="5"/>
  <c r="D246" i="5"/>
  <c r="M258" i="5"/>
  <c r="BM270" i="5"/>
  <c r="CQ270" i="5" s="1"/>
  <c r="D270" i="5"/>
  <c r="BL270" i="5" s="1"/>
  <c r="D273" i="5"/>
  <c r="BM273" i="5"/>
  <c r="CQ273" i="5" s="1"/>
  <c r="CI277" i="5"/>
  <c r="BM291" i="5"/>
  <c r="BM314" i="5"/>
  <c r="CN321" i="5"/>
  <c r="BJ332" i="5"/>
  <c r="CH380" i="5"/>
  <c r="CB380" i="5"/>
  <c r="F378" i="5"/>
  <c r="BM378" i="5" s="1"/>
  <c r="BZ380" i="5"/>
  <c r="BZ378" i="5" s="1"/>
  <c r="BX380" i="5"/>
  <c r="BY380" i="5" s="1"/>
  <c r="BV390" i="5"/>
  <c r="BW391" i="5"/>
  <c r="CD403" i="5"/>
  <c r="BM432" i="5"/>
  <c r="BW445" i="5"/>
  <c r="CP461" i="5"/>
  <c r="H502" i="5"/>
  <c r="BL507" i="5"/>
  <c r="BM162" i="5"/>
  <c r="BQ175" i="5"/>
  <c r="BM184" i="5"/>
  <c r="BJ206" i="5"/>
  <c r="I213" i="5"/>
  <c r="CF231" i="5"/>
  <c r="CN258" i="5"/>
  <c r="D282" i="5"/>
  <c r="BS282" i="5" s="1"/>
  <c r="BJ282" i="5"/>
  <c r="BX298" i="5"/>
  <c r="CB303" i="5"/>
  <c r="CC303" i="5" s="1"/>
  <c r="Q311" i="5"/>
  <c r="CF325" i="5"/>
  <c r="BJ344" i="5"/>
  <c r="CG351" i="5"/>
  <c r="CE351" i="5"/>
  <c r="CH403" i="5"/>
  <c r="D431" i="5"/>
  <c r="CO431" i="5" s="1"/>
  <c r="BJ436" i="5"/>
  <c r="D436" i="5"/>
  <c r="BJ440" i="5"/>
  <c r="Q474" i="5"/>
  <c r="H478" i="5"/>
  <c r="H477" i="5" s="1"/>
  <c r="F479" i="5"/>
  <c r="BS524" i="5"/>
  <c r="BQ524" i="5"/>
  <c r="CA529" i="5"/>
  <c r="BZ568" i="5"/>
  <c r="BV568" i="5"/>
  <c r="BT568" i="5"/>
  <c r="CN568" i="5"/>
  <c r="BM568" i="5"/>
  <c r="CQ568" i="5" s="1"/>
  <c r="CH568" i="5"/>
  <c r="CD568" i="5"/>
  <c r="CE568" i="5" s="1"/>
  <c r="CB568" i="5"/>
  <c r="D568" i="5"/>
  <c r="F567" i="5"/>
  <c r="CQ571" i="5"/>
  <c r="CP571" i="5"/>
  <c r="D386" i="5"/>
  <c r="CD386" i="5"/>
  <c r="BM386" i="5"/>
  <c r="CQ386" i="5" s="1"/>
  <c r="CH391" i="5"/>
  <c r="CJ391" i="5"/>
  <c r="F390" i="5"/>
  <c r="BJ390" i="5" s="1"/>
  <c r="CD391" i="5"/>
  <c r="CE391" i="5" s="1"/>
  <c r="BX391" i="5"/>
  <c r="CA397" i="5"/>
  <c r="BS397" i="5"/>
  <c r="BQ397" i="5"/>
  <c r="BL405" i="5"/>
  <c r="BY405" i="5"/>
  <c r="D408" i="5"/>
  <c r="BJ408" i="5"/>
  <c r="F418" i="5"/>
  <c r="BM419" i="5"/>
  <c r="BJ419" i="5"/>
  <c r="CL520" i="5"/>
  <c r="BM520" i="5"/>
  <c r="CN520" i="5"/>
  <c r="BJ520" i="5"/>
  <c r="CJ520" i="5"/>
  <c r="CH520" i="5"/>
  <c r="CB520" i="5"/>
  <c r="CB519" i="5" s="1"/>
  <c r="BX520" i="5"/>
  <c r="BV520" i="5"/>
  <c r="D520" i="5"/>
  <c r="F519" i="5"/>
  <c r="BJ519" i="5" s="1"/>
  <c r="O249" i="5"/>
  <c r="O248" i="5" s="1"/>
  <c r="BM251" i="5"/>
  <c r="CQ251" i="5" s="1"/>
  <c r="BV257" i="5"/>
  <c r="BW257" i="5" s="1"/>
  <c r="CJ258" i="5"/>
  <c r="BS276" i="5"/>
  <c r="CJ277" i="5"/>
  <c r="BW286" i="5"/>
  <c r="BX288" i="5"/>
  <c r="BX287" i="5" s="1"/>
  <c r="BQ300" i="5"/>
  <c r="CH308" i="5"/>
  <c r="BT309" i="5"/>
  <c r="BU309" i="5" s="1"/>
  <c r="BV323" i="5"/>
  <c r="CQ329" i="5"/>
  <c r="CD348" i="5"/>
  <c r="CD346" i="5" s="1"/>
  <c r="CN358" i="5"/>
  <c r="BM391" i="5"/>
  <c r="BM408" i="5"/>
  <c r="BX409" i="5"/>
  <c r="D465" i="5"/>
  <c r="Q466" i="5"/>
  <c r="BQ466" i="5"/>
  <c r="BY466" i="5"/>
  <c r="D528" i="5"/>
  <c r="CI528" i="5" s="1"/>
  <c r="BM528" i="5"/>
  <c r="CQ528" i="5" s="1"/>
  <c r="BZ553" i="5"/>
  <c r="BZ550" i="5" s="1"/>
  <c r="CK377" i="5"/>
  <c r="BX386" i="5"/>
  <c r="BY386" i="5" s="1"/>
  <c r="BT391" i="5"/>
  <c r="CL417" i="5"/>
  <c r="BV417" i="5"/>
  <c r="BT417" i="5"/>
  <c r="BM417" i="5"/>
  <c r="CH417" i="5"/>
  <c r="CJ496" i="5"/>
  <c r="CK496" i="5" s="1"/>
  <c r="BZ496" i="5"/>
  <c r="BV496" i="5"/>
  <c r="BV494" i="5" s="1"/>
  <c r="BT496" i="5"/>
  <c r="CD496" i="5"/>
  <c r="CB496" i="5"/>
  <c r="CC496" i="5" s="1"/>
  <c r="BJ507" i="5"/>
  <c r="BM507" i="5"/>
  <c r="CN513" i="5"/>
  <c r="CD520" i="5"/>
  <c r="CO524" i="5"/>
  <c r="O267" i="5"/>
  <c r="CG309" i="5"/>
  <c r="BJ331" i="5"/>
  <c r="BZ354" i="5"/>
  <c r="CA354" i="5" s="1"/>
  <c r="BT354" i="5"/>
  <c r="BU354" i="5" s="1"/>
  <c r="CQ382" i="5"/>
  <c r="CL388" i="5"/>
  <c r="F387" i="5"/>
  <c r="CJ388" i="5"/>
  <c r="CH388" i="5"/>
  <c r="CH387" i="5" s="1"/>
  <c r="BM388" i="5"/>
  <c r="CE397" i="5"/>
  <c r="CC405" i="5"/>
  <c r="BV407" i="5"/>
  <c r="BV406" i="5" s="1"/>
  <c r="BM407" i="5"/>
  <c r="CQ407" i="5" s="1"/>
  <c r="BJ407" i="5"/>
  <c r="F406" i="5"/>
  <c r="BJ406" i="5" s="1"/>
  <c r="BS413" i="5"/>
  <c r="BQ413" i="5"/>
  <c r="CG413" i="5"/>
  <c r="BZ417" i="5"/>
  <c r="CM475" i="5"/>
  <c r="BW475" i="5"/>
  <c r="K502" i="5"/>
  <c r="BZ502" i="5"/>
  <c r="BM514" i="5"/>
  <c r="BJ514" i="5"/>
  <c r="D514" i="5"/>
  <c r="Q538" i="5"/>
  <c r="CC538" i="5"/>
  <c r="CK552" i="5"/>
  <c r="BY552" i="5"/>
  <c r="D551" i="5"/>
  <c r="CG551" i="5" s="1"/>
  <c r="CL257" i="5"/>
  <c r="CM257" i="5" s="1"/>
  <c r="BM287" i="5"/>
  <c r="CH309" i="5"/>
  <c r="CI309" i="5" s="1"/>
  <c r="BS339" i="5"/>
  <c r="BQ339" i="5"/>
  <c r="BX357" i="5"/>
  <c r="BM357" i="5"/>
  <c r="CQ357" i="5" s="1"/>
  <c r="BJ357" i="5"/>
  <c r="CC382" i="5"/>
  <c r="CM382" i="5"/>
  <c r="D381" i="5"/>
  <c r="CG381" i="5" s="1"/>
  <c r="CK382" i="5"/>
  <c r="Q382" i="5"/>
  <c r="CI382" i="5"/>
  <c r="CG382" i="5"/>
  <c r="BQ382" i="5"/>
  <c r="CG383" i="5"/>
  <c r="BY383" i="5"/>
  <c r="BW383" i="5"/>
  <c r="BU383" i="5"/>
  <c r="BS383" i="5"/>
  <c r="CO383" i="5"/>
  <c r="CH385" i="5"/>
  <c r="BX385" i="5"/>
  <c r="CG397" i="5"/>
  <c r="CM405" i="5"/>
  <c r="CB417" i="5"/>
  <c r="CK426" i="5"/>
  <c r="CA426" i="5"/>
  <c r="BS426" i="5"/>
  <c r="G435" i="5"/>
  <c r="O437" i="5"/>
  <c r="O435" i="5" s="1"/>
  <c r="BW466" i="5"/>
  <c r="BJ475" i="5"/>
  <c r="BM475" i="5"/>
  <c r="CP490" i="5"/>
  <c r="CQ490" i="5"/>
  <c r="CF496" i="5"/>
  <c r="CG496" i="5" s="1"/>
  <c r="Q509" i="5"/>
  <c r="BQ509" i="5"/>
  <c r="BL509" i="5"/>
  <c r="CM563" i="5"/>
  <c r="Q257" i="5"/>
  <c r="CN257" i="5"/>
  <c r="CO257" i="5" s="1"/>
  <c r="I258" i="5"/>
  <c r="CG268" i="5"/>
  <c r="BV277" i="5"/>
  <c r="BW277" i="5" s="1"/>
  <c r="BJ286" i="5"/>
  <c r="Q300" i="5"/>
  <c r="BZ308" i="5"/>
  <c r="CA308" i="5" s="1"/>
  <c r="Q309" i="5"/>
  <c r="D316" i="5"/>
  <c r="BS317" i="5"/>
  <c r="BM348" i="5"/>
  <c r="CI351" i="5"/>
  <c r="BM354" i="5"/>
  <c r="CC364" i="5"/>
  <c r="BJ388" i="5"/>
  <c r="CP397" i="5"/>
  <c r="O404" i="5"/>
  <c r="CO405" i="5"/>
  <c r="CL410" i="5"/>
  <c r="BT410" i="5"/>
  <c r="BU410" i="5" s="1"/>
  <c r="BM410" i="5"/>
  <c r="CP410" i="5" s="1"/>
  <c r="CN410" i="5"/>
  <c r="BJ410" i="5"/>
  <c r="BZ410" i="5"/>
  <c r="CA410" i="5" s="1"/>
  <c r="F409" i="5"/>
  <c r="CD417" i="5"/>
  <c r="BM421" i="5"/>
  <c r="CQ421" i="5" s="1"/>
  <c r="BM445" i="5"/>
  <c r="BV447" i="5"/>
  <c r="CI466" i="5"/>
  <c r="Q481" i="5"/>
  <c r="CE481" i="5"/>
  <c r="BY481" i="5"/>
  <c r="BW481" i="5"/>
  <c r="BJ490" i="5"/>
  <c r="BX509" i="5"/>
  <c r="CB509" i="5"/>
  <c r="CB508" i="5" s="1"/>
  <c r="BV509" i="5"/>
  <c r="BV508" i="5" s="1"/>
  <c r="BT509" i="5"/>
  <c r="BM509" i="5"/>
  <c r="BJ509" i="5"/>
  <c r="CH509" i="5"/>
  <c r="BY551" i="5"/>
  <c r="CK560" i="5"/>
  <c r="BZ569" i="5"/>
  <c r="BV569" i="5"/>
  <c r="BT569" i="5"/>
  <c r="BJ569" i="5"/>
  <c r="CH569" i="5"/>
  <c r="BM247" i="5"/>
  <c r="BJ252" i="5"/>
  <c r="BJ257" i="5"/>
  <c r="BM263" i="5"/>
  <c r="BV295" i="5"/>
  <c r="BJ300" i="5"/>
  <c r="CB308" i="5"/>
  <c r="CC308" i="5" s="1"/>
  <c r="BM309" i="5"/>
  <c r="CJ309" i="5"/>
  <c r="CK309" i="5" s="1"/>
  <c r="CG317" i="5"/>
  <c r="CI329" i="5"/>
  <c r="BM339" i="5"/>
  <c r="BT357" i="5"/>
  <c r="BL383" i="5"/>
  <c r="Q413" i="5"/>
  <c r="CN417" i="5"/>
  <c r="BQ465" i="5"/>
  <c r="CM466" i="5"/>
  <c r="BM492" i="5"/>
  <c r="D492" i="5"/>
  <c r="BJ492" i="5"/>
  <c r="CH496" i="5"/>
  <c r="CQ512" i="5"/>
  <c r="CP512" i="5"/>
  <c r="BT524" i="5"/>
  <c r="BU524" i="5" s="1"/>
  <c r="BZ524" i="5"/>
  <c r="BX524" i="5"/>
  <c r="BY524" i="5" s="1"/>
  <c r="BS534" i="5"/>
  <c r="BR533" i="5"/>
  <c r="BY373" i="5"/>
  <c r="BZ373" i="5"/>
  <c r="BZ413" i="5"/>
  <c r="CA500" i="5"/>
  <c r="I502" i="5"/>
  <c r="CQ504" i="5"/>
  <c r="CP504" i="5"/>
  <c r="CH549" i="5"/>
  <c r="BZ549" i="5"/>
  <c r="BM549" i="5"/>
  <c r="BQ551" i="5"/>
  <c r="BJ567" i="5"/>
  <c r="O427" i="5"/>
  <c r="CJ453" i="5"/>
  <c r="BM466" i="5"/>
  <c r="BJ466" i="5"/>
  <c r="CF495" i="5"/>
  <c r="CD495" i="5"/>
  <c r="BZ495" i="5"/>
  <c r="BJ576" i="5"/>
  <c r="F575" i="5"/>
  <c r="CH373" i="5"/>
  <c r="CL374" i="5"/>
  <c r="CG411" i="5"/>
  <c r="CL413" i="5"/>
  <c r="CM413" i="5" s="1"/>
  <c r="BM501" i="5"/>
  <c r="CJ502" i="5"/>
  <c r="CB525" i="5"/>
  <c r="CC529" i="5"/>
  <c r="BY554" i="5"/>
  <c r="BL554" i="5"/>
  <c r="CO554" i="5"/>
  <c r="BV558" i="5"/>
  <c r="CL373" i="5"/>
  <c r="CM373" i="5" s="1"/>
  <c r="BJ405" i="5"/>
  <c r="BJ433" i="5"/>
  <c r="D433" i="5"/>
  <c r="BJ442" i="5"/>
  <c r="CN453" i="5"/>
  <c r="BU468" i="5"/>
  <c r="O473" i="5"/>
  <c r="O472" i="5" s="1"/>
  <c r="I472" i="5"/>
  <c r="BJ495" i="5"/>
  <c r="CN510" i="5"/>
  <c r="K533" i="5"/>
  <c r="L550" i="5"/>
  <c r="BM554" i="5"/>
  <c r="BJ554" i="5"/>
  <c r="F553" i="5"/>
  <c r="BM556" i="5"/>
  <c r="BJ556" i="5"/>
  <c r="O572" i="5"/>
  <c r="BJ349" i="5"/>
  <c r="BM351" i="5"/>
  <c r="BU364" i="5"/>
  <c r="BJ368" i="5"/>
  <c r="BJ379" i="5"/>
  <c r="Q411" i="5"/>
  <c r="CN413" i="5"/>
  <c r="BM441" i="5"/>
  <c r="D441" i="5"/>
  <c r="O442" i="5"/>
  <c r="CG443" i="5"/>
  <c r="Q443" i="5"/>
  <c r="CC443" i="5"/>
  <c r="Q455" i="5"/>
  <c r="CM455" i="5"/>
  <c r="CK455" i="5"/>
  <c r="CG455" i="5"/>
  <c r="BJ460" i="5"/>
  <c r="CC463" i="5"/>
  <c r="BL463" i="5"/>
  <c r="Q463" i="5"/>
  <c r="BX501" i="5"/>
  <c r="BM511" i="5"/>
  <c r="CO512" i="5"/>
  <c r="CM512" i="5"/>
  <c r="CK531" i="5"/>
  <c r="CG531" i="5"/>
  <c r="L533" i="5"/>
  <c r="CD550" i="5"/>
  <c r="D423" i="5"/>
  <c r="CC448" i="5"/>
  <c r="CN471" i="5"/>
  <c r="CL477" i="5"/>
  <c r="CM504" i="5"/>
  <c r="CG515" i="5"/>
  <c r="CH521" i="5"/>
  <c r="CL580" i="5"/>
  <c r="CE448" i="5"/>
  <c r="CA463" i="5"/>
  <c r="D470" i="5"/>
  <c r="CO470" i="5" s="1"/>
  <c r="CO504" i="5"/>
  <c r="N510" i="5"/>
  <c r="CL521" i="5"/>
  <c r="CK534" i="5"/>
  <c r="CH555" i="5"/>
  <c r="CH553" i="5" s="1"/>
  <c r="CA571" i="5"/>
  <c r="CG571" i="5"/>
  <c r="CG577" i="5"/>
  <c r="CK448" i="5"/>
  <c r="D451" i="5"/>
  <c r="CB453" i="5"/>
  <c r="BJ480" i="5"/>
  <c r="D487" i="5"/>
  <c r="CN521" i="5"/>
  <c r="F525" i="5"/>
  <c r="BP533" i="5"/>
  <c r="CK535" i="5"/>
  <c r="H550" i="5"/>
  <c r="D555" i="5"/>
  <c r="CJ555" i="5"/>
  <c r="BJ557" i="5"/>
  <c r="BJ559" i="5"/>
  <c r="CH571" i="5"/>
  <c r="CH570" i="5" s="1"/>
  <c r="BJ585" i="5"/>
  <c r="CE471" i="5"/>
  <c r="BM481" i="5"/>
  <c r="G502" i="5"/>
  <c r="CK515" i="5"/>
  <c r="BX525" i="5"/>
  <c r="BT541" i="5"/>
  <c r="I550" i="5"/>
  <c r="BM557" i="5"/>
  <c r="CN571" i="5"/>
  <c r="CN570" i="5" s="1"/>
  <c r="CQ22" i="5"/>
  <c r="CP22" i="5"/>
  <c r="CQ19" i="5"/>
  <c r="CP19" i="5"/>
  <c r="CP28" i="5"/>
  <c r="CQ28" i="5"/>
  <c r="CQ20" i="5"/>
  <c r="CP20" i="5"/>
  <c r="CQ45" i="5"/>
  <c r="CP45" i="5"/>
  <c r="CQ24" i="5"/>
  <c r="CP24" i="5"/>
  <c r="CP27" i="5"/>
  <c r="CQ27" i="5"/>
  <c r="CE31" i="5"/>
  <c r="Q31" i="5"/>
  <c r="CC31" i="5"/>
  <c r="CA31" i="5"/>
  <c r="BY31" i="5"/>
  <c r="BW31" i="5"/>
  <c r="BU31" i="5"/>
  <c r="BS31" i="5"/>
  <c r="CO31" i="5"/>
  <c r="BQ31" i="5"/>
  <c r="CG31" i="5"/>
  <c r="CM31" i="5"/>
  <c r="CK31" i="5"/>
  <c r="CI31" i="5"/>
  <c r="BL31" i="5"/>
  <c r="CM37" i="5"/>
  <c r="CP43" i="5"/>
  <c r="CQ43" i="5"/>
  <c r="BT14" i="5"/>
  <c r="CQ21" i="5"/>
  <c r="CP21" i="5"/>
  <c r="CQ41" i="5"/>
  <c r="CP41" i="5"/>
  <c r="BW37" i="5"/>
  <c r="BU37" i="5"/>
  <c r="BS37" i="5"/>
  <c r="BY37" i="5"/>
  <c r="CG37" i="5"/>
  <c r="BQ37" i="5"/>
  <c r="BL37" i="5"/>
  <c r="CO37" i="5"/>
  <c r="CC37" i="5"/>
  <c r="CK37" i="5"/>
  <c r="Q37" i="5"/>
  <c r="CP42" i="5"/>
  <c r="CQ42" i="5"/>
  <c r="CQ34" i="5"/>
  <c r="CP34" i="5"/>
  <c r="BJ35" i="5"/>
  <c r="D35" i="5"/>
  <c r="BM35" i="5"/>
  <c r="BM38" i="5"/>
  <c r="CQ46" i="5"/>
  <c r="CP46" i="5"/>
  <c r="CO106" i="5"/>
  <c r="BQ106" i="5"/>
  <c r="CM106" i="5"/>
  <c r="CK106" i="5"/>
  <c r="CI106" i="5"/>
  <c r="BL106" i="5"/>
  <c r="CG106" i="5"/>
  <c r="CE106" i="5"/>
  <c r="Q106" i="5"/>
  <c r="CA106" i="5"/>
  <c r="BU106" i="5"/>
  <c r="CC106" i="5"/>
  <c r="BY106" i="5"/>
  <c r="BW106" i="5"/>
  <c r="BS106" i="5"/>
  <c r="BW23" i="5"/>
  <c r="BU23" i="5"/>
  <c r="BS23" i="5"/>
  <c r="CM23" i="5"/>
  <c r="BQ23" i="5"/>
  <c r="CK23" i="5"/>
  <c r="CI23" i="5"/>
  <c r="BL23" i="5"/>
  <c r="CG23" i="5"/>
  <c r="CE23" i="5"/>
  <c r="CC23" i="5"/>
  <c r="Q23" i="5"/>
  <c r="CA23" i="5"/>
  <c r="BY23" i="5"/>
  <c r="CG30" i="5"/>
  <c r="CE30" i="5"/>
  <c r="Q30" i="5"/>
  <c r="CC30" i="5"/>
  <c r="CA30" i="5"/>
  <c r="BY30" i="5"/>
  <c r="BW30" i="5"/>
  <c r="BL30" i="5"/>
  <c r="BU30" i="5"/>
  <c r="CI30" i="5"/>
  <c r="BS30" i="5"/>
  <c r="CO30" i="5"/>
  <c r="BQ30" i="5"/>
  <c r="CM30" i="5"/>
  <c r="CK30" i="5"/>
  <c r="BZ14" i="5"/>
  <c r="CQ44" i="5"/>
  <c r="CP44" i="5"/>
  <c r="BM126" i="5"/>
  <c r="BJ126" i="5"/>
  <c r="D126" i="5"/>
  <c r="CO117" i="5"/>
  <c r="BQ117" i="5"/>
  <c r="CM117" i="5"/>
  <c r="CK117" i="5"/>
  <c r="CI117" i="5"/>
  <c r="BL117" i="5"/>
  <c r="CG117" i="5"/>
  <c r="CE117" i="5"/>
  <c r="Q117" i="5"/>
  <c r="CA117" i="5"/>
  <c r="BU117" i="5"/>
  <c r="BJ15" i="5"/>
  <c r="BW17" i="5"/>
  <c r="A20" i="5"/>
  <c r="CA27" i="5"/>
  <c r="CD38" i="5"/>
  <c r="CD14" i="5" s="1"/>
  <c r="BY40" i="5"/>
  <c r="BY42" i="5"/>
  <c r="BQ45" i="5"/>
  <c r="BQ46" i="5"/>
  <c r="CO46" i="5"/>
  <c r="CE48" i="5"/>
  <c r="Q48" i="5"/>
  <c r="CC48" i="5"/>
  <c r="CA48" i="5"/>
  <c r="BW48" i="5"/>
  <c r="BU48" i="5"/>
  <c r="CO48" i="5"/>
  <c r="BQ48" i="5"/>
  <c r="CI48" i="5"/>
  <c r="BL48" i="5"/>
  <c r="BS69" i="5"/>
  <c r="CO69" i="5"/>
  <c r="BQ69" i="5"/>
  <c r="CM69" i="5"/>
  <c r="CK69" i="5"/>
  <c r="CI69" i="5"/>
  <c r="BL69" i="5"/>
  <c r="CG69" i="5"/>
  <c r="CC69" i="5"/>
  <c r="BW69" i="5"/>
  <c r="CM70" i="5"/>
  <c r="CK70" i="5"/>
  <c r="CI70" i="5"/>
  <c r="BL70" i="5"/>
  <c r="CG70" i="5"/>
  <c r="CE70" i="5"/>
  <c r="Q70" i="5"/>
  <c r="CC70" i="5"/>
  <c r="BY70" i="5"/>
  <c r="BS70" i="5"/>
  <c r="CP72" i="5"/>
  <c r="BY75" i="5"/>
  <c r="BW75" i="5"/>
  <c r="BU75" i="5"/>
  <c r="BS75" i="5"/>
  <c r="CO75" i="5"/>
  <c r="BQ75" i="5"/>
  <c r="CM75" i="5"/>
  <c r="CI75" i="5"/>
  <c r="BL75" i="5"/>
  <c r="CC75" i="5"/>
  <c r="CE88" i="5"/>
  <c r="Q88" i="5"/>
  <c r="CC88" i="5"/>
  <c r="CA88" i="5"/>
  <c r="BY88" i="5"/>
  <c r="BW88" i="5"/>
  <c r="BU88" i="5"/>
  <c r="CO88" i="5"/>
  <c r="BQ88" i="5"/>
  <c r="CI88" i="5"/>
  <c r="BL88" i="5"/>
  <c r="BM116" i="5"/>
  <c r="BJ116" i="5"/>
  <c r="D169" i="5"/>
  <c r="BM169" i="5"/>
  <c r="BJ176" i="5"/>
  <c r="D176" i="5"/>
  <c r="Q176" i="5" s="1"/>
  <c r="A71" i="5"/>
  <c r="A72" i="5" s="1"/>
  <c r="BS116" i="5"/>
  <c r="CO116" i="5"/>
  <c r="BQ116" i="5"/>
  <c r="CM116" i="5"/>
  <c r="CK116" i="5"/>
  <c r="CI116" i="5"/>
  <c r="BL116" i="5"/>
  <c r="CG116" i="5"/>
  <c r="CC116" i="5"/>
  <c r="BW116" i="5"/>
  <c r="BY17" i="5"/>
  <c r="D20" i="5"/>
  <c r="BQ25" i="5"/>
  <c r="BL26" i="5"/>
  <c r="CI26" i="5"/>
  <c r="CC27" i="5"/>
  <c r="CA40" i="5"/>
  <c r="CA42" i="5"/>
  <c r="BS45" i="5"/>
  <c r="D67" i="5"/>
  <c r="BL67" i="5" s="1"/>
  <c r="BJ67" i="5"/>
  <c r="BM69" i="5"/>
  <c r="BJ69" i="5"/>
  <c r="BM70" i="5"/>
  <c r="BJ70" i="5"/>
  <c r="CE81" i="5"/>
  <c r="Q81" i="5"/>
  <c r="CC81" i="5"/>
  <c r="CA81" i="5"/>
  <c r="BY81" i="5"/>
  <c r="BW81" i="5"/>
  <c r="BU81" i="5"/>
  <c r="CO81" i="5"/>
  <c r="BQ81" i="5"/>
  <c r="CI81" i="5"/>
  <c r="BL81" i="5"/>
  <c r="CK96" i="5"/>
  <c r="CI96" i="5"/>
  <c r="BL96" i="5"/>
  <c r="CG96" i="5"/>
  <c r="CE96" i="5"/>
  <c r="Q96" i="5"/>
  <c r="CC96" i="5"/>
  <c r="CA96" i="5"/>
  <c r="BW96" i="5"/>
  <c r="CO96" i="5"/>
  <c r="BQ96" i="5"/>
  <c r="D115" i="5"/>
  <c r="BM118" i="5"/>
  <c r="BJ118" i="5"/>
  <c r="D118" i="5"/>
  <c r="E141" i="5"/>
  <c r="D89" i="5"/>
  <c r="BM89" i="5"/>
  <c r="CQ112" i="5"/>
  <c r="CP112" i="5"/>
  <c r="CI119" i="5"/>
  <c r="BL119" i="5"/>
  <c r="CG119" i="5"/>
  <c r="CE119" i="5"/>
  <c r="Q119" i="5"/>
  <c r="CC119" i="5"/>
  <c r="CA119" i="5"/>
  <c r="BY119" i="5"/>
  <c r="BU119" i="5"/>
  <c r="CM119" i="5"/>
  <c r="BQ164" i="5"/>
  <c r="CI164" i="5"/>
  <c r="BL164" i="5"/>
  <c r="CG164" i="5"/>
  <c r="CE164" i="5"/>
  <c r="Q164" i="5"/>
  <c r="CC164" i="5"/>
  <c r="BY164" i="5"/>
  <c r="BS164" i="5"/>
  <c r="CM189" i="5"/>
  <c r="CN189" i="5"/>
  <c r="CA17" i="5"/>
  <c r="BX18" i="5"/>
  <c r="CJ18" i="5"/>
  <c r="CC19" i="5"/>
  <c r="D24" i="5"/>
  <c r="Q27" i="5"/>
  <c r="CE27" i="5"/>
  <c r="D28" i="5"/>
  <c r="CK28" i="5" s="1"/>
  <c r="CC40" i="5"/>
  <c r="CC42" i="5"/>
  <c r="D43" i="5"/>
  <c r="BU46" i="5"/>
  <c r="CC49" i="5"/>
  <c r="CA49" i="5"/>
  <c r="BY49" i="5"/>
  <c r="BU49" i="5"/>
  <c r="BS49" i="5"/>
  <c r="CM49" i="5"/>
  <c r="CG49" i="5"/>
  <c r="BS53" i="5"/>
  <c r="CK53" i="5"/>
  <c r="CG53" i="5"/>
  <c r="CA53" i="5"/>
  <c r="CE73" i="5"/>
  <c r="CC73" i="5"/>
  <c r="Q73" i="5"/>
  <c r="CA73" i="5"/>
  <c r="BY73" i="5"/>
  <c r="BW73" i="5"/>
  <c r="BU73" i="5"/>
  <c r="CO73" i="5"/>
  <c r="BQ73" i="5"/>
  <c r="CI73" i="5"/>
  <c r="BL73" i="5"/>
  <c r="D74" i="5"/>
  <c r="BM74" i="5"/>
  <c r="Q75" i="5"/>
  <c r="CE99" i="5"/>
  <c r="Q99" i="5"/>
  <c r="CC99" i="5"/>
  <c r="CA99" i="5"/>
  <c r="BY99" i="5"/>
  <c r="BW99" i="5"/>
  <c r="BU99" i="5"/>
  <c r="CO99" i="5"/>
  <c r="BQ99" i="5"/>
  <c r="CI99" i="5"/>
  <c r="BL99" i="5"/>
  <c r="CQ100" i="5"/>
  <c r="CP100" i="5"/>
  <c r="CE102" i="5"/>
  <c r="Q102" i="5"/>
  <c r="CC102" i="5"/>
  <c r="CA102" i="5"/>
  <c r="BY102" i="5"/>
  <c r="BW102" i="5"/>
  <c r="BU102" i="5"/>
  <c r="CO102" i="5"/>
  <c r="BQ102" i="5"/>
  <c r="CI102" i="5"/>
  <c r="BL102" i="5"/>
  <c r="CQ103" i="5"/>
  <c r="CP103" i="5"/>
  <c r="BY114" i="5"/>
  <c r="BW114" i="5"/>
  <c r="BU114" i="5"/>
  <c r="BS114" i="5"/>
  <c r="CO114" i="5"/>
  <c r="BQ114" i="5"/>
  <c r="CM114" i="5"/>
  <c r="CI114" i="5"/>
  <c r="BL114" i="5"/>
  <c r="CC114" i="5"/>
  <c r="CQ115" i="5"/>
  <c r="CP115" i="5"/>
  <c r="Q116" i="5"/>
  <c r="BJ169" i="5"/>
  <c r="CC17" i="5"/>
  <c r="D21" i="5"/>
  <c r="BJ23" i="5"/>
  <c r="CG27" i="5"/>
  <c r="F29" i="5"/>
  <c r="D34" i="5"/>
  <c r="BJ37" i="5"/>
  <c r="D41" i="5"/>
  <c r="CE41" i="5" s="1"/>
  <c r="D44" i="5"/>
  <c r="BU45" i="5"/>
  <c r="CG45" i="5"/>
  <c r="BW46" i="5"/>
  <c r="CQ53" i="5"/>
  <c r="CP53" i="5"/>
  <c r="D58" i="5"/>
  <c r="CC58" i="5" s="1"/>
  <c r="CS68" i="5"/>
  <c r="G77" i="5"/>
  <c r="BM106" i="5"/>
  <c r="BJ106" i="5"/>
  <c r="BY124" i="5"/>
  <c r="BW124" i="5"/>
  <c r="BU124" i="5"/>
  <c r="BS124" i="5"/>
  <c r="CO124" i="5"/>
  <c r="BQ124" i="5"/>
  <c r="CM124" i="5"/>
  <c r="CI124" i="5"/>
  <c r="BL124" i="5"/>
  <c r="CC124" i="5"/>
  <c r="H77" i="5"/>
  <c r="F125" i="5"/>
  <c r="BW148" i="5"/>
  <c r="BU148" i="5"/>
  <c r="BS148" i="5"/>
  <c r="CO148" i="5"/>
  <c r="BQ148" i="5"/>
  <c r="CM148" i="5"/>
  <c r="CK148" i="5"/>
  <c r="CG148" i="5"/>
  <c r="Q148" i="5"/>
  <c r="CI148" i="5"/>
  <c r="CE148" i="5"/>
  <c r="CC148" i="5"/>
  <c r="CA148" i="5"/>
  <c r="D163" i="5"/>
  <c r="BM163" i="5"/>
  <c r="BY27" i="5"/>
  <c r="Q71" i="5"/>
  <c r="CC71" i="5"/>
  <c r="CA71" i="5"/>
  <c r="BY46" i="5"/>
  <c r="BJ54" i="5"/>
  <c r="D54" i="5"/>
  <c r="BU105" i="5"/>
  <c r="BS105" i="5"/>
  <c r="CO105" i="5"/>
  <c r="Q105" i="5"/>
  <c r="BY105" i="5"/>
  <c r="BU116" i="5"/>
  <c r="CQ179" i="5"/>
  <c r="CP179" i="5"/>
  <c r="CI27" i="5"/>
  <c r="D16" i="5"/>
  <c r="CA16" i="5" s="1"/>
  <c r="CG17" i="5"/>
  <c r="BN18" i="5"/>
  <c r="BJ20" i="5"/>
  <c r="BM23" i="5"/>
  <c r="BY25" i="5"/>
  <c r="CK27" i="5"/>
  <c r="BM37" i="5"/>
  <c r="CE37" i="5"/>
  <c r="Q39" i="5"/>
  <c r="BL40" i="5"/>
  <c r="CI40" i="5"/>
  <c r="CA41" i="5"/>
  <c r="CM41" i="5"/>
  <c r="BL42" i="5"/>
  <c r="CI42" i="5"/>
  <c r="CA46" i="5"/>
  <c r="CG47" i="5"/>
  <c r="BW47" i="5"/>
  <c r="CK47" i="5"/>
  <c r="CC47" i="5"/>
  <c r="BL49" i="5"/>
  <c r="BS52" i="5"/>
  <c r="BQ52" i="5"/>
  <c r="BL52" i="5"/>
  <c r="Q52" i="5"/>
  <c r="CG52" i="5"/>
  <c r="BU69" i="5"/>
  <c r="BU70" i="5"/>
  <c r="BU71" i="5"/>
  <c r="CP85" i="5"/>
  <c r="BS88" i="5"/>
  <c r="BS96" i="5"/>
  <c r="BY104" i="5"/>
  <c r="BW104" i="5"/>
  <c r="BU104" i="5"/>
  <c r="BS104" i="5"/>
  <c r="CO104" i="5"/>
  <c r="BQ104" i="5"/>
  <c r="CM104" i="5"/>
  <c r="CI104" i="5"/>
  <c r="BL104" i="5"/>
  <c r="CC104" i="5"/>
  <c r="CQ105" i="5"/>
  <c r="CP105" i="5"/>
  <c r="BJ114" i="5"/>
  <c r="BY116" i="5"/>
  <c r="BS117" i="5"/>
  <c r="BQ119" i="5"/>
  <c r="Q124" i="5"/>
  <c r="BL148" i="5"/>
  <c r="BJ163" i="5"/>
  <c r="CL165" i="5"/>
  <c r="BJ230" i="5"/>
  <c r="D230" i="5"/>
  <c r="CN230" i="5"/>
  <c r="F229" i="5"/>
  <c r="BM230" i="5"/>
  <c r="BL17" i="5"/>
  <c r="CI17" i="5"/>
  <c r="CB18" i="5"/>
  <c r="BJ24" i="5"/>
  <c r="CA25" i="5"/>
  <c r="BU26" i="5"/>
  <c r="BJ28" i="5"/>
  <c r="BU32" i="5"/>
  <c r="CP32" i="5"/>
  <c r="BU36" i="5"/>
  <c r="CP36" i="5"/>
  <c r="BM40" i="5"/>
  <c r="CK40" i="5"/>
  <c r="CK42" i="5"/>
  <c r="BJ43" i="5"/>
  <c r="CC46" i="5"/>
  <c r="CE47" i="5"/>
  <c r="BS48" i="5"/>
  <c r="CO55" i="5"/>
  <c r="BQ55" i="5"/>
  <c r="CM55" i="5"/>
  <c r="CK55" i="5"/>
  <c r="CG55" i="5"/>
  <c r="CE55" i="5"/>
  <c r="Q55" i="5"/>
  <c r="CA55" i="5"/>
  <c r="BU55" i="5"/>
  <c r="Q59" i="5"/>
  <c r="CA59" i="5"/>
  <c r="BU59" i="5"/>
  <c r="CK59" i="5"/>
  <c r="CK64" i="5"/>
  <c r="BY69" i="5"/>
  <c r="BW70" i="5"/>
  <c r="CA75" i="5"/>
  <c r="BS81" i="5"/>
  <c r="CG88" i="5"/>
  <c r="BU96" i="5"/>
  <c r="O105" i="5"/>
  <c r="CC112" i="5"/>
  <c r="CA112" i="5"/>
  <c r="BY112" i="5"/>
  <c r="BW112" i="5"/>
  <c r="BU112" i="5"/>
  <c r="BS112" i="5"/>
  <c r="CM112" i="5"/>
  <c r="CG112" i="5"/>
  <c r="BM114" i="5"/>
  <c r="CA116" i="5"/>
  <c r="BW117" i="5"/>
  <c r="BS119" i="5"/>
  <c r="BJ124" i="5"/>
  <c r="CH182" i="5"/>
  <c r="CG182" i="5"/>
  <c r="BM65" i="5"/>
  <c r="BJ65" i="5"/>
  <c r="BR14" i="5"/>
  <c r="CK17" i="5"/>
  <c r="BJ21" i="5"/>
  <c r="CC25" i="5"/>
  <c r="BW26" i="5"/>
  <c r="CP26" i="5"/>
  <c r="BQ27" i="5"/>
  <c r="CM27" i="5"/>
  <c r="BW32" i="5"/>
  <c r="BW36" i="5"/>
  <c r="BJ41" i="5"/>
  <c r="CM42" i="5"/>
  <c r="BJ44" i="5"/>
  <c r="Q45" i="5"/>
  <c r="BY45" i="5"/>
  <c r="CK45" i="5"/>
  <c r="Q46" i="5"/>
  <c r="CE46" i="5"/>
  <c r="CI47" i="5"/>
  <c r="BY48" i="5"/>
  <c r="BM58" i="5"/>
  <c r="F68" i="5"/>
  <c r="CA69" i="5"/>
  <c r="CA70" i="5"/>
  <c r="CE75" i="5"/>
  <c r="CG81" i="5"/>
  <c r="BM86" i="5"/>
  <c r="CK88" i="5"/>
  <c r="BY96" i="5"/>
  <c r="BS99" i="5"/>
  <c r="BS102" i="5"/>
  <c r="Q104" i="5"/>
  <c r="BJ105" i="5"/>
  <c r="BJ111" i="5"/>
  <c r="D111" i="5"/>
  <c r="BM111" i="5"/>
  <c r="CE116" i="5"/>
  <c r="BY117" i="5"/>
  <c r="BW119" i="5"/>
  <c r="BM124" i="5"/>
  <c r="BW140" i="5"/>
  <c r="BU140" i="5"/>
  <c r="BS140" i="5"/>
  <c r="CO140" i="5"/>
  <c r="BQ140" i="5"/>
  <c r="CM140" i="5"/>
  <c r="CI140" i="5"/>
  <c r="CG140" i="5"/>
  <c r="CE140" i="5"/>
  <c r="CC140" i="5"/>
  <c r="CA140" i="5"/>
  <c r="BY140" i="5"/>
  <c r="BL140" i="5"/>
  <c r="Q140" i="5"/>
  <c r="BY148" i="5"/>
  <c r="CJ209" i="5"/>
  <c r="BL27" i="5"/>
  <c r="CM17" i="5"/>
  <c r="BJ22" i="5"/>
  <c r="Q25" i="5"/>
  <c r="CE25" i="5"/>
  <c r="BY26" i="5"/>
  <c r="BS27" i="5"/>
  <c r="BY32" i="5"/>
  <c r="BJ34" i="5"/>
  <c r="BY36" i="5"/>
  <c r="BQ40" i="5"/>
  <c r="CM40" i="5"/>
  <c r="BQ42" i="5"/>
  <c r="BJ45" i="5"/>
  <c r="BJ46" i="5"/>
  <c r="CG46" i="5"/>
  <c r="Q47" i="5"/>
  <c r="CM47" i="5"/>
  <c r="CG48" i="5"/>
  <c r="BQ49" i="5"/>
  <c r="BQ53" i="5"/>
  <c r="BM54" i="5"/>
  <c r="BM56" i="5"/>
  <c r="D56" i="5"/>
  <c r="CE69" i="5"/>
  <c r="CO70" i="5"/>
  <c r="CP71" i="5"/>
  <c r="BS73" i="5"/>
  <c r="CG75" i="5"/>
  <c r="CK81" i="5"/>
  <c r="CE85" i="5"/>
  <c r="Q85" i="5"/>
  <c r="CC85" i="5"/>
  <c r="CA85" i="5"/>
  <c r="BY85" i="5"/>
  <c r="BW85" i="5"/>
  <c r="BU85" i="5"/>
  <c r="CO85" i="5"/>
  <c r="BQ85" i="5"/>
  <c r="CI85" i="5"/>
  <c r="BL85" i="5"/>
  <c r="CM88" i="5"/>
  <c r="CM96" i="5"/>
  <c r="CG99" i="5"/>
  <c r="CG102" i="5"/>
  <c r="BJ104" i="5"/>
  <c r="CA114" i="5"/>
  <c r="CC117" i="5"/>
  <c r="CK119" i="5"/>
  <c r="A133" i="5"/>
  <c r="A134" i="5" s="1"/>
  <c r="A135" i="5" s="1"/>
  <c r="BW149" i="5"/>
  <c r="BU149" i="5"/>
  <c r="BS149" i="5"/>
  <c r="CO149" i="5"/>
  <c r="BQ149" i="5"/>
  <c r="CM149" i="5"/>
  <c r="CK149" i="5"/>
  <c r="CG149" i="5"/>
  <c r="BL149" i="5"/>
  <c r="Q149" i="5"/>
  <c r="CI149" i="5"/>
  <c r="CE149" i="5"/>
  <c r="CC149" i="5"/>
  <c r="BY149" i="5"/>
  <c r="G196" i="5"/>
  <c r="O196" i="5" s="1"/>
  <c r="O197" i="5"/>
  <c r="BQ17" i="5"/>
  <c r="CO17" i="5"/>
  <c r="CG25" i="5"/>
  <c r="BU27" i="5"/>
  <c r="BS40" i="5"/>
  <c r="BS42" i="5"/>
  <c r="BL46" i="5"/>
  <c r="CI46" i="5"/>
  <c r="BJ47" i="5"/>
  <c r="CO47" i="5"/>
  <c r="CK48" i="5"/>
  <c r="BW49" i="5"/>
  <c r="BY53" i="5"/>
  <c r="BL55" i="5"/>
  <c r="BR66" i="5"/>
  <c r="CG73" i="5"/>
  <c r="CK75" i="5"/>
  <c r="CM81" i="5"/>
  <c r="BJ86" i="5"/>
  <c r="CP88" i="5"/>
  <c r="D90" i="5"/>
  <c r="BM90" i="5"/>
  <c r="BJ90" i="5"/>
  <c r="F91" i="5"/>
  <c r="O92" i="5"/>
  <c r="F92" i="5"/>
  <c r="CP96" i="5"/>
  <c r="CK99" i="5"/>
  <c r="CK102" i="5"/>
  <c r="BM104" i="5"/>
  <c r="BW105" i="5"/>
  <c r="CE114" i="5"/>
  <c r="CO119" i="5"/>
  <c r="CQ122" i="5"/>
  <c r="CP122" i="5"/>
  <c r="CA124" i="5"/>
  <c r="CK130" i="5"/>
  <c r="CI130" i="5"/>
  <c r="CG130" i="5"/>
  <c r="CC130" i="5"/>
  <c r="CA130" i="5"/>
  <c r="BY130" i="5"/>
  <c r="BW130" i="5"/>
  <c r="BU130" i="5"/>
  <c r="BS130" i="5"/>
  <c r="BQ130" i="5"/>
  <c r="BL130" i="5"/>
  <c r="Q130" i="5"/>
  <c r="CM130" i="5"/>
  <c r="CD181" i="5"/>
  <c r="BL25" i="5"/>
  <c r="CB38" i="5"/>
  <c r="CN38" i="5"/>
  <c r="CN14" i="5" s="1"/>
  <c r="BU40" i="5"/>
  <c r="BL47" i="5"/>
  <c r="CM48" i="5"/>
  <c r="CE49" i="5"/>
  <c r="CC53" i="5"/>
  <c r="BM61" i="5"/>
  <c r="D61" i="5"/>
  <c r="D65" i="5"/>
  <c r="CK73" i="5"/>
  <c r="CP81" i="5"/>
  <c r="CM99" i="5"/>
  <c r="CM102" i="5"/>
  <c r="F108" i="5"/>
  <c r="O109" i="5"/>
  <c r="F109" i="5"/>
  <c r="CG114" i="5"/>
  <c r="CP119" i="5"/>
  <c r="CE124" i="5"/>
  <c r="CK133" i="5"/>
  <c r="CI133" i="5"/>
  <c r="BL133" i="5"/>
  <c r="CG133" i="5"/>
  <c r="CE133" i="5"/>
  <c r="Q133" i="5"/>
  <c r="CC133" i="5"/>
  <c r="CO133" i="5"/>
  <c r="CM133" i="5"/>
  <c r="CA133" i="5"/>
  <c r="BY133" i="5"/>
  <c r="BW133" i="5"/>
  <c r="BU133" i="5"/>
  <c r="BS133" i="5"/>
  <c r="BQ133" i="5"/>
  <c r="BR202" i="5"/>
  <c r="BJ49" i="5"/>
  <c r="CM72" i="5"/>
  <c r="CM79" i="5"/>
  <c r="CM83" i="5"/>
  <c r="CM97" i="5"/>
  <c r="BU129" i="5"/>
  <c r="BM130" i="5"/>
  <c r="BJ130" i="5"/>
  <c r="BM133" i="5"/>
  <c r="BJ133" i="5"/>
  <c r="E144" i="5"/>
  <c r="BN145" i="5"/>
  <c r="BM145" i="5"/>
  <c r="BW170" i="5"/>
  <c r="BQ170" i="5"/>
  <c r="CC170" i="5"/>
  <c r="CA170" i="5"/>
  <c r="BY170" i="5"/>
  <c r="BU170" i="5"/>
  <c r="BS170" i="5"/>
  <c r="CO170" i="5"/>
  <c r="CM170" i="5"/>
  <c r="BL170" i="5"/>
  <c r="CI170" i="5"/>
  <c r="Q170" i="5"/>
  <c r="CG170" i="5"/>
  <c r="CK134" i="5"/>
  <c r="CI134" i="5"/>
  <c r="BL134" i="5"/>
  <c r="CG134" i="5"/>
  <c r="CE134" i="5"/>
  <c r="Q134" i="5"/>
  <c r="CC134" i="5"/>
  <c r="CD145" i="5"/>
  <c r="CE150" i="5"/>
  <c r="F158" i="5"/>
  <c r="H155" i="5"/>
  <c r="BM172" i="5"/>
  <c r="BJ172" i="5"/>
  <c r="D172" i="5"/>
  <c r="CO172" i="5" s="1"/>
  <c r="CL173" i="5"/>
  <c r="CK173" i="5"/>
  <c r="CI178" i="5"/>
  <c r="BL178" i="5"/>
  <c r="CC178" i="5"/>
  <c r="CE178" i="5"/>
  <c r="CA178" i="5"/>
  <c r="BY178" i="5"/>
  <c r="BW178" i="5"/>
  <c r="BU178" i="5"/>
  <c r="BS178" i="5"/>
  <c r="CM178" i="5"/>
  <c r="CK178" i="5"/>
  <c r="Q178" i="5"/>
  <c r="CO183" i="5"/>
  <c r="BJ53" i="5"/>
  <c r="BU72" i="5"/>
  <c r="BU79" i="5"/>
  <c r="BU83" i="5"/>
  <c r="BU97" i="5"/>
  <c r="BQ121" i="5"/>
  <c r="CO121" i="5"/>
  <c r="CM122" i="5"/>
  <c r="CK123" i="5"/>
  <c r="BW132" i="5"/>
  <c r="BM134" i="5"/>
  <c r="BJ134" i="5"/>
  <c r="CQ140" i="5"/>
  <c r="CP140" i="5"/>
  <c r="CA146" i="5"/>
  <c r="CA147" i="5"/>
  <c r="CF150" i="5"/>
  <c r="CD160" i="5"/>
  <c r="BQ162" i="5"/>
  <c r="BM170" i="5"/>
  <c r="BL173" i="5"/>
  <c r="CA173" i="5"/>
  <c r="BY173" i="5"/>
  <c r="BW173" i="5"/>
  <c r="BU173" i="5"/>
  <c r="BS173" i="5"/>
  <c r="CI173" i="5"/>
  <c r="Q173" i="5"/>
  <c r="BY182" i="5"/>
  <c r="BS182" i="5"/>
  <c r="CO182" i="5"/>
  <c r="BW182" i="5"/>
  <c r="CM182" i="5"/>
  <c r="BU182" i="5"/>
  <c r="BQ182" i="5"/>
  <c r="CC182" i="5"/>
  <c r="CP182" i="5"/>
  <c r="CO199" i="5"/>
  <c r="BS199" i="5"/>
  <c r="CM199" i="5"/>
  <c r="BQ199" i="5"/>
  <c r="CK199" i="5"/>
  <c r="CG199" i="5"/>
  <c r="CC199" i="5"/>
  <c r="CA199" i="5"/>
  <c r="BY199" i="5"/>
  <c r="BW199" i="5"/>
  <c r="BU199" i="5"/>
  <c r="Q199" i="5"/>
  <c r="CI199" i="5"/>
  <c r="CM206" i="5"/>
  <c r="CI206" i="5"/>
  <c r="D205" i="5"/>
  <c r="CK205" i="5" s="1"/>
  <c r="BP261" i="5"/>
  <c r="CK129" i="5"/>
  <c r="CG129" i="5"/>
  <c r="CC129" i="5"/>
  <c r="CE129" i="5"/>
  <c r="D143" i="5"/>
  <c r="BU143" i="5" s="1"/>
  <c r="F142" i="5"/>
  <c r="F180" i="5"/>
  <c r="BV180" i="5"/>
  <c r="BQ183" i="5"/>
  <c r="BL183" i="5"/>
  <c r="Q183" i="5"/>
  <c r="CM183" i="5"/>
  <c r="CF196" i="5"/>
  <c r="CM201" i="5"/>
  <c r="CK201" i="5"/>
  <c r="CI201" i="5"/>
  <c r="BL201" i="5"/>
  <c r="CG201" i="5"/>
  <c r="CC201" i="5"/>
  <c r="CO201" i="5"/>
  <c r="CE201" i="5"/>
  <c r="CA201" i="5"/>
  <c r="BY201" i="5"/>
  <c r="BW201" i="5"/>
  <c r="BS201" i="5"/>
  <c r="BQ201" i="5"/>
  <c r="Q201" i="5"/>
  <c r="D51" i="5"/>
  <c r="BS62" i="5"/>
  <c r="BP66" i="5"/>
  <c r="CB66" i="5"/>
  <c r="CN66" i="5"/>
  <c r="BY72" i="5"/>
  <c r="BY79" i="5"/>
  <c r="BY83" i="5"/>
  <c r="BY97" i="5"/>
  <c r="BM129" i="5"/>
  <c r="BJ129" i="5"/>
  <c r="CI129" i="5"/>
  <c r="CK131" i="5"/>
  <c r="CI131" i="5"/>
  <c r="BL131" i="5"/>
  <c r="CG131" i="5"/>
  <c r="CE131" i="5"/>
  <c r="Q131" i="5"/>
  <c r="CC131" i="5"/>
  <c r="CO150" i="5"/>
  <c r="BW150" i="5"/>
  <c r="CM150" i="5"/>
  <c r="BU150" i="5"/>
  <c r="CK150" i="5"/>
  <c r="BS150" i="5"/>
  <c r="BQ150" i="5"/>
  <c r="CI150" i="5"/>
  <c r="G154" i="5"/>
  <c r="CO157" i="5"/>
  <c r="BQ157" i="5"/>
  <c r="CM157" i="5"/>
  <c r="CK157" i="5"/>
  <c r="CI157" i="5"/>
  <c r="BL157" i="5"/>
  <c r="CG157" i="5"/>
  <c r="CE157" i="5"/>
  <c r="Q157" i="5"/>
  <c r="CA157" i="5"/>
  <c r="BW157" i="5"/>
  <c r="BU157" i="5"/>
  <c r="CL161" i="5"/>
  <c r="BV169" i="5"/>
  <c r="CE170" i="5"/>
  <c r="CL195" i="5"/>
  <c r="BR205" i="5"/>
  <c r="BS205" i="5" s="1"/>
  <c r="CA72" i="5"/>
  <c r="CA79" i="5"/>
  <c r="D80" i="5"/>
  <c r="CA83" i="5"/>
  <c r="D84" i="5"/>
  <c r="D94" i="5"/>
  <c r="D95" i="5"/>
  <c r="Q95" i="5" s="1"/>
  <c r="CA97" i="5"/>
  <c r="D98" i="5"/>
  <c r="BS103" i="5"/>
  <c r="D120" i="5"/>
  <c r="BW121" i="5"/>
  <c r="BU122" i="5"/>
  <c r="BS123" i="5"/>
  <c r="CM129" i="5"/>
  <c r="BM131" i="5"/>
  <c r="BJ131" i="5"/>
  <c r="CM132" i="5"/>
  <c r="BQ134" i="5"/>
  <c r="BM150" i="5"/>
  <c r="BJ150" i="5"/>
  <c r="BQ153" i="5"/>
  <c r="CM153" i="5"/>
  <c r="CK153" i="5"/>
  <c r="D160" i="5"/>
  <c r="CO160" i="5" s="1"/>
  <c r="CK164" i="5"/>
  <c r="CD169" i="5"/>
  <c r="CK170" i="5"/>
  <c r="CQ173" i="5"/>
  <c r="CP173" i="5"/>
  <c r="Q182" i="5"/>
  <c r="BM192" i="5"/>
  <c r="BJ192" i="5"/>
  <c r="D192" i="5"/>
  <c r="CE192" i="5" s="1"/>
  <c r="O214" i="5"/>
  <c r="G213" i="5"/>
  <c r="O213" i="5" s="1"/>
  <c r="CP219" i="5"/>
  <c r="CQ219" i="5"/>
  <c r="BZ230" i="5"/>
  <c r="BY230" i="5"/>
  <c r="BX229" i="5"/>
  <c r="CC72" i="5"/>
  <c r="CC79" i="5"/>
  <c r="CC83" i="5"/>
  <c r="CC97" i="5"/>
  <c r="BU103" i="5"/>
  <c r="BY121" i="5"/>
  <c r="Q129" i="5"/>
  <c r="CO129" i="5"/>
  <c r="BS134" i="5"/>
  <c r="CQ137" i="5"/>
  <c r="CP137" i="5"/>
  <c r="BJ143" i="5"/>
  <c r="BM149" i="5"/>
  <c r="BJ149" i="5"/>
  <c r="O155" i="5"/>
  <c r="CN164" i="5"/>
  <c r="CO164" i="5" s="1"/>
  <c r="CM164" i="5"/>
  <c r="CO167" i="5"/>
  <c r="BY172" i="5"/>
  <c r="BZ172" i="5"/>
  <c r="CA172" i="5" s="1"/>
  <c r="CQ177" i="5"/>
  <c r="CP177" i="5"/>
  <c r="BQ178" i="5"/>
  <c r="BL182" i="5"/>
  <c r="BV185" i="5"/>
  <c r="CE199" i="5"/>
  <c r="BU201" i="5"/>
  <c r="Q79" i="5"/>
  <c r="CE79" i="5"/>
  <c r="Q83" i="5"/>
  <c r="CE83" i="5"/>
  <c r="BJ96" i="5"/>
  <c r="Q97" i="5"/>
  <c r="CE97" i="5"/>
  <c r="BJ110" i="5"/>
  <c r="CA121" i="5"/>
  <c r="BY122" i="5"/>
  <c r="BL129" i="5"/>
  <c r="CK132" i="5"/>
  <c r="CI132" i="5"/>
  <c r="BL132" i="5"/>
  <c r="CG132" i="5"/>
  <c r="CE132" i="5"/>
  <c r="Q132" i="5"/>
  <c r="CC132" i="5"/>
  <c r="BU134" i="5"/>
  <c r="BW146" i="5"/>
  <c r="BU146" i="5"/>
  <c r="BS146" i="5"/>
  <c r="CO146" i="5"/>
  <c r="BQ146" i="5"/>
  <c r="CM146" i="5"/>
  <c r="CK146" i="5"/>
  <c r="CG146" i="5"/>
  <c r="BW147" i="5"/>
  <c r="BU147" i="5"/>
  <c r="BS147" i="5"/>
  <c r="CO147" i="5"/>
  <c r="BQ147" i="5"/>
  <c r="CM147" i="5"/>
  <c r="CK147" i="5"/>
  <c r="CG147" i="5"/>
  <c r="BM148" i="5"/>
  <c r="BJ148" i="5"/>
  <c r="Q150" i="5"/>
  <c r="BQ151" i="5"/>
  <c r="CE151" i="5"/>
  <c r="CO152" i="5"/>
  <c r="BQ152" i="5"/>
  <c r="CM152" i="5"/>
  <c r="CK152" i="5"/>
  <c r="CI152" i="5"/>
  <c r="BL152" i="5"/>
  <c r="CG152" i="5"/>
  <c r="CE152" i="5"/>
  <c r="Q152" i="5"/>
  <c r="CA152" i="5"/>
  <c r="BU152" i="5"/>
  <c r="BM161" i="5"/>
  <c r="BJ161" i="5"/>
  <c r="D161" i="5"/>
  <c r="CK161" i="5" s="1"/>
  <c r="CE162" i="5"/>
  <c r="Q162" i="5"/>
  <c r="CA162" i="5"/>
  <c r="CO162" i="5"/>
  <c r="BY162" i="5"/>
  <c r="BW162" i="5"/>
  <c r="BS162" i="5"/>
  <c r="CI162" i="5"/>
  <c r="CK162" i="5"/>
  <c r="CQ167" i="5"/>
  <c r="BQ173" i="5"/>
  <c r="CG178" i="5"/>
  <c r="BZ189" i="5"/>
  <c r="BJ195" i="5"/>
  <c r="D195" i="5"/>
  <c r="CK195" i="5" s="1"/>
  <c r="BM195" i="5"/>
  <c r="CP205" i="5"/>
  <c r="CQ208" i="5"/>
  <c r="CP208" i="5"/>
  <c r="CP64" i="5"/>
  <c r="CG72" i="5"/>
  <c r="CG79" i="5"/>
  <c r="CG83" i="5"/>
  <c r="CG97" i="5"/>
  <c r="BY103" i="5"/>
  <c r="CC121" i="5"/>
  <c r="CA122" i="5"/>
  <c r="BY123" i="5"/>
  <c r="F128" i="5"/>
  <c r="BQ131" i="5"/>
  <c r="BM132" i="5"/>
  <c r="BJ132" i="5"/>
  <c r="BW134" i="5"/>
  <c r="BM143" i="5"/>
  <c r="BM146" i="5"/>
  <c r="BJ146" i="5"/>
  <c r="BM147" i="5"/>
  <c r="BJ147" i="5"/>
  <c r="BL150" i="5"/>
  <c r="BS157" i="5"/>
  <c r="CJ158" i="5"/>
  <c r="BM160" i="5"/>
  <c r="CM162" i="5"/>
  <c r="CM163" i="5"/>
  <c r="BY167" i="5"/>
  <c r="BW167" i="5"/>
  <c r="BU167" i="5"/>
  <c r="CM167" i="5"/>
  <c r="BS167" i="5"/>
  <c r="CK167" i="5"/>
  <c r="BQ167" i="5"/>
  <c r="CI167" i="5"/>
  <c r="BL167" i="5"/>
  <c r="CC167" i="5"/>
  <c r="Q167" i="5"/>
  <c r="BM168" i="5"/>
  <c r="BJ168" i="5"/>
  <c r="D168" i="5"/>
  <c r="CM168" i="5" s="1"/>
  <c r="CO178" i="5"/>
  <c r="BR155" i="5"/>
  <c r="BT183" i="5"/>
  <c r="BT155" i="5" s="1"/>
  <c r="BS183" i="5"/>
  <c r="A200" i="5"/>
  <c r="A201" i="5" s="1"/>
  <c r="CQ202" i="5"/>
  <c r="CC206" i="5"/>
  <c r="CL234" i="5"/>
  <c r="CM235" i="5"/>
  <c r="BL72" i="5"/>
  <c r="BL79" i="5"/>
  <c r="BL83" i="5"/>
  <c r="BL97" i="5"/>
  <c r="Q121" i="5"/>
  <c r="BQ129" i="5"/>
  <c r="BS131" i="5"/>
  <c r="BY134" i="5"/>
  <c r="BY157" i="5"/>
  <c r="CN168" i="5"/>
  <c r="CC173" i="5"/>
  <c r="CA182" i="5"/>
  <c r="CB184" i="5"/>
  <c r="BS194" i="5"/>
  <c r="BQ194" i="5"/>
  <c r="BL194" i="5"/>
  <c r="BS198" i="5"/>
  <c r="CO198" i="5"/>
  <c r="BQ198" i="5"/>
  <c r="CM198" i="5"/>
  <c r="CK198" i="5"/>
  <c r="CG198" i="5"/>
  <c r="CI198" i="5"/>
  <c r="CE198" i="5"/>
  <c r="CC198" i="5"/>
  <c r="CA198" i="5"/>
  <c r="BY198" i="5"/>
  <c r="BU198" i="5"/>
  <c r="BL198" i="5"/>
  <c r="Q198" i="5"/>
  <c r="CO282" i="5"/>
  <c r="CL248" i="5"/>
  <c r="BY303" i="5"/>
  <c r="CE173" i="5"/>
  <c r="D177" i="5"/>
  <c r="CP204" i="5"/>
  <c r="CQ237" i="5"/>
  <c r="CP237" i="5"/>
  <c r="BL260" i="5"/>
  <c r="D259" i="5"/>
  <c r="CO259" i="5" s="1"/>
  <c r="Q260" i="5"/>
  <c r="CI380" i="5"/>
  <c r="CH378" i="5"/>
  <c r="BZ194" i="5"/>
  <c r="CJ194" i="5"/>
  <c r="BX194" i="5"/>
  <c r="CB194" i="5"/>
  <c r="BM199" i="5"/>
  <c r="BJ199" i="5"/>
  <c r="CO206" i="5"/>
  <c r="CN205" i="5"/>
  <c r="O210" i="5"/>
  <c r="G209" i="5"/>
  <c r="O209" i="5" s="1"/>
  <c r="D234" i="5"/>
  <c r="CC234" i="5" s="1"/>
  <c r="BS235" i="5"/>
  <c r="CE235" i="5"/>
  <c r="BQ235" i="5"/>
  <c r="CC235" i="5"/>
  <c r="CO235" i="5"/>
  <c r="Q235" i="5"/>
  <c r="BN245" i="5"/>
  <c r="Q264" i="5"/>
  <c r="D262" i="5"/>
  <c r="BQ262" i="5" s="1"/>
  <c r="CH275" i="5"/>
  <c r="CI275" i="5" s="1"/>
  <c r="CI276" i="5"/>
  <c r="BM218" i="5"/>
  <c r="BJ218" i="5"/>
  <c r="CQ239" i="5"/>
  <c r="CP239" i="5"/>
  <c r="CK276" i="5"/>
  <c r="CH292" i="5"/>
  <c r="BJ182" i="5"/>
  <c r="CD194" i="5"/>
  <c r="CE194" i="5" s="1"/>
  <c r="CA206" i="5"/>
  <c r="BX210" i="5"/>
  <c r="CL233" i="5"/>
  <c r="BW314" i="5"/>
  <c r="CQ310" i="5"/>
  <c r="CP310" i="5"/>
  <c r="D156" i="5"/>
  <c r="D179" i="5"/>
  <c r="Q179" i="5" s="1"/>
  <c r="BW181" i="5"/>
  <c r="CF194" i="5"/>
  <c r="CG194" i="5" s="1"/>
  <c r="D200" i="5"/>
  <c r="D197" i="5" s="1"/>
  <c r="CO197" i="5" s="1"/>
  <c r="BJ202" i="5"/>
  <c r="BY205" i="5"/>
  <c r="BT209" i="5"/>
  <c r="BJ226" i="5"/>
  <c r="BM226" i="5"/>
  <c r="F224" i="5"/>
  <c r="BJ224" i="5" s="1"/>
  <c r="BL275" i="5"/>
  <c r="CG283" i="5"/>
  <c r="BQ283" i="5"/>
  <c r="Q283" i="5"/>
  <c r="BS283" i="5"/>
  <c r="BL283" i="5"/>
  <c r="BQ306" i="5"/>
  <c r="BL306" i="5"/>
  <c r="BS306" i="5"/>
  <c r="Q306" i="5"/>
  <c r="BJ151" i="5"/>
  <c r="BJ152" i="5"/>
  <c r="BJ153" i="5"/>
  <c r="BJ157" i="5"/>
  <c r="BJ164" i="5"/>
  <c r="BQ189" i="5"/>
  <c r="Q189" i="5"/>
  <c r="BW190" i="5"/>
  <c r="BS190" i="5"/>
  <c r="CC190" i="5"/>
  <c r="BM194" i="5"/>
  <c r="CH194" i="5"/>
  <c r="CP200" i="5"/>
  <c r="BW205" i="5"/>
  <c r="BV209" i="5"/>
  <c r="D216" i="5"/>
  <c r="BQ216" i="5" s="1"/>
  <c r="Q217" i="5"/>
  <c r="BQ217" i="5"/>
  <c r="BL217" i="5"/>
  <c r="CN254" i="5"/>
  <c r="CE175" i="5"/>
  <c r="Q175" i="5"/>
  <c r="BY175" i="5"/>
  <c r="CG175" i="5"/>
  <c r="D191" i="5"/>
  <c r="Q191" i="5" s="1"/>
  <c r="CF192" i="5"/>
  <c r="CI195" i="5"/>
  <c r="BM217" i="5"/>
  <c r="F216" i="5"/>
  <c r="BM216" i="5" s="1"/>
  <c r="BJ217" i="5"/>
  <c r="BZ165" i="5"/>
  <c r="BJ179" i="5"/>
  <c r="BM183" i="5"/>
  <c r="F188" i="5"/>
  <c r="H185" i="5"/>
  <c r="CE190" i="5"/>
  <c r="BJ200" i="5"/>
  <c r="CP203" i="5"/>
  <c r="BW235" i="5"/>
  <c r="BW244" i="5"/>
  <c r="BU244" i="5"/>
  <c r="BS244" i="5"/>
  <c r="CO244" i="5"/>
  <c r="BQ244" i="5"/>
  <c r="CM244" i="5"/>
  <c r="CK244" i="5"/>
  <c r="CC244" i="5"/>
  <c r="CG244" i="5"/>
  <c r="CE244" i="5"/>
  <c r="CA244" i="5"/>
  <c r="BY244" i="5"/>
  <c r="BL244" i="5"/>
  <c r="Q244" i="5"/>
  <c r="CG285" i="5"/>
  <c r="CE285" i="5"/>
  <c r="Q285" i="5"/>
  <c r="D284" i="5"/>
  <c r="BW285" i="5"/>
  <c r="BU285" i="5"/>
  <c r="BS285" i="5"/>
  <c r="CO285" i="5"/>
  <c r="BY285" i="5"/>
  <c r="BQ285" i="5"/>
  <c r="BL285" i="5"/>
  <c r="CI285" i="5"/>
  <c r="CM285" i="5"/>
  <c r="CK285" i="5"/>
  <c r="CC285" i="5"/>
  <c r="CA285" i="5"/>
  <c r="BJ175" i="5"/>
  <c r="CP181" i="5"/>
  <c r="D184" i="5"/>
  <c r="CA184" i="5" s="1"/>
  <c r="D187" i="5"/>
  <c r="CO187" i="5" s="1"/>
  <c r="Q190" i="5"/>
  <c r="CQ233" i="5"/>
  <c r="CP233" i="5"/>
  <c r="BY235" i="5"/>
  <c r="CF253" i="5"/>
  <c r="CG306" i="5"/>
  <c r="A148" i="5"/>
  <c r="A149" i="5" s="1"/>
  <c r="F197" i="5"/>
  <c r="BM198" i="5"/>
  <c r="BJ198" i="5"/>
  <c r="BM201" i="5"/>
  <c r="BJ201" i="5"/>
  <c r="CM205" i="5"/>
  <c r="BU206" i="5"/>
  <c r="CK206" i="5"/>
  <c r="CO207" i="5"/>
  <c r="BM229" i="5"/>
  <c r="BJ232" i="5"/>
  <c r="BJ235" i="5"/>
  <c r="CQ246" i="5"/>
  <c r="CP246" i="5"/>
  <c r="BT255" i="5"/>
  <c r="CO262" i="5"/>
  <c r="CH283" i="5"/>
  <c r="CI283" i="5" s="1"/>
  <c r="BT283" i="5"/>
  <c r="BU283" i="5" s="1"/>
  <c r="CD283" i="5"/>
  <c r="CE283" i="5" s="1"/>
  <c r="BM283" i="5"/>
  <c r="CB283" i="5"/>
  <c r="CC283" i="5" s="1"/>
  <c r="BJ283" i="5"/>
  <c r="BX283" i="5"/>
  <c r="BV283" i="5"/>
  <c r="BW283" i="5" s="1"/>
  <c r="CN283" i="5"/>
  <c r="CO283" i="5" s="1"/>
  <c r="CJ283" i="5"/>
  <c r="CK283" i="5" s="1"/>
  <c r="BL297" i="5"/>
  <c r="Q297" i="5"/>
  <c r="BU297" i="5"/>
  <c r="BS297" i="5"/>
  <c r="BW297" i="5"/>
  <c r="D295" i="5"/>
  <c r="BU295" i="5" s="1"/>
  <c r="CE314" i="5"/>
  <c r="CK323" i="5"/>
  <c r="D204" i="5"/>
  <c r="BW206" i="5"/>
  <c r="CP207" i="5"/>
  <c r="CP212" i="5"/>
  <c r="O218" i="5"/>
  <c r="O219" i="5"/>
  <c r="BY223" i="5"/>
  <c r="BW223" i="5"/>
  <c r="BQ223" i="5"/>
  <c r="Q223" i="5"/>
  <c r="G224" i="5"/>
  <c r="A232" i="5"/>
  <c r="A233" i="5" s="1"/>
  <c r="BM234" i="5"/>
  <c r="BL235" i="5"/>
  <c r="CA235" i="5"/>
  <c r="CP240" i="5"/>
  <c r="CQ241" i="5"/>
  <c r="BM243" i="5"/>
  <c r="F242" i="5"/>
  <c r="BJ242" i="5" s="1"/>
  <c r="BJ243" i="5"/>
  <c r="D243" i="5"/>
  <c r="BV255" i="5"/>
  <c r="CP268" i="5"/>
  <c r="BJ274" i="5"/>
  <c r="BM274" i="5"/>
  <c r="D274" i="5"/>
  <c r="CM274" i="5" s="1"/>
  <c r="CM276" i="5"/>
  <c r="D281" i="5"/>
  <c r="CG282" i="5"/>
  <c r="BQ282" i="5"/>
  <c r="Q282" i="5"/>
  <c r="CL306" i="5"/>
  <c r="CM306" i="5" s="1"/>
  <c r="BU330" i="5"/>
  <c r="BS330" i="5"/>
  <c r="BQ330" i="5"/>
  <c r="CM330" i="5"/>
  <c r="BW330" i="5"/>
  <c r="BL330" i="5"/>
  <c r="CC330" i="5"/>
  <c r="CA330" i="5"/>
  <c r="BY330" i="5"/>
  <c r="Q330" i="5"/>
  <c r="CK330" i="5"/>
  <c r="CI330" i="5"/>
  <c r="D328" i="5"/>
  <c r="BY328" i="5" s="1"/>
  <c r="CG330" i="5"/>
  <c r="CE330" i="5"/>
  <c r="BW354" i="5"/>
  <c r="CB358" i="5"/>
  <c r="BY206" i="5"/>
  <c r="BQ207" i="5"/>
  <c r="CN209" i="5"/>
  <c r="BJ227" i="5"/>
  <c r="D227" i="5"/>
  <c r="BM232" i="5"/>
  <c r="CH232" i="5"/>
  <c r="BM235" i="5"/>
  <c r="A245" i="5"/>
  <c r="CH248" i="5"/>
  <c r="BJ249" i="5"/>
  <c r="CA250" i="5"/>
  <c r="BY250" i="5"/>
  <c r="BW250" i="5"/>
  <c r="BU250" i="5"/>
  <c r="BS250" i="5"/>
  <c r="BQ250" i="5"/>
  <c r="CG250" i="5"/>
  <c r="CO250" i="5"/>
  <c r="BX255" i="5"/>
  <c r="CQ264" i="5"/>
  <c r="CP264" i="5"/>
  <c r="BZ292" i="5"/>
  <c r="CQ300" i="5"/>
  <c r="CP300" i="5"/>
  <c r="BM396" i="5"/>
  <c r="BN396" i="5"/>
  <c r="BS207" i="5"/>
  <c r="BM222" i="5"/>
  <c r="BL225" i="5"/>
  <c r="H221" i="5"/>
  <c r="BY251" i="5"/>
  <c r="CO251" i="5"/>
  <c r="BS251" i="5"/>
  <c r="CE251" i="5"/>
  <c r="CC251" i="5"/>
  <c r="CA251" i="5"/>
  <c r="BW251" i="5"/>
  <c r="BU251" i="5"/>
  <c r="BQ251" i="5"/>
  <c r="CA262" i="5"/>
  <c r="BM267" i="5"/>
  <c r="BJ267" i="5"/>
  <c r="BW268" i="5"/>
  <c r="BU268" i="5"/>
  <c r="CM268" i="5"/>
  <c r="CC268" i="5"/>
  <c r="D267" i="5"/>
  <c r="CA268" i="5"/>
  <c r="BY268" i="5"/>
  <c r="BS268" i="5"/>
  <c r="BQ268" i="5"/>
  <c r="CI268" i="5"/>
  <c r="Q268" i="5"/>
  <c r="BT275" i="5"/>
  <c r="BU275" i="5" s="1"/>
  <c r="BZ283" i="5"/>
  <c r="CA283" i="5" s="1"/>
  <c r="BQ297" i="5"/>
  <c r="BW335" i="5"/>
  <c r="CQ473" i="5"/>
  <c r="CP473" i="5"/>
  <c r="BZ205" i="5"/>
  <c r="CA205" i="5" s="1"/>
  <c r="BU207" i="5"/>
  <c r="BY208" i="5"/>
  <c r="BW208" i="5"/>
  <c r="CE208" i="5"/>
  <c r="CC208" i="5"/>
  <c r="D215" i="5"/>
  <c r="BL222" i="5"/>
  <c r="BN225" i="5"/>
  <c r="BP225" i="5" s="1"/>
  <c r="BQ225" i="5" s="1"/>
  <c r="BR225" i="5" s="1"/>
  <c r="BS225" i="5" s="1"/>
  <c r="BT225" i="5" s="1"/>
  <c r="BU225" i="5" s="1"/>
  <c r="BV225" i="5" s="1"/>
  <c r="BW225" i="5" s="1"/>
  <c r="BX225" i="5" s="1"/>
  <c r="BY225" i="5" s="1"/>
  <c r="BZ225" i="5" s="1"/>
  <c r="CA225" i="5" s="1"/>
  <c r="CB225" i="5" s="1"/>
  <c r="CC225" i="5" s="1"/>
  <c r="CD225" i="5" s="1"/>
  <c r="CE225" i="5" s="1"/>
  <c r="CF225" i="5" s="1"/>
  <c r="CG225" i="5" s="1"/>
  <c r="CH225" i="5" s="1"/>
  <c r="CI225" i="5" s="1"/>
  <c r="CJ225" i="5" s="1"/>
  <c r="CK225" i="5" s="1"/>
  <c r="CL225" i="5" s="1"/>
  <c r="CM225" i="5" s="1"/>
  <c r="CN225" i="5" s="1"/>
  <c r="CO225" i="5" s="1"/>
  <c r="BM227" i="5"/>
  <c r="CM236" i="5"/>
  <c r="CK236" i="5"/>
  <c r="CE236" i="5"/>
  <c r="Q236" i="5"/>
  <c r="BU236" i="5"/>
  <c r="CI236" i="5"/>
  <c r="Q250" i="5"/>
  <c r="BZ255" i="5"/>
  <c r="CQ256" i="5"/>
  <c r="CE259" i="5"/>
  <c r="CP260" i="5"/>
  <c r="CB258" i="5"/>
  <c r="CE279" i="5"/>
  <c r="Q279" i="5"/>
  <c r="CC279" i="5"/>
  <c r="CO279" i="5"/>
  <c r="CM279" i="5"/>
  <c r="BL279" i="5"/>
  <c r="CI279" i="5"/>
  <c r="BS279" i="5"/>
  <c r="BQ279" i="5"/>
  <c r="BY279" i="5"/>
  <c r="BL282" i="5"/>
  <c r="CG284" i="5"/>
  <c r="BJ204" i="5"/>
  <c r="BL206" i="5"/>
  <c r="CB209" i="5"/>
  <c r="CD211" i="5"/>
  <c r="BS217" i="5"/>
  <c r="BR216" i="5"/>
  <c r="BN222" i="5"/>
  <c r="CJ255" i="5"/>
  <c r="BL257" i="5"/>
  <c r="BS257" i="5"/>
  <c r="BQ257" i="5"/>
  <c r="CC257" i="5"/>
  <c r="CF258" i="5"/>
  <c r="CG259" i="5"/>
  <c r="CQ271" i="5"/>
  <c r="CP271" i="5"/>
  <c r="CG275" i="5"/>
  <c r="BX296" i="5"/>
  <c r="BW296" i="5"/>
  <c r="BZ297" i="5"/>
  <c r="BY297" i="5"/>
  <c r="BJ299" i="5"/>
  <c r="D299" i="5"/>
  <c r="A306" i="5"/>
  <c r="A307" i="5" s="1"/>
  <c r="CD315" i="5"/>
  <c r="CB315" i="5"/>
  <c r="BM315" i="5"/>
  <c r="CN315" i="5"/>
  <c r="BV315" i="5"/>
  <c r="CL315" i="5"/>
  <c r="BT315" i="5"/>
  <c r="CJ315" i="5"/>
  <c r="BJ315" i="5"/>
  <c r="BZ315" i="5"/>
  <c r="F313" i="5"/>
  <c r="BM313" i="5" s="1"/>
  <c r="D315" i="5"/>
  <c r="CB205" i="5"/>
  <c r="CC205" i="5" s="1"/>
  <c r="BM206" i="5"/>
  <c r="BW207" i="5"/>
  <c r="F211" i="5"/>
  <c r="F210" i="5" s="1"/>
  <c r="F209" i="5" s="1"/>
  <c r="BJ209" i="5" s="1"/>
  <c r="D212" i="5"/>
  <c r="CE212" i="5" s="1"/>
  <c r="BT217" i="5"/>
  <c r="O229" i="5"/>
  <c r="BT228" i="5"/>
  <c r="CG235" i="5"/>
  <c r="BL250" i="5"/>
  <c r="CE257" i="5"/>
  <c r="CD261" i="5"/>
  <c r="CE262" i="5"/>
  <c r="BU270" i="5"/>
  <c r="CI270" i="5"/>
  <c r="Q270" i="5"/>
  <c r="BQ270" i="5"/>
  <c r="CL283" i="5"/>
  <c r="CM283" i="5" s="1"/>
  <c r="CD289" i="5"/>
  <c r="CD300" i="5"/>
  <c r="CC300" i="5"/>
  <c r="CE205" i="5"/>
  <c r="CA207" i="5"/>
  <c r="BY207" i="5"/>
  <c r="CG207" i="5"/>
  <c r="BL207" i="5"/>
  <c r="CC207" i="5"/>
  <c r="O239" i="5"/>
  <c r="CQ250" i="5"/>
  <c r="CP250" i="5"/>
  <c r="CP265" i="5"/>
  <c r="CQ265" i="5"/>
  <c r="CP273" i="5"/>
  <c r="CQ299" i="5"/>
  <c r="CP299" i="5"/>
  <c r="CD306" i="5"/>
  <c r="CE306" i="5" s="1"/>
  <c r="CB306" i="5"/>
  <c r="CC306" i="5" s="1"/>
  <c r="BM306" i="5"/>
  <c r="CN306" i="5"/>
  <c r="CO306" i="5" s="1"/>
  <c r="BZ306" i="5"/>
  <c r="CA306" i="5" s="1"/>
  <c r="BJ306" i="5"/>
  <c r="F302" i="5"/>
  <c r="BV306" i="5"/>
  <c r="CJ306" i="5"/>
  <c r="CK306" i="5" s="1"/>
  <c r="BX306" i="5"/>
  <c r="BY306" i="5" s="1"/>
  <c r="BT306" i="5"/>
  <c r="BU306" i="5" s="1"/>
  <c r="CH306" i="5"/>
  <c r="CI306" i="5" s="1"/>
  <c r="BL320" i="5"/>
  <c r="Q320" i="5"/>
  <c r="CP362" i="5"/>
  <c r="CE206" i="5"/>
  <c r="CE207" i="5"/>
  <c r="BP209" i="5"/>
  <c r="BZ222" i="5"/>
  <c r="CA222" i="5" s="1"/>
  <c r="CB223" i="5"/>
  <c r="D232" i="5"/>
  <c r="CG232" i="5" s="1"/>
  <c r="BU235" i="5"/>
  <c r="CI235" i="5"/>
  <c r="BN254" i="5"/>
  <c r="D255" i="5"/>
  <c r="CO255" i="5" s="1"/>
  <c r="CQ259" i="5"/>
  <c r="CP259" i="5"/>
  <c r="BR258" i="5"/>
  <c r="BS259" i="5"/>
  <c r="CH258" i="5"/>
  <c r="BJ278" i="5"/>
  <c r="BM278" i="5"/>
  <c r="CQ308" i="5"/>
  <c r="CP308" i="5"/>
  <c r="BJ310" i="5"/>
  <c r="D312" i="5"/>
  <c r="BJ312" i="5"/>
  <c r="BM312" i="5"/>
  <c r="CH315" i="5"/>
  <c r="CB363" i="5"/>
  <c r="CG206" i="5"/>
  <c r="CI207" i="5"/>
  <c r="BJ212" i="5"/>
  <c r="E213" i="5"/>
  <c r="BJ233" i="5"/>
  <c r="D233" i="5"/>
  <c r="CK235" i="5"/>
  <c r="CH255" i="5"/>
  <c r="CD255" i="5"/>
  <c r="F254" i="5"/>
  <c r="BM255" i="5"/>
  <c r="CB255" i="5"/>
  <c r="BJ255" i="5"/>
  <c r="CL255" i="5"/>
  <c r="CM259" i="5"/>
  <c r="CA257" i="5"/>
  <c r="BM292" i="5"/>
  <c r="BJ292" i="5"/>
  <c r="BY323" i="5"/>
  <c r="CB324" i="5"/>
  <c r="CN324" i="5"/>
  <c r="CO324" i="5" s="1"/>
  <c r="BZ324" i="5"/>
  <c r="CL324" i="5"/>
  <c r="BV324" i="5"/>
  <c r="CJ324" i="5"/>
  <c r="BT324" i="5"/>
  <c r="CH324" i="5"/>
  <c r="BX324" i="5"/>
  <c r="BX322" i="5" s="1"/>
  <c r="BJ324" i="5"/>
  <c r="D324" i="5"/>
  <c r="CD324" i="5"/>
  <c r="CM328" i="5"/>
  <c r="BN343" i="5"/>
  <c r="BJ346" i="5"/>
  <c r="BX363" i="5"/>
  <c r="BY364" i="5"/>
  <c r="CE338" i="5"/>
  <c r="CC338" i="5"/>
  <c r="BL338" i="5"/>
  <c r="Q338" i="5"/>
  <c r="D337" i="5"/>
  <c r="BU338" i="5"/>
  <c r="BS338" i="5"/>
  <c r="BQ338" i="5"/>
  <c r="CO338" i="5"/>
  <c r="CM338" i="5"/>
  <c r="CG338" i="5"/>
  <c r="CB355" i="5"/>
  <c r="BM355" i="5"/>
  <c r="CN355" i="5"/>
  <c r="BZ355" i="5"/>
  <c r="BJ355" i="5"/>
  <c r="CL355" i="5"/>
  <c r="BT355" i="5"/>
  <c r="BT353" i="5" s="1"/>
  <c r="F353" i="5"/>
  <c r="BJ353" i="5" s="1"/>
  <c r="CJ355" i="5"/>
  <c r="CH355" i="5"/>
  <c r="BX355" i="5"/>
  <c r="D355" i="5"/>
  <c r="CG368" i="5"/>
  <c r="BS368" i="5"/>
  <c r="BQ368" i="5"/>
  <c r="CM368" i="5"/>
  <c r="BL368" i="5"/>
  <c r="BW368" i="5"/>
  <c r="Q368" i="5"/>
  <c r="BX378" i="5"/>
  <c r="BM400" i="5"/>
  <c r="D400" i="5"/>
  <c r="F399" i="5"/>
  <c r="BJ400" i="5"/>
  <c r="BZ363" i="5"/>
  <c r="BW370" i="5"/>
  <c r="CN414" i="5"/>
  <c r="BZ414" i="5"/>
  <c r="BZ412" i="5" s="1"/>
  <c r="BJ414" i="5"/>
  <c r="CL414" i="5"/>
  <c r="CJ414" i="5"/>
  <c r="BT414" i="5"/>
  <c r="BT412" i="5" s="1"/>
  <c r="CH414" i="5"/>
  <c r="D414" i="5"/>
  <c r="BX414" i="5"/>
  <c r="BV414" i="5"/>
  <c r="BM414" i="5"/>
  <c r="F412" i="5"/>
  <c r="BJ412" i="5" s="1"/>
  <c r="CD414" i="5"/>
  <c r="CD412" i="5" s="1"/>
  <c r="CB414" i="5"/>
  <c r="CI490" i="5"/>
  <c r="BL490" i="5"/>
  <c r="CC490" i="5"/>
  <c r="BQ490" i="5"/>
  <c r="CM490" i="5"/>
  <c r="CK490" i="5"/>
  <c r="Q490" i="5"/>
  <c r="BW490" i="5"/>
  <c r="BU490" i="5"/>
  <c r="CE490" i="5"/>
  <c r="CA490" i="5"/>
  <c r="CG490" i="5"/>
  <c r="BY490" i="5"/>
  <c r="BS490" i="5"/>
  <c r="CO490" i="5"/>
  <c r="CP270" i="5"/>
  <c r="BQ275" i="5"/>
  <c r="CQ279" i="5"/>
  <c r="BJ285" i="5"/>
  <c r="F284" i="5"/>
  <c r="BM284" i="5" s="1"/>
  <c r="BM285" i="5"/>
  <c r="CO335" i="5"/>
  <c r="BL345" i="5"/>
  <c r="BS345" i="5"/>
  <c r="BQ345" i="5"/>
  <c r="CG345" i="5"/>
  <c r="Q345" i="5"/>
  <c r="BV355" i="5"/>
  <c r="BW355" i="5" s="1"/>
  <c r="BV376" i="5"/>
  <c r="D376" i="5"/>
  <c r="CH376" i="5"/>
  <c r="BT376" i="5"/>
  <c r="CL376" i="5"/>
  <c r="CB376" i="5"/>
  <c r="BZ376" i="5"/>
  <c r="BX376" i="5"/>
  <c r="BM376" i="5"/>
  <c r="BJ376" i="5"/>
  <c r="F375" i="5"/>
  <c r="BJ375" i="5" s="1"/>
  <c r="CJ376" i="5"/>
  <c r="BU246" i="5"/>
  <c r="CA252" i="5"/>
  <c r="BU252" i="5"/>
  <c r="CG252" i="5"/>
  <c r="BJ259" i="5"/>
  <c r="F262" i="5"/>
  <c r="CG262" i="5"/>
  <c r="CK273" i="5"/>
  <c r="BS275" i="5"/>
  <c r="D280" i="5"/>
  <c r="D278" i="5" s="1"/>
  <c r="CG278" i="5" s="1"/>
  <c r="BZ282" i="5"/>
  <c r="D290" i="5"/>
  <c r="CI290" i="5" s="1"/>
  <c r="O302" i="5"/>
  <c r="O301" i="5" s="1"/>
  <c r="G301" i="5"/>
  <c r="CE303" i="5"/>
  <c r="BL314" i="5"/>
  <c r="Q314" i="5"/>
  <c r="CG314" i="5"/>
  <c r="BS314" i="5"/>
  <c r="CJ336" i="5"/>
  <c r="D336" i="5"/>
  <c r="BV336" i="5"/>
  <c r="CH336" i="5"/>
  <c r="BT336" i="5"/>
  <c r="BT334" i="5" s="1"/>
  <c r="CL336" i="5"/>
  <c r="CL334" i="5" s="1"/>
  <c r="BM336" i="5"/>
  <c r="CD336" i="5"/>
  <c r="BJ336" i="5"/>
  <c r="CN336" i="5"/>
  <c r="CB336" i="5"/>
  <c r="BZ336" i="5"/>
  <c r="BW338" i="5"/>
  <c r="BN349" i="5"/>
  <c r="BM349" i="5"/>
  <c r="CD355" i="5"/>
  <c r="CP378" i="5"/>
  <c r="CQ378" i="5"/>
  <c r="Q241" i="5"/>
  <c r="BM242" i="5"/>
  <c r="BW246" i="5"/>
  <c r="D247" i="5"/>
  <c r="Q252" i="5"/>
  <c r="CI252" i="5"/>
  <c r="CJ256" i="5"/>
  <c r="BX256" i="5"/>
  <c r="E261" i="5"/>
  <c r="BS262" i="5"/>
  <c r="F269" i="5"/>
  <c r="BJ270" i="5"/>
  <c r="BY271" i="5"/>
  <c r="BW271" i="5"/>
  <c r="CE271" i="5"/>
  <c r="CC271" i="5"/>
  <c r="BS271" i="5"/>
  <c r="CM271" i="5"/>
  <c r="BJ279" i="5"/>
  <c r="BT287" i="5"/>
  <c r="CB290" i="5"/>
  <c r="BM290" i="5"/>
  <c r="F289" i="5"/>
  <c r="BJ289" i="5" s="1"/>
  <c r="CN290" i="5"/>
  <c r="CL290" i="5"/>
  <c r="BX290" i="5"/>
  <c r="BV290" i="5"/>
  <c r="CJ290" i="5"/>
  <c r="BT290" i="5"/>
  <c r="CJ321" i="5"/>
  <c r="D321" i="5"/>
  <c r="CO321" i="5" s="1"/>
  <c r="BV321" i="5"/>
  <c r="CH321" i="5"/>
  <c r="BT321" i="5"/>
  <c r="BU321" i="5" s="1"/>
  <c r="CL321" i="5"/>
  <c r="CM321" i="5" s="1"/>
  <c r="BJ321" i="5"/>
  <c r="CD321" i="5"/>
  <c r="CB321" i="5"/>
  <c r="BX321" i="5"/>
  <c r="BX337" i="5"/>
  <c r="BZ338" i="5"/>
  <c r="BY338" i="5"/>
  <c r="CD371" i="5"/>
  <c r="CB371" i="5"/>
  <c r="BM371" i="5"/>
  <c r="BV371" i="5"/>
  <c r="BX371" i="5"/>
  <c r="BY371" i="5" s="1"/>
  <c r="CN371" i="5"/>
  <c r="BT371" i="5"/>
  <c r="CL371" i="5"/>
  <c r="CJ371" i="5"/>
  <c r="F369" i="5"/>
  <c r="BM369" i="5" s="1"/>
  <c r="CH371" i="5"/>
  <c r="CH369" i="5" s="1"/>
  <c r="BZ371" i="5"/>
  <c r="BJ371" i="5"/>
  <c r="D371" i="5"/>
  <c r="D369" i="5" s="1"/>
  <c r="CP244" i="5"/>
  <c r="BY246" i="5"/>
  <c r="BU262" i="5"/>
  <c r="CE273" i="5"/>
  <c r="Q273" i="5"/>
  <c r="CC273" i="5"/>
  <c r="CA273" i="5"/>
  <c r="BY273" i="5"/>
  <c r="BW273" i="5"/>
  <c r="BS273" i="5"/>
  <c r="CO273" i="5"/>
  <c r="CB282" i="5"/>
  <c r="BM282" i="5"/>
  <c r="BV282" i="5"/>
  <c r="F281" i="5"/>
  <c r="CJ282" i="5"/>
  <c r="BT282" i="5"/>
  <c r="CD282" i="5"/>
  <c r="CE291" i="5"/>
  <c r="CJ292" i="5"/>
  <c r="BM297" i="5"/>
  <c r="BJ297" i="5"/>
  <c r="F295" i="5"/>
  <c r="F294" i="5" s="1"/>
  <c r="BM294" i="5" s="1"/>
  <c r="BQ298" i="5"/>
  <c r="BL298" i="5"/>
  <c r="BU298" i="5"/>
  <c r="BW323" i="5"/>
  <c r="CQ324" i="5"/>
  <c r="CI338" i="5"/>
  <c r="BS356" i="5"/>
  <c r="Q356" i="5"/>
  <c r="BN359" i="5"/>
  <c r="BM359" i="5"/>
  <c r="CA368" i="5"/>
  <c r="CD376" i="5"/>
  <c r="CA380" i="5"/>
  <c r="CA246" i="5"/>
  <c r="G248" i="5"/>
  <c r="BL252" i="5"/>
  <c r="CM252" i="5"/>
  <c r="G258" i="5"/>
  <c r="BJ271" i="5"/>
  <c r="BM272" i="5"/>
  <c r="BL276" i="5"/>
  <c r="CE276" i="5"/>
  <c r="Q276" i="5"/>
  <c r="CA276" i="5"/>
  <c r="BM280" i="5"/>
  <c r="CH282" i="5"/>
  <c r="BJ290" i="5"/>
  <c r="BT291" i="5"/>
  <c r="BU291" i="5" s="1"/>
  <c r="CN291" i="5"/>
  <c r="BX291" i="5"/>
  <c r="CL291" i="5"/>
  <c r="BV291" i="5"/>
  <c r="CJ291" i="5"/>
  <c r="CH291" i="5"/>
  <c r="BM298" i="5"/>
  <c r="BJ298" i="5"/>
  <c r="BX336" i="5"/>
  <c r="BY336" i="5" s="1"/>
  <c r="CK338" i="5"/>
  <c r="BW345" i="5"/>
  <c r="BT356" i="5"/>
  <c r="CD356" i="5"/>
  <c r="CN356" i="5"/>
  <c r="BV356" i="5"/>
  <c r="CL356" i="5"/>
  <c r="CJ356" i="5"/>
  <c r="BM356" i="5"/>
  <c r="BX356" i="5"/>
  <c r="CB356" i="5"/>
  <c r="BM252" i="5"/>
  <c r="CO252" i="5"/>
  <c r="BJ256" i="5"/>
  <c r="CB256" i="5"/>
  <c r="BT261" i="5"/>
  <c r="BT258" i="5" s="1"/>
  <c r="BL271" i="5"/>
  <c r="BJ273" i="5"/>
  <c r="CL282" i="5"/>
  <c r="CD320" i="5"/>
  <c r="CB320" i="5"/>
  <c r="BM320" i="5"/>
  <c r="F319" i="5"/>
  <c r="CN320" i="5"/>
  <c r="BX320" i="5"/>
  <c r="CL320" i="5"/>
  <c r="BT320" i="5"/>
  <c r="CH320" i="5"/>
  <c r="BM325" i="5"/>
  <c r="BJ325" i="5"/>
  <c r="CC368" i="5"/>
  <c r="BN375" i="5"/>
  <c r="BM375" i="5"/>
  <c r="CN376" i="5"/>
  <c r="BY397" i="5"/>
  <c r="BX396" i="5"/>
  <c r="BV409" i="5"/>
  <c r="BW410" i="5"/>
  <c r="CB429" i="5"/>
  <c r="CC431" i="5"/>
  <c r="BJ313" i="5"/>
  <c r="CQ342" i="5"/>
  <c r="CP342" i="5"/>
  <c r="CB345" i="5"/>
  <c r="CC345" i="5" s="1"/>
  <c r="BM345" i="5"/>
  <c r="CN345" i="5"/>
  <c r="BZ345" i="5"/>
  <c r="CA345" i="5" s="1"/>
  <c r="BJ345" i="5"/>
  <c r="BT345" i="5"/>
  <c r="BU345" i="5" s="1"/>
  <c r="CJ345" i="5"/>
  <c r="CK345" i="5" s="1"/>
  <c r="CH345" i="5"/>
  <c r="CI345" i="5" s="1"/>
  <c r="F343" i="5"/>
  <c r="BJ343" i="5" s="1"/>
  <c r="CL366" i="5"/>
  <c r="BV372" i="5"/>
  <c r="CM374" i="5"/>
  <c r="CL372" i="5"/>
  <c r="BM404" i="5"/>
  <c r="BJ404" i="5"/>
  <c r="CQ311" i="5"/>
  <c r="CP311" i="5"/>
  <c r="BL374" i="5"/>
  <c r="CG374" i="5"/>
  <c r="Q374" i="5"/>
  <c r="D372" i="5"/>
  <c r="CB378" i="5"/>
  <c r="CC380" i="5"/>
  <c r="CL409" i="5"/>
  <c r="BU411" i="5"/>
  <c r="BT409" i="5"/>
  <c r="CB440" i="5"/>
  <c r="BV288" i="5"/>
  <c r="D288" i="5"/>
  <c r="CH288" i="5"/>
  <c r="CN288" i="5"/>
  <c r="BL305" i="5"/>
  <c r="Q305" i="5"/>
  <c r="BM330" i="5"/>
  <c r="BJ330" i="5"/>
  <c r="F328" i="5"/>
  <c r="BJ328" i="5" s="1"/>
  <c r="CD331" i="5"/>
  <c r="BY335" i="5"/>
  <c r="BV347" i="5"/>
  <c r="D347" i="5"/>
  <c r="CE347" i="5" s="1"/>
  <c r="CH347" i="5"/>
  <c r="BT347" i="5"/>
  <c r="CN347" i="5"/>
  <c r="CL347" i="5"/>
  <c r="BM347" i="5"/>
  <c r="CJ347" i="5"/>
  <c r="BW360" i="5"/>
  <c r="BS374" i="5"/>
  <c r="CH416" i="5"/>
  <c r="BT416" i="5"/>
  <c r="BM416" i="5"/>
  <c r="CD416" i="5"/>
  <c r="BJ416" i="5"/>
  <c r="CB416" i="5"/>
  <c r="D416" i="5"/>
  <c r="CL416" i="5"/>
  <c r="BV416" i="5"/>
  <c r="BZ416" i="5"/>
  <c r="BX416" i="5"/>
  <c r="CN416" i="5"/>
  <c r="F415" i="5"/>
  <c r="BJ415" i="5" s="1"/>
  <c r="BX257" i="5"/>
  <c r="BY257" i="5" s="1"/>
  <c r="BJ272" i="5"/>
  <c r="CB276" i="5"/>
  <c r="BM276" i="5"/>
  <c r="CN276" i="5"/>
  <c r="F275" i="5"/>
  <c r="BJ275" i="5" s="1"/>
  <c r="CL277" i="5"/>
  <c r="CM277" i="5" s="1"/>
  <c r="BZ288" i="5"/>
  <c r="BV293" i="5"/>
  <c r="CB305" i="5"/>
  <c r="CC305" i="5" s="1"/>
  <c r="BM305" i="5"/>
  <c r="CN305" i="5"/>
  <c r="BZ305" i="5"/>
  <c r="CA305" i="5" s="1"/>
  <c r="BJ305" i="5"/>
  <c r="CL305" i="5"/>
  <c r="CM305" i="5" s="1"/>
  <c r="BX305" i="5"/>
  <c r="BY305" i="5" s="1"/>
  <c r="CG305" i="5"/>
  <c r="CC314" i="5"/>
  <c r="BU317" i="5"/>
  <c r="CP333" i="5"/>
  <c r="BX345" i="5"/>
  <c r="BY345" i="5" s="1"/>
  <c r="BL365" i="5"/>
  <c r="CO368" i="5"/>
  <c r="CP381" i="5"/>
  <c r="BW420" i="5"/>
  <c r="CO420" i="5"/>
  <c r="BU420" i="5"/>
  <c r="BS420" i="5"/>
  <c r="BL420" i="5"/>
  <c r="CK420" i="5"/>
  <c r="Q420" i="5"/>
  <c r="CE420" i="5"/>
  <c r="CA420" i="5"/>
  <c r="BY420" i="5"/>
  <c r="CI420" i="5"/>
  <c r="CG420" i="5"/>
  <c r="CC420" i="5"/>
  <c r="BQ420" i="5"/>
  <c r="CG277" i="5"/>
  <c r="BS277" i="5"/>
  <c r="CK286" i="5"/>
  <c r="CI286" i="5"/>
  <c r="BL286" i="5"/>
  <c r="CE286" i="5"/>
  <c r="BJ288" i="5"/>
  <c r="CB288" i="5"/>
  <c r="BJ295" i="5"/>
  <c r="BW311" i="5"/>
  <c r="BU311" i="5"/>
  <c r="BS311" i="5"/>
  <c r="CO311" i="5"/>
  <c r="BQ311" i="5"/>
  <c r="CM311" i="5"/>
  <c r="CG311" i="5"/>
  <c r="BL323" i="5"/>
  <c r="D322" i="5"/>
  <c r="Q323" i="5"/>
  <c r="CF328" i="5"/>
  <c r="CG329" i="5"/>
  <c r="BM338" i="5"/>
  <c r="F337" i="5"/>
  <c r="BM337" i="5" s="1"/>
  <c r="BJ338" i="5"/>
  <c r="CD345" i="5"/>
  <c r="BJ347" i="5"/>
  <c r="BQ350" i="5"/>
  <c r="BW350" i="5"/>
  <c r="BU350" i="5"/>
  <c r="CI373" i="5"/>
  <c r="BS380" i="5"/>
  <c r="BQ380" i="5"/>
  <c r="BL380" i="5"/>
  <c r="Q380" i="5"/>
  <c r="BY391" i="5"/>
  <c r="BX390" i="5"/>
  <c r="CH447" i="5"/>
  <c r="BZ277" i="5"/>
  <c r="CA277" i="5" s="1"/>
  <c r="BN281" i="5"/>
  <c r="CG286" i="5"/>
  <c r="D293" i="5"/>
  <c r="BU293" i="5" s="1"/>
  <c r="BU300" i="5"/>
  <c r="BS300" i="5"/>
  <c r="BQ305" i="5"/>
  <c r="CJ305" i="5"/>
  <c r="CK305" i="5" s="1"/>
  <c r="D307" i="5"/>
  <c r="CO307" i="5" s="1"/>
  <c r="D310" i="5"/>
  <c r="CI311" i="5"/>
  <c r="CL323" i="5"/>
  <c r="CB323" i="5"/>
  <c r="BM323" i="5"/>
  <c r="F322" i="5"/>
  <c r="BM322" i="5" s="1"/>
  <c r="CN323" i="5"/>
  <c r="BZ323" i="5"/>
  <c r="BJ323" i="5"/>
  <c r="CG323" i="5"/>
  <c r="CB341" i="5"/>
  <c r="BM341" i="5"/>
  <c r="CN341" i="5"/>
  <c r="F340" i="5"/>
  <c r="BZ341" i="5"/>
  <c r="BJ341" i="5"/>
  <c r="CL341" i="5"/>
  <c r="CD341" i="5"/>
  <c r="D341" i="5"/>
  <c r="CK341" i="5" s="1"/>
  <c r="BX341" i="5"/>
  <c r="BV341" i="5"/>
  <c r="BM350" i="5"/>
  <c r="BJ350" i="5"/>
  <c r="Q354" i="5"/>
  <c r="BS354" i="5"/>
  <c r="BQ354" i="5"/>
  <c r="CG354" i="5"/>
  <c r="BL354" i="5"/>
  <c r="D359" i="5"/>
  <c r="BL359" i="5" s="1"/>
  <c r="BJ369" i="5"/>
  <c r="CF380" i="5"/>
  <c r="BT380" i="5"/>
  <c r="CD380" i="5"/>
  <c r="CL380" i="5"/>
  <c r="BV380" i="5"/>
  <c r="CJ380" i="5"/>
  <c r="BM380" i="5"/>
  <c r="BJ380" i="5"/>
  <c r="CN380" i="5"/>
  <c r="CO380" i="5" s="1"/>
  <c r="CE413" i="5"/>
  <c r="CJ416" i="5"/>
  <c r="Q277" i="5"/>
  <c r="Q286" i="5"/>
  <c r="CM286" i="5"/>
  <c r="BM288" i="5"/>
  <c r="CD288" i="5"/>
  <c r="CB293" i="5"/>
  <c r="BM293" i="5"/>
  <c r="CN293" i="5"/>
  <c r="CL293" i="5"/>
  <c r="O295" i="5"/>
  <c r="O294" i="5" s="1"/>
  <c r="BP301" i="5"/>
  <c r="BS305" i="5"/>
  <c r="BT307" i="5"/>
  <c r="CD307" i="5"/>
  <c r="CB307" i="5"/>
  <c r="BM307" i="5"/>
  <c r="CK311" i="5"/>
  <c r="BL316" i="5"/>
  <c r="CE317" i="5"/>
  <c r="Q317" i="5"/>
  <c r="CC317" i="5"/>
  <c r="CA317" i="5"/>
  <c r="BY317" i="5"/>
  <c r="BW317" i="5"/>
  <c r="CM317" i="5"/>
  <c r="CQ332" i="5"/>
  <c r="CP332" i="5"/>
  <c r="CL345" i="5"/>
  <c r="BX347" i="5"/>
  <c r="CF363" i="5"/>
  <c r="CG303" i="5"/>
  <c r="CJ314" i="5"/>
  <c r="CA318" i="5"/>
  <c r="CO330" i="5"/>
  <c r="BS335" i="5"/>
  <c r="BQ335" i="5"/>
  <c r="BW351" i="5"/>
  <c r="BU351" i="5"/>
  <c r="BS351" i="5"/>
  <c r="BQ351" i="5"/>
  <c r="CE364" i="5"/>
  <c r="BL364" i="5"/>
  <c r="CA364" i="5"/>
  <c r="Q364" i="5"/>
  <c r="BS364" i="5"/>
  <c r="CI364" i="5"/>
  <c r="BL370" i="5"/>
  <c r="Q370" i="5"/>
  <c r="BQ370" i="5"/>
  <c r="CP401" i="5"/>
  <c r="CQ401" i="5"/>
  <c r="BU303" i="5"/>
  <c r="CJ304" i="5"/>
  <c r="CK304" i="5" s="1"/>
  <c r="BX309" i="5"/>
  <c r="BY309" i="5" s="1"/>
  <c r="BX314" i="5"/>
  <c r="CC318" i="5"/>
  <c r="CK327" i="5"/>
  <c r="CD335" i="5"/>
  <c r="CB335" i="5"/>
  <c r="BM335" i="5"/>
  <c r="BZ335" i="5"/>
  <c r="D342" i="5"/>
  <c r="BM364" i="5"/>
  <c r="F363" i="5"/>
  <c r="BM363" i="5" s="1"/>
  <c r="BJ364" i="5"/>
  <c r="CJ364" i="5"/>
  <c r="D367" i="5"/>
  <c r="BY367" i="5" s="1"/>
  <c r="CN370" i="5"/>
  <c r="BZ370" i="5"/>
  <c r="BJ370" i="5"/>
  <c r="CL370" i="5"/>
  <c r="BX370" i="5"/>
  <c r="CD370" i="5"/>
  <c r="CG370" i="5"/>
  <c r="CA373" i="5"/>
  <c r="CD385" i="5"/>
  <c r="CB385" i="5"/>
  <c r="BM385" i="5"/>
  <c r="F384" i="5"/>
  <c r="BJ384" i="5" s="1"/>
  <c r="CN385" i="5"/>
  <c r="BV385" i="5"/>
  <c r="D385" i="5"/>
  <c r="CI385" i="5" s="1"/>
  <c r="BT385" i="5"/>
  <c r="CL385" i="5"/>
  <c r="BZ385" i="5"/>
  <c r="BS386" i="5"/>
  <c r="Q386" i="5"/>
  <c r="CG386" i="5"/>
  <c r="CD469" i="5"/>
  <c r="CL314" i="5"/>
  <c r="Q318" i="5"/>
  <c r="CE318" i="5"/>
  <c r="D334" i="5"/>
  <c r="CI339" i="5"/>
  <c r="BL339" i="5"/>
  <c r="CG339" i="5"/>
  <c r="CE339" i="5"/>
  <c r="Q339" i="5"/>
  <c r="CC339" i="5"/>
  <c r="CM339" i="5"/>
  <c r="BT342" i="5"/>
  <c r="CD342" i="5"/>
  <c r="Q351" i="5"/>
  <c r="CK351" i="5"/>
  <c r="O359" i="5"/>
  <c r="O358" i="5" s="1"/>
  <c r="G358" i="5"/>
  <c r="BW365" i="5"/>
  <c r="CB367" i="5"/>
  <c r="BM367" i="5"/>
  <c r="F366" i="5"/>
  <c r="BJ366" i="5" s="1"/>
  <c r="CN367" i="5"/>
  <c r="BZ367" i="5"/>
  <c r="BJ367" i="5"/>
  <c r="BT367" i="5"/>
  <c r="CB374" i="5"/>
  <c r="BM374" i="5"/>
  <c r="CN374" i="5"/>
  <c r="CO374" i="5" s="1"/>
  <c r="BZ374" i="5"/>
  <c r="CA374" i="5" s="1"/>
  <c r="BJ374" i="5"/>
  <c r="BT374" i="5"/>
  <c r="BU374" i="5" s="1"/>
  <c r="F372" i="5"/>
  <c r="BJ372" i="5" s="1"/>
  <c r="CH374" i="5"/>
  <c r="CO389" i="5"/>
  <c r="BR429" i="5"/>
  <c r="BW300" i="5"/>
  <c r="CJ303" i="5"/>
  <c r="CL304" i="5"/>
  <c r="BV308" i="5"/>
  <c r="BW308" i="5" s="1"/>
  <c r="BJ309" i="5"/>
  <c r="BZ309" i="5"/>
  <c r="CA309" i="5" s="1"/>
  <c r="BJ314" i="5"/>
  <c r="BZ314" i="5"/>
  <c r="CG318" i="5"/>
  <c r="BL327" i="5"/>
  <c r="CE327" i="5"/>
  <c r="BV332" i="5"/>
  <c r="D332" i="5"/>
  <c r="BY332" i="5" s="1"/>
  <c r="CH332" i="5"/>
  <c r="BT332" i="5"/>
  <c r="BN334" i="5"/>
  <c r="Q335" i="5"/>
  <c r="CG335" i="5"/>
  <c r="CB342" i="5"/>
  <c r="CM351" i="5"/>
  <c r="CI354" i="5"/>
  <c r="CH367" i="5"/>
  <c r="BM370" i="5"/>
  <c r="CP386" i="5"/>
  <c r="BS391" i="5"/>
  <c r="Q391" i="5"/>
  <c r="BQ391" i="5"/>
  <c r="CG391" i="5"/>
  <c r="BL391" i="5"/>
  <c r="BS419" i="5"/>
  <c r="CO419" i="5"/>
  <c r="BQ419" i="5"/>
  <c r="CM419" i="5"/>
  <c r="CA419" i="5"/>
  <c r="BY419" i="5"/>
  <c r="BW419" i="5"/>
  <c r="D418" i="5"/>
  <c r="CG418" i="5" s="1"/>
  <c r="BU419" i="5"/>
  <c r="BL419" i="5"/>
  <c r="CI419" i="5"/>
  <c r="Q419" i="5"/>
  <c r="CG419" i="5"/>
  <c r="CK419" i="5"/>
  <c r="CE419" i="5"/>
  <c r="BW424" i="5"/>
  <c r="BJ304" i="5"/>
  <c r="BL318" i="5"/>
  <c r="CB332" i="5"/>
  <c r="F334" i="5"/>
  <c r="BJ334" i="5" s="1"/>
  <c r="BJ335" i="5"/>
  <c r="CH335" i="5"/>
  <c r="BJ342" i="5"/>
  <c r="CH342" i="5"/>
  <c r="CH343" i="5"/>
  <c r="BL351" i="5"/>
  <c r="O353" i="5"/>
  <c r="O352" i="5" s="1"/>
  <c r="BQ364" i="5"/>
  <c r="CJ370" i="5"/>
  <c r="CJ374" i="5"/>
  <c r="CK374" i="5" s="1"/>
  <c r="BJ385" i="5"/>
  <c r="BT395" i="5"/>
  <c r="CD395" i="5"/>
  <c r="CN395" i="5"/>
  <c r="D395" i="5"/>
  <c r="D393" i="5" s="1"/>
  <c r="CG393" i="5" s="1"/>
  <c r="BX395" i="5"/>
  <c r="CL395" i="5"/>
  <c r="BV395" i="5"/>
  <c r="CB395" i="5"/>
  <c r="BJ395" i="5"/>
  <c r="CJ395" i="5"/>
  <c r="CH395" i="5"/>
  <c r="BM395" i="5"/>
  <c r="BX368" i="5"/>
  <c r="CQ398" i="5"/>
  <c r="CP398" i="5"/>
  <c r="BY403" i="5"/>
  <c r="BY410" i="5"/>
  <c r="CG426" i="5"/>
  <c r="CE426" i="5"/>
  <c r="Q426" i="5"/>
  <c r="BY426" i="5"/>
  <c r="BW426" i="5"/>
  <c r="BU426" i="5"/>
  <c r="BL426" i="5"/>
  <c r="BQ426" i="5"/>
  <c r="CI426" i="5"/>
  <c r="CC426" i="5"/>
  <c r="BZ441" i="5"/>
  <c r="CQ445" i="5"/>
  <c r="CP445" i="5"/>
  <c r="BT450" i="5"/>
  <c r="CA402" i="5"/>
  <c r="BY487" i="5"/>
  <c r="BS487" i="5"/>
  <c r="CO487" i="5"/>
  <c r="CK487" i="5"/>
  <c r="CI487" i="5"/>
  <c r="Q487" i="5"/>
  <c r="CG487" i="5"/>
  <c r="BL487" i="5"/>
  <c r="CM487" i="5"/>
  <c r="BU487" i="5"/>
  <c r="BQ487" i="5"/>
  <c r="CA487" i="5"/>
  <c r="BW487" i="5"/>
  <c r="CC487" i="5"/>
  <c r="CE487" i="5"/>
  <c r="BQ402" i="5"/>
  <c r="Q403" i="5"/>
  <c r="BL403" i="5"/>
  <c r="CA403" i="5"/>
  <c r="Q431" i="5"/>
  <c r="D401" i="5"/>
  <c r="BJ401" i="5"/>
  <c r="BS402" i="5"/>
  <c r="CL402" i="5"/>
  <c r="CM402" i="5" s="1"/>
  <c r="CM403" i="5"/>
  <c r="CC403" i="5"/>
  <c r="Q410" i="5"/>
  <c r="D409" i="5"/>
  <c r="BL410" i="5"/>
  <c r="BS410" i="5"/>
  <c r="CG410" i="5"/>
  <c r="BQ410" i="5"/>
  <c r="CP419" i="5"/>
  <c r="CQ419" i="5"/>
  <c r="CM420" i="5"/>
  <c r="CQ442" i="5"/>
  <c r="CP442" i="5"/>
  <c r="CP456" i="5"/>
  <c r="CQ456" i="5"/>
  <c r="CC467" i="5"/>
  <c r="CO467" i="5"/>
  <c r="CI467" i="5"/>
  <c r="CG467" i="5"/>
  <c r="Q467" i="5"/>
  <c r="BQ467" i="5"/>
  <c r="CM467" i="5"/>
  <c r="BS467" i="5"/>
  <c r="BL467" i="5"/>
  <c r="CA467" i="5"/>
  <c r="BY467" i="5"/>
  <c r="BU467" i="5"/>
  <c r="BW467" i="5"/>
  <c r="BW493" i="5"/>
  <c r="BU493" i="5"/>
  <c r="CM493" i="5"/>
  <c r="CI493" i="5"/>
  <c r="BL493" i="5"/>
  <c r="BQ493" i="5"/>
  <c r="CO493" i="5"/>
  <c r="Q493" i="5"/>
  <c r="CA493" i="5"/>
  <c r="BY493" i="5"/>
  <c r="CG493" i="5"/>
  <c r="CE493" i="5"/>
  <c r="CK493" i="5"/>
  <c r="CC493" i="5"/>
  <c r="BS493" i="5"/>
  <c r="D491" i="5"/>
  <c r="BW491" i="5" s="1"/>
  <c r="BU326" i="5"/>
  <c r="BU329" i="5"/>
  <c r="CJ333" i="5"/>
  <c r="D344" i="5"/>
  <c r="BV344" i="5"/>
  <c r="D348" i="5"/>
  <c r="CJ348" i="5"/>
  <c r="CJ354" i="5"/>
  <c r="CH357" i="5"/>
  <c r="CD368" i="5"/>
  <c r="CE368" i="5" s="1"/>
  <c r="BS381" i="5"/>
  <c r="CC397" i="5"/>
  <c r="Q397" i="5"/>
  <c r="D396" i="5"/>
  <c r="BS396" i="5" s="1"/>
  <c r="CO397" i="5"/>
  <c r="CM397" i="5"/>
  <c r="CK397" i="5"/>
  <c r="BL397" i="5"/>
  <c r="CI397" i="5"/>
  <c r="BW397" i="5"/>
  <c r="BU397" i="5"/>
  <c r="CH402" i="5"/>
  <c r="CI402" i="5" s="1"/>
  <c r="CI403" i="5"/>
  <c r="BT406" i="5"/>
  <c r="BW326" i="5"/>
  <c r="BW329" i="5"/>
  <c r="CM329" i="5"/>
  <c r="BX333" i="5"/>
  <c r="BY333" i="5" s="1"/>
  <c r="CJ344" i="5"/>
  <c r="BX348" i="5"/>
  <c r="BX354" i="5"/>
  <c r="BV357" i="5"/>
  <c r="BY361" i="5"/>
  <c r="BW373" i="5"/>
  <c r="CJ373" i="5"/>
  <c r="CN377" i="5"/>
  <c r="CO377" i="5" s="1"/>
  <c r="BZ377" i="5"/>
  <c r="CA377" i="5" s="1"/>
  <c r="CL377" i="5"/>
  <c r="CM377" i="5" s="1"/>
  <c r="BX377" i="5"/>
  <c r="BY377" i="5" s="1"/>
  <c r="D379" i="5"/>
  <c r="BY379" i="5" s="1"/>
  <c r="BU381" i="5"/>
  <c r="CH386" i="5"/>
  <c r="CI386" i="5" s="1"/>
  <c r="CK394" i="5"/>
  <c r="CQ410" i="5"/>
  <c r="CM410" i="5"/>
  <c r="BQ418" i="5"/>
  <c r="BJ421" i="5"/>
  <c r="CM426" i="5"/>
  <c r="D462" i="5"/>
  <c r="BM462" i="5"/>
  <c r="BJ462" i="5"/>
  <c r="CE467" i="5"/>
  <c r="BY326" i="5"/>
  <c r="BY329" i="5"/>
  <c r="CL333" i="5"/>
  <c r="CM333" i="5" s="1"/>
  <c r="BX344" i="5"/>
  <c r="CL348" i="5"/>
  <c r="CL354" i="5"/>
  <c r="D357" i="5"/>
  <c r="CJ357" i="5"/>
  <c r="CE362" i="5"/>
  <c r="BT368" i="5"/>
  <c r="BU368" i="5" s="1"/>
  <c r="CB377" i="5"/>
  <c r="CC377" i="5" s="1"/>
  <c r="CO379" i="5"/>
  <c r="CM391" i="5"/>
  <c r="CM394" i="5"/>
  <c r="BQ403" i="5"/>
  <c r="CP421" i="5"/>
  <c r="CO426" i="5"/>
  <c r="D428" i="5"/>
  <c r="F427" i="5"/>
  <c r="BJ427" i="5" s="1"/>
  <c r="BM428" i="5"/>
  <c r="BJ428" i="5"/>
  <c r="CP439" i="5"/>
  <c r="CQ439" i="5"/>
  <c r="BV464" i="5"/>
  <c r="CK467" i="5"/>
  <c r="CN477" i="5"/>
  <c r="BJ333" i="5"/>
  <c r="BJ348" i="5"/>
  <c r="BJ354" i="5"/>
  <c r="CL386" i="5"/>
  <c r="CM386" i="5" s="1"/>
  <c r="BV386" i="5"/>
  <c r="BW386" i="5" s="1"/>
  <c r="CJ386" i="5"/>
  <c r="CK386" i="5" s="1"/>
  <c r="BT386" i="5"/>
  <c r="BU386" i="5" s="1"/>
  <c r="BJ386" i="5"/>
  <c r="BZ386" i="5"/>
  <c r="CA386" i="5" s="1"/>
  <c r="CN386" i="5"/>
  <c r="CO386" i="5" s="1"/>
  <c r="CQ391" i="5"/>
  <c r="CP391" i="5"/>
  <c r="D392" i="5"/>
  <c r="D390" i="5" s="1"/>
  <c r="BM392" i="5"/>
  <c r="BS403" i="5"/>
  <c r="CO410" i="5"/>
  <c r="BM420" i="5"/>
  <c r="BJ420" i="5"/>
  <c r="D476" i="5"/>
  <c r="BJ476" i="5"/>
  <c r="F472" i="5"/>
  <c r="BJ472" i="5" s="1"/>
  <c r="BM476" i="5"/>
  <c r="CB389" i="5"/>
  <c r="BM389" i="5"/>
  <c r="BZ389" i="5"/>
  <c r="CA389" i="5" s="1"/>
  <c r="BJ389" i="5"/>
  <c r="CQ405" i="5"/>
  <c r="CP405" i="5"/>
  <c r="BY408" i="5"/>
  <c r="BW408" i="5"/>
  <c r="CG408" i="5"/>
  <c r="D421" i="5"/>
  <c r="CC422" i="5"/>
  <c r="BT429" i="5"/>
  <c r="BU431" i="5"/>
  <c r="CC433" i="5"/>
  <c r="BV453" i="5"/>
  <c r="BZ472" i="5"/>
  <c r="E497" i="5"/>
  <c r="BW503" i="5"/>
  <c r="BV502" i="5"/>
  <c r="BT534" i="5"/>
  <c r="BV535" i="5"/>
  <c r="BU535" i="5"/>
  <c r="BJ396" i="5"/>
  <c r="CC398" i="5"/>
  <c r="BU403" i="5"/>
  <c r="Q408" i="5"/>
  <c r="CI408" i="5"/>
  <c r="BX438" i="5"/>
  <c r="BV437" i="5"/>
  <c r="BW458" i="5"/>
  <c r="CC458" i="5"/>
  <c r="BU458" i="5"/>
  <c r="BS458" i="5"/>
  <c r="BL458" i="5"/>
  <c r="CK458" i="5"/>
  <c r="Q458" i="5"/>
  <c r="CO458" i="5"/>
  <c r="CE458" i="5"/>
  <c r="CA458" i="5"/>
  <c r="BQ458" i="5"/>
  <c r="BS491" i="5"/>
  <c r="O498" i="5"/>
  <c r="O497" i="5" s="1"/>
  <c r="G497" i="5"/>
  <c r="BX502" i="5"/>
  <c r="BY503" i="5"/>
  <c r="BM434" i="5"/>
  <c r="D434" i="5"/>
  <c r="O454" i="5"/>
  <c r="O453" i="5" s="1"/>
  <c r="G453" i="5"/>
  <c r="BJ456" i="5"/>
  <c r="D456" i="5"/>
  <c r="BW460" i="5"/>
  <c r="CK460" i="5"/>
  <c r="BL460" i="5"/>
  <c r="CE460" i="5"/>
  <c r="CC460" i="5"/>
  <c r="BQ460" i="5"/>
  <c r="CO460" i="5"/>
  <c r="Q460" i="5"/>
  <c r="CG460" i="5"/>
  <c r="CA460" i="5"/>
  <c r="BY460" i="5"/>
  <c r="BU460" i="5"/>
  <c r="BS460" i="5"/>
  <c r="CI460" i="5"/>
  <c r="CP474" i="5"/>
  <c r="CQ474" i="5"/>
  <c r="BY422" i="5"/>
  <c r="BW422" i="5"/>
  <c r="BU422" i="5"/>
  <c r="CI422" i="5"/>
  <c r="BL422" i="5"/>
  <c r="CK422" i="5"/>
  <c r="BM424" i="5"/>
  <c r="CC425" i="5"/>
  <c r="CA425" i="5"/>
  <c r="CO425" i="5"/>
  <c r="CM432" i="5"/>
  <c r="CG432" i="5"/>
  <c r="CE432" i="5"/>
  <c r="Q432" i="5"/>
  <c r="BU432" i="5"/>
  <c r="BY432" i="5"/>
  <c r="BW432" i="5"/>
  <c r="BS432" i="5"/>
  <c r="BQ432" i="5"/>
  <c r="CK432" i="5"/>
  <c r="CO433" i="5"/>
  <c r="BQ433" i="5"/>
  <c r="CI433" i="5"/>
  <c r="BL433" i="5"/>
  <c r="CG433" i="5"/>
  <c r="CM433" i="5"/>
  <c r="Q433" i="5"/>
  <c r="CK433" i="5"/>
  <c r="BW433" i="5"/>
  <c r="CF439" i="5"/>
  <c r="CA383" i="5"/>
  <c r="BT389" i="5"/>
  <c r="CN391" i="5"/>
  <c r="CO394" i="5"/>
  <c r="BQ398" i="5"/>
  <c r="CO398" i="5"/>
  <c r="CG402" i="5"/>
  <c r="BW405" i="5"/>
  <c r="BU405" i="5"/>
  <c r="BS405" i="5"/>
  <c r="CE405" i="5"/>
  <c r="BQ408" i="5"/>
  <c r="BJ422" i="5"/>
  <c r="BL432" i="5"/>
  <c r="CN438" i="5"/>
  <c r="CQ443" i="5"/>
  <c r="CP443" i="5"/>
  <c r="CQ451" i="5"/>
  <c r="CP451" i="5"/>
  <c r="BM460" i="5"/>
  <c r="BJ467" i="5"/>
  <c r="BM467" i="5"/>
  <c r="E477" i="5"/>
  <c r="BY382" i="5"/>
  <c r="CC383" i="5"/>
  <c r="BX388" i="5"/>
  <c r="BV388" i="5"/>
  <c r="D388" i="5"/>
  <c r="CN388" i="5"/>
  <c r="CJ389" i="5"/>
  <c r="BZ391" i="5"/>
  <c r="CB394" i="5"/>
  <c r="BM394" i="5"/>
  <c r="F393" i="5"/>
  <c r="BM393" i="5" s="1"/>
  <c r="BZ394" i="5"/>
  <c r="BJ394" i="5"/>
  <c r="BY394" i="5"/>
  <c r="BS398" i="5"/>
  <c r="D404" i="5"/>
  <c r="CE404" i="5" s="1"/>
  <c r="CG405" i="5"/>
  <c r="BS408" i="5"/>
  <c r="BM422" i="5"/>
  <c r="BM426" i="5"/>
  <c r="G429" i="5"/>
  <c r="BM457" i="5"/>
  <c r="BJ457" i="5"/>
  <c r="D457" i="5"/>
  <c r="BY458" i="5"/>
  <c r="BZ477" i="5"/>
  <c r="G483" i="5"/>
  <c r="O484" i="5"/>
  <c r="O483" i="5" s="1"/>
  <c r="BX541" i="5"/>
  <c r="CA382" i="5"/>
  <c r="Q383" i="5"/>
  <c r="CE383" i="5"/>
  <c r="BZ388" i="5"/>
  <c r="BV389" i="5"/>
  <c r="BW396" i="5"/>
  <c r="BU398" i="5"/>
  <c r="O402" i="5"/>
  <c r="CI405" i="5"/>
  <c r="BU408" i="5"/>
  <c r="BM427" i="5"/>
  <c r="BS433" i="5"/>
  <c r="BM438" i="5"/>
  <c r="BJ438" i="5"/>
  <c r="D438" i="5"/>
  <c r="CM438" i="5" s="1"/>
  <c r="CG458" i="5"/>
  <c r="CM460" i="5"/>
  <c r="BR464" i="5"/>
  <c r="BY471" i="5"/>
  <c r="CQ475" i="5"/>
  <c r="CP475" i="5"/>
  <c r="BM543" i="5"/>
  <c r="BJ543" i="5"/>
  <c r="F542" i="5"/>
  <c r="F541" i="5" s="1"/>
  <c r="D543" i="5"/>
  <c r="CL389" i="5"/>
  <c r="BJ391" i="5"/>
  <c r="CB391" i="5"/>
  <c r="Q394" i="5"/>
  <c r="BW398" i="5"/>
  <c r="Q405" i="5"/>
  <c r="CK405" i="5"/>
  <c r="CA408" i="5"/>
  <c r="CB411" i="5"/>
  <c r="BM411" i="5"/>
  <c r="CN411" i="5"/>
  <c r="CO411" i="5" s="1"/>
  <c r="BZ411" i="5"/>
  <c r="BU413" i="5"/>
  <c r="BQ422" i="5"/>
  <c r="BU424" i="5"/>
  <c r="BQ425" i="5"/>
  <c r="CH429" i="5"/>
  <c r="CA432" i="5"/>
  <c r="BU433" i="5"/>
  <c r="CL453" i="5"/>
  <c r="CI458" i="5"/>
  <c r="F464" i="5"/>
  <c r="BJ464" i="5" s="1"/>
  <c r="BJ465" i="5"/>
  <c r="BM465" i="5"/>
  <c r="CK465" i="5"/>
  <c r="CJ464" i="5"/>
  <c r="BS474" i="5"/>
  <c r="CK474" i="5"/>
  <c r="BL474" i="5"/>
  <c r="CE474" i="5"/>
  <c r="CC474" i="5"/>
  <c r="BU474" i="5"/>
  <c r="BQ474" i="5"/>
  <c r="CA474" i="5"/>
  <c r="CI474" i="5"/>
  <c r="CG474" i="5"/>
  <c r="BY474" i="5"/>
  <c r="BW474" i="5"/>
  <c r="D473" i="5"/>
  <c r="BS473" i="5" s="1"/>
  <c r="CM474" i="5"/>
  <c r="I477" i="5"/>
  <c r="O478" i="5"/>
  <c r="O477" i="5" s="1"/>
  <c r="CN502" i="5"/>
  <c r="CO503" i="5"/>
  <c r="CQ521" i="5"/>
  <c r="CP521" i="5"/>
  <c r="BQ523" i="5"/>
  <c r="CG523" i="5"/>
  <c r="CP446" i="5"/>
  <c r="BQ449" i="5"/>
  <c r="CQ452" i="5"/>
  <c r="CP452" i="5"/>
  <c r="CB464" i="5"/>
  <c r="CG503" i="5"/>
  <c r="CC503" i="5"/>
  <c r="BL503" i="5"/>
  <c r="BU503" i="5"/>
  <c r="CK503" i="5"/>
  <c r="Q503" i="5"/>
  <c r="BM518" i="5"/>
  <c r="F516" i="5"/>
  <c r="BM516" i="5" s="1"/>
  <c r="BJ518" i="5"/>
  <c r="D518" i="5"/>
  <c r="D516" i="5" s="1"/>
  <c r="CB565" i="5"/>
  <c r="BM565" i="5"/>
  <c r="F564" i="5"/>
  <c r="BM564" i="5" s="1"/>
  <c r="CN565" i="5"/>
  <c r="BZ565" i="5"/>
  <c r="BJ565" i="5"/>
  <c r="CL565" i="5"/>
  <c r="CJ565" i="5"/>
  <c r="BT565" i="5"/>
  <c r="CH565" i="5"/>
  <c r="BX565" i="5"/>
  <c r="BV565" i="5"/>
  <c r="CD565" i="5"/>
  <c r="D565" i="5"/>
  <c r="BJ446" i="5"/>
  <c r="CC449" i="5"/>
  <c r="BJ452" i="5"/>
  <c r="BU475" i="5"/>
  <c r="BQ475" i="5"/>
  <c r="CK475" i="5"/>
  <c r="BL475" i="5"/>
  <c r="CI475" i="5"/>
  <c r="Q475" i="5"/>
  <c r="CO475" i="5"/>
  <c r="CE475" i="5"/>
  <c r="BS475" i="5"/>
  <c r="CP482" i="5"/>
  <c r="CQ482" i="5"/>
  <c r="CQ487" i="5"/>
  <c r="CH498" i="5"/>
  <c r="CG511" i="5"/>
  <c r="CB513" i="5"/>
  <c r="CC515" i="5"/>
  <c r="BV583" i="5"/>
  <c r="BW585" i="5"/>
  <c r="F431" i="5"/>
  <c r="F429" i="5" s="1"/>
  <c r="BM429" i="5" s="1"/>
  <c r="BJ432" i="5"/>
  <c r="CD447" i="5"/>
  <c r="CE449" i="5"/>
  <c r="CH510" i="5"/>
  <c r="BW581" i="5"/>
  <c r="BT583" i="5"/>
  <c r="BU584" i="5"/>
  <c r="CL510" i="5"/>
  <c r="CM470" i="5"/>
  <c r="CL469" i="5"/>
  <c r="BQ473" i="5"/>
  <c r="BP472" i="5"/>
  <c r="D486" i="5"/>
  <c r="BM486" i="5"/>
  <c r="Q495" i="5"/>
  <c r="BS495" i="5"/>
  <c r="D494" i="5"/>
  <c r="BQ495" i="5"/>
  <c r="BT510" i="5"/>
  <c r="CJ403" i="5"/>
  <c r="D407" i="5"/>
  <c r="CJ410" i="5"/>
  <c r="CH413" i="5"/>
  <c r="D417" i="5"/>
  <c r="CC417" i="5" s="1"/>
  <c r="CJ417" i="5"/>
  <c r="CK417" i="5" s="1"/>
  <c r="BP435" i="5"/>
  <c r="CM445" i="5"/>
  <c r="CG445" i="5"/>
  <c r="CK449" i="5"/>
  <c r="BY475" i="5"/>
  <c r="CM495" i="5"/>
  <c r="BX417" i="5"/>
  <c r="BY417" i="5" s="1"/>
  <c r="CA423" i="5"/>
  <c r="BW431" i="5"/>
  <c r="CP433" i="5"/>
  <c r="D439" i="5"/>
  <c r="BJ439" i="5"/>
  <c r="CM451" i="5"/>
  <c r="CO451" i="5"/>
  <c r="CG451" i="5"/>
  <c r="CE451" i="5"/>
  <c r="Q451" i="5"/>
  <c r="CK451" i="5"/>
  <c r="CI451" i="5"/>
  <c r="BY451" i="5"/>
  <c r="CP463" i="5"/>
  <c r="CA475" i="5"/>
  <c r="BJ486" i="5"/>
  <c r="BS492" i="5"/>
  <c r="CO492" i="5"/>
  <c r="BQ492" i="5"/>
  <c r="CI492" i="5"/>
  <c r="BL492" i="5"/>
  <c r="CE492" i="5"/>
  <c r="Q492" i="5"/>
  <c r="CA492" i="5"/>
  <c r="BW492" i="5"/>
  <c r="BU492" i="5"/>
  <c r="CG492" i="5"/>
  <c r="CC492" i="5"/>
  <c r="CO495" i="5"/>
  <c r="CA503" i="5"/>
  <c r="CB450" i="5"/>
  <c r="BS471" i="5"/>
  <c r="BL471" i="5"/>
  <c r="Q471" i="5"/>
  <c r="CM473" i="5"/>
  <c r="CC475" i="5"/>
  <c r="CE496" i="5"/>
  <c r="CA431" i="5"/>
  <c r="F444" i="5"/>
  <c r="BM444" i="5" s="1"/>
  <c r="D446" i="5"/>
  <c r="CQ448" i="5"/>
  <c r="CN447" i="5"/>
  <c r="CO449" i="5"/>
  <c r="D452" i="5"/>
  <c r="CM452" i="5" s="1"/>
  <c r="CP468" i="5"/>
  <c r="CF471" i="5"/>
  <c r="CG471" i="5" s="1"/>
  <c r="BT471" i="5"/>
  <c r="BU471" i="5" s="1"/>
  <c r="BM471" i="5"/>
  <c r="CB471" i="5"/>
  <c r="CC471" i="5" s="1"/>
  <c r="CH471" i="5"/>
  <c r="CI471" i="5" s="1"/>
  <c r="BJ471" i="5"/>
  <c r="BZ471" i="5"/>
  <c r="BV472" i="5"/>
  <c r="CO473" i="5"/>
  <c r="CN472" i="5"/>
  <c r="CG475" i="5"/>
  <c r="BS480" i="5"/>
  <c r="CK480" i="5"/>
  <c r="BL480" i="5"/>
  <c r="CE480" i="5"/>
  <c r="CC480" i="5"/>
  <c r="CO480" i="5"/>
  <c r="Q480" i="5"/>
  <c r="CM480" i="5"/>
  <c r="CA480" i="5"/>
  <c r="BS494" i="5"/>
  <c r="BL495" i="5"/>
  <c r="BU481" i="5"/>
  <c r="BQ481" i="5"/>
  <c r="CK481" i="5"/>
  <c r="BL481" i="5"/>
  <c r="CI481" i="5"/>
  <c r="CG481" i="5"/>
  <c r="BL496" i="5"/>
  <c r="Q496" i="5"/>
  <c r="CO496" i="5"/>
  <c r="CB499" i="5"/>
  <c r="BM499" i="5"/>
  <c r="CN499" i="5"/>
  <c r="BZ499" i="5"/>
  <c r="BJ499" i="5"/>
  <c r="CL499" i="5"/>
  <c r="BX499" i="5"/>
  <c r="BV499" i="5"/>
  <c r="D499" i="5"/>
  <c r="BU499" i="5" s="1"/>
  <c r="CD499" i="5"/>
  <c r="BS500" i="5"/>
  <c r="BQ500" i="5"/>
  <c r="BL500" i="5"/>
  <c r="Q500" i="5"/>
  <c r="BQ503" i="5"/>
  <c r="BM506" i="5"/>
  <c r="F505" i="5"/>
  <c r="BJ505" i="5" s="1"/>
  <c r="D506" i="5"/>
  <c r="CP520" i="5"/>
  <c r="CQ520" i="5"/>
  <c r="BJ534" i="5"/>
  <c r="BX558" i="5"/>
  <c r="BY560" i="5"/>
  <c r="CM481" i="5"/>
  <c r="CD500" i="5"/>
  <c r="CE500" i="5" s="1"/>
  <c r="CB500" i="5"/>
  <c r="CC500" i="5" s="1"/>
  <c r="BM500" i="5"/>
  <c r="CN500" i="5"/>
  <c r="CO500" i="5" s="1"/>
  <c r="CL500" i="5"/>
  <c r="CM500" i="5" s="1"/>
  <c r="BV500" i="5"/>
  <c r="BW500" i="5" s="1"/>
  <c r="BT500" i="5"/>
  <c r="BU500" i="5" s="1"/>
  <c r="BJ500" i="5"/>
  <c r="BT508" i="5"/>
  <c r="BU509" i="5"/>
  <c r="BS481" i="5"/>
  <c r="CM482" i="5"/>
  <c r="BM493" i="5"/>
  <c r="BJ493" i="5"/>
  <c r="BS496" i="5"/>
  <c r="CI496" i="5"/>
  <c r="F498" i="5"/>
  <c r="F497" i="5" s="1"/>
  <c r="BX500" i="5"/>
  <c r="BY500" i="5" s="1"/>
  <c r="O502" i="5"/>
  <c r="CH583" i="5"/>
  <c r="CI584" i="5"/>
  <c r="BS441" i="5"/>
  <c r="BL441" i="5"/>
  <c r="CE443" i="5"/>
  <c r="BY448" i="5"/>
  <c r="BS448" i="5"/>
  <c r="CO448" i="5"/>
  <c r="BQ448" i="5"/>
  <c r="CG448" i="5"/>
  <c r="D461" i="5"/>
  <c r="BJ461" i="5"/>
  <c r="BW468" i="5"/>
  <c r="CM468" i="5"/>
  <c r="BQ468" i="5"/>
  <c r="CK468" i="5"/>
  <c r="CA481" i="5"/>
  <c r="CI489" i="5"/>
  <c r="CC489" i="5"/>
  <c r="Q489" i="5"/>
  <c r="F491" i="5"/>
  <c r="CJ499" i="5"/>
  <c r="CH500" i="5"/>
  <c r="CI500" i="5" s="1"/>
  <c r="E502" i="5"/>
  <c r="BJ503" i="5"/>
  <c r="CK512" i="5"/>
  <c r="CI512" i="5"/>
  <c r="BL512" i="5"/>
  <c r="D511" i="5"/>
  <c r="CI511" i="5" s="1"/>
  <c r="CC512" i="5"/>
  <c r="CA512" i="5"/>
  <c r="BY512" i="5"/>
  <c r="BW512" i="5"/>
  <c r="BU512" i="5"/>
  <c r="BQ512" i="5"/>
  <c r="BS512" i="5"/>
  <c r="Q512" i="5"/>
  <c r="CD523" i="5"/>
  <c r="BX523" i="5"/>
  <c r="CH523" i="5"/>
  <c r="BM523" i="5"/>
  <c r="CB523" i="5"/>
  <c r="BV523" i="5"/>
  <c r="F522" i="5"/>
  <c r="BJ522" i="5" s="1"/>
  <c r="BT523" i="5"/>
  <c r="CN523" i="5"/>
  <c r="CL523" i="5"/>
  <c r="BZ523" i="5"/>
  <c r="BJ523" i="5"/>
  <c r="CA528" i="5"/>
  <c r="BY528" i="5"/>
  <c r="CM528" i="5"/>
  <c r="BS528" i="5"/>
  <c r="BQ528" i="5"/>
  <c r="CO528" i="5"/>
  <c r="BL528" i="5"/>
  <c r="CC528" i="5"/>
  <c r="BW528" i="5"/>
  <c r="BU528" i="5"/>
  <c r="Q528" i="5"/>
  <c r="CK528" i="5"/>
  <c r="CG528" i="5"/>
  <c r="CE528" i="5"/>
  <c r="E541" i="5"/>
  <c r="BV541" i="5"/>
  <c r="F447" i="5"/>
  <c r="BJ447" i="5" s="1"/>
  <c r="CI448" i="5"/>
  <c r="F450" i="5"/>
  <c r="BM450" i="5" s="1"/>
  <c r="CA466" i="5"/>
  <c r="CK466" i="5"/>
  <c r="BL466" i="5"/>
  <c r="CE466" i="5"/>
  <c r="CC466" i="5"/>
  <c r="CG466" i="5"/>
  <c r="CG468" i="5"/>
  <c r="CL472" i="5"/>
  <c r="CC481" i="5"/>
  <c r="BM485" i="5"/>
  <c r="D485" i="5"/>
  <c r="F484" i="5"/>
  <c r="CK489" i="5"/>
  <c r="BM503" i="5"/>
  <c r="BV510" i="5"/>
  <c r="CN525" i="5"/>
  <c r="BM551" i="5"/>
  <c r="BJ551" i="5"/>
  <c r="E550" i="5"/>
  <c r="BR550" i="5"/>
  <c r="CI503" i="5"/>
  <c r="M510" i="5"/>
  <c r="CQ514" i="5"/>
  <c r="CP514" i="5"/>
  <c r="BS539" i="5"/>
  <c r="CO539" i="5"/>
  <c r="BQ539" i="5"/>
  <c r="CM539" i="5"/>
  <c r="CK539" i="5"/>
  <c r="CC539" i="5"/>
  <c r="BY539" i="5"/>
  <c r="BW539" i="5"/>
  <c r="Q539" i="5"/>
  <c r="CA539" i="5"/>
  <c r="BU539" i="5"/>
  <c r="BL539" i="5"/>
  <c r="CI539" i="5"/>
  <c r="CG539" i="5"/>
  <c r="CE539" i="5"/>
  <c r="CM559" i="5"/>
  <c r="BQ559" i="5"/>
  <c r="CK559" i="5"/>
  <c r="CI559" i="5"/>
  <c r="BY559" i="5"/>
  <c r="BW559" i="5"/>
  <c r="BU559" i="5"/>
  <c r="CG559" i="5"/>
  <c r="Q559" i="5"/>
  <c r="D558" i="5"/>
  <c r="CK558" i="5" s="1"/>
  <c r="CO559" i="5"/>
  <c r="CE559" i="5"/>
  <c r="CC559" i="5"/>
  <c r="CA559" i="5"/>
  <c r="CP532" i="5"/>
  <c r="CQ532" i="5"/>
  <c r="CH556" i="5"/>
  <c r="CO455" i="5"/>
  <c r="BQ455" i="5"/>
  <c r="CA455" i="5"/>
  <c r="CJ495" i="5"/>
  <c r="BX495" i="5"/>
  <c r="CB495" i="5"/>
  <c r="CA496" i="5"/>
  <c r="CH508" i="5"/>
  <c r="CI509" i="5"/>
  <c r="O542" i="5"/>
  <c r="O541" i="5" s="1"/>
  <c r="G541" i="5"/>
  <c r="F454" i="5"/>
  <c r="CC455" i="5"/>
  <c r="BU465" i="5"/>
  <c r="CP530" i="5"/>
  <c r="BM540" i="5"/>
  <c r="D540" i="5"/>
  <c r="CM540" i="5" s="1"/>
  <c r="BM544" i="5"/>
  <c r="BJ544" i="5"/>
  <c r="D544" i="5"/>
  <c r="CN546" i="5"/>
  <c r="BX574" i="5"/>
  <c r="CJ501" i="5"/>
  <c r="D501" i="5"/>
  <c r="BV501" i="5"/>
  <c r="CH501" i="5"/>
  <c r="BT501" i="5"/>
  <c r="CD501" i="5"/>
  <c r="CO514" i="5"/>
  <c r="CK514" i="5"/>
  <c r="CI514" i="5"/>
  <c r="BZ513" i="5"/>
  <c r="CA531" i="5"/>
  <c r="BY531" i="5"/>
  <c r="CM531" i="5"/>
  <c r="BU531" i="5"/>
  <c r="BS531" i="5"/>
  <c r="D530" i="5"/>
  <c r="CM530" i="5" s="1"/>
  <c r="BQ531" i="5"/>
  <c r="BL531" i="5"/>
  <c r="Q531" i="5"/>
  <c r="CO531" i="5"/>
  <c r="CI531" i="5"/>
  <c r="CI560" i="5"/>
  <c r="CH558" i="5"/>
  <c r="BV570" i="5"/>
  <c r="BW571" i="5"/>
  <c r="CB574" i="5"/>
  <c r="BJ455" i="5"/>
  <c r="CI455" i="5"/>
  <c r="CJ477" i="5"/>
  <c r="F494" i="5"/>
  <c r="BM494" i="5" s="1"/>
  <c r="BM495" i="5"/>
  <c r="CH495" i="5"/>
  <c r="BR497" i="5"/>
  <c r="BJ501" i="5"/>
  <c r="CL501" i="5"/>
  <c r="N502" i="5"/>
  <c r="CL502" i="5"/>
  <c r="CM503" i="5"/>
  <c r="CD513" i="5"/>
  <c r="CD556" i="5"/>
  <c r="BU504" i="5"/>
  <c r="BW507" i="5"/>
  <c r="D508" i="5"/>
  <c r="BS508" i="5" s="1"/>
  <c r="BS509" i="5"/>
  <c r="CG509" i="5"/>
  <c r="BW517" i="5"/>
  <c r="CO538" i="5"/>
  <c r="BS538" i="5"/>
  <c r="CM538" i="5"/>
  <c r="BQ538" i="5"/>
  <c r="CK538" i="5"/>
  <c r="CI538" i="5"/>
  <c r="D537" i="5"/>
  <c r="CE537" i="5" s="1"/>
  <c r="CG538" i="5"/>
  <c r="CE538" i="5"/>
  <c r="BW538" i="5"/>
  <c r="BL538" i="5"/>
  <c r="BM539" i="5"/>
  <c r="BJ539" i="5"/>
  <c r="CL536" i="5"/>
  <c r="CL533" i="5" s="1"/>
  <c r="BX496" i="5"/>
  <c r="BY496" i="5" s="1"/>
  <c r="BY504" i="5"/>
  <c r="F508" i="5"/>
  <c r="BM508" i="5" s="1"/>
  <c r="BM519" i="5"/>
  <c r="CA524" i="5"/>
  <c r="CE529" i="5"/>
  <c r="CD525" i="5"/>
  <c r="CL556" i="5"/>
  <c r="BQ581" i="5"/>
  <c r="BL581" i="5"/>
  <c r="BS581" i="5"/>
  <c r="CM581" i="5"/>
  <c r="CK581" i="5"/>
  <c r="Q581" i="5"/>
  <c r="CI581" i="5"/>
  <c r="CG581" i="5"/>
  <c r="D580" i="5"/>
  <c r="BU581" i="5"/>
  <c r="CJ583" i="5"/>
  <c r="CK584" i="5"/>
  <c r="CO507" i="5"/>
  <c r="BQ507" i="5"/>
  <c r="CC507" i="5"/>
  <c r="O508" i="5"/>
  <c r="CK509" i="5"/>
  <c r="CI517" i="5"/>
  <c r="BL517" i="5"/>
  <c r="CG517" i="5"/>
  <c r="CO517" i="5"/>
  <c r="CE517" i="5"/>
  <c r="CC517" i="5"/>
  <c r="CN519" i="5"/>
  <c r="CP529" i="5"/>
  <c r="CQ529" i="5"/>
  <c r="CH541" i="5"/>
  <c r="CQ560" i="5"/>
  <c r="CP560" i="5"/>
  <c r="CN561" i="5"/>
  <c r="CE503" i="5"/>
  <c r="CE504" i="5"/>
  <c r="CE507" i="5"/>
  <c r="BW509" i="5"/>
  <c r="CL509" i="5"/>
  <c r="CF513" i="5"/>
  <c r="CK517" i="5"/>
  <c r="CG524" i="5"/>
  <c r="BL524" i="5"/>
  <c r="Q524" i="5"/>
  <c r="CM555" i="5"/>
  <c r="CL553" i="5"/>
  <c r="BS503" i="5"/>
  <c r="Q504" i="5"/>
  <c r="CG504" i="5"/>
  <c r="Q507" i="5"/>
  <c r="CG507" i="5"/>
  <c r="BP510" i="5"/>
  <c r="CC511" i="5"/>
  <c r="CM517" i="5"/>
  <c r="BL534" i="5"/>
  <c r="CM534" i="5"/>
  <c r="BM548" i="5"/>
  <c r="BJ548" i="5"/>
  <c r="BU560" i="5"/>
  <c r="BT558" i="5"/>
  <c r="CQ561" i="5"/>
  <c r="CI504" i="5"/>
  <c r="CI507" i="5"/>
  <c r="BZ509" i="5"/>
  <c r="CN509" i="5"/>
  <c r="Q517" i="5"/>
  <c r="BX519" i="5"/>
  <c r="BJ530" i="5"/>
  <c r="BM534" i="5"/>
  <c r="CN533" i="5"/>
  <c r="CO534" i="5"/>
  <c r="CH548" i="5"/>
  <c r="CI549" i="5"/>
  <c r="CQ557" i="5"/>
  <c r="CP557" i="5"/>
  <c r="CA568" i="5"/>
  <c r="BZ567" i="5"/>
  <c r="BV573" i="5"/>
  <c r="D573" i="5"/>
  <c r="CH573" i="5"/>
  <c r="BT573" i="5"/>
  <c r="BZ573" i="5"/>
  <c r="BX573" i="5"/>
  <c r="CN573" i="5"/>
  <c r="CD573" i="5"/>
  <c r="BJ573" i="5"/>
  <c r="BM573" i="5"/>
  <c r="F572" i="5"/>
  <c r="BM572" i="5" s="1"/>
  <c r="BW511" i="5"/>
  <c r="BV524" i="5"/>
  <c r="BW524" i="5" s="1"/>
  <c r="CH524" i="5"/>
  <c r="CI524" i="5" s="1"/>
  <c r="CB524" i="5"/>
  <c r="CC524" i="5" s="1"/>
  <c r="BM524" i="5"/>
  <c r="BU529" i="5"/>
  <c r="CG549" i="5"/>
  <c r="BS549" i="5"/>
  <c r="BQ549" i="5"/>
  <c r="D548" i="5"/>
  <c r="Q549" i="5"/>
  <c r="CA551" i="5"/>
  <c r="BU552" i="5"/>
  <c r="BS552" i="5"/>
  <c r="CO552" i="5"/>
  <c r="BQ552" i="5"/>
  <c r="BW552" i="5"/>
  <c r="BL552" i="5"/>
  <c r="CE552" i="5"/>
  <c r="CI552" i="5"/>
  <c r="CG552" i="5"/>
  <c r="CC552" i="5"/>
  <c r="CA552" i="5"/>
  <c r="Q552" i="5"/>
  <c r="CH567" i="5"/>
  <c r="CI568" i="5"/>
  <c r="CQ570" i="5"/>
  <c r="CC578" i="5"/>
  <c r="CA578" i="5"/>
  <c r="BY578" i="5"/>
  <c r="BW578" i="5"/>
  <c r="CE578" i="5"/>
  <c r="BU578" i="5"/>
  <c r="BS578" i="5"/>
  <c r="BQ578" i="5"/>
  <c r="CM578" i="5"/>
  <c r="Q578" i="5"/>
  <c r="CI578" i="5"/>
  <c r="CG578" i="5"/>
  <c r="CG585" i="5"/>
  <c r="BS585" i="5"/>
  <c r="BQ585" i="5"/>
  <c r="BU585" i="5"/>
  <c r="Q585" i="5"/>
  <c r="CK585" i="5"/>
  <c r="E525" i="5"/>
  <c r="CP528" i="5"/>
  <c r="CB547" i="5"/>
  <c r="BQ562" i="5"/>
  <c r="CO562" i="5"/>
  <c r="BL562" i="5"/>
  <c r="CE562" i="5"/>
  <c r="CI562" i="5"/>
  <c r="CG562" i="5"/>
  <c r="BW562" i="5"/>
  <c r="BU562" i="5"/>
  <c r="BL584" i="5"/>
  <c r="D583" i="5"/>
  <c r="BQ583" i="5" s="1"/>
  <c r="Q584" i="5"/>
  <c r="BW584" i="5"/>
  <c r="CG584" i="5"/>
  <c r="BS584" i="5"/>
  <c r="D527" i="5"/>
  <c r="BM527" i="5"/>
  <c r="CE532" i="5"/>
  <c r="Q532" i="5"/>
  <c r="CC532" i="5"/>
  <c r="BS532" i="5"/>
  <c r="CI532" i="5"/>
  <c r="CH547" i="5"/>
  <c r="CB584" i="5"/>
  <c r="BM584" i="5"/>
  <c r="F583" i="5"/>
  <c r="BM583" i="5" s="1"/>
  <c r="CN584" i="5"/>
  <c r="BZ584" i="5"/>
  <c r="BJ584" i="5"/>
  <c r="CL584" i="5"/>
  <c r="CD584" i="5"/>
  <c r="CF520" i="5"/>
  <c r="BT520" i="5"/>
  <c r="BZ520" i="5"/>
  <c r="BY529" i="5"/>
  <c r="Q529" i="5"/>
  <c r="CO529" i="5"/>
  <c r="CK532" i="5"/>
  <c r="CA534" i="5"/>
  <c r="BT537" i="5"/>
  <c r="BU538" i="5"/>
  <c r="D547" i="5"/>
  <c r="CA547" i="5" s="1"/>
  <c r="CE551" i="5"/>
  <c r="CA555" i="5"/>
  <c r="BL555" i="5"/>
  <c r="CC555" i="5"/>
  <c r="D553" i="5"/>
  <c r="CB573" i="5"/>
  <c r="CC534" i="5"/>
  <c r="O537" i="5"/>
  <c r="O536" i="5" s="1"/>
  <c r="O533" i="5" s="1"/>
  <c r="BM545" i="5"/>
  <c r="D545" i="5"/>
  <c r="BT547" i="5"/>
  <c r="CD547" i="5"/>
  <c r="F546" i="5"/>
  <c r="BX547" i="5"/>
  <c r="CL547" i="5"/>
  <c r="BM547" i="5"/>
  <c r="CJ547" i="5"/>
  <c r="BJ547" i="5"/>
  <c r="Q551" i="5"/>
  <c r="BW551" i="5"/>
  <c r="CI551" i="5"/>
  <c r="CC551" i="5"/>
  <c r="BS551" i="5"/>
  <c r="BT566" i="5"/>
  <c r="CD566" i="5"/>
  <c r="BV566" i="5"/>
  <c r="CL566" i="5"/>
  <c r="CJ566" i="5"/>
  <c r="BM566" i="5"/>
  <c r="BZ566" i="5"/>
  <c r="D566" i="5"/>
  <c r="BY566" i="5" s="1"/>
  <c r="BJ566" i="5"/>
  <c r="CJ573" i="5"/>
  <c r="CQ577" i="5"/>
  <c r="CP577" i="5"/>
  <c r="CA535" i="5"/>
  <c r="BL535" i="5"/>
  <c r="CO535" i="5"/>
  <c r="CM535" i="5"/>
  <c r="Q535" i="5"/>
  <c r="CC535" i="5"/>
  <c r="O546" i="5"/>
  <c r="BT549" i="5"/>
  <c r="CD549" i="5"/>
  <c r="CN549" i="5"/>
  <c r="BX549" i="5"/>
  <c r="CL549" i="5"/>
  <c r="BV549" i="5"/>
  <c r="CB549" i="5"/>
  <c r="CJ549" i="5"/>
  <c r="CE555" i="5"/>
  <c r="BS559" i="5"/>
  <c r="D576" i="5"/>
  <c r="BM576" i="5"/>
  <c r="BY581" i="5"/>
  <c r="CC585" i="5"/>
  <c r="D521" i="5"/>
  <c r="CJ521" i="5"/>
  <c r="CI535" i="5"/>
  <c r="F537" i="5"/>
  <c r="BM537" i="5" s="1"/>
  <c r="BM538" i="5"/>
  <c r="BM567" i="5"/>
  <c r="BS535" i="5"/>
  <c r="E574" i="5"/>
  <c r="BJ575" i="5"/>
  <c r="BP574" i="5"/>
  <c r="BU551" i="5"/>
  <c r="CM551" i="5"/>
  <c r="BM559" i="5"/>
  <c r="F558" i="5"/>
  <c r="BM558" i="5" s="1"/>
  <c r="BS560" i="5"/>
  <c r="BQ560" i="5"/>
  <c r="BL560" i="5"/>
  <c r="CA560" i="5"/>
  <c r="Q560" i="5"/>
  <c r="CG560" i="5"/>
  <c r="CG582" i="5"/>
  <c r="BS582" i="5"/>
  <c r="BL582" i="5"/>
  <c r="Q582" i="5"/>
  <c r="CQ585" i="5"/>
  <c r="CP585" i="5"/>
  <c r="CH550" i="5"/>
  <c r="CN558" i="5"/>
  <c r="CO560" i="5"/>
  <c r="BY563" i="5"/>
  <c r="CP568" i="5"/>
  <c r="BX569" i="5"/>
  <c r="D570" i="5"/>
  <c r="BQ570" i="5" s="1"/>
  <c r="CA577" i="5"/>
  <c r="BY577" i="5"/>
  <c r="BW577" i="5"/>
  <c r="BU577" i="5"/>
  <c r="CI577" i="5"/>
  <c r="BV582" i="5"/>
  <c r="BW582" i="5" s="1"/>
  <c r="CH582" i="5"/>
  <c r="CI582" i="5" s="1"/>
  <c r="BT582" i="5"/>
  <c r="BU582" i="5" s="1"/>
  <c r="CB582" i="5"/>
  <c r="CC582" i="5" s="1"/>
  <c r="BV550" i="5"/>
  <c r="CQ552" i="5"/>
  <c r="CP552" i="5"/>
  <c r="CC554" i="5"/>
  <c r="Q554" i="5"/>
  <c r="CA554" i="5"/>
  <c r="BV567" i="5"/>
  <c r="BW568" i="5"/>
  <c r="BQ571" i="5"/>
  <c r="CI571" i="5"/>
  <c r="CK577" i="5"/>
  <c r="CP579" i="5"/>
  <c r="BX580" i="5"/>
  <c r="CP535" i="5"/>
  <c r="CE554" i="5"/>
  <c r="CB558" i="5"/>
  <c r="CC560" i="5"/>
  <c r="D569" i="5"/>
  <c r="BS571" i="5"/>
  <c r="Q577" i="5"/>
  <c r="CM577" i="5"/>
  <c r="CD581" i="5"/>
  <c r="CB581" i="5"/>
  <c r="BM581" i="5"/>
  <c r="F580" i="5"/>
  <c r="BJ580" i="5" s="1"/>
  <c r="CN581" i="5"/>
  <c r="BZ581" i="5"/>
  <c r="BJ582" i="5"/>
  <c r="CD582" i="5"/>
  <c r="CE582" i="5" s="1"/>
  <c r="BX550" i="5"/>
  <c r="CK551" i="5"/>
  <c r="CG554" i="5"/>
  <c r="CE560" i="5"/>
  <c r="CG563" i="5"/>
  <c r="CE563" i="5"/>
  <c r="Q563" i="5"/>
  <c r="Q568" i="5"/>
  <c r="CD569" i="5"/>
  <c r="CB569" i="5"/>
  <c r="BM569" i="5"/>
  <c r="CN569" i="5"/>
  <c r="O570" i="5"/>
  <c r="CJ582" i="5"/>
  <c r="BX583" i="5"/>
  <c r="BY584" i="5"/>
  <c r="CD585" i="5"/>
  <c r="CE585" i="5" s="1"/>
  <c r="CN585" i="5"/>
  <c r="CO585" i="5" s="1"/>
  <c r="BZ585" i="5"/>
  <c r="CA585" i="5" s="1"/>
  <c r="CJ568" i="5"/>
  <c r="CJ571" i="5"/>
  <c r="D557" i="5"/>
  <c r="CI557" i="5" s="1"/>
  <c r="BV557" i="5"/>
  <c r="BX568" i="5"/>
  <c r="BX571" i="5"/>
  <c r="CC579" i="5"/>
  <c r="CJ557" i="5"/>
  <c r="CL568" i="5"/>
  <c r="CL571" i="5"/>
  <c r="BJ568" i="5"/>
  <c r="BJ571" i="5"/>
  <c r="CM566" i="5" l="1"/>
  <c r="BJ558" i="5"/>
  <c r="CO494" i="5"/>
  <c r="CE321" i="5"/>
  <c r="BW307" i="5"/>
  <c r="CK470" i="5"/>
  <c r="BW394" i="5"/>
  <c r="BY381" i="5"/>
  <c r="BW320" i="5"/>
  <c r="BY308" i="5"/>
  <c r="CE524" i="5"/>
  <c r="BY339" i="5"/>
  <c r="BU339" i="5"/>
  <c r="CK339" i="5"/>
  <c r="CA339" i="5"/>
  <c r="CE305" i="5"/>
  <c r="BJ583" i="5"/>
  <c r="CC473" i="5"/>
  <c r="CI473" i="5"/>
  <c r="CK348" i="5"/>
  <c r="CA404" i="5"/>
  <c r="BM343" i="5"/>
  <c r="CA324" i="5"/>
  <c r="BY28" i="5"/>
  <c r="CH519" i="5"/>
  <c r="CI394" i="5"/>
  <c r="CA52" i="5"/>
  <c r="CJ522" i="5"/>
  <c r="CC277" i="5"/>
  <c r="CG257" i="5"/>
  <c r="CN331" i="5"/>
  <c r="CK413" i="5"/>
  <c r="BW495" i="5"/>
  <c r="O14" i="5"/>
  <c r="CO280" i="5"/>
  <c r="BW295" i="5"/>
  <c r="CL519" i="5"/>
  <c r="CJ393" i="5"/>
  <c r="D325" i="5"/>
  <c r="CI257" i="5"/>
  <c r="CO511" i="5"/>
  <c r="CA321" i="5"/>
  <c r="CC571" i="5"/>
  <c r="BU277" i="5"/>
  <c r="CE411" i="5"/>
  <c r="CI411" i="5"/>
  <c r="CK257" i="5"/>
  <c r="CM582" i="5"/>
  <c r="CA582" i="5"/>
  <c r="BJ469" i="5"/>
  <c r="BM469" i="5"/>
  <c r="CP513" i="5"/>
  <c r="CQ513" i="5"/>
  <c r="CG93" i="5"/>
  <c r="CE93" i="5"/>
  <c r="CQ231" i="5"/>
  <c r="CP231" i="5"/>
  <c r="BZ331" i="5"/>
  <c r="O77" i="5"/>
  <c r="G66" i="5"/>
  <c r="O66" i="5" s="1"/>
  <c r="BJ516" i="5"/>
  <c r="CA489" i="5"/>
  <c r="CG489" i="5"/>
  <c r="BY240" i="5"/>
  <c r="Q240" i="5"/>
  <c r="CE240" i="5"/>
  <c r="CA240" i="5"/>
  <c r="BQ267" i="5"/>
  <c r="CK267" i="5"/>
  <c r="CA267" i="5"/>
  <c r="BW267" i="5"/>
  <c r="CO267" i="5"/>
  <c r="BU391" i="5"/>
  <c r="BT390" i="5"/>
  <c r="F141" i="5"/>
  <c r="BJ142" i="5"/>
  <c r="CD494" i="5"/>
  <c r="CE495" i="5"/>
  <c r="CG514" i="5"/>
  <c r="CC514" i="5"/>
  <c r="BW514" i="5"/>
  <c r="BU514" i="5"/>
  <c r="BQ514" i="5"/>
  <c r="BL514" i="5"/>
  <c r="CM514" i="5"/>
  <c r="BS241" i="5"/>
  <c r="CC241" i="5"/>
  <c r="BL241" i="5"/>
  <c r="CE241" i="5"/>
  <c r="CG241" i="5"/>
  <c r="BY360" i="5"/>
  <c r="CA360" i="5"/>
  <c r="CA76" i="5"/>
  <c r="CM76" i="5"/>
  <c r="BS76" i="5"/>
  <c r="CO76" i="5"/>
  <c r="BW110" i="5"/>
  <c r="BL110" i="5"/>
  <c r="CO110" i="5"/>
  <c r="BQ110" i="5"/>
  <c r="CK110" i="5"/>
  <c r="CI110" i="5"/>
  <c r="CG110" i="5"/>
  <c r="CE110" i="5"/>
  <c r="BQ325" i="5"/>
  <c r="BU325" i="5"/>
  <c r="CM325" i="5"/>
  <c r="CE325" i="5"/>
  <c r="BW325" i="5"/>
  <c r="BS325" i="5"/>
  <c r="CK325" i="5"/>
  <c r="CA325" i="5"/>
  <c r="BJ437" i="5"/>
  <c r="F435" i="5"/>
  <c r="BM435" i="5" s="1"/>
  <c r="CP435" i="5" s="1"/>
  <c r="CM388" i="5"/>
  <c r="CE424" i="5"/>
  <c r="CG424" i="5"/>
  <c r="F453" i="5"/>
  <c r="BM453" i="5" s="1"/>
  <c r="CP453" i="5" s="1"/>
  <c r="BJ454" i="5"/>
  <c r="BM437" i="5"/>
  <c r="CP437" i="5" s="1"/>
  <c r="CO482" i="5"/>
  <c r="BY482" i="5"/>
  <c r="BU482" i="5"/>
  <c r="CK482" i="5"/>
  <c r="CI356" i="5"/>
  <c r="CG356" i="5"/>
  <c r="BQ356" i="5"/>
  <c r="BL356" i="5"/>
  <c r="BW194" i="5"/>
  <c r="Q194" i="5"/>
  <c r="BU194" i="5"/>
  <c r="BJ526" i="5"/>
  <c r="BM526" i="5"/>
  <c r="BL22" i="5"/>
  <c r="BU22" i="5"/>
  <c r="CM22" i="5"/>
  <c r="CE22" i="5"/>
  <c r="BY22" i="5"/>
  <c r="CA22" i="5"/>
  <c r="BW22" i="5"/>
  <c r="Q22" i="5"/>
  <c r="BQ22" i="5"/>
  <c r="CO22" i="5"/>
  <c r="CG22" i="5"/>
  <c r="CI22" i="5"/>
  <c r="BS22" i="5"/>
  <c r="CC22" i="5"/>
  <c r="BU563" i="5"/>
  <c r="CO563" i="5"/>
  <c r="CC563" i="5"/>
  <c r="CA563" i="5"/>
  <c r="BS563" i="5"/>
  <c r="CK563" i="5"/>
  <c r="BQ563" i="5"/>
  <c r="BL563" i="5"/>
  <c r="CA440" i="5"/>
  <c r="BS440" i="5"/>
  <c r="BY440" i="5"/>
  <c r="BL440" i="5"/>
  <c r="Q440" i="5"/>
  <c r="BW440" i="5"/>
  <c r="BU440" i="5"/>
  <c r="BQ440" i="5"/>
  <c r="CQ266" i="5"/>
  <c r="CP266" i="5"/>
  <c r="CQ511" i="5"/>
  <c r="CP511" i="5"/>
  <c r="CC316" i="5"/>
  <c r="CK316" i="5"/>
  <c r="CI316" i="5"/>
  <c r="Q316" i="5"/>
  <c r="CH409" i="5"/>
  <c r="CI410" i="5"/>
  <c r="BM387" i="5"/>
  <c r="BJ387" i="5"/>
  <c r="CM511" i="5"/>
  <c r="Q511" i="5"/>
  <c r="BJ340" i="5"/>
  <c r="BM340" i="5"/>
  <c r="CQ340" i="5" s="1"/>
  <c r="CA241" i="5"/>
  <c r="BT313" i="5"/>
  <c r="CA110" i="5"/>
  <c r="CQ25" i="5"/>
  <c r="CI362" i="5"/>
  <c r="CC362" i="5"/>
  <c r="BS362" i="5"/>
  <c r="CM362" i="5"/>
  <c r="BY362" i="5"/>
  <c r="CO362" i="5"/>
  <c r="BW362" i="5"/>
  <c r="BL362" i="5"/>
  <c r="CK362" i="5"/>
  <c r="BU362" i="5"/>
  <c r="BQ362" i="5"/>
  <c r="Q362" i="5"/>
  <c r="CA362" i="5"/>
  <c r="CD508" i="5"/>
  <c r="CE509" i="5"/>
  <c r="CP321" i="5"/>
  <c r="CQ321" i="5"/>
  <c r="CP277" i="5"/>
  <c r="CQ277" i="5"/>
  <c r="CA445" i="5"/>
  <c r="BU445" i="5"/>
  <c r="CE445" i="5"/>
  <c r="BS445" i="5"/>
  <c r="Q445" i="5"/>
  <c r="BQ445" i="5"/>
  <c r="CK445" i="5"/>
  <c r="BL445" i="5"/>
  <c r="CI445" i="5"/>
  <c r="CC445" i="5"/>
  <c r="BY445" i="5"/>
  <c r="CO445" i="5"/>
  <c r="BM358" i="5"/>
  <c r="CP358" i="5" s="1"/>
  <c r="D33" i="5"/>
  <c r="BM33" i="5"/>
  <c r="BJ33" i="5"/>
  <c r="CQ470" i="5"/>
  <c r="BJ319" i="5"/>
  <c r="BM319" i="5"/>
  <c r="CI241" i="5"/>
  <c r="CC110" i="5"/>
  <c r="BW465" i="5"/>
  <c r="CC465" i="5"/>
  <c r="D464" i="5"/>
  <c r="CM465" i="5"/>
  <c r="BS465" i="5"/>
  <c r="CG465" i="5"/>
  <c r="F248" i="5"/>
  <c r="BM249" i="5"/>
  <c r="BL291" i="5"/>
  <c r="CC291" i="5"/>
  <c r="CG291" i="5"/>
  <c r="BS291" i="5"/>
  <c r="BQ291" i="5"/>
  <c r="Q291" i="5"/>
  <c r="CA291" i="5"/>
  <c r="CM449" i="5"/>
  <c r="D447" i="5"/>
  <c r="CI447" i="5" s="1"/>
  <c r="BW449" i="5"/>
  <c r="BS449" i="5"/>
  <c r="Q449" i="5"/>
  <c r="BY449" i="5"/>
  <c r="CI449" i="5"/>
  <c r="BL449" i="5"/>
  <c r="BU449" i="5"/>
  <c r="CA449" i="5"/>
  <c r="CG449" i="5"/>
  <c r="BL19" i="5"/>
  <c r="CM19" i="5"/>
  <c r="BY19" i="5"/>
  <c r="CI19" i="5"/>
  <c r="BQ19" i="5"/>
  <c r="BS19" i="5"/>
  <c r="CO19" i="5"/>
  <c r="CA19" i="5"/>
  <c r="CK19" i="5"/>
  <c r="BX275" i="5"/>
  <c r="BY275" i="5" s="1"/>
  <c r="BY277" i="5"/>
  <c r="BW71" i="5"/>
  <c r="BY71" i="5"/>
  <c r="CO71" i="5"/>
  <c r="BQ71" i="5"/>
  <c r="BL71" i="5"/>
  <c r="CK71" i="5"/>
  <c r="CI71" i="5"/>
  <c r="CM71" i="5"/>
  <c r="CG71" i="5"/>
  <c r="CE71" i="5"/>
  <c r="BS71" i="5"/>
  <c r="CP357" i="5"/>
  <c r="Q110" i="5"/>
  <c r="CQ481" i="5"/>
  <c r="CP481" i="5"/>
  <c r="CK277" i="5"/>
  <c r="CJ275" i="5"/>
  <c r="CK275" i="5" s="1"/>
  <c r="CO64" i="5"/>
  <c r="BQ64" i="5"/>
  <c r="CM64" i="5"/>
  <c r="BY64" i="5"/>
  <c r="Q64" i="5"/>
  <c r="BW64" i="5"/>
  <c r="CG64" i="5"/>
  <c r="BS64" i="5"/>
  <c r="CG579" i="5"/>
  <c r="CI579" i="5"/>
  <c r="CK579" i="5"/>
  <c r="BW579" i="5"/>
  <c r="BU579" i="5"/>
  <c r="BQ579" i="5"/>
  <c r="BY579" i="5"/>
  <c r="BS579" i="5"/>
  <c r="CO579" i="5"/>
  <c r="CM579" i="5"/>
  <c r="CA579" i="5"/>
  <c r="Q579" i="5"/>
  <c r="CE579" i="5"/>
  <c r="BL579" i="5"/>
  <c r="CE373" i="5"/>
  <c r="CD372" i="5"/>
  <c r="CI153" i="5"/>
  <c r="BL153" i="5"/>
  <c r="BS153" i="5"/>
  <c r="CG153" i="5"/>
  <c r="CE153" i="5"/>
  <c r="Q153" i="5"/>
  <c r="BU153" i="5"/>
  <c r="CA153" i="5"/>
  <c r="CC153" i="5"/>
  <c r="CO153" i="5"/>
  <c r="BW471" i="5"/>
  <c r="BV469" i="5"/>
  <c r="BQ181" i="5"/>
  <c r="CA181" i="5"/>
  <c r="CC181" i="5"/>
  <c r="BU181" i="5"/>
  <c r="BS181" i="5"/>
  <c r="CQ187" i="5"/>
  <c r="CP187" i="5"/>
  <c r="CQ348" i="5"/>
  <c r="CP348" i="5"/>
  <c r="CQ440" i="5"/>
  <c r="CP440" i="5"/>
  <c r="Q514" i="5"/>
  <c r="CK424" i="5"/>
  <c r="CI374" i="5"/>
  <c r="CH372" i="5"/>
  <c r="CG325" i="5"/>
  <c r="CA303" i="5"/>
  <c r="BZ302" i="5"/>
  <c r="CO62" i="5"/>
  <c r="CG62" i="5"/>
  <c r="CC62" i="5"/>
  <c r="BY62" i="5"/>
  <c r="CA62" i="5"/>
  <c r="CK62" i="5"/>
  <c r="BU62" i="5"/>
  <c r="CP165" i="5"/>
  <c r="CQ165" i="5"/>
  <c r="CA443" i="5"/>
  <c r="BL425" i="5"/>
  <c r="CC356" i="5"/>
  <c r="CO270" i="5"/>
  <c r="CC194" i="5"/>
  <c r="BS113" i="5"/>
  <c r="D68" i="5"/>
  <c r="CI443" i="5"/>
  <c r="CO59" i="5"/>
  <c r="CO468" i="5"/>
  <c r="CI468" i="5"/>
  <c r="BS468" i="5"/>
  <c r="BL468" i="5"/>
  <c r="CE468" i="5"/>
  <c r="Q468" i="5"/>
  <c r="CI25" i="5"/>
  <c r="CK25" i="5"/>
  <c r="CO571" i="5"/>
  <c r="CI425" i="5"/>
  <c r="CE417" i="5"/>
  <c r="BY356" i="5"/>
  <c r="BS270" i="5"/>
  <c r="BY194" i="5"/>
  <c r="BY113" i="5"/>
  <c r="CO189" i="5"/>
  <c r="CC568" i="5"/>
  <c r="BY389" i="5"/>
  <c r="Q308" i="5"/>
  <c r="CG308" i="5"/>
  <c r="BQ308" i="5"/>
  <c r="BL308" i="5"/>
  <c r="BS308" i="5"/>
  <c r="CA286" i="5"/>
  <c r="BS286" i="5"/>
  <c r="BQ286" i="5"/>
  <c r="BY286" i="5"/>
  <c r="BU286" i="5"/>
  <c r="CO286" i="5"/>
  <c r="CC286" i="5"/>
  <c r="BM430" i="5"/>
  <c r="BL430" i="5"/>
  <c r="BY443" i="5"/>
  <c r="BW443" i="5"/>
  <c r="BU443" i="5"/>
  <c r="BS443" i="5"/>
  <c r="BQ443" i="5"/>
  <c r="CO443" i="5"/>
  <c r="CM443" i="5"/>
  <c r="D442" i="5"/>
  <c r="CI548" i="5"/>
  <c r="CE447" i="5"/>
  <c r="CM389" i="5"/>
  <c r="CM327" i="5"/>
  <c r="BW372" i="5"/>
  <c r="CK356" i="5"/>
  <c r="CA290" i="5"/>
  <c r="CI194" i="5"/>
  <c r="CA194" i="5"/>
  <c r="CE105" i="5"/>
  <c r="BL571" i="5"/>
  <c r="BY468" i="5"/>
  <c r="D561" i="5"/>
  <c r="CK561" i="5" s="1"/>
  <c r="D145" i="5"/>
  <c r="BU145" i="5" s="1"/>
  <c r="CI480" i="5"/>
  <c r="CJ366" i="5"/>
  <c r="CQ582" i="5"/>
  <c r="CP582" i="5"/>
  <c r="BW389" i="5"/>
  <c r="BU425" i="5"/>
  <c r="CC389" i="5"/>
  <c r="CE348" i="5"/>
  <c r="CD390" i="5"/>
  <c r="CE390" i="5" s="1"/>
  <c r="CO327" i="5"/>
  <c r="CM356" i="5"/>
  <c r="CK291" i="5"/>
  <c r="CA270" i="5"/>
  <c r="BY189" i="5"/>
  <c r="BL105" i="5"/>
  <c r="CA468" i="5"/>
  <c r="BW560" i="5"/>
  <c r="CH384" i="5"/>
  <c r="CK524" i="5"/>
  <c r="CA356" i="5"/>
  <c r="BQ480" i="5"/>
  <c r="CI389" i="5"/>
  <c r="CQ423" i="5"/>
  <c r="CP423" i="5"/>
  <c r="CE308" i="5"/>
  <c r="D459" i="5"/>
  <c r="BM459" i="5"/>
  <c r="BJ459" i="5"/>
  <c r="BU571" i="5"/>
  <c r="CK308" i="5"/>
  <c r="CA569" i="5"/>
  <c r="CE566" i="5"/>
  <c r="BU566" i="5"/>
  <c r="CB469" i="5"/>
  <c r="D522" i="5"/>
  <c r="BS522" i="5" s="1"/>
  <c r="BU389" i="5"/>
  <c r="CK425" i="5"/>
  <c r="BY425" i="5"/>
  <c r="BY357" i="5"/>
  <c r="Q327" i="5"/>
  <c r="BL389" i="5"/>
  <c r="BW356" i="5"/>
  <c r="BW291" i="5"/>
  <c r="D269" i="5"/>
  <c r="CP251" i="5"/>
  <c r="BV294" i="5"/>
  <c r="CQ164" i="5"/>
  <c r="BW103" i="5"/>
  <c r="CE59" i="5"/>
  <c r="CI52" i="5"/>
  <c r="BU52" i="5"/>
  <c r="CI105" i="5"/>
  <c r="CN412" i="5"/>
  <c r="CC468" i="5"/>
  <c r="CI417" i="5"/>
  <c r="CO568" i="5"/>
  <c r="CP555" i="5"/>
  <c r="CQ555" i="5"/>
  <c r="CM308" i="5"/>
  <c r="CI72" i="5"/>
  <c r="CK72" i="5"/>
  <c r="CE72" i="5"/>
  <c r="BW72" i="5"/>
  <c r="CD275" i="5"/>
  <c r="CE275" i="5" s="1"/>
  <c r="CO308" i="5"/>
  <c r="CC373" i="5"/>
  <c r="CA300" i="5"/>
  <c r="BL300" i="5"/>
  <c r="CM85" i="5"/>
  <c r="CK85" i="5"/>
  <c r="CG85" i="5"/>
  <c r="BS85" i="5"/>
  <c r="CJ519" i="5"/>
  <c r="BS523" i="5"/>
  <c r="Q425" i="5"/>
  <c r="CP455" i="5"/>
  <c r="CG389" i="5"/>
  <c r="BJ284" i="5"/>
  <c r="CO356" i="5"/>
  <c r="CM291" i="5"/>
  <c r="BY256" i="5"/>
  <c r="BX412" i="5"/>
  <c r="BY307" i="5"/>
  <c r="CK270" i="5"/>
  <c r="CM52" i="5"/>
  <c r="CG59" i="5"/>
  <c r="CP49" i="5"/>
  <c r="CK105" i="5"/>
  <c r="BU164" i="5"/>
  <c r="CG28" i="5"/>
  <c r="CA413" i="5"/>
  <c r="CI308" i="5"/>
  <c r="BU568" i="5"/>
  <c r="CA327" i="5"/>
  <c r="CC333" i="5"/>
  <c r="CP117" i="5"/>
  <c r="CK411" i="5"/>
  <c r="CC351" i="5"/>
  <c r="CA351" i="5"/>
  <c r="BY351" i="5"/>
  <c r="CK523" i="5"/>
  <c r="BM464" i="5"/>
  <c r="Q523" i="5"/>
  <c r="BT469" i="5"/>
  <c r="CP407" i="5"/>
  <c r="CM425" i="5"/>
  <c r="CB302" i="5"/>
  <c r="CE367" i="5"/>
  <c r="CE356" i="5"/>
  <c r="BY291" i="5"/>
  <c r="BY321" i="5"/>
  <c r="BW336" i="5"/>
  <c r="BW324" i="5"/>
  <c r="CM270" i="5"/>
  <c r="BW52" i="5"/>
  <c r="CM105" i="5"/>
  <c r="BW164" i="5"/>
  <c r="BU28" i="5"/>
  <c r="CP379" i="5"/>
  <c r="CJ469" i="5"/>
  <c r="CE386" i="5"/>
  <c r="CC327" i="5"/>
  <c r="CO333" i="5"/>
  <c r="CI370" i="5"/>
  <c r="CA32" i="5"/>
  <c r="CO32" i="5"/>
  <c r="CE32" i="5"/>
  <c r="BQ32" i="5"/>
  <c r="BL32" i="5"/>
  <c r="BS32" i="5"/>
  <c r="CC32" i="5"/>
  <c r="BQ47" i="5"/>
  <c r="CA47" i="5"/>
  <c r="BY47" i="5"/>
  <c r="BU47" i="5"/>
  <c r="BS47" i="5"/>
  <c r="CO277" i="5"/>
  <c r="CM411" i="5"/>
  <c r="CC410" i="5"/>
  <c r="CP413" i="5"/>
  <c r="CQ413" i="5"/>
  <c r="BS463" i="5"/>
  <c r="CG463" i="5"/>
  <c r="BQ463" i="5"/>
  <c r="CP562" i="5"/>
  <c r="CH580" i="5"/>
  <c r="CI580" i="5" s="1"/>
  <c r="CI501" i="5"/>
  <c r="BU307" i="5"/>
  <c r="BU356" i="5"/>
  <c r="CO291" i="5"/>
  <c r="H154" i="5"/>
  <c r="H144" i="5" s="1"/>
  <c r="CA105" i="5"/>
  <c r="CK52" i="5"/>
  <c r="BY52" i="5"/>
  <c r="BS16" i="5"/>
  <c r="CK443" i="5"/>
  <c r="BJ378" i="5"/>
  <c r="BZ372" i="5"/>
  <c r="CA372" i="5" s="1"/>
  <c r="BU569" i="5"/>
  <c r="CE571" i="5"/>
  <c r="BS25" i="5"/>
  <c r="CC52" i="5"/>
  <c r="D100" i="5"/>
  <c r="CO25" i="5"/>
  <c r="BL411" i="5"/>
  <c r="BS411" i="5"/>
  <c r="BQ411" i="5"/>
  <c r="CD409" i="5"/>
  <c r="CE409" i="5" s="1"/>
  <c r="CE410" i="5"/>
  <c r="BW413" i="5"/>
  <c r="F550" i="5"/>
  <c r="BM553" i="5"/>
  <c r="BJ553" i="5"/>
  <c r="CQ287" i="5"/>
  <c r="CP287" i="5"/>
  <c r="BL520" i="5"/>
  <c r="Q520" i="5"/>
  <c r="BS520" i="5"/>
  <c r="BQ520" i="5"/>
  <c r="CK520" i="5"/>
  <c r="BY520" i="5"/>
  <c r="CH390" i="5"/>
  <c r="CI390" i="5" s="1"/>
  <c r="CI391" i="5"/>
  <c r="CF535" i="5"/>
  <c r="CD534" i="5"/>
  <c r="CE535" i="5"/>
  <c r="CF510" i="5"/>
  <c r="CC520" i="5"/>
  <c r="BY368" i="5"/>
  <c r="BX366" i="5"/>
  <c r="H14" i="5"/>
  <c r="CC370" i="5"/>
  <c r="CB369" i="5"/>
  <c r="CC369" i="5" s="1"/>
  <c r="CO165" i="5"/>
  <c r="BL165" i="5"/>
  <c r="CG165" i="5"/>
  <c r="CE165" i="5"/>
  <c r="BQ165" i="5"/>
  <c r="BU165" i="5"/>
  <c r="BS165" i="5"/>
  <c r="CI165" i="5"/>
  <c r="BW165" i="5"/>
  <c r="BY165" i="5"/>
  <c r="BJ429" i="5"/>
  <c r="BJ418" i="5"/>
  <c r="BM418" i="5"/>
  <c r="CQ418" i="5" s="1"/>
  <c r="CM521" i="5"/>
  <c r="CI521" i="5"/>
  <c r="BY545" i="5"/>
  <c r="CC545" i="5"/>
  <c r="BW545" i="5"/>
  <c r="CA545" i="5"/>
  <c r="CK491" i="5"/>
  <c r="BW583" i="5"/>
  <c r="BU310" i="5"/>
  <c r="BY310" i="5"/>
  <c r="CA310" i="5"/>
  <c r="BS310" i="5"/>
  <c r="CE315" i="5"/>
  <c r="BY555" i="5"/>
  <c r="BQ555" i="5"/>
  <c r="CO555" i="5"/>
  <c r="Q555" i="5"/>
  <c r="CG555" i="5"/>
  <c r="BU555" i="5"/>
  <c r="BM409" i="5"/>
  <c r="BJ409" i="5"/>
  <c r="CQ354" i="5"/>
  <c r="CP354" i="5"/>
  <c r="CO413" i="5"/>
  <c r="CO332" i="5"/>
  <c r="CE332" i="5"/>
  <c r="BQ365" i="5"/>
  <c r="CE365" i="5"/>
  <c r="Q365" i="5"/>
  <c r="CO365" i="5"/>
  <c r="CC365" i="5"/>
  <c r="BU365" i="5"/>
  <c r="CA365" i="5"/>
  <c r="BY365" i="5"/>
  <c r="CG365" i="5"/>
  <c r="BS365" i="5"/>
  <c r="CM365" i="5"/>
  <c r="Q219" i="5"/>
  <c r="D218" i="5"/>
  <c r="Q218" i="5" s="1"/>
  <c r="BY569" i="5"/>
  <c r="CO520" i="5"/>
  <c r="CO566" i="5"/>
  <c r="CB510" i="5"/>
  <c r="CA359" i="5"/>
  <c r="BW310" i="5"/>
  <c r="CK165" i="5"/>
  <c r="CP309" i="5"/>
  <c r="CQ309" i="5"/>
  <c r="BW569" i="5"/>
  <c r="CC566" i="5"/>
  <c r="CP178" i="5"/>
  <c r="CQ178" i="5"/>
  <c r="Q256" i="5"/>
  <c r="BS256" i="5"/>
  <c r="BQ256" i="5"/>
  <c r="BL256" i="5"/>
  <c r="BU256" i="5"/>
  <c r="CG256" i="5"/>
  <c r="BW337" i="5"/>
  <c r="BZ298" i="5"/>
  <c r="BY298" i="5"/>
  <c r="L221" i="5"/>
  <c r="O228" i="5"/>
  <c r="BJ564" i="5"/>
  <c r="BS407" i="5"/>
  <c r="BU407" i="5"/>
  <c r="CC337" i="5"/>
  <c r="CM337" i="5"/>
  <c r="CM165" i="5"/>
  <c r="CQ360" i="5"/>
  <c r="CP360" i="5"/>
  <c r="BQ93" i="5"/>
  <c r="BS93" i="5"/>
  <c r="CO93" i="5"/>
  <c r="CK93" i="5"/>
  <c r="BW93" i="5"/>
  <c r="BU93" i="5"/>
  <c r="CM93" i="5"/>
  <c r="CI93" i="5"/>
  <c r="BL93" i="5"/>
  <c r="Q93" i="5"/>
  <c r="CC93" i="5"/>
  <c r="CA93" i="5"/>
  <c r="BY93" i="5"/>
  <c r="BY421" i="5"/>
  <c r="BQ421" i="5"/>
  <c r="CI421" i="5"/>
  <c r="CM421" i="5"/>
  <c r="CK421" i="5"/>
  <c r="Q165" i="5"/>
  <c r="CG495" i="5"/>
  <c r="CF494" i="5"/>
  <c r="CG494" i="5" s="1"/>
  <c r="CQ549" i="5"/>
  <c r="CP549" i="5"/>
  <c r="CE403" i="5"/>
  <c r="CD402" i="5"/>
  <c r="CE402" i="5" s="1"/>
  <c r="CP489" i="5"/>
  <c r="CQ489" i="5"/>
  <c r="BU570" i="5"/>
  <c r="BS555" i="5"/>
  <c r="CM501" i="5"/>
  <c r="D363" i="5"/>
  <c r="CA363" i="5" s="1"/>
  <c r="CA332" i="5"/>
  <c r="CM284" i="5"/>
  <c r="CI284" i="5"/>
  <c r="BW284" i="5"/>
  <c r="BS284" i="5"/>
  <c r="BY68" i="5"/>
  <c r="CO68" i="5"/>
  <c r="BQ68" i="5"/>
  <c r="CK68" i="5"/>
  <c r="CI68" i="5"/>
  <c r="BW68" i="5"/>
  <c r="CP501" i="5"/>
  <c r="CQ501" i="5"/>
  <c r="BZ548" i="5"/>
  <c r="CA549" i="5"/>
  <c r="CQ162" i="5"/>
  <c r="CP162" i="5"/>
  <c r="CQ331" i="5"/>
  <c r="CP331" i="5"/>
  <c r="CJ319" i="5"/>
  <c r="CK320" i="5"/>
  <c r="CE359" i="5"/>
  <c r="BS359" i="5"/>
  <c r="CA491" i="5"/>
  <c r="CI491" i="5"/>
  <c r="BY491" i="5"/>
  <c r="CG491" i="5"/>
  <c r="BW521" i="5"/>
  <c r="BW555" i="5"/>
  <c r="BW496" i="5"/>
  <c r="BL396" i="5"/>
  <c r="CA396" i="5"/>
  <c r="BU396" i="5"/>
  <c r="CK396" i="5"/>
  <c r="CI396" i="5"/>
  <c r="CG409" i="5"/>
  <c r="CI409" i="5"/>
  <c r="BQ409" i="5"/>
  <c r="CM395" i="5"/>
  <c r="BU496" i="5"/>
  <c r="BT494" i="5"/>
  <c r="BU494" i="5" s="1"/>
  <c r="CE389" i="5"/>
  <c r="CD387" i="5"/>
  <c r="CM520" i="5"/>
  <c r="CC404" i="5"/>
  <c r="BQ404" i="5"/>
  <c r="BS404" i="5"/>
  <c r="CO404" i="5"/>
  <c r="CI404" i="5"/>
  <c r="CI365" i="5"/>
  <c r="BJ281" i="5"/>
  <c r="BM281" i="5"/>
  <c r="CQ556" i="5"/>
  <c r="CP556" i="5"/>
  <c r="BV402" i="5"/>
  <c r="BW402" i="5" s="1"/>
  <c r="BW403" i="5"/>
  <c r="CK151" i="5"/>
  <c r="BL76" i="5"/>
  <c r="CG76" i="5"/>
  <c r="F574" i="5"/>
  <c r="BM574" i="5" s="1"/>
  <c r="BM575" i="5"/>
  <c r="CI325" i="5"/>
  <c r="CP507" i="5"/>
  <c r="CQ507" i="5"/>
  <c r="CO325" i="5"/>
  <c r="CM250" i="5"/>
  <c r="CK250" i="5"/>
  <c r="CI250" i="5"/>
  <c r="CE250" i="5"/>
  <c r="CC250" i="5"/>
  <c r="D249" i="5"/>
  <c r="BY282" i="5"/>
  <c r="BY55" i="5"/>
  <c r="CI55" i="5"/>
  <c r="CC55" i="5"/>
  <c r="BW55" i="5"/>
  <c r="BS55" i="5"/>
  <c r="CA256" i="5"/>
  <c r="CA517" i="5"/>
  <c r="BU517" i="5"/>
  <c r="BS517" i="5"/>
  <c r="BQ517" i="5"/>
  <c r="BY517" i="5"/>
  <c r="CQ93" i="5"/>
  <c r="CP93" i="5"/>
  <c r="CP84" i="5"/>
  <c r="CQ84" i="5"/>
  <c r="CG167" i="5"/>
  <c r="CE167" i="5"/>
  <c r="CA167" i="5"/>
  <c r="CQ76" i="5"/>
  <c r="CP76" i="5"/>
  <c r="CG240" i="5"/>
  <c r="CK240" i="5"/>
  <c r="CI240" i="5"/>
  <c r="D239" i="5"/>
  <c r="CC240" i="5"/>
  <c r="BW240" i="5"/>
  <c r="BU240" i="5"/>
  <c r="BS240" i="5"/>
  <c r="BL240" i="5"/>
  <c r="CO240" i="5"/>
  <c r="CM240" i="5"/>
  <c r="BQ240" i="5"/>
  <c r="BW566" i="5"/>
  <c r="BW501" i="5"/>
  <c r="CC509" i="5"/>
  <c r="CI431" i="5"/>
  <c r="BW417" i="5"/>
  <c r="BY431" i="5"/>
  <c r="BW395" i="5"/>
  <c r="CE470" i="5"/>
  <c r="BM390" i="5"/>
  <c r="CO371" i="5"/>
  <c r="CC321" i="5"/>
  <c r="CM324" i="5"/>
  <c r="CM151" i="5"/>
  <c r="BM210" i="5"/>
  <c r="CP210" i="5" s="1"/>
  <c r="CI76" i="5"/>
  <c r="CK76" i="5"/>
  <c r="CC451" i="5"/>
  <c r="CA451" i="5"/>
  <c r="BL451" i="5"/>
  <c r="BS451" i="5"/>
  <c r="BQ451" i="5"/>
  <c r="BW451" i="5"/>
  <c r="BU451" i="5"/>
  <c r="BY492" i="5"/>
  <c r="CM492" i="5"/>
  <c r="CK492" i="5"/>
  <c r="CP247" i="5"/>
  <c r="CQ247" i="5"/>
  <c r="BX384" i="5"/>
  <c r="CE316" i="5"/>
  <c r="BW316" i="5"/>
  <c r="CA532" i="5"/>
  <c r="CO532" i="5"/>
  <c r="CM532" i="5"/>
  <c r="CG532" i="5"/>
  <c r="BY532" i="5"/>
  <c r="BL532" i="5"/>
  <c r="BU532" i="5"/>
  <c r="BQ532" i="5"/>
  <c r="BW532" i="5"/>
  <c r="BJ359" i="5"/>
  <c r="CQ515" i="5"/>
  <c r="CP515" i="5"/>
  <c r="CP449" i="5"/>
  <c r="CQ449" i="5"/>
  <c r="CO53" i="5"/>
  <c r="CI53" i="5"/>
  <c r="CE53" i="5"/>
  <c r="CQ517" i="5"/>
  <c r="CP517" i="5"/>
  <c r="BW222" i="5"/>
  <c r="BY470" i="5"/>
  <c r="D469" i="5"/>
  <c r="CE469" i="5" s="1"/>
  <c r="BS470" i="5"/>
  <c r="Q470" i="5"/>
  <c r="BQ470" i="5"/>
  <c r="CA470" i="5"/>
  <c r="BL470" i="5"/>
  <c r="CG470" i="5"/>
  <c r="CC423" i="5"/>
  <c r="CK423" i="5"/>
  <c r="Q423" i="5"/>
  <c r="CI423" i="5"/>
  <c r="CG423" i="5"/>
  <c r="CM423" i="5"/>
  <c r="CE423" i="5"/>
  <c r="BW423" i="5"/>
  <c r="BU423" i="5"/>
  <c r="BS423" i="5"/>
  <c r="BQ423" i="5"/>
  <c r="BL423" i="5"/>
  <c r="CO423" i="5"/>
  <c r="CL441" i="5"/>
  <c r="BQ441" i="5"/>
  <c r="Q441" i="5"/>
  <c r="BW441" i="5"/>
  <c r="BU441" i="5"/>
  <c r="BZ494" i="5"/>
  <c r="CA494" i="5" s="1"/>
  <c r="CA495" i="5"/>
  <c r="CP492" i="5"/>
  <c r="CQ492" i="5"/>
  <c r="Q381" i="5"/>
  <c r="BL381" i="5"/>
  <c r="CM381" i="5"/>
  <c r="CQ184" i="5"/>
  <c r="CP184" i="5"/>
  <c r="CP314" i="5"/>
  <c r="CQ314" i="5"/>
  <c r="BQ515" i="5"/>
  <c r="BL515" i="5"/>
  <c r="Q515" i="5"/>
  <c r="CM515" i="5"/>
  <c r="CQ304" i="5"/>
  <c r="CP304" i="5"/>
  <c r="BY151" i="5"/>
  <c r="BW151" i="5"/>
  <c r="CC151" i="5"/>
  <c r="BU151" i="5"/>
  <c r="BS151" i="5"/>
  <c r="BW482" i="5"/>
  <c r="BL482" i="5"/>
  <c r="Q482" i="5"/>
  <c r="CI482" i="5"/>
  <c r="CG482" i="5"/>
  <c r="CI256" i="5"/>
  <c r="CQ51" i="5"/>
  <c r="CP51" i="5"/>
  <c r="BW489" i="5"/>
  <c r="BU489" i="5"/>
  <c r="BS489" i="5"/>
  <c r="BQ489" i="5"/>
  <c r="BY489" i="5"/>
  <c r="CO489" i="5"/>
  <c r="CM489" i="5"/>
  <c r="CQ102" i="5"/>
  <c r="CP102" i="5"/>
  <c r="CI350" i="5"/>
  <c r="D349" i="5"/>
  <c r="CC350" i="5"/>
  <c r="CA350" i="5"/>
  <c r="BY350" i="5"/>
  <c r="CG350" i="5"/>
  <c r="CE350" i="5"/>
  <c r="Q350" i="5"/>
  <c r="CQ55" i="5"/>
  <c r="CP55" i="5"/>
  <c r="CQ326" i="5"/>
  <c r="CP326" i="5"/>
  <c r="CQ97" i="5"/>
  <c r="CP97" i="5"/>
  <c r="CM431" i="5"/>
  <c r="CE431" i="5"/>
  <c r="BY395" i="5"/>
  <c r="BL350" i="5"/>
  <c r="CK256" i="5"/>
  <c r="CC315" i="5"/>
  <c r="CO151" i="5"/>
  <c r="CP175" i="5"/>
  <c r="BY58" i="5"/>
  <c r="BQ76" i="5"/>
  <c r="CK555" i="5"/>
  <c r="CJ553" i="5"/>
  <c r="CJ550" i="5" s="1"/>
  <c r="CP441" i="5"/>
  <c r="CQ441" i="5"/>
  <c r="CE433" i="5"/>
  <c r="CA433" i="5"/>
  <c r="BY433" i="5"/>
  <c r="BY509" i="5"/>
  <c r="BX508" i="5"/>
  <c r="BQ381" i="5"/>
  <c r="Q465" i="5"/>
  <c r="CE465" i="5"/>
  <c r="BL465" i="5"/>
  <c r="CI465" i="5"/>
  <c r="CO465" i="5"/>
  <c r="BY465" i="5"/>
  <c r="CK391" i="5"/>
  <c r="CJ390" i="5"/>
  <c r="CK390" i="5" s="1"/>
  <c r="BL436" i="5"/>
  <c r="BM436" i="5"/>
  <c r="CQ432" i="5"/>
  <c r="CP432" i="5"/>
  <c r="CP291" i="5"/>
  <c r="CQ291" i="5"/>
  <c r="CQ365" i="5"/>
  <c r="CP365" i="5"/>
  <c r="CK241" i="5"/>
  <c r="CO241" i="5"/>
  <c r="CM241" i="5"/>
  <c r="BY241" i="5"/>
  <c r="BW241" i="5"/>
  <c r="BU241" i="5"/>
  <c r="BQ241" i="5"/>
  <c r="CM256" i="5"/>
  <c r="BX143" i="5"/>
  <c r="BV142" i="5"/>
  <c r="BV141" i="5" s="1"/>
  <c r="BQ389" i="5"/>
  <c r="BS389" i="5"/>
  <c r="BL325" i="5"/>
  <c r="Q325" i="5"/>
  <c r="BY325" i="5"/>
  <c r="CC482" i="5"/>
  <c r="CE530" i="5"/>
  <c r="CK381" i="5"/>
  <c r="BU316" i="5"/>
  <c r="CG328" i="5"/>
  <c r="BM328" i="5"/>
  <c r="CQ328" i="5" s="1"/>
  <c r="CI321" i="5"/>
  <c r="CA320" i="5"/>
  <c r="BQ320" i="5"/>
  <c r="CA151" i="5"/>
  <c r="F77" i="5"/>
  <c r="F66" i="5" s="1"/>
  <c r="BU76" i="5"/>
  <c r="BJ561" i="5"/>
  <c r="CE381" i="5"/>
  <c r="CC381" i="5"/>
  <c r="CA465" i="5"/>
  <c r="CP466" i="5"/>
  <c r="CQ466" i="5"/>
  <c r="BL551" i="5"/>
  <c r="CO551" i="5"/>
  <c r="CM408" i="5"/>
  <c r="CK408" i="5"/>
  <c r="CE408" i="5"/>
  <c r="CC408" i="5"/>
  <c r="CO408" i="5"/>
  <c r="BL408" i="5"/>
  <c r="CM273" i="5"/>
  <c r="BU273" i="5"/>
  <c r="BQ273" i="5"/>
  <c r="CI273" i="5"/>
  <c r="CG273" i="5"/>
  <c r="BL273" i="5"/>
  <c r="CP344" i="5"/>
  <c r="CQ344" i="5"/>
  <c r="CO316" i="5"/>
  <c r="CC325" i="5"/>
  <c r="CO403" i="5"/>
  <c r="CN402" i="5"/>
  <c r="CO402" i="5" s="1"/>
  <c r="CE425" i="5"/>
  <c r="BS425" i="5"/>
  <c r="CG425" i="5"/>
  <c r="BW425" i="5"/>
  <c r="BQ327" i="5"/>
  <c r="BW327" i="5"/>
  <c r="BS327" i="5"/>
  <c r="BU327" i="5"/>
  <c r="CE256" i="5"/>
  <c r="CI64" i="5"/>
  <c r="BL64" i="5"/>
  <c r="Q402" i="5"/>
  <c r="BL402" i="5"/>
  <c r="CA64" i="5"/>
  <c r="CK46" i="5"/>
  <c r="CM46" i="5"/>
  <c r="CQ408" i="5"/>
  <c r="CP408" i="5"/>
  <c r="BW520" i="5"/>
  <c r="BV519" i="5"/>
  <c r="CP327" i="5"/>
  <c r="CQ327" i="5"/>
  <c r="BS360" i="5"/>
  <c r="CI360" i="5"/>
  <c r="CG360" i="5"/>
  <c r="CE360" i="5"/>
  <c r="CC360" i="5"/>
  <c r="CO256" i="5"/>
  <c r="CQ73" i="5"/>
  <c r="CP73" i="5"/>
  <c r="BW470" i="5"/>
  <c r="BJ542" i="5"/>
  <c r="CE395" i="5"/>
  <c r="BS431" i="5"/>
  <c r="CK350" i="5"/>
  <c r="BY293" i="5"/>
  <c r="CK360" i="5"/>
  <c r="BU328" i="5"/>
  <c r="CM557" i="5"/>
  <c r="CE557" i="5"/>
  <c r="BM542" i="5"/>
  <c r="CP542" i="5" s="1"/>
  <c r="BL489" i="5"/>
  <c r="BT567" i="5"/>
  <c r="BW473" i="5"/>
  <c r="CE482" i="5"/>
  <c r="BU511" i="5"/>
  <c r="BW381" i="5"/>
  <c r="CI381" i="5"/>
  <c r="BU452" i="5"/>
  <c r="CG316" i="5"/>
  <c r="BQ295" i="5"/>
  <c r="CM350" i="5"/>
  <c r="Q360" i="5"/>
  <c r="CA371" i="5"/>
  <c r="BM289" i="5"/>
  <c r="CK259" i="5"/>
  <c r="BS320" i="5"/>
  <c r="BJ210" i="5"/>
  <c r="BY259" i="5"/>
  <c r="Q151" i="5"/>
  <c r="CC76" i="5"/>
  <c r="CM53" i="5"/>
  <c r="BW76" i="5"/>
  <c r="CQ554" i="5"/>
  <c r="CP554" i="5"/>
  <c r="CP388" i="5"/>
  <c r="CQ388" i="5"/>
  <c r="BL386" i="5"/>
  <c r="BQ386" i="5"/>
  <c r="CE270" i="5"/>
  <c r="BW270" i="5"/>
  <c r="CG270" i="5"/>
  <c r="CC270" i="5"/>
  <c r="BY270" i="5"/>
  <c r="BS316" i="5"/>
  <c r="CI318" i="5"/>
  <c r="BY318" i="5"/>
  <c r="BW318" i="5"/>
  <c r="BU318" i="5"/>
  <c r="BS318" i="5"/>
  <c r="CK318" i="5"/>
  <c r="BQ318" i="5"/>
  <c r="CO318" i="5"/>
  <c r="CM318" i="5"/>
  <c r="CM529" i="5"/>
  <c r="CI529" i="5"/>
  <c r="CG529" i="5"/>
  <c r="BL529" i="5"/>
  <c r="CK529" i="5"/>
  <c r="BS529" i="5"/>
  <c r="BQ529" i="5"/>
  <c r="BU19" i="5"/>
  <c r="CG19" i="5"/>
  <c r="CE19" i="5"/>
  <c r="BW19" i="5"/>
  <c r="Q19" i="5"/>
  <c r="CP94" i="5"/>
  <c r="CQ94" i="5"/>
  <c r="BJ135" i="5"/>
  <c r="BM135" i="5"/>
  <c r="D135" i="5"/>
  <c r="BQ316" i="5"/>
  <c r="BY316" i="5"/>
  <c r="CD519" i="5"/>
  <c r="CE520" i="5"/>
  <c r="CK562" i="5"/>
  <c r="BS562" i="5"/>
  <c r="CM562" i="5"/>
  <c r="BQ222" i="5"/>
  <c r="CQ403" i="5"/>
  <c r="CP403" i="5"/>
  <c r="CQ425" i="5"/>
  <c r="CP425" i="5"/>
  <c r="CA113" i="5"/>
  <c r="BW113" i="5"/>
  <c r="BU113" i="5"/>
  <c r="BQ113" i="5"/>
  <c r="BL113" i="5"/>
  <c r="CO113" i="5"/>
  <c r="CM113" i="5"/>
  <c r="CI113" i="5"/>
  <c r="CG113" i="5"/>
  <c r="CE113" i="5"/>
  <c r="CC113" i="5"/>
  <c r="Q113" i="5"/>
  <c r="CM110" i="5"/>
  <c r="BY110" i="5"/>
  <c r="BU110" i="5"/>
  <c r="BS110" i="5"/>
  <c r="CO222" i="5"/>
  <c r="CK189" i="5"/>
  <c r="BU189" i="5"/>
  <c r="BS189" i="5"/>
  <c r="BL189" i="5"/>
  <c r="CM62" i="5"/>
  <c r="BW62" i="5"/>
  <c r="Q62" i="5"/>
  <c r="BQ62" i="5"/>
  <c r="BL62" i="5"/>
  <c r="BS222" i="5"/>
  <c r="CE62" i="5"/>
  <c r="BL431" i="5"/>
  <c r="CI315" i="5"/>
  <c r="CA566" i="5"/>
  <c r="BY562" i="5"/>
  <c r="CM580" i="5"/>
  <c r="CI520" i="5"/>
  <c r="BY473" i="5"/>
  <c r="D488" i="5"/>
  <c r="BW488" i="5" s="1"/>
  <c r="CO447" i="5"/>
  <c r="BQ482" i="5"/>
  <c r="CM494" i="5"/>
  <c r="BQ447" i="5"/>
  <c r="BJ494" i="5"/>
  <c r="CI470" i="5"/>
  <c r="CG431" i="5"/>
  <c r="CM447" i="5"/>
  <c r="BQ431" i="5"/>
  <c r="BS328" i="5"/>
  <c r="CO350" i="5"/>
  <c r="CO360" i="5"/>
  <c r="BW409" i="5"/>
  <c r="BV322" i="5"/>
  <c r="CK321" i="5"/>
  <c r="CK315" i="5"/>
  <c r="CP346" i="5"/>
  <c r="CG205" i="5"/>
  <c r="BV275" i="5"/>
  <c r="BW275" i="5" s="1"/>
  <c r="CG151" i="5"/>
  <c r="BM209" i="5"/>
  <c r="CQ209" i="5" s="1"/>
  <c r="BQ206" i="5"/>
  <c r="CE76" i="5"/>
  <c r="CP83" i="5"/>
  <c r="Q53" i="5"/>
  <c r="BU53" i="5"/>
  <c r="BU470" i="5"/>
  <c r="CO515" i="5"/>
  <c r="CQ417" i="5"/>
  <c r="CP417" i="5"/>
  <c r="BJ239" i="5"/>
  <c r="BY402" i="5"/>
  <c r="CM316" i="5"/>
  <c r="BM402" i="5"/>
  <c r="BJ402" i="5"/>
  <c r="BQ394" i="5"/>
  <c r="BL394" i="5"/>
  <c r="CG394" i="5"/>
  <c r="BS394" i="5"/>
  <c r="BW333" i="5"/>
  <c r="CK335" i="5"/>
  <c r="CG105" i="5"/>
  <c r="CC105" i="5"/>
  <c r="CI62" i="5"/>
  <c r="BW59" i="5"/>
  <c r="BS59" i="5"/>
  <c r="BL59" i="5"/>
  <c r="CI59" i="5"/>
  <c r="BY59" i="5"/>
  <c r="CC59" i="5"/>
  <c r="CA316" i="5"/>
  <c r="CE121" i="5"/>
  <c r="CG121" i="5"/>
  <c r="BU121" i="5"/>
  <c r="BS121" i="5"/>
  <c r="BL121" i="5"/>
  <c r="CM121" i="5"/>
  <c r="CK121" i="5"/>
  <c r="CI121" i="5"/>
  <c r="CM59" i="5"/>
  <c r="CM360" i="5"/>
  <c r="D319" i="5"/>
  <c r="CA319" i="5" s="1"/>
  <c r="BY322" i="5"/>
  <c r="BM580" i="5"/>
  <c r="CQ580" i="5" s="1"/>
  <c r="CA562" i="5"/>
  <c r="CA515" i="5"/>
  <c r="CE489" i="5"/>
  <c r="BS482" i="5"/>
  <c r="D429" i="5"/>
  <c r="BL429" i="5" s="1"/>
  <c r="BU447" i="5"/>
  <c r="CK431" i="5"/>
  <c r="BY441" i="5"/>
  <c r="BY424" i="5"/>
  <c r="BJ322" i="5"/>
  <c r="BS350" i="5"/>
  <c r="BL360" i="5"/>
  <c r="D272" i="5"/>
  <c r="CI272" i="5" s="1"/>
  <c r="BJ316" i="5"/>
  <c r="CM267" i="5"/>
  <c r="CP316" i="5"/>
  <c r="BU324" i="5"/>
  <c r="BJ211" i="5"/>
  <c r="BL151" i="5"/>
  <c r="Q206" i="5"/>
  <c r="BL53" i="5"/>
  <c r="CP75" i="5"/>
  <c r="H66" i="5"/>
  <c r="BW53" i="5"/>
  <c r="CE64" i="5"/>
  <c r="CC64" i="5"/>
  <c r="CI515" i="5"/>
  <c r="CP263" i="5"/>
  <c r="CQ263" i="5"/>
  <c r="BM406" i="5"/>
  <c r="BM488" i="5"/>
  <c r="CG327" i="5"/>
  <c r="CC246" i="5"/>
  <c r="BL246" i="5"/>
  <c r="CO246" i="5"/>
  <c r="Q246" i="5"/>
  <c r="BS246" i="5"/>
  <c r="CM246" i="5"/>
  <c r="CK246" i="5"/>
  <c r="CI246" i="5"/>
  <c r="CE246" i="5"/>
  <c r="BQ246" i="5"/>
  <c r="CG246" i="5"/>
  <c r="CP220" i="5"/>
  <c r="CQ220" i="5"/>
  <c r="CQ303" i="5"/>
  <c r="CP303" i="5"/>
  <c r="CK271" i="5"/>
  <c r="BQ271" i="5"/>
  <c r="Q271" i="5"/>
  <c r="CI271" i="5"/>
  <c r="CO271" i="5"/>
  <c r="CG271" i="5"/>
  <c r="CA271" i="5"/>
  <c r="BU271" i="5"/>
  <c r="BU335" i="5"/>
  <c r="CE398" i="5"/>
  <c r="CA398" i="5"/>
  <c r="BY398" i="5"/>
  <c r="CK398" i="5"/>
  <c r="CG398" i="5"/>
  <c r="Q398" i="5"/>
  <c r="CM398" i="5"/>
  <c r="CI398" i="5"/>
  <c r="BL398" i="5"/>
  <c r="CA103" i="5"/>
  <c r="CO103" i="5"/>
  <c r="CM103" i="5"/>
  <c r="CC103" i="5"/>
  <c r="CI103" i="5"/>
  <c r="CG103" i="5"/>
  <c r="CE103" i="5"/>
  <c r="BQ103" i="5"/>
  <c r="BL103" i="5"/>
  <c r="Q103" i="5"/>
  <c r="CQ458" i="5"/>
  <c r="CP458" i="5"/>
  <c r="CP98" i="5"/>
  <c r="CQ98" i="5"/>
  <c r="CA381" i="5"/>
  <c r="CK566" i="5"/>
  <c r="CI555" i="5"/>
  <c r="Q562" i="5"/>
  <c r="CC562" i="5"/>
  <c r="BS515" i="5"/>
  <c r="CE515" i="5"/>
  <c r="CA482" i="5"/>
  <c r="BM472" i="5"/>
  <c r="CQ472" i="5" s="1"/>
  <c r="BY423" i="5"/>
  <c r="BU583" i="5"/>
  <c r="BQ360" i="5"/>
  <c r="BU360" i="5"/>
  <c r="CC256" i="5"/>
  <c r="BY337" i="5"/>
  <c r="CI355" i="5"/>
  <c r="CK324" i="5"/>
  <c r="BW234" i="5"/>
  <c r="CA307" i="5"/>
  <c r="CJ322" i="5"/>
  <c r="CK322" i="5" s="1"/>
  <c r="CO205" i="5"/>
  <c r="CI151" i="5"/>
  <c r="BY76" i="5"/>
  <c r="Q76" i="5"/>
  <c r="BS46" i="5"/>
  <c r="BU64" i="5"/>
  <c r="CO28" i="5"/>
  <c r="CO471" i="5"/>
  <c r="CN469" i="5"/>
  <c r="CO469" i="5" s="1"/>
  <c r="CP351" i="5"/>
  <c r="CQ351" i="5"/>
  <c r="CC470" i="5"/>
  <c r="CQ339" i="5"/>
  <c r="CP339" i="5"/>
  <c r="CQ509" i="5"/>
  <c r="CP509" i="5"/>
  <c r="BS514" i="5"/>
  <c r="BY514" i="5"/>
  <c r="D513" i="5"/>
  <c r="CA513" i="5" s="1"/>
  <c r="CE514" i="5"/>
  <c r="CA514" i="5"/>
  <c r="BU515" i="5"/>
  <c r="BY327" i="5"/>
  <c r="BS568" i="5"/>
  <c r="BQ568" i="5"/>
  <c r="BL568" i="5"/>
  <c r="CG568" i="5"/>
  <c r="BJ479" i="5"/>
  <c r="D479" i="5"/>
  <c r="BM479" i="5"/>
  <c r="F478" i="5"/>
  <c r="BU222" i="5"/>
  <c r="BM245" i="5"/>
  <c r="BJ245" i="5"/>
  <c r="CP120" i="5"/>
  <c r="CQ120" i="5"/>
  <c r="BJ513" i="5"/>
  <c r="F510" i="5"/>
  <c r="CC386" i="5"/>
  <c r="Q333" i="5"/>
  <c r="BS333" i="5"/>
  <c r="BQ333" i="5"/>
  <c r="BL333" i="5"/>
  <c r="CG333" i="5"/>
  <c r="CM335" i="5"/>
  <c r="BW256" i="5"/>
  <c r="CQ99" i="5"/>
  <c r="CP99" i="5"/>
  <c r="CQ62" i="5"/>
  <c r="CP62" i="5"/>
  <c r="CA26" i="5"/>
  <c r="BQ26" i="5"/>
  <c r="Q26" i="5"/>
  <c r="CK26" i="5"/>
  <c r="CC26" i="5"/>
  <c r="CG26" i="5"/>
  <c r="CE26" i="5"/>
  <c r="BS26" i="5"/>
  <c r="CO381" i="5"/>
  <c r="BL100" i="5"/>
  <c r="CG100" i="5"/>
  <c r="Q100" i="5"/>
  <c r="CO100" i="5"/>
  <c r="CM100" i="5"/>
  <c r="CI100" i="5"/>
  <c r="BW515" i="5"/>
  <c r="CQ337" i="5"/>
  <c r="CP337" i="5"/>
  <c r="CQ572" i="5"/>
  <c r="CP572" i="5"/>
  <c r="CQ508" i="5"/>
  <c r="CP508" i="5"/>
  <c r="CP322" i="5"/>
  <c r="CQ322" i="5"/>
  <c r="Q390" i="5"/>
  <c r="BL390" i="5"/>
  <c r="CM390" i="5"/>
  <c r="BW390" i="5"/>
  <c r="BS390" i="5"/>
  <c r="CG390" i="5"/>
  <c r="BQ390" i="5"/>
  <c r="BS319" i="5"/>
  <c r="BQ319" i="5"/>
  <c r="CG319" i="5"/>
  <c r="CQ494" i="5"/>
  <c r="CP494" i="5"/>
  <c r="CK429" i="5"/>
  <c r="CQ393" i="5"/>
  <c r="CP393" i="5"/>
  <c r="CG150" i="5"/>
  <c r="CF145" i="5"/>
  <c r="BM158" i="5"/>
  <c r="BJ158" i="5"/>
  <c r="F155" i="5"/>
  <c r="D158" i="5"/>
  <c r="CK158" i="5" s="1"/>
  <c r="BM108" i="5"/>
  <c r="BJ108" i="5"/>
  <c r="D108" i="5"/>
  <c r="BL61" i="5"/>
  <c r="CE61" i="5"/>
  <c r="Q61" i="5"/>
  <c r="CC61" i="5"/>
  <c r="BY61" i="5"/>
  <c r="BS61" i="5"/>
  <c r="CM61" i="5"/>
  <c r="CK61" i="5"/>
  <c r="CG61" i="5"/>
  <c r="CA61" i="5"/>
  <c r="BW61" i="5"/>
  <c r="BU61" i="5"/>
  <c r="BQ61" i="5"/>
  <c r="CP54" i="5"/>
  <c r="CQ54" i="5"/>
  <c r="CQ124" i="5"/>
  <c r="CP124" i="5"/>
  <c r="CQ163" i="5"/>
  <c r="CP163" i="5"/>
  <c r="BQ58" i="5"/>
  <c r="BL58" i="5"/>
  <c r="BS58" i="5"/>
  <c r="CG58" i="5"/>
  <c r="CE58" i="5"/>
  <c r="Q58" i="5"/>
  <c r="CA58" i="5"/>
  <c r="CM58" i="5"/>
  <c r="BU58" i="5"/>
  <c r="CK34" i="5"/>
  <c r="CI34" i="5"/>
  <c r="BL34" i="5"/>
  <c r="CG34" i="5"/>
  <c r="CE34" i="5"/>
  <c r="Q34" i="5"/>
  <c r="CM34" i="5"/>
  <c r="CC34" i="5"/>
  <c r="CA34" i="5"/>
  <c r="BY34" i="5"/>
  <c r="BW34" i="5"/>
  <c r="BU34" i="5"/>
  <c r="BS34" i="5"/>
  <c r="CO34" i="5"/>
  <c r="BQ34" i="5"/>
  <c r="CP70" i="5"/>
  <c r="CQ70" i="5"/>
  <c r="Q553" i="5"/>
  <c r="BL553" i="5"/>
  <c r="CA553" i="5"/>
  <c r="BQ553" i="5"/>
  <c r="CO509" i="5"/>
  <c r="CN508" i="5"/>
  <c r="CO508" i="5" s="1"/>
  <c r="CK516" i="5"/>
  <c r="BY516" i="5"/>
  <c r="BL516" i="5"/>
  <c r="CG516" i="5"/>
  <c r="Q516" i="5"/>
  <c r="BU516" i="5"/>
  <c r="BW516" i="5"/>
  <c r="CM544" i="5"/>
  <c r="CK544" i="5"/>
  <c r="CI544" i="5"/>
  <c r="BL544" i="5"/>
  <c r="CG544" i="5"/>
  <c r="BW544" i="5"/>
  <c r="CC544" i="5"/>
  <c r="CA544" i="5"/>
  <c r="BY544" i="5"/>
  <c r="BU544" i="5"/>
  <c r="CO544" i="5"/>
  <c r="CE544" i="5"/>
  <c r="BS544" i="5"/>
  <c r="BQ544" i="5"/>
  <c r="Q544" i="5"/>
  <c r="CP450" i="5"/>
  <c r="CQ450" i="5"/>
  <c r="CL498" i="5"/>
  <c r="CM499" i="5"/>
  <c r="BS446" i="5"/>
  <c r="CK446" i="5"/>
  <c r="CI446" i="5"/>
  <c r="BL446" i="5"/>
  <c r="BY446" i="5"/>
  <c r="BW446" i="5"/>
  <c r="CM446" i="5"/>
  <c r="CG446" i="5"/>
  <c r="CE446" i="5"/>
  <c r="CC446" i="5"/>
  <c r="CA446" i="5"/>
  <c r="Q446" i="5"/>
  <c r="BQ446" i="5"/>
  <c r="BU446" i="5"/>
  <c r="CQ394" i="5"/>
  <c r="CP394" i="5"/>
  <c r="BV534" i="5"/>
  <c r="BX535" i="5"/>
  <c r="BW535" i="5"/>
  <c r="BL288" i="5"/>
  <c r="D287" i="5"/>
  <c r="BS288" i="5"/>
  <c r="BQ288" i="5"/>
  <c r="Q288" i="5"/>
  <c r="CM288" i="5"/>
  <c r="CK288" i="5"/>
  <c r="CG288" i="5"/>
  <c r="CA355" i="5"/>
  <c r="BZ353" i="5"/>
  <c r="CM234" i="5"/>
  <c r="CP56" i="5"/>
  <c r="CQ56" i="5"/>
  <c r="CP40" i="5"/>
  <c r="CQ40" i="5"/>
  <c r="CM126" i="5"/>
  <c r="CK126" i="5"/>
  <c r="CI126" i="5"/>
  <c r="BL126" i="5"/>
  <c r="CG126" i="5"/>
  <c r="CE126" i="5"/>
  <c r="Q126" i="5"/>
  <c r="CC126" i="5"/>
  <c r="BY126" i="5"/>
  <c r="BS126" i="5"/>
  <c r="CO126" i="5"/>
  <c r="CA126" i="5"/>
  <c r="BW126" i="5"/>
  <c r="BU126" i="5"/>
  <c r="BQ126" i="5"/>
  <c r="CQ566" i="5"/>
  <c r="CP566" i="5"/>
  <c r="BZ508" i="5"/>
  <c r="CA508" i="5" s="1"/>
  <c r="CA509" i="5"/>
  <c r="CQ506" i="5"/>
  <c r="CP506" i="5"/>
  <c r="CM518" i="5"/>
  <c r="CK518" i="5"/>
  <c r="BW518" i="5"/>
  <c r="BQ518" i="5"/>
  <c r="CC518" i="5"/>
  <c r="CA518" i="5"/>
  <c r="BY518" i="5"/>
  <c r="BU518" i="5"/>
  <c r="BS518" i="5"/>
  <c r="BL518" i="5"/>
  <c r="CO518" i="5"/>
  <c r="CI518" i="5"/>
  <c r="CG518" i="5"/>
  <c r="CE518" i="5"/>
  <c r="Q518" i="5"/>
  <c r="CG342" i="5"/>
  <c r="BS342" i="5"/>
  <c r="BQ342" i="5"/>
  <c r="Q342" i="5"/>
  <c r="BL342" i="5"/>
  <c r="CM342" i="5"/>
  <c r="BZ340" i="5"/>
  <c r="CA341" i="5"/>
  <c r="CP328" i="5"/>
  <c r="CN375" i="5"/>
  <c r="CO376" i="5"/>
  <c r="F261" i="5"/>
  <c r="F258" i="5" s="1"/>
  <c r="BM262" i="5"/>
  <c r="CJ375" i="5"/>
  <c r="CK376" i="5"/>
  <c r="CI414" i="5"/>
  <c r="CE233" i="5"/>
  <c r="Q233" i="5"/>
  <c r="BY233" i="5"/>
  <c r="CG233" i="5"/>
  <c r="CC233" i="5"/>
  <c r="CA233" i="5"/>
  <c r="BW233" i="5"/>
  <c r="BU233" i="5"/>
  <c r="BS233" i="5"/>
  <c r="BQ233" i="5"/>
  <c r="BL233" i="5"/>
  <c r="CK269" i="5"/>
  <c r="Q269" i="5"/>
  <c r="CI269" i="5"/>
  <c r="CA269" i="5"/>
  <c r="BY269" i="5"/>
  <c r="BU269" i="5"/>
  <c r="BL269" i="5"/>
  <c r="BU234" i="5"/>
  <c r="CJ567" i="5"/>
  <c r="CK568" i="5"/>
  <c r="CB548" i="5"/>
  <c r="CC548" i="5" s="1"/>
  <c r="CC549" i="5"/>
  <c r="BY573" i="5"/>
  <c r="BX572" i="5"/>
  <c r="CG501" i="5"/>
  <c r="BS501" i="5"/>
  <c r="Q501" i="5"/>
  <c r="BL501" i="5"/>
  <c r="BY501" i="5"/>
  <c r="BQ501" i="5"/>
  <c r="CQ544" i="5"/>
  <c r="CP544" i="5"/>
  <c r="CQ485" i="5"/>
  <c r="CP485" i="5"/>
  <c r="CE523" i="5"/>
  <c r="CD522" i="5"/>
  <c r="CE522" i="5" s="1"/>
  <c r="BM505" i="5"/>
  <c r="BY558" i="5"/>
  <c r="CA499" i="5"/>
  <c r="BZ498" i="5"/>
  <c r="CP444" i="5"/>
  <c r="CQ444" i="5"/>
  <c r="CP472" i="5"/>
  <c r="BV580" i="5"/>
  <c r="BW580" i="5" s="1"/>
  <c r="CI565" i="5"/>
  <c r="CH564" i="5"/>
  <c r="CC418" i="5"/>
  <c r="CA391" i="5"/>
  <c r="BZ390" i="5"/>
  <c r="CA390" i="5" s="1"/>
  <c r="CQ434" i="5"/>
  <c r="CP434" i="5"/>
  <c r="BS418" i="5"/>
  <c r="BV343" i="5"/>
  <c r="BW344" i="5"/>
  <c r="BW348" i="5"/>
  <c r="CI367" i="5"/>
  <c r="CH366" i="5"/>
  <c r="CI332" i="5"/>
  <c r="CH331" i="5"/>
  <c r="CM304" i="5"/>
  <c r="CL302" i="5"/>
  <c r="CC367" i="5"/>
  <c r="CB366" i="5"/>
  <c r="CE342" i="5"/>
  <c r="CQ385" i="5"/>
  <c r="CP385" i="5"/>
  <c r="CN369" i="5"/>
  <c r="CO369" i="5" s="1"/>
  <c r="CO370" i="5"/>
  <c r="CI337" i="5"/>
  <c r="BX346" i="5"/>
  <c r="BY347" i="5"/>
  <c r="CD378" i="5"/>
  <c r="CE380" i="5"/>
  <c r="CQ323" i="5"/>
  <c r="CP323" i="5"/>
  <c r="CI348" i="5"/>
  <c r="BL322" i="5"/>
  <c r="Q322" i="5"/>
  <c r="CG322" i="5"/>
  <c r="BQ322" i="5"/>
  <c r="CC288" i="5"/>
  <c r="CB287" i="5"/>
  <c r="CP276" i="5"/>
  <c r="CQ276" i="5"/>
  <c r="CJ346" i="5"/>
  <c r="CK347" i="5"/>
  <c r="Q372" i="5"/>
  <c r="BL372" i="5"/>
  <c r="BQ372" i="5"/>
  <c r="BY372" i="5"/>
  <c r="BU404" i="5"/>
  <c r="CQ375" i="5"/>
  <c r="CP375" i="5"/>
  <c r="CN319" i="5"/>
  <c r="CO319" i="5" s="1"/>
  <c r="CO320" i="5"/>
  <c r="BW371" i="5"/>
  <c r="BU288" i="5"/>
  <c r="BM269" i="5"/>
  <c r="BJ269" i="5"/>
  <c r="CQ242" i="5"/>
  <c r="CP242" i="5"/>
  <c r="CK336" i="5"/>
  <c r="CJ334" i="5"/>
  <c r="CK334" i="5" s="1"/>
  <c r="CD302" i="5"/>
  <c r="BU414" i="5"/>
  <c r="CM400" i="5"/>
  <c r="CI400" i="5"/>
  <c r="BL400" i="5"/>
  <c r="BS400" i="5"/>
  <c r="BQ400" i="5"/>
  <c r="CO400" i="5"/>
  <c r="CA400" i="5"/>
  <c r="BY400" i="5"/>
  <c r="BU400" i="5"/>
  <c r="D399" i="5"/>
  <c r="Q400" i="5"/>
  <c r="CK400" i="5"/>
  <c r="CG400" i="5"/>
  <c r="CE400" i="5"/>
  <c r="CC400" i="5"/>
  <c r="BW400" i="5"/>
  <c r="CP355" i="5"/>
  <c r="CQ355" i="5"/>
  <c r="CL254" i="5"/>
  <c r="CM255" i="5"/>
  <c r="BW232" i="5"/>
  <c r="BU232" i="5"/>
  <c r="CA232" i="5"/>
  <c r="BY232" i="5"/>
  <c r="CO232" i="5"/>
  <c r="BS232" i="5"/>
  <c r="BQ232" i="5"/>
  <c r="BL232" i="5"/>
  <c r="CE232" i="5"/>
  <c r="CC232" i="5"/>
  <c r="D231" i="5"/>
  <c r="Q232" i="5"/>
  <c r="BS315" i="5"/>
  <c r="BQ315" i="5"/>
  <c r="BL315" i="5"/>
  <c r="Q315" i="5"/>
  <c r="CG315" i="5"/>
  <c r="BW269" i="5"/>
  <c r="Q278" i="5"/>
  <c r="BY278" i="5"/>
  <c r="BU278" i="5"/>
  <c r="BS278" i="5"/>
  <c r="BL278" i="5"/>
  <c r="CA278" i="5"/>
  <c r="CM278" i="5"/>
  <c r="CJ232" i="5"/>
  <c r="CI232" i="5"/>
  <c r="CH231" i="5"/>
  <c r="BV353" i="5"/>
  <c r="BS243" i="5"/>
  <c r="CO243" i="5"/>
  <c r="BQ243" i="5"/>
  <c r="CM243" i="5"/>
  <c r="CK243" i="5"/>
  <c r="CI243" i="5"/>
  <c r="BL243" i="5"/>
  <c r="CG243" i="5"/>
  <c r="BY243" i="5"/>
  <c r="CE243" i="5"/>
  <c r="CC243" i="5"/>
  <c r="CA243" i="5"/>
  <c r="BW243" i="5"/>
  <c r="BU243" i="5"/>
  <c r="Q243" i="5"/>
  <c r="D242" i="5"/>
  <c r="CG234" i="5"/>
  <c r="CB165" i="5"/>
  <c r="CA165" i="5"/>
  <c r="CG192" i="5"/>
  <c r="CH192" i="5"/>
  <c r="CK233" i="5"/>
  <c r="CI293" i="5"/>
  <c r="CL194" i="5"/>
  <c r="CK194" i="5"/>
  <c r="CE172" i="5"/>
  <c r="BS161" i="5"/>
  <c r="BQ161" i="5"/>
  <c r="CI161" i="5"/>
  <c r="CG161" i="5"/>
  <c r="BL161" i="5"/>
  <c r="CC161" i="5"/>
  <c r="CO161" i="5"/>
  <c r="BY161" i="5"/>
  <c r="BW161" i="5"/>
  <c r="Q161" i="5"/>
  <c r="CE161" i="5"/>
  <c r="BU161" i="5"/>
  <c r="CA161" i="5"/>
  <c r="BZ229" i="5"/>
  <c r="CB230" i="5"/>
  <c r="CA230" i="5"/>
  <c r="BL51" i="5"/>
  <c r="CE51" i="5"/>
  <c r="Q51" i="5"/>
  <c r="CA51" i="5"/>
  <c r="BY51" i="5"/>
  <c r="BU51" i="5"/>
  <c r="CC51" i="5"/>
  <c r="BW51" i="5"/>
  <c r="BS51" i="5"/>
  <c r="BQ51" i="5"/>
  <c r="CM51" i="5"/>
  <c r="CK51" i="5"/>
  <c r="BX180" i="5"/>
  <c r="CQ61" i="5"/>
  <c r="CP61" i="5"/>
  <c r="CQ90" i="5"/>
  <c r="CP90" i="5"/>
  <c r="CQ86" i="5"/>
  <c r="CP86" i="5"/>
  <c r="CO163" i="5"/>
  <c r="BY163" i="5"/>
  <c r="BW163" i="5"/>
  <c r="BU163" i="5"/>
  <c r="CK163" i="5"/>
  <c r="BS163" i="5"/>
  <c r="CI163" i="5"/>
  <c r="BQ163" i="5"/>
  <c r="BL163" i="5"/>
  <c r="CC163" i="5"/>
  <c r="Q163" i="5"/>
  <c r="CG163" i="5"/>
  <c r="CA163" i="5"/>
  <c r="BM29" i="5"/>
  <c r="BJ29" i="5"/>
  <c r="D29" i="5"/>
  <c r="CM24" i="5"/>
  <c r="BQ24" i="5"/>
  <c r="CK24" i="5"/>
  <c r="CI24" i="5"/>
  <c r="BL24" i="5"/>
  <c r="BS24" i="5"/>
  <c r="CG24" i="5"/>
  <c r="CE24" i="5"/>
  <c r="Q24" i="5"/>
  <c r="CC24" i="5"/>
  <c r="CA24" i="5"/>
  <c r="BY24" i="5"/>
  <c r="BW24" i="5"/>
  <c r="BU24" i="5"/>
  <c r="CP116" i="5"/>
  <c r="CQ116" i="5"/>
  <c r="CP126" i="5"/>
  <c r="CQ126" i="5"/>
  <c r="CQ38" i="5"/>
  <c r="CP38" i="5"/>
  <c r="Q558" i="5"/>
  <c r="BQ558" i="5"/>
  <c r="BS558" i="5"/>
  <c r="CG558" i="5"/>
  <c r="CE558" i="5"/>
  <c r="BL558" i="5"/>
  <c r="BW380" i="5"/>
  <c r="BV378" i="5"/>
  <c r="CQ292" i="5"/>
  <c r="CP292" i="5"/>
  <c r="BX228" i="5"/>
  <c r="CA89" i="5"/>
  <c r="BY89" i="5"/>
  <c r="BW89" i="5"/>
  <c r="BU89" i="5"/>
  <c r="BS89" i="5"/>
  <c r="CO89" i="5"/>
  <c r="BQ89" i="5"/>
  <c r="CK89" i="5"/>
  <c r="CE89" i="5"/>
  <c r="Q89" i="5"/>
  <c r="CM89" i="5"/>
  <c r="CI89" i="5"/>
  <c r="CG89" i="5"/>
  <c r="CC89" i="5"/>
  <c r="BL89" i="5"/>
  <c r="D550" i="5"/>
  <c r="BW550" i="5" s="1"/>
  <c r="CQ370" i="5"/>
  <c r="CP370" i="5"/>
  <c r="BT331" i="5"/>
  <c r="BU332" i="5"/>
  <c r="CP367" i="5"/>
  <c r="CQ367" i="5"/>
  <c r="CA370" i="5"/>
  <c r="BZ369" i="5"/>
  <c r="CA369" i="5" s="1"/>
  <c r="CL378" i="5"/>
  <c r="CM380" i="5"/>
  <c r="CC416" i="5"/>
  <c r="CB415" i="5"/>
  <c r="CG336" i="5"/>
  <c r="BL336" i="5"/>
  <c r="Q336" i="5"/>
  <c r="BQ336" i="5"/>
  <c r="BS336" i="5"/>
  <c r="BS337" i="5"/>
  <c r="Q337" i="5"/>
  <c r="CE337" i="5"/>
  <c r="CO337" i="5"/>
  <c r="CD210" i="5"/>
  <c r="CP227" i="5"/>
  <c r="CQ227" i="5"/>
  <c r="CG98" i="5"/>
  <c r="CE98" i="5"/>
  <c r="Q98" i="5"/>
  <c r="CC98" i="5"/>
  <c r="CA98" i="5"/>
  <c r="BY98" i="5"/>
  <c r="BW98" i="5"/>
  <c r="BS98" i="5"/>
  <c r="CK98" i="5"/>
  <c r="CM98" i="5"/>
  <c r="CI98" i="5"/>
  <c r="BU98" i="5"/>
  <c r="BQ98" i="5"/>
  <c r="BL98" i="5"/>
  <c r="CO98" i="5"/>
  <c r="CM571" i="5"/>
  <c r="CL570" i="5"/>
  <c r="CM570" i="5" s="1"/>
  <c r="CO569" i="5"/>
  <c r="BU553" i="5"/>
  <c r="CQ537" i="5"/>
  <c r="CP537" i="5"/>
  <c r="BS583" i="5"/>
  <c r="CA530" i="5"/>
  <c r="CO584" i="5"/>
  <c r="CN583" i="5"/>
  <c r="CO583" i="5" s="1"/>
  <c r="CL550" i="5"/>
  <c r="CM553" i="5"/>
  <c r="CM568" i="5"/>
  <c r="CL567" i="5"/>
  <c r="CQ569" i="5"/>
  <c r="CP569" i="5"/>
  <c r="CP583" i="5"/>
  <c r="CQ583" i="5"/>
  <c r="BW549" i="5"/>
  <c r="BV548" i="5"/>
  <c r="BW548" i="5" s="1"/>
  <c r="CK547" i="5"/>
  <c r="CJ546" i="5"/>
  <c r="CQ526" i="5"/>
  <c r="CP526" i="5"/>
  <c r="CQ524" i="5"/>
  <c r="CP524" i="5"/>
  <c r="BZ572" i="5"/>
  <c r="CA573" i="5"/>
  <c r="BY521" i="5"/>
  <c r="CM509" i="5"/>
  <c r="CL508" i="5"/>
  <c r="CM508" i="5" s="1"/>
  <c r="CC537" i="5"/>
  <c r="BQ537" i="5"/>
  <c r="CM537" i="5"/>
  <c r="CA537" i="5"/>
  <c r="BW537" i="5"/>
  <c r="CK537" i="5"/>
  <c r="CI537" i="5"/>
  <c r="BS537" i="5"/>
  <c r="BL537" i="5"/>
  <c r="CG537" i="5"/>
  <c r="Q537" i="5"/>
  <c r="BY537" i="5"/>
  <c r="D536" i="5"/>
  <c r="CM536" i="5" s="1"/>
  <c r="Q508" i="5"/>
  <c r="BL508" i="5"/>
  <c r="BW508" i="5"/>
  <c r="CK501" i="5"/>
  <c r="BW540" i="5"/>
  <c r="CO540" i="5"/>
  <c r="BU540" i="5"/>
  <c r="BS540" i="5"/>
  <c r="BQ540" i="5"/>
  <c r="BY540" i="5"/>
  <c r="BL540" i="5"/>
  <c r="CG540" i="5"/>
  <c r="CI540" i="5"/>
  <c r="CE540" i="5"/>
  <c r="CC540" i="5"/>
  <c r="CA540" i="5"/>
  <c r="Q540" i="5"/>
  <c r="CK540" i="5"/>
  <c r="CC530" i="5"/>
  <c r="CC516" i="5"/>
  <c r="BJ508" i="5"/>
  <c r="BW461" i="5"/>
  <c r="CO461" i="5"/>
  <c r="CI461" i="5"/>
  <c r="CG461" i="5"/>
  <c r="Q461" i="5"/>
  <c r="CK461" i="5"/>
  <c r="CE461" i="5"/>
  <c r="BY461" i="5"/>
  <c r="BS461" i="5"/>
  <c r="BQ461" i="5"/>
  <c r="BL461" i="5"/>
  <c r="CM461" i="5"/>
  <c r="CC461" i="5"/>
  <c r="BU461" i="5"/>
  <c r="CA461" i="5"/>
  <c r="CC501" i="5"/>
  <c r="CO499" i="5"/>
  <c r="CN498" i="5"/>
  <c r="CP464" i="5"/>
  <c r="CQ464" i="5"/>
  <c r="CG452" i="5"/>
  <c r="BT564" i="5"/>
  <c r="BU565" i="5"/>
  <c r="CQ516" i="5"/>
  <c r="CP516" i="5"/>
  <c r="CC452" i="5"/>
  <c r="D472" i="5"/>
  <c r="CO472" i="5" s="1"/>
  <c r="BL473" i="5"/>
  <c r="BU473" i="5"/>
  <c r="CK473" i="5"/>
  <c r="Q473" i="5"/>
  <c r="CE473" i="5"/>
  <c r="BS438" i="5"/>
  <c r="D437" i="5"/>
  <c r="BW437" i="5" s="1"/>
  <c r="BL438" i="5"/>
  <c r="Q438" i="5"/>
  <c r="BW438" i="5"/>
  <c r="BU438" i="5"/>
  <c r="BQ438" i="5"/>
  <c r="CO438" i="5"/>
  <c r="CQ392" i="5"/>
  <c r="CP392" i="5"/>
  <c r="CN409" i="5"/>
  <c r="CO409" i="5" s="1"/>
  <c r="CK393" i="5"/>
  <c r="Q344" i="5"/>
  <c r="D343" i="5"/>
  <c r="CG344" i="5"/>
  <c r="CE344" i="5"/>
  <c r="BL344" i="5"/>
  <c r="BQ344" i="5"/>
  <c r="CA344" i="5"/>
  <c r="BS344" i="5"/>
  <c r="CM344" i="5"/>
  <c r="CG395" i="5"/>
  <c r="BQ395" i="5"/>
  <c r="BL395" i="5"/>
  <c r="BS395" i="5"/>
  <c r="Q395" i="5"/>
  <c r="CI344" i="5"/>
  <c r="CG332" i="5"/>
  <c r="BS332" i="5"/>
  <c r="D331" i="5"/>
  <c r="CE331" i="5" s="1"/>
  <c r="BL332" i="5"/>
  <c r="BQ332" i="5"/>
  <c r="Q332" i="5"/>
  <c r="CK332" i="5"/>
  <c r="CK303" i="5"/>
  <c r="CJ302" i="5"/>
  <c r="BU342" i="5"/>
  <c r="CB384" i="5"/>
  <c r="CC385" i="5"/>
  <c r="BL367" i="5"/>
  <c r="D366" i="5"/>
  <c r="CG367" i="5"/>
  <c r="Q367" i="5"/>
  <c r="BS367" i="5"/>
  <c r="BQ367" i="5"/>
  <c r="CK367" i="5"/>
  <c r="BZ334" i="5"/>
  <c r="CA334" i="5" s="1"/>
  <c r="CA335" i="5"/>
  <c r="BX313" i="5"/>
  <c r="BY314" i="5"/>
  <c r="CG396" i="5"/>
  <c r="CM345" i="5"/>
  <c r="CL343" i="5"/>
  <c r="CJ415" i="5"/>
  <c r="CK416" i="5"/>
  <c r="BU380" i="5"/>
  <c r="BT378" i="5"/>
  <c r="CO341" i="5"/>
  <c r="CN340" i="5"/>
  <c r="CC323" i="5"/>
  <c r="CB322" i="5"/>
  <c r="CC322" i="5" s="1"/>
  <c r="BV393" i="5"/>
  <c r="BW393" i="5" s="1"/>
  <c r="CI372" i="5"/>
  <c r="CC276" i="5"/>
  <c r="CB275" i="5"/>
  <c r="CC275" i="5" s="1"/>
  <c r="CD415" i="5"/>
  <c r="CE416" i="5"/>
  <c r="CP347" i="5"/>
  <c r="CQ347" i="5"/>
  <c r="CB387" i="5"/>
  <c r="CC328" i="5"/>
  <c r="BY288" i="5"/>
  <c r="CQ272" i="5"/>
  <c r="CP272" i="5"/>
  <c r="BW322" i="5"/>
  <c r="CQ371" i="5"/>
  <c r="CP371" i="5"/>
  <c r="CA336" i="5"/>
  <c r="CJ412" i="5"/>
  <c r="CK414" i="5"/>
  <c r="CC348" i="5"/>
  <c r="CQ400" i="5"/>
  <c r="CP400" i="5"/>
  <c r="CE357" i="5"/>
  <c r="CC355" i="5"/>
  <c r="CB353" i="5"/>
  <c r="CQ312" i="5"/>
  <c r="CP312" i="5"/>
  <c r="BT221" i="5"/>
  <c r="CQ313" i="5"/>
  <c r="CP313" i="5"/>
  <c r="BW299" i="5"/>
  <c r="BU299" i="5"/>
  <c r="BS299" i="5"/>
  <c r="CO299" i="5"/>
  <c r="BQ299" i="5"/>
  <c r="CM299" i="5"/>
  <c r="Q299" i="5"/>
  <c r="CK299" i="5"/>
  <c r="CG299" i="5"/>
  <c r="CE299" i="5"/>
  <c r="CI299" i="5"/>
  <c r="CC299" i="5"/>
  <c r="CA299" i="5"/>
  <c r="BL299" i="5"/>
  <c r="BY299" i="5"/>
  <c r="CQ232" i="5"/>
  <c r="CP232" i="5"/>
  <c r="CL275" i="5"/>
  <c r="CM275" i="5" s="1"/>
  <c r="G221" i="5"/>
  <c r="O224" i="5"/>
  <c r="CG204" i="5"/>
  <c r="CE204" i="5"/>
  <c r="CM204" i="5"/>
  <c r="BL204" i="5"/>
  <c r="CK204" i="5"/>
  <c r="CI204" i="5"/>
  <c r="Q204" i="5"/>
  <c r="D203" i="5"/>
  <c r="CC204" i="5"/>
  <c r="CA204" i="5"/>
  <c r="BY204" i="5"/>
  <c r="CO204" i="5"/>
  <c r="BW204" i="5"/>
  <c r="BS204" i="5"/>
  <c r="BQ204" i="5"/>
  <c r="BU204" i="5"/>
  <c r="CN253" i="5"/>
  <c r="CN233" i="5"/>
  <c r="CM233" i="5"/>
  <c r="CG168" i="5"/>
  <c r="BQ168" i="5"/>
  <c r="CE168" i="5"/>
  <c r="BL168" i="5"/>
  <c r="CC168" i="5"/>
  <c r="Q168" i="5"/>
  <c r="CK168" i="5"/>
  <c r="BW168" i="5"/>
  <c r="BU168" i="5"/>
  <c r="CI168" i="5"/>
  <c r="CA168" i="5"/>
  <c r="BS168" i="5"/>
  <c r="CQ146" i="5"/>
  <c r="CP146" i="5"/>
  <c r="CQ129" i="5"/>
  <c r="CP129" i="5"/>
  <c r="BJ180" i="5"/>
  <c r="BM180" i="5"/>
  <c r="D180" i="5"/>
  <c r="CE145" i="5"/>
  <c r="CI58" i="5"/>
  <c r="BW90" i="5"/>
  <c r="BU90" i="5"/>
  <c r="BS90" i="5"/>
  <c r="CO90" i="5"/>
  <c r="BQ90" i="5"/>
  <c r="CM90" i="5"/>
  <c r="CK90" i="5"/>
  <c r="CG90" i="5"/>
  <c r="CA90" i="5"/>
  <c r="CI90" i="5"/>
  <c r="CE90" i="5"/>
  <c r="CC90" i="5"/>
  <c r="BY90" i="5"/>
  <c r="BL90" i="5"/>
  <c r="Q90" i="5"/>
  <c r="CI51" i="5"/>
  <c r="CA86" i="5"/>
  <c r="BY86" i="5"/>
  <c r="BW86" i="5"/>
  <c r="BU86" i="5"/>
  <c r="BS86" i="5"/>
  <c r="CO86" i="5"/>
  <c r="BQ86" i="5"/>
  <c r="CK86" i="5"/>
  <c r="CE86" i="5"/>
  <c r="Q86" i="5"/>
  <c r="BL86" i="5"/>
  <c r="CM86" i="5"/>
  <c r="CI86" i="5"/>
  <c r="CG86" i="5"/>
  <c r="CC86" i="5"/>
  <c r="CI61" i="5"/>
  <c r="CP33" i="5"/>
  <c r="CQ33" i="5"/>
  <c r="CP69" i="5"/>
  <c r="CQ69" i="5"/>
  <c r="CM68" i="5"/>
  <c r="BU68" i="5"/>
  <c r="BS68" i="5"/>
  <c r="CG68" i="5"/>
  <c r="CE68" i="5"/>
  <c r="Q68" i="5"/>
  <c r="CA68" i="5"/>
  <c r="CQ35" i="5"/>
  <c r="CP35" i="5"/>
  <c r="CE16" i="5"/>
  <c r="BJ484" i="5"/>
  <c r="F483" i="5"/>
  <c r="CQ543" i="5"/>
  <c r="CP543" i="5"/>
  <c r="BZ438" i="5"/>
  <c r="BX437" i="5"/>
  <c r="BY438" i="5"/>
  <c r="CQ234" i="5"/>
  <c r="CP234" i="5"/>
  <c r="CQ114" i="5"/>
  <c r="CP114" i="5"/>
  <c r="BS169" i="5"/>
  <c r="BQ169" i="5"/>
  <c r="BL169" i="5"/>
  <c r="Q169" i="5"/>
  <c r="CA169" i="5"/>
  <c r="BY169" i="5"/>
  <c r="CN572" i="5"/>
  <c r="CO573" i="5"/>
  <c r="BX522" i="5"/>
  <c r="BY523" i="5"/>
  <c r="BX564" i="5"/>
  <c r="BY565" i="5"/>
  <c r="CQ457" i="5"/>
  <c r="CP457" i="5"/>
  <c r="BT387" i="5"/>
  <c r="CO276" i="5"/>
  <c r="CN275" i="5"/>
  <c r="CO275" i="5" s="1"/>
  <c r="BV287" i="5"/>
  <c r="BW288" i="5"/>
  <c r="CQ404" i="5"/>
  <c r="CP404" i="5"/>
  <c r="BM399" i="5"/>
  <c r="BJ399" i="5"/>
  <c r="CO355" i="5"/>
  <c r="CN353" i="5"/>
  <c r="CE234" i="5"/>
  <c r="CK557" i="5"/>
  <c r="CJ556" i="5"/>
  <c r="BY550" i="5"/>
  <c r="BQ569" i="5"/>
  <c r="BL569" i="5"/>
  <c r="BS569" i="5"/>
  <c r="Q569" i="5"/>
  <c r="CK569" i="5"/>
  <c r="CI569" i="5"/>
  <c r="CG569" i="5"/>
  <c r="CM549" i="5"/>
  <c r="CL548" i="5"/>
  <c r="CM548" i="5" s="1"/>
  <c r="CC573" i="5"/>
  <c r="CB572" i="5"/>
  <c r="BM525" i="5"/>
  <c r="BJ525" i="5"/>
  <c r="BT572" i="5"/>
  <c r="BU573" i="5"/>
  <c r="BQ516" i="5"/>
  <c r="CP540" i="5"/>
  <c r="CQ540" i="5"/>
  <c r="BM484" i="5"/>
  <c r="CA523" i="5"/>
  <c r="BZ522" i="5"/>
  <c r="CA522" i="5" s="1"/>
  <c r="CQ499" i="5"/>
  <c r="CP499" i="5"/>
  <c r="BW452" i="5"/>
  <c r="CJ564" i="5"/>
  <c r="CK565" i="5"/>
  <c r="CQ518" i="5"/>
  <c r="CP518" i="5"/>
  <c r="BL404" i="5"/>
  <c r="CG404" i="5"/>
  <c r="Q404" i="5"/>
  <c r="CM404" i="5"/>
  <c r="BW404" i="5"/>
  <c r="CK404" i="5"/>
  <c r="CK389" i="5"/>
  <c r="CJ387" i="5"/>
  <c r="CP424" i="5"/>
  <c r="CQ424" i="5"/>
  <c r="BM498" i="5"/>
  <c r="CC392" i="5"/>
  <c r="Q392" i="5"/>
  <c r="BY392" i="5"/>
  <c r="CE392" i="5"/>
  <c r="CA392" i="5"/>
  <c r="CM392" i="5"/>
  <c r="CK392" i="5"/>
  <c r="BL392" i="5"/>
  <c r="CO392" i="5"/>
  <c r="BQ392" i="5"/>
  <c r="CI392" i="5"/>
  <c r="CG392" i="5"/>
  <c r="BU392" i="5"/>
  <c r="BS392" i="5"/>
  <c r="CK373" i="5"/>
  <c r="CJ372" i="5"/>
  <c r="CK372" i="5" s="1"/>
  <c r="CK333" i="5"/>
  <c r="CJ331" i="5"/>
  <c r="CK331" i="5" s="1"/>
  <c r="CP429" i="5"/>
  <c r="CQ429" i="5"/>
  <c r="CB441" i="5"/>
  <c r="CA441" i="5"/>
  <c r="CN393" i="5"/>
  <c r="CO393" i="5" s="1"/>
  <c r="CO395" i="5"/>
  <c r="BV331" i="5"/>
  <c r="BW331" i="5" s="1"/>
  <c r="BW332" i="5"/>
  <c r="CD384" i="5"/>
  <c r="CE385" i="5"/>
  <c r="CQ335" i="5"/>
  <c r="CP335" i="5"/>
  <c r="BL369" i="5"/>
  <c r="Q369" i="5"/>
  <c r="BQ369" i="5"/>
  <c r="BS369" i="5"/>
  <c r="CG369" i="5"/>
  <c r="CG380" i="5"/>
  <c r="CF378" i="5"/>
  <c r="CQ341" i="5"/>
  <c r="CP341" i="5"/>
  <c r="CL322" i="5"/>
  <c r="CM322" i="5" s="1"/>
  <c r="CM323" i="5"/>
  <c r="BY390" i="5"/>
  <c r="CD343" i="5"/>
  <c r="CE343" i="5" s="1"/>
  <c r="CE345" i="5"/>
  <c r="CQ416" i="5"/>
  <c r="CP416" i="5"/>
  <c r="CM347" i="5"/>
  <c r="CL346" i="5"/>
  <c r="CM372" i="5"/>
  <c r="CO345" i="5"/>
  <c r="CN343" i="5"/>
  <c r="CQ320" i="5"/>
  <c r="CP320" i="5"/>
  <c r="CE282" i="5"/>
  <c r="CD281" i="5"/>
  <c r="CE281" i="5" s="1"/>
  <c r="BS371" i="5"/>
  <c r="BQ371" i="5"/>
  <c r="CG371" i="5"/>
  <c r="Q371" i="5"/>
  <c r="BL371" i="5"/>
  <c r="CC371" i="5"/>
  <c r="CC336" i="5"/>
  <c r="BT322" i="5"/>
  <c r="BU322" i="5" s="1"/>
  <c r="CQ376" i="5"/>
  <c r="CP376" i="5"/>
  <c r="CP285" i="5"/>
  <c r="CQ285" i="5"/>
  <c r="CM414" i="5"/>
  <c r="CL412" i="5"/>
  <c r="CO342" i="5"/>
  <c r="BL355" i="5"/>
  <c r="BS355" i="5"/>
  <c r="BQ355" i="5"/>
  <c r="Q355" i="5"/>
  <c r="CG355" i="5"/>
  <c r="BT352" i="5"/>
  <c r="BQ337" i="5"/>
  <c r="CC255" i="5"/>
  <c r="CB254" i="5"/>
  <c r="CA315" i="5"/>
  <c r="CP216" i="5"/>
  <c r="CQ216" i="5"/>
  <c r="CM269" i="5"/>
  <c r="CP396" i="5"/>
  <c r="CQ396" i="5"/>
  <c r="CI274" i="5"/>
  <c r="BL274" i="5"/>
  <c r="CG274" i="5"/>
  <c r="Q274" i="5"/>
  <c r="CE274" i="5"/>
  <c r="CK274" i="5"/>
  <c r="CC274" i="5"/>
  <c r="CA274" i="5"/>
  <c r="BY274" i="5"/>
  <c r="BQ274" i="5"/>
  <c r="CO274" i="5"/>
  <c r="BW274" i="5"/>
  <c r="BU274" i="5"/>
  <c r="BS274" i="5"/>
  <c r="CO284" i="5"/>
  <c r="BL284" i="5"/>
  <c r="CK284" i="5"/>
  <c r="Q284" i="5"/>
  <c r="CE284" i="5"/>
  <c r="BQ284" i="5"/>
  <c r="CC284" i="5"/>
  <c r="BU284" i="5"/>
  <c r="BY284" i="5"/>
  <c r="Q156" i="5"/>
  <c r="CE197" i="5"/>
  <c r="BL197" i="5"/>
  <c r="BY197" i="5"/>
  <c r="Q197" i="5"/>
  <c r="CI197" i="5"/>
  <c r="BU197" i="5"/>
  <c r="D196" i="5"/>
  <c r="CG196" i="5" s="1"/>
  <c r="CK197" i="5"/>
  <c r="BW197" i="5"/>
  <c r="BS197" i="5"/>
  <c r="CQ161" i="5"/>
  <c r="CP161" i="5"/>
  <c r="CC169" i="5"/>
  <c r="CQ131" i="5"/>
  <c r="CP131" i="5"/>
  <c r="CG94" i="5"/>
  <c r="CE94" i="5"/>
  <c r="Q94" i="5"/>
  <c r="CC94" i="5"/>
  <c r="CA94" i="5"/>
  <c r="BY94" i="5"/>
  <c r="BW94" i="5"/>
  <c r="BS94" i="5"/>
  <c r="CK94" i="5"/>
  <c r="BL94" i="5"/>
  <c r="CO94" i="5"/>
  <c r="CM94" i="5"/>
  <c r="CI94" i="5"/>
  <c r="BU94" i="5"/>
  <c r="BQ94" i="5"/>
  <c r="BT154" i="5"/>
  <c r="CN173" i="5"/>
  <c r="CO173" i="5" s="1"/>
  <c r="CM173" i="5"/>
  <c r="CM172" i="5"/>
  <c r="CG51" i="5"/>
  <c r="CP58" i="5"/>
  <c r="CQ58" i="5"/>
  <c r="A21" i="5"/>
  <c r="BM141" i="5"/>
  <c r="BJ141" i="5"/>
  <c r="CG35" i="5"/>
  <c r="CE35" i="5"/>
  <c r="Q35" i="5"/>
  <c r="CC35" i="5"/>
  <c r="CA35" i="5"/>
  <c r="BY35" i="5"/>
  <c r="BW35" i="5"/>
  <c r="BU35" i="5"/>
  <c r="CI35" i="5"/>
  <c r="CO35" i="5"/>
  <c r="BS35" i="5"/>
  <c r="BL35" i="5"/>
  <c r="BQ35" i="5"/>
  <c r="CM35" i="5"/>
  <c r="CK35" i="5"/>
  <c r="BW565" i="5"/>
  <c r="BV564" i="5"/>
  <c r="BW553" i="5"/>
  <c r="BZ583" i="5"/>
  <c r="CA583" i="5" s="1"/>
  <c r="CA584" i="5"/>
  <c r="BL580" i="5"/>
  <c r="Q580" i="5"/>
  <c r="BQ580" i="5"/>
  <c r="BS580" i="5"/>
  <c r="CK485" i="5"/>
  <c r="D484" i="5"/>
  <c r="CA485" i="5"/>
  <c r="BU485" i="5"/>
  <c r="BS485" i="5"/>
  <c r="CI485" i="5"/>
  <c r="CG485" i="5"/>
  <c r="BY485" i="5"/>
  <c r="CO485" i="5"/>
  <c r="Q485" i="5"/>
  <c r="BW485" i="5"/>
  <c r="BQ485" i="5"/>
  <c r="BL485" i="5"/>
  <c r="CE485" i="5"/>
  <c r="CC485" i="5"/>
  <c r="CM485" i="5"/>
  <c r="D444" i="5"/>
  <c r="BU434" i="5"/>
  <c r="CM434" i="5"/>
  <c r="CK434" i="5"/>
  <c r="BY434" i="5"/>
  <c r="CG434" i="5"/>
  <c r="CE434" i="5"/>
  <c r="CC434" i="5"/>
  <c r="CA434" i="5"/>
  <c r="BL434" i="5"/>
  <c r="CI434" i="5"/>
  <c r="BW434" i="5"/>
  <c r="BS434" i="5"/>
  <c r="BQ434" i="5"/>
  <c r="Q434" i="5"/>
  <c r="Q429" i="5" s="1"/>
  <c r="CO434" i="5"/>
  <c r="Q348" i="5"/>
  <c r="CO348" i="5"/>
  <c r="BS348" i="5"/>
  <c r="BQ348" i="5"/>
  <c r="BL348" i="5"/>
  <c r="CA348" i="5"/>
  <c r="CG348" i="5"/>
  <c r="BL418" i="5"/>
  <c r="Q418" i="5"/>
  <c r="CK418" i="5"/>
  <c r="CE418" i="5"/>
  <c r="CB289" i="5"/>
  <c r="CC290" i="5"/>
  <c r="BJ262" i="5"/>
  <c r="CQ343" i="5"/>
  <c r="CP343" i="5"/>
  <c r="BT302" i="5"/>
  <c r="BS234" i="5"/>
  <c r="CA255" i="5"/>
  <c r="BZ254" i="5"/>
  <c r="BL281" i="5"/>
  <c r="BS281" i="5"/>
  <c r="Q281" i="5"/>
  <c r="CQ229" i="5"/>
  <c r="CP229" i="5"/>
  <c r="CQ147" i="5"/>
  <c r="CP147" i="5"/>
  <c r="CC569" i="5"/>
  <c r="CB567" i="5"/>
  <c r="CQ547" i="5"/>
  <c r="CP547" i="5"/>
  <c r="CQ584" i="5"/>
  <c r="CP584" i="5"/>
  <c r="CE569" i="5"/>
  <c r="CD567" i="5"/>
  <c r="CO558" i="5"/>
  <c r="CQ567" i="5"/>
  <c r="CP567" i="5"/>
  <c r="CQ576" i="5"/>
  <c r="CP576" i="5"/>
  <c r="BX548" i="5"/>
  <c r="BY548" i="5" s="1"/>
  <c r="BY549" i="5"/>
  <c r="CM547" i="5"/>
  <c r="CL546" i="5"/>
  <c r="CM569" i="5"/>
  <c r="CC584" i="5"/>
  <c r="CB583" i="5"/>
  <c r="CC583" i="5" s="1"/>
  <c r="CI573" i="5"/>
  <c r="CH572" i="5"/>
  <c r="CQ564" i="5"/>
  <c r="CP564" i="5"/>
  <c r="BS516" i="5"/>
  <c r="CG580" i="5"/>
  <c r="BZ510" i="5"/>
  <c r="CE452" i="5"/>
  <c r="CA516" i="5"/>
  <c r="CL522" i="5"/>
  <c r="CM522" i="5" s="1"/>
  <c r="CM523" i="5"/>
  <c r="Q488" i="5"/>
  <c r="CM488" i="5"/>
  <c r="BJ450" i="5"/>
  <c r="CI583" i="5"/>
  <c r="CK522" i="5"/>
  <c r="CQ500" i="5"/>
  <c r="CP500" i="5"/>
  <c r="BY530" i="5"/>
  <c r="CC499" i="5"/>
  <c r="CB498" i="5"/>
  <c r="CC508" i="5"/>
  <c r="BJ444" i="5"/>
  <c r="CA501" i="5"/>
  <c r="BT497" i="5"/>
  <c r="BM447" i="5"/>
  <c r="BQ508" i="5"/>
  <c r="CL564" i="5"/>
  <c r="CM565" i="5"/>
  <c r="CA411" i="5"/>
  <c r="BZ409" i="5"/>
  <c r="CA409" i="5" s="1"/>
  <c r="CH469" i="5"/>
  <c r="CQ438" i="5"/>
  <c r="CP438" i="5"/>
  <c r="CO388" i="5"/>
  <c r="CN387" i="5"/>
  <c r="BM497" i="5"/>
  <c r="BJ497" i="5"/>
  <c r="CK357" i="5"/>
  <c r="CI388" i="5"/>
  <c r="Q464" i="5"/>
  <c r="BY418" i="5"/>
  <c r="CI342" i="5"/>
  <c r="CP374" i="5"/>
  <c r="CQ374" i="5"/>
  <c r="CM314" i="5"/>
  <c r="CL313" i="5"/>
  <c r="CJ363" i="5"/>
  <c r="CL364" i="5"/>
  <c r="CK364" i="5"/>
  <c r="CB334" i="5"/>
  <c r="CC334" i="5" s="1"/>
  <c r="CC335" i="5"/>
  <c r="CO331" i="5"/>
  <c r="CN372" i="5"/>
  <c r="CO372" i="5" s="1"/>
  <c r="CP350" i="5"/>
  <c r="CQ350" i="5"/>
  <c r="CB340" i="5"/>
  <c r="CC341" i="5"/>
  <c r="CM357" i="5"/>
  <c r="CO305" i="5"/>
  <c r="CN302" i="5"/>
  <c r="BU416" i="5"/>
  <c r="BT415" i="5"/>
  <c r="CO347" i="5"/>
  <c r="CN346" i="5"/>
  <c r="CP330" i="5"/>
  <c r="CQ330" i="5"/>
  <c r="CD440" i="5"/>
  <c r="CC440" i="5"/>
  <c r="CP345" i="5"/>
  <c r="CQ345" i="5"/>
  <c r="BY396" i="5"/>
  <c r="CB319" i="5"/>
  <c r="CC320" i="5"/>
  <c r="CQ298" i="5"/>
  <c r="CP298" i="5"/>
  <c r="CI282" i="5"/>
  <c r="CH281" i="5"/>
  <c r="CI281" i="5" s="1"/>
  <c r="CD375" i="5"/>
  <c r="CE376" i="5"/>
  <c r="BU282" i="5"/>
  <c r="BT281" i="5"/>
  <c r="BU281" i="5" s="1"/>
  <c r="CE371" i="5"/>
  <c r="BT289" i="5"/>
  <c r="BU290" i="5"/>
  <c r="CO336" i="5"/>
  <c r="BL290" i="5"/>
  <c r="Q290" i="5"/>
  <c r="D289" i="5"/>
  <c r="CA289" i="5" s="1"/>
  <c r="BS290" i="5"/>
  <c r="CG290" i="5"/>
  <c r="BQ290" i="5"/>
  <c r="BY376" i="5"/>
  <c r="BX375" i="5"/>
  <c r="CP284" i="5"/>
  <c r="CQ284" i="5"/>
  <c r="CA395" i="5"/>
  <c r="BY355" i="5"/>
  <c r="CO344" i="5"/>
  <c r="BJ337" i="5"/>
  <c r="CQ255" i="5"/>
  <c r="CP255" i="5"/>
  <c r="CA312" i="5"/>
  <c r="BY312" i="5"/>
  <c r="BW312" i="5"/>
  <c r="BU312" i="5"/>
  <c r="BS312" i="5"/>
  <c r="CK312" i="5"/>
  <c r="CI312" i="5"/>
  <c r="CG312" i="5"/>
  <c r="CC312" i="5"/>
  <c r="BQ312" i="5"/>
  <c r="BL312" i="5"/>
  <c r="CO312" i="5"/>
  <c r="CM312" i="5"/>
  <c r="CE312" i="5"/>
  <c r="Q312" i="5"/>
  <c r="CB222" i="5"/>
  <c r="CC222" i="5" s="1"/>
  <c r="CD223" i="5"/>
  <c r="CC223" i="5"/>
  <c r="BW306" i="5"/>
  <c r="BV302" i="5"/>
  <c r="CI234" i="5"/>
  <c r="CK310" i="5"/>
  <c r="CO269" i="5"/>
  <c r="BM215" i="5"/>
  <c r="BL215" i="5"/>
  <c r="CQ267" i="5"/>
  <c r="CP267" i="5"/>
  <c r="BV334" i="5"/>
  <c r="BW334" i="5" s="1"/>
  <c r="Q227" i="5"/>
  <c r="D226" i="5"/>
  <c r="CQ274" i="5"/>
  <c r="CP274" i="5"/>
  <c r="CP243" i="5"/>
  <c r="CQ243" i="5"/>
  <c r="CP201" i="5"/>
  <c r="CQ201" i="5"/>
  <c r="CI233" i="5"/>
  <c r="CN281" i="5"/>
  <c r="CO281" i="5" s="1"/>
  <c r="CQ168" i="5"/>
  <c r="CP168" i="5"/>
  <c r="CQ143" i="5"/>
  <c r="CP143" i="5"/>
  <c r="CF169" i="5"/>
  <c r="CE169" i="5"/>
  <c r="CG84" i="5"/>
  <c r="CE84" i="5"/>
  <c r="Q84" i="5"/>
  <c r="CC84" i="5"/>
  <c r="CA84" i="5"/>
  <c r="BY84" i="5"/>
  <c r="BW84" i="5"/>
  <c r="BS84" i="5"/>
  <c r="CK84" i="5"/>
  <c r="BL84" i="5"/>
  <c r="CO84" i="5"/>
  <c r="CM84" i="5"/>
  <c r="CI84" i="5"/>
  <c r="BU84" i="5"/>
  <c r="BQ84" i="5"/>
  <c r="CN195" i="5"/>
  <c r="CO195" i="5" s="1"/>
  <c r="CM195" i="5"/>
  <c r="BU169" i="5"/>
  <c r="CG281" i="5"/>
  <c r="CE181" i="5"/>
  <c r="CF181" i="5"/>
  <c r="CP111" i="5"/>
  <c r="CQ111" i="5"/>
  <c r="CP230" i="5"/>
  <c r="CQ230" i="5"/>
  <c r="CQ37" i="5"/>
  <c r="CP37" i="5"/>
  <c r="BS54" i="5"/>
  <c r="CO54" i="5"/>
  <c r="BQ54" i="5"/>
  <c r="CM54" i="5"/>
  <c r="CI54" i="5"/>
  <c r="BL54" i="5"/>
  <c r="CG54" i="5"/>
  <c r="CC54" i="5"/>
  <c r="BW54" i="5"/>
  <c r="BU54" i="5"/>
  <c r="Q54" i="5"/>
  <c r="CK54" i="5"/>
  <c r="CE54" i="5"/>
  <c r="BY54" i="5"/>
  <c r="CA54" i="5"/>
  <c r="BM125" i="5"/>
  <c r="BJ125" i="5"/>
  <c r="D125" i="5"/>
  <c r="BM142" i="5"/>
  <c r="CO61" i="5"/>
  <c r="Q570" i="5"/>
  <c r="CO570" i="5"/>
  <c r="CC570" i="5"/>
  <c r="CA570" i="5"/>
  <c r="BL570" i="5"/>
  <c r="CE570" i="5"/>
  <c r="CQ462" i="5"/>
  <c r="CP462" i="5"/>
  <c r="BS401" i="5"/>
  <c r="CM401" i="5"/>
  <c r="CC401" i="5"/>
  <c r="CA401" i="5"/>
  <c r="BY401" i="5"/>
  <c r="BW401" i="5"/>
  <c r="CK401" i="5"/>
  <c r="BL401" i="5"/>
  <c r="CI401" i="5"/>
  <c r="CE401" i="5"/>
  <c r="BU401" i="5"/>
  <c r="BQ401" i="5"/>
  <c r="CO401" i="5"/>
  <c r="CG401" i="5"/>
  <c r="Q401" i="5"/>
  <c r="BT393" i="5"/>
  <c r="BU393" i="5" s="1"/>
  <c r="BU395" i="5"/>
  <c r="BS429" i="5"/>
  <c r="CE335" i="5"/>
  <c r="CD334" i="5"/>
  <c r="CE334" i="5" s="1"/>
  <c r="BY366" i="5"/>
  <c r="CL292" i="5"/>
  <c r="CM293" i="5"/>
  <c r="CM334" i="5"/>
  <c r="D292" i="5"/>
  <c r="BL293" i="5"/>
  <c r="Q293" i="5"/>
  <c r="CG293" i="5"/>
  <c r="BS293" i="5"/>
  <c r="BQ293" i="5"/>
  <c r="CP305" i="5"/>
  <c r="CQ305" i="5"/>
  <c r="CI416" i="5"/>
  <c r="CH415" i="5"/>
  <c r="BT346" i="5"/>
  <c r="BU347" i="5"/>
  <c r="CB343" i="5"/>
  <c r="CE320" i="5"/>
  <c r="CD319" i="5"/>
  <c r="CE319" i="5" s="1"/>
  <c r="CQ252" i="5"/>
  <c r="CP252" i="5"/>
  <c r="CE293" i="5"/>
  <c r="CQ280" i="5"/>
  <c r="CP280" i="5"/>
  <c r="CK282" i="5"/>
  <c r="CJ281" i="5"/>
  <c r="CK281" i="5" s="1"/>
  <c r="CJ289" i="5"/>
  <c r="CK290" i="5"/>
  <c r="BM261" i="5"/>
  <c r="E258" i="5"/>
  <c r="BJ261" i="5"/>
  <c r="CQ289" i="5"/>
  <c r="CP289" i="5"/>
  <c r="CA376" i="5"/>
  <c r="BZ375" i="5"/>
  <c r="CC414" i="5"/>
  <c r="CB412" i="5"/>
  <c r="CA414" i="5"/>
  <c r="BM254" i="5"/>
  <c r="BJ254" i="5"/>
  <c r="F253" i="5"/>
  <c r="F301" i="5"/>
  <c r="BM302" i="5"/>
  <c r="BJ302" i="5"/>
  <c r="BV217" i="5"/>
  <c r="BU217" i="5"/>
  <c r="BT216" i="5"/>
  <c r="CB297" i="5"/>
  <c r="CA297" i="5"/>
  <c r="CE328" i="5"/>
  <c r="BL328" i="5"/>
  <c r="Q328" i="5"/>
  <c r="CA328" i="5"/>
  <c r="BW328" i="5"/>
  <c r="CO328" i="5"/>
  <c r="CK328" i="5"/>
  <c r="BZ301" i="5"/>
  <c r="CC184" i="5"/>
  <c r="CD184" i="5"/>
  <c r="CQ195" i="5"/>
  <c r="CP195" i="5"/>
  <c r="BL172" i="5"/>
  <c r="CC172" i="5"/>
  <c r="Q172" i="5"/>
  <c r="BW172" i="5"/>
  <c r="BU172" i="5"/>
  <c r="BS172" i="5"/>
  <c r="CG172" i="5"/>
  <c r="BQ172" i="5"/>
  <c r="CK172" i="5"/>
  <c r="CQ145" i="5"/>
  <c r="CP145" i="5"/>
  <c r="CQ104" i="5"/>
  <c r="CP104" i="5"/>
  <c r="CG111" i="5"/>
  <c r="CE111" i="5"/>
  <c r="Q111" i="5"/>
  <c r="CC111" i="5"/>
  <c r="CA111" i="5"/>
  <c r="BY111" i="5"/>
  <c r="BW111" i="5"/>
  <c r="BS111" i="5"/>
  <c r="CK111" i="5"/>
  <c r="BL111" i="5"/>
  <c r="CO111" i="5"/>
  <c r="CM111" i="5"/>
  <c r="CI111" i="5"/>
  <c r="BQ111" i="5"/>
  <c r="BU111" i="5"/>
  <c r="CJ182" i="5"/>
  <c r="CK182" i="5" s="1"/>
  <c r="CI182" i="5"/>
  <c r="F228" i="5"/>
  <c r="BJ229" i="5"/>
  <c r="CC16" i="5"/>
  <c r="CK16" i="5"/>
  <c r="BY16" i="5"/>
  <c r="BL16" i="5"/>
  <c r="Q16" i="5"/>
  <c r="CG16" i="5"/>
  <c r="BU16" i="5"/>
  <c r="BQ16" i="5"/>
  <c r="CO16" i="5"/>
  <c r="CQ106" i="5"/>
  <c r="CP106" i="5"/>
  <c r="CO43" i="5"/>
  <c r="BQ43" i="5"/>
  <c r="CM43" i="5"/>
  <c r="CK43" i="5"/>
  <c r="CI43" i="5"/>
  <c r="BL43" i="5"/>
  <c r="CG43" i="5"/>
  <c r="CE43" i="5"/>
  <c r="Q43" i="5"/>
  <c r="CC43" i="5"/>
  <c r="CA43" i="5"/>
  <c r="BS43" i="5"/>
  <c r="BY43" i="5"/>
  <c r="BW43" i="5"/>
  <c r="BU43" i="5"/>
  <c r="CJ14" i="5"/>
  <c r="D38" i="5"/>
  <c r="CC38" i="5" s="1"/>
  <c r="CE581" i="5"/>
  <c r="CD580" i="5"/>
  <c r="CE580" i="5" s="1"/>
  <c r="CO323" i="5"/>
  <c r="CN322" i="5"/>
  <c r="CO322" i="5" s="1"/>
  <c r="BL414" i="5"/>
  <c r="Q414" i="5"/>
  <c r="D412" i="5"/>
  <c r="BS414" i="5"/>
  <c r="BQ414" i="5"/>
  <c r="CG414" i="5"/>
  <c r="CI324" i="5"/>
  <c r="CH322" i="5"/>
  <c r="CI322" i="5" s="1"/>
  <c r="O154" i="5"/>
  <c r="G144" i="5"/>
  <c r="CQ130" i="5"/>
  <c r="CP130" i="5"/>
  <c r="CO20" i="5"/>
  <c r="BS20" i="5"/>
  <c r="CM20" i="5"/>
  <c r="BQ20" i="5"/>
  <c r="CK20" i="5"/>
  <c r="BU20" i="5"/>
  <c r="CI20" i="5"/>
  <c r="CG20" i="5"/>
  <c r="BL20" i="5"/>
  <c r="CE20" i="5"/>
  <c r="CC20" i="5"/>
  <c r="Q20" i="5"/>
  <c r="CA20" i="5"/>
  <c r="BY20" i="5"/>
  <c r="CC558" i="5"/>
  <c r="CN548" i="5"/>
  <c r="CO548" i="5" s="1"/>
  <c r="CO549" i="5"/>
  <c r="BS561" i="5"/>
  <c r="BU255" i="5"/>
  <c r="BT254" i="5"/>
  <c r="BX570" i="5"/>
  <c r="BY570" i="5" s="1"/>
  <c r="BY571" i="5"/>
  <c r="BY583" i="5"/>
  <c r="D567" i="5"/>
  <c r="BU567" i="5" s="1"/>
  <c r="BZ580" i="5"/>
  <c r="CA580" i="5" s="1"/>
  <c r="CA581" i="5"/>
  <c r="CI550" i="5"/>
  <c r="CM561" i="5"/>
  <c r="CQ538" i="5"/>
  <c r="CP538" i="5"/>
  <c r="CM558" i="5"/>
  <c r="CD548" i="5"/>
  <c r="CE548" i="5" s="1"/>
  <c r="CE549" i="5"/>
  <c r="BM546" i="5"/>
  <c r="BJ546" i="5"/>
  <c r="CA557" i="5"/>
  <c r="CA520" i="5"/>
  <c r="BZ519" i="5"/>
  <c r="BW573" i="5"/>
  <c r="BV572" i="5"/>
  <c r="CQ534" i="5"/>
  <c r="CP534" i="5"/>
  <c r="BW570" i="5"/>
  <c r="CG508" i="5"/>
  <c r="BM522" i="5"/>
  <c r="BQ561" i="5"/>
  <c r="BJ541" i="5"/>
  <c r="BM541" i="5"/>
  <c r="BT522" i="5"/>
  <c r="BU522" i="5" s="1"/>
  <c r="BU523" i="5"/>
  <c r="CE494" i="5"/>
  <c r="D450" i="5"/>
  <c r="CC450" i="5" s="1"/>
  <c r="Q417" i="5"/>
  <c r="BL417" i="5"/>
  <c r="CM417" i="5"/>
  <c r="BS417" i="5"/>
  <c r="BQ417" i="5"/>
  <c r="CA417" i="5"/>
  <c r="BU417" i="5"/>
  <c r="CG417" i="5"/>
  <c r="BL447" i="5"/>
  <c r="BY447" i="5"/>
  <c r="Q447" i="5"/>
  <c r="BS447" i="5"/>
  <c r="CG447" i="5"/>
  <c r="BZ564" i="5"/>
  <c r="CA565" i="5"/>
  <c r="CQ465" i="5"/>
  <c r="CP465" i="5"/>
  <c r="CP411" i="5"/>
  <c r="CQ411" i="5"/>
  <c r="BV387" i="5"/>
  <c r="BW388" i="5"/>
  <c r="BX393" i="5"/>
  <c r="BY393" i="5" s="1"/>
  <c r="CO424" i="5"/>
  <c r="CL393" i="5"/>
  <c r="CM393" i="5" s="1"/>
  <c r="CM354" i="5"/>
  <c r="CL353" i="5"/>
  <c r="BY462" i="5"/>
  <c r="BU462" i="5"/>
  <c r="CO462" i="5"/>
  <c r="CM462" i="5"/>
  <c r="BW462" i="5"/>
  <c r="BS462" i="5"/>
  <c r="BL462" i="5"/>
  <c r="BQ462" i="5"/>
  <c r="Q462" i="5"/>
  <c r="CG462" i="5"/>
  <c r="CE462" i="5"/>
  <c r="CA462" i="5"/>
  <c r="CI462" i="5"/>
  <c r="CC462" i="5"/>
  <c r="CK462" i="5"/>
  <c r="CK388" i="5"/>
  <c r="CI418" i="5"/>
  <c r="CO491" i="5"/>
  <c r="CC491" i="5"/>
  <c r="BQ491" i="5"/>
  <c r="BL491" i="5"/>
  <c r="BU491" i="5"/>
  <c r="Q491" i="5"/>
  <c r="CM491" i="5"/>
  <c r="CE491" i="5"/>
  <c r="CG473" i="5"/>
  <c r="CQ395" i="5"/>
  <c r="CP395" i="5"/>
  <c r="CI335" i="5"/>
  <c r="CH334" i="5"/>
  <c r="CI334" i="5" s="1"/>
  <c r="CI369" i="5"/>
  <c r="BZ384" i="5"/>
  <c r="CA385" i="5"/>
  <c r="CE372" i="5"/>
  <c r="CQ363" i="5"/>
  <c r="CP363" i="5"/>
  <c r="BX331" i="5"/>
  <c r="CG363" i="5"/>
  <c r="CH313" i="5"/>
  <c r="CO293" i="5"/>
  <c r="CN292" i="5"/>
  <c r="CO292" i="5" s="1"/>
  <c r="BW367" i="5"/>
  <c r="BV340" i="5"/>
  <c r="BW341" i="5"/>
  <c r="CM332" i="5"/>
  <c r="CO310" i="5"/>
  <c r="CC310" i="5"/>
  <c r="BQ310" i="5"/>
  <c r="BL310" i="5"/>
  <c r="Q310" i="5"/>
  <c r="CI310" i="5"/>
  <c r="BJ363" i="5"/>
  <c r="CO416" i="5"/>
  <c r="CN415" i="5"/>
  <c r="BW392" i="5"/>
  <c r="CI347" i="5"/>
  <c r="CH346" i="5"/>
  <c r="CD366" i="5"/>
  <c r="CM367" i="5"/>
  <c r="CD393" i="5"/>
  <c r="CE393" i="5" s="1"/>
  <c r="CC344" i="5"/>
  <c r="CE310" i="5"/>
  <c r="BY404" i="5"/>
  <c r="CI291" i="5"/>
  <c r="CH289" i="5"/>
  <c r="CI289" i="5" s="1"/>
  <c r="CK278" i="5"/>
  <c r="CI371" i="5"/>
  <c r="BW290" i="5"/>
  <c r="BV289" i="5"/>
  <c r="CE336" i="5"/>
  <c r="BZ281" i="5"/>
  <c r="CA281" i="5" s="1"/>
  <c r="CA282" i="5"/>
  <c r="CC376" i="5"/>
  <c r="CB375" i="5"/>
  <c r="CE414" i="5"/>
  <c r="CO414" i="5"/>
  <c r="CK355" i="5"/>
  <c r="BQ328" i="5"/>
  <c r="CC324" i="5"/>
  <c r="CD254" i="5"/>
  <c r="CE255" i="5"/>
  <c r="BQ255" i="5"/>
  <c r="BS255" i="5"/>
  <c r="CG255" i="5"/>
  <c r="BL255" i="5"/>
  <c r="Q255" i="5"/>
  <c r="D254" i="5"/>
  <c r="CE278" i="5"/>
  <c r="BU315" i="5"/>
  <c r="CC357" i="5"/>
  <c r="CA342" i="5"/>
  <c r="BQ272" i="5"/>
  <c r="CP198" i="5"/>
  <c r="CQ198" i="5"/>
  <c r="BQ278" i="5"/>
  <c r="CC197" i="5"/>
  <c r="CQ218" i="5"/>
  <c r="CP218" i="5"/>
  <c r="CI177" i="5"/>
  <c r="BL177" i="5"/>
  <c r="CC177" i="5"/>
  <c r="BW177" i="5"/>
  <c r="BU177" i="5"/>
  <c r="BS177" i="5"/>
  <c r="BQ177" i="5"/>
  <c r="CO177" i="5"/>
  <c r="CK177" i="5"/>
  <c r="Q177" i="5"/>
  <c r="CE177" i="5"/>
  <c r="CA177" i="5"/>
  <c r="CG177" i="5"/>
  <c r="CM177" i="5"/>
  <c r="BY177" i="5"/>
  <c r="CA195" i="5"/>
  <c r="BW195" i="5"/>
  <c r="BS195" i="5"/>
  <c r="BQ195" i="5"/>
  <c r="BL195" i="5"/>
  <c r="CG195" i="5"/>
  <c r="Q195" i="5"/>
  <c r="BY195" i="5"/>
  <c r="CE195" i="5"/>
  <c r="CC195" i="5"/>
  <c r="BU195" i="5"/>
  <c r="CQ148" i="5"/>
  <c r="CP148" i="5"/>
  <c r="CQ149" i="5"/>
  <c r="CP149" i="5"/>
  <c r="CE163" i="5"/>
  <c r="CG80" i="5"/>
  <c r="CE80" i="5"/>
  <c r="Q80" i="5"/>
  <c r="CC80" i="5"/>
  <c r="CA80" i="5"/>
  <c r="BY80" i="5"/>
  <c r="BW80" i="5"/>
  <c r="BS80" i="5"/>
  <c r="CK80" i="5"/>
  <c r="CO80" i="5"/>
  <c r="CM80" i="5"/>
  <c r="CI80" i="5"/>
  <c r="BU80" i="5"/>
  <c r="BQ80" i="5"/>
  <c r="BL80" i="5"/>
  <c r="BP258" i="5"/>
  <c r="BS145" i="5"/>
  <c r="CO145" i="5"/>
  <c r="CC145" i="5"/>
  <c r="BQ145" i="5"/>
  <c r="CM145" i="5"/>
  <c r="CA145" i="5"/>
  <c r="Q145" i="5"/>
  <c r="BW145" i="5"/>
  <c r="CK145" i="5"/>
  <c r="BL145" i="5"/>
  <c r="BJ68" i="5"/>
  <c r="CN229" i="5"/>
  <c r="CO230" i="5"/>
  <c r="A22" i="5"/>
  <c r="BX14" i="5"/>
  <c r="BW58" i="5"/>
  <c r="BW20" i="5"/>
  <c r="CC28" i="5"/>
  <c r="BY495" i="5"/>
  <c r="BX494" i="5"/>
  <c r="BY494" i="5" s="1"/>
  <c r="BY439" i="5"/>
  <c r="BS439" i="5"/>
  <c r="BQ439" i="5"/>
  <c r="Q439" i="5"/>
  <c r="BL439" i="5"/>
  <c r="BW439" i="5"/>
  <c r="BU439" i="5"/>
  <c r="CA439" i="5"/>
  <c r="CC439" i="5"/>
  <c r="BQ334" i="5"/>
  <c r="Q334" i="5"/>
  <c r="CG334" i="5"/>
  <c r="BS334" i="5"/>
  <c r="CG416" i="5"/>
  <c r="BS416" i="5"/>
  <c r="BL416" i="5"/>
  <c r="Q416" i="5"/>
  <c r="D415" i="5"/>
  <c r="BQ416" i="5"/>
  <c r="CL319" i="5"/>
  <c r="CM319" i="5" s="1"/>
  <c r="CM320" i="5"/>
  <c r="CJ570" i="5"/>
  <c r="CK570" i="5" s="1"/>
  <c r="CK571" i="5"/>
  <c r="CP551" i="5"/>
  <c r="CQ551" i="5"/>
  <c r="BU534" i="5"/>
  <c r="BY320" i="5"/>
  <c r="BX319" i="5"/>
  <c r="BY319" i="5" s="1"/>
  <c r="BY576" i="5"/>
  <c r="BW576" i="5"/>
  <c r="BU576" i="5"/>
  <c r="BS576" i="5"/>
  <c r="BQ576" i="5"/>
  <c r="BL576" i="5"/>
  <c r="CG576" i="5"/>
  <c r="CI576" i="5"/>
  <c r="CE576" i="5"/>
  <c r="CC576" i="5"/>
  <c r="CA576" i="5"/>
  <c r="D575" i="5"/>
  <c r="Q576" i="5"/>
  <c r="CM576" i="5"/>
  <c r="CK576" i="5"/>
  <c r="CO576" i="5"/>
  <c r="BZ469" i="5"/>
  <c r="CA471" i="5"/>
  <c r="CK550" i="5"/>
  <c r="BU549" i="5"/>
  <c r="BT548" i="5"/>
  <c r="BU548" i="5" s="1"/>
  <c r="CG547" i="5"/>
  <c r="BS547" i="5"/>
  <c r="BQ547" i="5"/>
  <c r="D546" i="5"/>
  <c r="CO546" i="5" s="1"/>
  <c r="BL547" i="5"/>
  <c r="BW547" i="5"/>
  <c r="Q547" i="5"/>
  <c r="BU558" i="5"/>
  <c r="CH494" i="5"/>
  <c r="CI494" i="5" s="1"/>
  <c r="CI495" i="5"/>
  <c r="CI558" i="5"/>
  <c r="CQ503" i="5"/>
  <c r="CP503" i="5"/>
  <c r="CF469" i="5"/>
  <c r="CD498" i="5"/>
  <c r="CE499" i="5"/>
  <c r="CM516" i="5"/>
  <c r="CO501" i="5"/>
  <c r="CI413" i="5"/>
  <c r="CH412" i="5"/>
  <c r="Q494" i="5"/>
  <c r="BL494" i="5"/>
  <c r="CO565" i="5"/>
  <c r="CN564" i="5"/>
  <c r="CC411" i="5"/>
  <c r="CB409" i="5"/>
  <c r="CC409" i="5" s="1"/>
  <c r="CQ427" i="5"/>
  <c r="CP427" i="5"/>
  <c r="CQ426" i="5"/>
  <c r="CP426" i="5"/>
  <c r="BY388" i="5"/>
  <c r="BX387" i="5"/>
  <c r="CQ467" i="5"/>
  <c r="CP467" i="5"/>
  <c r="CM418" i="5"/>
  <c r="BS393" i="5"/>
  <c r="BL393" i="5"/>
  <c r="Q393" i="5"/>
  <c r="CE439" i="5"/>
  <c r="BS456" i="5"/>
  <c r="CO456" i="5"/>
  <c r="CI456" i="5"/>
  <c r="CG456" i="5"/>
  <c r="Q456" i="5"/>
  <c r="BL456" i="5"/>
  <c r="CM456" i="5"/>
  <c r="CC456" i="5"/>
  <c r="BY456" i="5"/>
  <c r="BW456" i="5"/>
  <c r="BU456" i="5"/>
  <c r="BQ456" i="5"/>
  <c r="CK456" i="5"/>
  <c r="D454" i="5"/>
  <c r="CA456" i="5"/>
  <c r="CE456" i="5"/>
  <c r="CA473" i="5"/>
  <c r="CQ476" i="5"/>
  <c r="CP476" i="5"/>
  <c r="CP420" i="5"/>
  <c r="CQ420" i="5"/>
  <c r="CP428" i="5"/>
  <c r="CQ428" i="5"/>
  <c r="CM348" i="5"/>
  <c r="BW357" i="5"/>
  <c r="CO417" i="5"/>
  <c r="CI395" i="5"/>
  <c r="CH393" i="5"/>
  <c r="CI393" i="5" s="1"/>
  <c r="CC342" i="5"/>
  <c r="BU367" i="5"/>
  <c r="BT366" i="5"/>
  <c r="BU366" i="5" s="1"/>
  <c r="BU357" i="5"/>
  <c r="CL384" i="5"/>
  <c r="CM385" i="5"/>
  <c r="CQ364" i="5"/>
  <c r="CP364" i="5"/>
  <c r="CQ293" i="5"/>
  <c r="CP293" i="5"/>
  <c r="BX340" i="5"/>
  <c r="BY341" i="5"/>
  <c r="CI328" i="5"/>
  <c r="CG307" i="5"/>
  <c r="BS307" i="5"/>
  <c r="BQ307" i="5"/>
  <c r="BL307" i="5"/>
  <c r="Q307" i="5"/>
  <c r="CI307" i="5"/>
  <c r="CK307" i="5"/>
  <c r="CQ281" i="5"/>
  <c r="CP281" i="5"/>
  <c r="CQ319" i="5"/>
  <c r="CP319" i="5"/>
  <c r="CB301" i="5"/>
  <c r="BY416" i="5"/>
  <c r="BX415" i="5"/>
  <c r="BY415" i="5" s="1"/>
  <c r="BU390" i="5"/>
  <c r="CG347" i="5"/>
  <c r="BS347" i="5"/>
  <c r="BQ347" i="5"/>
  <c r="BL347" i="5"/>
  <c r="D346" i="5"/>
  <c r="CE346" i="5" s="1"/>
  <c r="CC347" i="5"/>
  <c r="Q347" i="5"/>
  <c r="BU409" i="5"/>
  <c r="CM366" i="5"/>
  <c r="BS372" i="5"/>
  <c r="CQ294" i="5"/>
  <c r="CP294" i="5"/>
  <c r="BV281" i="5"/>
  <c r="BW281" i="5" s="1"/>
  <c r="BW282" i="5"/>
  <c r="CQ369" i="5"/>
  <c r="CP369" i="5"/>
  <c r="BY290" i="5"/>
  <c r="BX289" i="5"/>
  <c r="BY289" i="5" s="1"/>
  <c r="CQ336" i="5"/>
  <c r="CP336" i="5"/>
  <c r="CI280" i="5"/>
  <c r="BL280" i="5"/>
  <c r="CG280" i="5"/>
  <c r="CA280" i="5"/>
  <c r="BY280" i="5"/>
  <c r="BW280" i="5"/>
  <c r="BS280" i="5"/>
  <c r="BQ280" i="5"/>
  <c r="Q280" i="5"/>
  <c r="CE280" i="5"/>
  <c r="CM280" i="5"/>
  <c r="CK280" i="5"/>
  <c r="CC280" i="5"/>
  <c r="BU280" i="5"/>
  <c r="CL375" i="5"/>
  <c r="CM376" i="5"/>
  <c r="CB313" i="5"/>
  <c r="BM353" i="5"/>
  <c r="F352" i="5"/>
  <c r="CE324" i="5"/>
  <c r="CD322" i="5"/>
  <c r="CE322" i="5" s="1"/>
  <c r="CK342" i="5"/>
  <c r="CI255" i="5"/>
  <c r="CH254" i="5"/>
  <c r="CE300" i="5"/>
  <c r="CF300" i="5"/>
  <c r="CC212" i="5"/>
  <c r="Q212" i="5"/>
  <c r="CG212" i="5"/>
  <c r="CI212" i="5"/>
  <c r="CA212" i="5"/>
  <c r="BY212" i="5"/>
  <c r="D211" i="5"/>
  <c r="CE211" i="5" s="1"/>
  <c r="BW212" i="5"/>
  <c r="BU212" i="5"/>
  <c r="BS212" i="5"/>
  <c r="CO212" i="5"/>
  <c r="BQ212" i="5"/>
  <c r="CM212" i="5"/>
  <c r="CK212" i="5"/>
  <c r="BL212" i="5"/>
  <c r="CM315" i="5"/>
  <c r="BX295" i="5"/>
  <c r="BZ296" i="5"/>
  <c r="BY296" i="5"/>
  <c r="CA347" i="5"/>
  <c r="CD313" i="5"/>
  <c r="BY283" i="5"/>
  <c r="BX281" i="5"/>
  <c r="BY281" i="5" s="1"/>
  <c r="BJ197" i="5"/>
  <c r="F196" i="5"/>
  <c r="CO278" i="5"/>
  <c r="BJ216" i="5"/>
  <c r="F214" i="5"/>
  <c r="CQ194" i="5"/>
  <c r="CP194" i="5"/>
  <c r="BM275" i="5"/>
  <c r="BU267" i="5"/>
  <c r="CP160" i="5"/>
  <c r="CQ160" i="5"/>
  <c r="CQ132" i="5"/>
  <c r="CP132" i="5"/>
  <c r="A150" i="5"/>
  <c r="CQ170" i="5"/>
  <c r="CP170" i="5"/>
  <c r="CQ172" i="5"/>
  <c r="CP172" i="5"/>
  <c r="CM230" i="5"/>
  <c r="D229" i="5"/>
  <c r="BY229" i="5" s="1"/>
  <c r="Q230" i="5"/>
  <c r="BW230" i="5"/>
  <c r="BU230" i="5"/>
  <c r="BS230" i="5"/>
  <c r="BQ230" i="5"/>
  <c r="BL230" i="5"/>
  <c r="CM21" i="5"/>
  <c r="CK21" i="5"/>
  <c r="CI21" i="5"/>
  <c r="BL21" i="5"/>
  <c r="CG21" i="5"/>
  <c r="CE21" i="5"/>
  <c r="Q21" i="5"/>
  <c r="CC21" i="5"/>
  <c r="BQ21" i="5"/>
  <c r="CA21" i="5"/>
  <c r="BY21" i="5"/>
  <c r="BW21" i="5"/>
  <c r="BU21" i="5"/>
  <c r="CO21" i="5"/>
  <c r="BS21" i="5"/>
  <c r="CQ74" i="5"/>
  <c r="CP74" i="5"/>
  <c r="CO51" i="5"/>
  <c r="CM118" i="5"/>
  <c r="CK118" i="5"/>
  <c r="CI118" i="5"/>
  <c r="BL118" i="5"/>
  <c r="CG118" i="5"/>
  <c r="CE118" i="5"/>
  <c r="Q118" i="5"/>
  <c r="CC118" i="5"/>
  <c r="BY118" i="5"/>
  <c r="BS118" i="5"/>
  <c r="CO118" i="5"/>
  <c r="CA118" i="5"/>
  <c r="BW118" i="5"/>
  <c r="BU118" i="5"/>
  <c r="BQ118" i="5"/>
  <c r="A73" i="5"/>
  <c r="BW16" i="5"/>
  <c r="CM486" i="5"/>
  <c r="CE486" i="5"/>
  <c r="Q486" i="5"/>
  <c r="BY486" i="5"/>
  <c r="BW486" i="5"/>
  <c r="BU486" i="5"/>
  <c r="BS486" i="5"/>
  <c r="CG486" i="5"/>
  <c r="CC486" i="5"/>
  <c r="BL486" i="5"/>
  <c r="CK486" i="5"/>
  <c r="CI486" i="5"/>
  <c r="BQ486" i="5"/>
  <c r="CO486" i="5"/>
  <c r="CA486" i="5"/>
  <c r="BQ522" i="5"/>
  <c r="CG522" i="5"/>
  <c r="BL522" i="5"/>
  <c r="Q522" i="5"/>
  <c r="CJ313" i="5"/>
  <c r="CK314" i="5"/>
  <c r="CJ384" i="5"/>
  <c r="CQ290" i="5"/>
  <c r="CP290" i="5"/>
  <c r="Q234" i="5"/>
  <c r="CO234" i="5"/>
  <c r="BQ234" i="5"/>
  <c r="BL234" i="5"/>
  <c r="CA234" i="5"/>
  <c r="BY234" i="5"/>
  <c r="BR154" i="5"/>
  <c r="CK549" i="5"/>
  <c r="CJ548" i="5"/>
  <c r="CK548" i="5" s="1"/>
  <c r="CC394" i="5"/>
  <c r="CB393" i="5"/>
  <c r="CC393" i="5" s="1"/>
  <c r="BU334" i="5"/>
  <c r="CA558" i="5"/>
  <c r="BL583" i="5"/>
  <c r="Q583" i="5"/>
  <c r="CG573" i="5"/>
  <c r="BS573" i="5"/>
  <c r="D572" i="5"/>
  <c r="BL573" i="5"/>
  <c r="Q573" i="5"/>
  <c r="BQ573" i="5"/>
  <c r="CM573" i="5"/>
  <c r="BY553" i="5"/>
  <c r="CO516" i="5"/>
  <c r="CD510" i="5"/>
  <c r="CC391" i="5"/>
  <c r="CB390" i="5"/>
  <c r="CC390" i="5" s="1"/>
  <c r="CQ389" i="5"/>
  <c r="CP389" i="5"/>
  <c r="CC374" i="5"/>
  <c r="CB372" i="5"/>
  <c r="CC372" i="5" s="1"/>
  <c r="BJ537" i="5"/>
  <c r="F536" i="5"/>
  <c r="CD546" i="5"/>
  <c r="CE547" i="5"/>
  <c r="BS570" i="5"/>
  <c r="BT546" i="5"/>
  <c r="BU547" i="5"/>
  <c r="CG520" i="5"/>
  <c r="CF519" i="5"/>
  <c r="CI553" i="5"/>
  <c r="CN567" i="5"/>
  <c r="BL548" i="5"/>
  <c r="Q548" i="5"/>
  <c r="CG548" i="5"/>
  <c r="BS548" i="5"/>
  <c r="BQ548" i="5"/>
  <c r="CA548" i="5"/>
  <c r="CO561" i="5"/>
  <c r="CQ495" i="5"/>
  <c r="CP495" i="5"/>
  <c r="CO553" i="5"/>
  <c r="CI516" i="5"/>
  <c r="BJ572" i="5"/>
  <c r="CI508" i="5"/>
  <c r="BS553" i="5"/>
  <c r="F502" i="5"/>
  <c r="BM502" i="5" s="1"/>
  <c r="CQ542" i="5"/>
  <c r="BV522" i="5"/>
  <c r="BW522" i="5" s="1"/>
  <c r="BW523" i="5"/>
  <c r="CJ498" i="5"/>
  <c r="CK499" i="5"/>
  <c r="CE516" i="5"/>
  <c r="BL499" i="5"/>
  <c r="Q499" i="5"/>
  <c r="CG499" i="5"/>
  <c r="D498" i="5"/>
  <c r="BU498" i="5" s="1"/>
  <c r="BS499" i="5"/>
  <c r="BQ499" i="5"/>
  <c r="BQ494" i="5"/>
  <c r="CK410" i="5"/>
  <c r="CJ409" i="5"/>
  <c r="CK409" i="5" s="1"/>
  <c r="CI499" i="5"/>
  <c r="CK543" i="5"/>
  <c r="D542" i="5"/>
  <c r="CI543" i="5"/>
  <c r="BL543" i="5"/>
  <c r="CG543" i="5"/>
  <c r="CE543" i="5"/>
  <c r="Q543" i="5"/>
  <c r="BU543" i="5"/>
  <c r="CO543" i="5"/>
  <c r="CM543" i="5"/>
  <c r="CC543" i="5"/>
  <c r="CA543" i="5"/>
  <c r="BY543" i="5"/>
  <c r="BW543" i="5"/>
  <c r="BS543" i="5"/>
  <c r="BQ543" i="5"/>
  <c r="CA418" i="5"/>
  <c r="CA388" i="5"/>
  <c r="BZ387" i="5"/>
  <c r="BJ393" i="5"/>
  <c r="CH439" i="5"/>
  <c r="CG439" i="5"/>
  <c r="BU418" i="5"/>
  <c r="CL387" i="5"/>
  <c r="BY344" i="5"/>
  <c r="BX343" i="5"/>
  <c r="BY343" i="5" s="1"/>
  <c r="BX353" i="5"/>
  <c r="BY354" i="5"/>
  <c r="BM431" i="5"/>
  <c r="CK395" i="5"/>
  <c r="BM372" i="5"/>
  <c r="BL334" i="5"/>
  <c r="BM415" i="5"/>
  <c r="CA314" i="5"/>
  <c r="BZ313" i="5"/>
  <c r="CH353" i="5"/>
  <c r="BT384" i="5"/>
  <c r="BU385" i="5"/>
  <c r="CD369" i="5"/>
  <c r="CE369" i="5" s="1"/>
  <c r="CE370" i="5"/>
  <c r="CQ307" i="5"/>
  <c r="CP307" i="5"/>
  <c r="CC293" i="5"/>
  <c r="CB292" i="5"/>
  <c r="CC292" i="5" s="1"/>
  <c r="CG359" i="5"/>
  <c r="BU359" i="5"/>
  <c r="CI359" i="5"/>
  <c r="BQ359" i="5"/>
  <c r="Q359" i="5"/>
  <c r="CM359" i="5"/>
  <c r="D358" i="5"/>
  <c r="CC358" i="5" s="1"/>
  <c r="BY359" i="5"/>
  <c r="BL341" i="5"/>
  <c r="Q341" i="5"/>
  <c r="D340" i="5"/>
  <c r="CG341" i="5"/>
  <c r="BS341" i="5"/>
  <c r="BQ341" i="5"/>
  <c r="CI341" i="5"/>
  <c r="BU341" i="5"/>
  <c r="CQ338" i="5"/>
  <c r="CP338" i="5"/>
  <c r="BW278" i="5"/>
  <c r="BQ393" i="5"/>
  <c r="BV292" i="5"/>
  <c r="BW292" i="5" s="1"/>
  <c r="BW293" i="5"/>
  <c r="BZ415" i="5"/>
  <c r="CA416" i="5"/>
  <c r="BW347" i="5"/>
  <c r="BV346" i="5"/>
  <c r="BW359" i="5"/>
  <c r="BW418" i="5"/>
  <c r="BT372" i="5"/>
  <c r="BU372" i="5" s="1"/>
  <c r="CQ325" i="5"/>
  <c r="CP325" i="5"/>
  <c r="CK359" i="5"/>
  <c r="BW342" i="5"/>
  <c r="BZ275" i="5"/>
  <c r="CA275" i="5" s="1"/>
  <c r="CQ359" i="5"/>
  <c r="CP359" i="5"/>
  <c r="CP282" i="5"/>
  <c r="CQ282" i="5"/>
  <c r="CK371" i="5"/>
  <c r="BU344" i="5"/>
  <c r="BW321" i="5"/>
  <c r="BV319" i="5"/>
  <c r="BW319" i="5" s="1"/>
  <c r="CL289" i="5"/>
  <c r="CM289" i="5" s="1"/>
  <c r="CM290" i="5"/>
  <c r="CE355" i="5"/>
  <c r="CD353" i="5"/>
  <c r="CM336" i="5"/>
  <c r="BT375" i="5"/>
  <c r="BU376" i="5"/>
  <c r="CN334" i="5"/>
  <c r="CO334" i="5" s="1"/>
  <c r="CQ414" i="5"/>
  <c r="CP414" i="5"/>
  <c r="BV369" i="5"/>
  <c r="BW369" i="5" s="1"/>
  <c r="BU355" i="5"/>
  <c r="BS324" i="5"/>
  <c r="BQ324" i="5"/>
  <c r="BL324" i="5"/>
  <c r="CG324" i="5"/>
  <c r="Q324" i="5"/>
  <c r="CH340" i="5"/>
  <c r="CQ278" i="5"/>
  <c r="CP278" i="5"/>
  <c r="BW315" i="5"/>
  <c r="BM295" i="5"/>
  <c r="CA346" i="5"/>
  <c r="CA293" i="5"/>
  <c r="CA284" i="5"/>
  <c r="CM307" i="5"/>
  <c r="BQ197" i="5"/>
  <c r="CC187" i="5"/>
  <c r="BW187" i="5"/>
  <c r="CE187" i="5"/>
  <c r="CA187" i="5"/>
  <c r="BY187" i="5"/>
  <c r="BU187" i="5"/>
  <c r="BS187" i="5"/>
  <c r="CM187" i="5"/>
  <c r="BL187" i="5"/>
  <c r="CI187" i="5"/>
  <c r="Q187" i="5"/>
  <c r="CG187" i="5"/>
  <c r="BQ187" i="5"/>
  <c r="CK187" i="5"/>
  <c r="CQ217" i="5"/>
  <c r="CP217" i="5"/>
  <c r="BU348" i="5"/>
  <c r="CM200" i="5"/>
  <c r="BQ200" i="5"/>
  <c r="CK200" i="5"/>
  <c r="CI200" i="5"/>
  <c r="CG200" i="5"/>
  <c r="BL200" i="5"/>
  <c r="CC200" i="5"/>
  <c r="Q200" i="5"/>
  <c r="CO200" i="5"/>
  <c r="CA200" i="5"/>
  <c r="BY200" i="5"/>
  <c r="BW200" i="5"/>
  <c r="BU200" i="5"/>
  <c r="CE200" i="5"/>
  <c r="BS200" i="5"/>
  <c r="BV313" i="5"/>
  <c r="BX209" i="5"/>
  <c r="CI172" i="5"/>
  <c r="CL158" i="5"/>
  <c r="BL192" i="5"/>
  <c r="BQ192" i="5"/>
  <c r="Q192" i="5"/>
  <c r="CC192" i="5"/>
  <c r="CA192" i="5"/>
  <c r="BW192" i="5"/>
  <c r="BU192" i="5"/>
  <c r="BY192" i="5"/>
  <c r="BS192" i="5"/>
  <c r="BL160" i="5"/>
  <c r="CA160" i="5"/>
  <c r="Q160" i="5"/>
  <c r="CM160" i="5"/>
  <c r="BY160" i="5"/>
  <c r="BU160" i="5"/>
  <c r="BQ160" i="5"/>
  <c r="BW160" i="5"/>
  <c r="BS160" i="5"/>
  <c r="CG120" i="5"/>
  <c r="CE120" i="5"/>
  <c r="Q120" i="5"/>
  <c r="CC120" i="5"/>
  <c r="CA120" i="5"/>
  <c r="BY120" i="5"/>
  <c r="BW120" i="5"/>
  <c r="BS120" i="5"/>
  <c r="CK120" i="5"/>
  <c r="CO120" i="5"/>
  <c r="CM120" i="5"/>
  <c r="CI120" i="5"/>
  <c r="BU120" i="5"/>
  <c r="BQ120" i="5"/>
  <c r="BL120" i="5"/>
  <c r="BW169" i="5"/>
  <c r="CG197" i="5"/>
  <c r="BL205" i="5"/>
  <c r="Q205" i="5"/>
  <c r="CI205" i="5"/>
  <c r="BQ205" i="5"/>
  <c r="BU205" i="5"/>
  <c r="CQ134" i="5"/>
  <c r="CP134" i="5"/>
  <c r="BY168" i="5"/>
  <c r="CK58" i="5"/>
  <c r="F18" i="5"/>
  <c r="CA74" i="5"/>
  <c r="BY74" i="5"/>
  <c r="BW74" i="5"/>
  <c r="BU74" i="5"/>
  <c r="BS74" i="5"/>
  <c r="CO74" i="5"/>
  <c r="BQ74" i="5"/>
  <c r="CK74" i="5"/>
  <c r="CE74" i="5"/>
  <c r="Q74" i="5"/>
  <c r="CM74" i="5"/>
  <c r="CI74" i="5"/>
  <c r="CG74" i="5"/>
  <c r="CC74" i="5"/>
  <c r="BL74" i="5"/>
  <c r="CC68" i="5"/>
  <c r="CO24" i="5"/>
  <c r="CH546" i="5"/>
  <c r="CI547" i="5"/>
  <c r="CQ356" i="5"/>
  <c r="CP356" i="5"/>
  <c r="CG247" i="5"/>
  <c r="CE247" i="5"/>
  <c r="Q247" i="5"/>
  <c r="CC247" i="5"/>
  <c r="CA247" i="5"/>
  <c r="BY247" i="5"/>
  <c r="BW247" i="5"/>
  <c r="CM247" i="5"/>
  <c r="CO247" i="5"/>
  <c r="CK247" i="5"/>
  <c r="CI247" i="5"/>
  <c r="BU247" i="5"/>
  <c r="BS247" i="5"/>
  <c r="BQ247" i="5"/>
  <c r="BL247" i="5"/>
  <c r="D245" i="5"/>
  <c r="CQ235" i="5"/>
  <c r="CP235" i="5"/>
  <c r="CQ226" i="5"/>
  <c r="CP226" i="5"/>
  <c r="BM91" i="5"/>
  <c r="BJ91" i="5"/>
  <c r="D91" i="5"/>
  <c r="CB14" i="5"/>
  <c r="CC553" i="5"/>
  <c r="CK495" i="5"/>
  <c r="CJ494" i="5"/>
  <c r="CK494" i="5" s="1"/>
  <c r="CG553" i="5"/>
  <c r="CG530" i="5"/>
  <c r="BU530" i="5"/>
  <c r="CO530" i="5"/>
  <c r="BL530" i="5"/>
  <c r="Q530" i="5"/>
  <c r="CK530" i="5"/>
  <c r="BW530" i="5"/>
  <c r="BQ530" i="5"/>
  <c r="CI530" i="5"/>
  <c r="CN522" i="5"/>
  <c r="CO522" i="5" s="1"/>
  <c r="CO523" i="5"/>
  <c r="BS452" i="5"/>
  <c r="CA452" i="5"/>
  <c r="CO452" i="5"/>
  <c r="BY452" i="5"/>
  <c r="BL452" i="5"/>
  <c r="Q452" i="5"/>
  <c r="CI452" i="5"/>
  <c r="BQ452" i="5"/>
  <c r="CO357" i="5"/>
  <c r="BS357" i="5"/>
  <c r="BQ357" i="5"/>
  <c r="BL357" i="5"/>
  <c r="CA357" i="5"/>
  <c r="Q357" i="5"/>
  <c r="CG357" i="5"/>
  <c r="BY255" i="5"/>
  <c r="BX254" i="5"/>
  <c r="CK582" i="5"/>
  <c r="CJ580" i="5"/>
  <c r="CK580" i="5" s="1"/>
  <c r="BV556" i="5"/>
  <c r="BW557" i="5"/>
  <c r="CQ581" i="5"/>
  <c r="CP581" i="5"/>
  <c r="BY580" i="5"/>
  <c r="CK521" i="5"/>
  <c r="BY557" i="5"/>
  <c r="CG545" i="5"/>
  <c r="BS545" i="5"/>
  <c r="CE545" i="5"/>
  <c r="BQ545" i="5"/>
  <c r="CO545" i="5"/>
  <c r="BU545" i="5"/>
  <c r="CK545" i="5"/>
  <c r="CI545" i="5"/>
  <c r="CM545" i="5"/>
  <c r="Q545" i="5"/>
  <c r="BL545" i="5"/>
  <c r="CD583" i="5"/>
  <c r="CE583" i="5" s="1"/>
  <c r="CE584" i="5"/>
  <c r="CE553" i="5"/>
  <c r="CP527" i="5"/>
  <c r="CQ527" i="5"/>
  <c r="CQ573" i="5"/>
  <c r="CP573" i="5"/>
  <c r="CP539" i="5"/>
  <c r="CQ539" i="5"/>
  <c r="CE501" i="5"/>
  <c r="CO547" i="5"/>
  <c r="BS550" i="5"/>
  <c r="CO537" i="5"/>
  <c r="CB522" i="5"/>
  <c r="CC522" i="5" s="1"/>
  <c r="CC523" i="5"/>
  <c r="BM491" i="5"/>
  <c r="BJ491" i="5"/>
  <c r="CQ493" i="5"/>
  <c r="CP493" i="5"/>
  <c r="CK508" i="5"/>
  <c r="BV498" i="5"/>
  <c r="BW499" i="5"/>
  <c r="BW494" i="5"/>
  <c r="CP471" i="5"/>
  <c r="CQ471" i="5"/>
  <c r="CO488" i="5"/>
  <c r="CK407" i="5"/>
  <c r="CI407" i="5"/>
  <c r="BL407" i="5"/>
  <c r="CG407" i="5"/>
  <c r="CE407" i="5"/>
  <c r="Q407" i="5"/>
  <c r="D406" i="5"/>
  <c r="BU406" i="5" s="1"/>
  <c r="CC407" i="5"/>
  <c r="CA407" i="5"/>
  <c r="BY407" i="5"/>
  <c r="CO407" i="5"/>
  <c r="CM407" i="5"/>
  <c r="BQ407" i="5"/>
  <c r="BY508" i="5"/>
  <c r="CH497" i="5"/>
  <c r="BL565" i="5"/>
  <c r="D564" i="5"/>
  <c r="BS565" i="5"/>
  <c r="BQ565" i="5"/>
  <c r="CG565" i="5"/>
  <c r="Q565" i="5"/>
  <c r="CQ565" i="5"/>
  <c r="CP565" i="5"/>
  <c r="CQ422" i="5"/>
  <c r="CP422" i="5"/>
  <c r="BZ393" i="5"/>
  <c r="CA393" i="5" s="1"/>
  <c r="CA394" i="5"/>
  <c r="CQ460" i="5"/>
  <c r="CP460" i="5"/>
  <c r="CI424" i="5"/>
  <c r="Q424" i="5"/>
  <c r="BQ424" i="5"/>
  <c r="BL424" i="5"/>
  <c r="CA424" i="5"/>
  <c r="CM424" i="5"/>
  <c r="CC424" i="5"/>
  <c r="BW447" i="5"/>
  <c r="CE388" i="5"/>
  <c r="CE421" i="5"/>
  <c r="BS421" i="5"/>
  <c r="BU421" i="5"/>
  <c r="CG421" i="5"/>
  <c r="BL421" i="5"/>
  <c r="CC421" i="5"/>
  <c r="CO421" i="5"/>
  <c r="BW421" i="5"/>
  <c r="Q421" i="5"/>
  <c r="CA421" i="5"/>
  <c r="BY428" i="5"/>
  <c r="BS428" i="5"/>
  <c r="CO428" i="5"/>
  <c r="BQ428" i="5"/>
  <c r="CE428" i="5"/>
  <c r="CC428" i="5"/>
  <c r="D427" i="5"/>
  <c r="CA428" i="5"/>
  <c r="BL428" i="5"/>
  <c r="Q428" i="5"/>
  <c r="CM428" i="5"/>
  <c r="CK428" i="5"/>
  <c r="CI428" i="5"/>
  <c r="CG428" i="5"/>
  <c r="BW428" i="5"/>
  <c r="BU428" i="5"/>
  <c r="BY348" i="5"/>
  <c r="BY412" i="5"/>
  <c r="CI357" i="5"/>
  <c r="BJ431" i="5"/>
  <c r="Q409" i="5"/>
  <c r="BY409" i="5"/>
  <c r="BS409" i="5"/>
  <c r="BL409" i="5"/>
  <c r="CJ369" i="5"/>
  <c r="CK369" i="5" s="1"/>
  <c r="CK370" i="5"/>
  <c r="BM384" i="5"/>
  <c r="BZ366" i="5"/>
  <c r="CA366" i="5" s="1"/>
  <c r="CA367" i="5"/>
  <c r="BQ385" i="5"/>
  <c r="BL385" i="5"/>
  <c r="BS385" i="5"/>
  <c r="Q385" i="5"/>
  <c r="D384" i="5"/>
  <c r="BY385" i="5"/>
  <c r="CG385" i="5"/>
  <c r="BX369" i="5"/>
  <c r="BY369" i="5" s="1"/>
  <c r="BY370" i="5"/>
  <c r="CC307" i="5"/>
  <c r="CD287" i="5"/>
  <c r="CE288" i="5"/>
  <c r="CQ380" i="5"/>
  <c r="CP380" i="5"/>
  <c r="CD340" i="5"/>
  <c r="CE341" i="5"/>
  <c r="CL331" i="5"/>
  <c r="CM331" i="5" s="1"/>
  <c r="CA288" i="5"/>
  <c r="BZ287" i="5"/>
  <c r="BW416" i="5"/>
  <c r="BV415" i="5"/>
  <c r="CQ390" i="5"/>
  <c r="CP390" i="5"/>
  <c r="BU337" i="5"/>
  <c r="CO288" i="5"/>
  <c r="CN287" i="5"/>
  <c r="CM409" i="5"/>
  <c r="CH319" i="5"/>
  <c r="CI319" i="5" s="1"/>
  <c r="CI320" i="5"/>
  <c r="BZ343" i="5"/>
  <c r="CQ297" i="5"/>
  <c r="CP297" i="5"/>
  <c r="CC282" i="5"/>
  <c r="CB281" i="5"/>
  <c r="CC281" i="5" s="1"/>
  <c r="CG269" i="5"/>
  <c r="CM371" i="5"/>
  <c r="BT343" i="5"/>
  <c r="BU343" i="5" s="1"/>
  <c r="CG321" i="5"/>
  <c r="BS321" i="5"/>
  <c r="BL321" i="5"/>
  <c r="Q321" i="5"/>
  <c r="BQ321" i="5"/>
  <c r="CO290" i="5"/>
  <c r="CN289" i="5"/>
  <c r="BU336" i="5"/>
  <c r="D313" i="5"/>
  <c r="BU313" i="5" s="1"/>
  <c r="CI376" i="5"/>
  <c r="CH375" i="5"/>
  <c r="BW414" i="5"/>
  <c r="BV412" i="5"/>
  <c r="BW412" i="5" s="1"/>
  <c r="BM366" i="5"/>
  <c r="BM412" i="5"/>
  <c r="CM355" i="5"/>
  <c r="CK293" i="5"/>
  <c r="BS322" i="5"/>
  <c r="CC363" i="5"/>
  <c r="CQ306" i="5"/>
  <c r="CP306" i="5"/>
  <c r="CO315" i="5"/>
  <c r="CN313" i="5"/>
  <c r="CJ254" i="5"/>
  <c r="CK255" i="5"/>
  <c r="CG310" i="5"/>
  <c r="CD258" i="5"/>
  <c r="CA292" i="5"/>
  <c r="BV254" i="5"/>
  <c r="BW255" i="5"/>
  <c r="D294" i="5"/>
  <c r="BL295" i="5"/>
  <c r="Q295" i="5"/>
  <c r="BS295" i="5"/>
  <c r="CK234" i="5"/>
  <c r="BM197" i="5"/>
  <c r="D188" i="5"/>
  <c r="F185" i="5"/>
  <c r="BM188" i="5"/>
  <c r="BJ188" i="5"/>
  <c r="CM197" i="5"/>
  <c r="CC278" i="5"/>
  <c r="BJ128" i="5"/>
  <c r="F127" i="5"/>
  <c r="BX185" i="5"/>
  <c r="BM128" i="5"/>
  <c r="CQ150" i="5"/>
  <c r="CP150" i="5"/>
  <c r="CM161" i="5"/>
  <c r="CF160" i="5"/>
  <c r="CE160" i="5"/>
  <c r="CQ133" i="5"/>
  <c r="CP133" i="5"/>
  <c r="BM92" i="5"/>
  <c r="BJ92" i="5"/>
  <c r="D92" i="5"/>
  <c r="CP23" i="5"/>
  <c r="CQ23" i="5"/>
  <c r="BL68" i="5"/>
  <c r="CM44" i="5"/>
  <c r="CK44" i="5"/>
  <c r="CI44" i="5"/>
  <c r="BL44" i="5"/>
  <c r="CG44" i="5"/>
  <c r="CE44" i="5"/>
  <c r="Q44" i="5"/>
  <c r="CC44" i="5"/>
  <c r="CO44" i="5"/>
  <c r="CA44" i="5"/>
  <c r="BY44" i="5"/>
  <c r="BW44" i="5"/>
  <c r="BU44" i="5"/>
  <c r="BQ44" i="5"/>
  <c r="BS44" i="5"/>
  <c r="CP118" i="5"/>
  <c r="CQ118" i="5"/>
  <c r="CE38" i="5"/>
  <c r="CI16" i="5"/>
  <c r="CD572" i="5"/>
  <c r="CE573" i="5"/>
  <c r="CH522" i="5"/>
  <c r="CI522" i="5" s="1"/>
  <c r="CI523" i="5"/>
  <c r="CN384" i="5"/>
  <c r="CO385" i="5"/>
  <c r="BZ337" i="5"/>
  <c r="CA337" i="5" s="1"/>
  <c r="CA338" i="5"/>
  <c r="BV375" i="5"/>
  <c r="BW376" i="5"/>
  <c r="BY184" i="5"/>
  <c r="BU184" i="5"/>
  <c r="BS184" i="5"/>
  <c r="BQ184" i="5"/>
  <c r="Q184" i="5"/>
  <c r="BL184" i="5"/>
  <c r="BY547" i="5"/>
  <c r="BX546" i="5"/>
  <c r="CG561" i="5"/>
  <c r="BU561" i="5"/>
  <c r="BL561" i="5"/>
  <c r="Q561" i="5"/>
  <c r="BW561" i="5"/>
  <c r="CI561" i="5"/>
  <c r="CE561" i="5"/>
  <c r="CA561" i="5"/>
  <c r="Q388" i="5"/>
  <c r="BL388" i="5"/>
  <c r="CG388" i="5"/>
  <c r="BS388" i="5"/>
  <c r="BQ388" i="5"/>
  <c r="CC388" i="5"/>
  <c r="BU388" i="5"/>
  <c r="D387" i="5"/>
  <c r="CI387" i="5" s="1"/>
  <c r="BJ498" i="5"/>
  <c r="BX567" i="5"/>
  <c r="BY568" i="5"/>
  <c r="CN580" i="5"/>
  <c r="CO580" i="5" s="1"/>
  <c r="CO581" i="5"/>
  <c r="BY561" i="5"/>
  <c r="BW558" i="5"/>
  <c r="CK573" i="5"/>
  <c r="CJ572" i="5"/>
  <c r="CK572" i="5" s="1"/>
  <c r="BU520" i="5"/>
  <c r="BT519" i="5"/>
  <c r="CG570" i="5"/>
  <c r="Q557" i="5"/>
  <c r="D556" i="5"/>
  <c r="CM556" i="5" s="1"/>
  <c r="CG557" i="5"/>
  <c r="BS557" i="5"/>
  <c r="BQ557" i="5"/>
  <c r="CC557" i="5"/>
  <c r="BU557" i="5"/>
  <c r="BL557" i="5"/>
  <c r="CB580" i="5"/>
  <c r="CC580" i="5" s="1"/>
  <c r="CC581" i="5"/>
  <c r="CI570" i="5"/>
  <c r="CQ558" i="5"/>
  <c r="CP558" i="5"/>
  <c r="CQ559" i="5"/>
  <c r="CP559" i="5"/>
  <c r="CO557" i="5"/>
  <c r="BQ521" i="5"/>
  <c r="CO521" i="5"/>
  <c r="CC521" i="5"/>
  <c r="Q521" i="5"/>
  <c r="CA521" i="5"/>
  <c r="D519" i="5"/>
  <c r="BY519" i="5" s="1"/>
  <c r="BU521" i="5"/>
  <c r="BS521" i="5"/>
  <c r="CG521" i="5"/>
  <c r="CE521" i="5"/>
  <c r="BL521" i="5"/>
  <c r="CG566" i="5"/>
  <c r="BS566" i="5"/>
  <c r="BQ566" i="5"/>
  <c r="BL566" i="5"/>
  <c r="Q566" i="5"/>
  <c r="CI566" i="5"/>
  <c r="CQ545" i="5"/>
  <c r="CP545" i="5"/>
  <c r="BT536" i="5"/>
  <c r="BU537" i="5"/>
  <c r="CL583" i="5"/>
  <c r="CM583" i="5" s="1"/>
  <c r="CM584" i="5"/>
  <c r="BY527" i="5"/>
  <c r="BW527" i="5"/>
  <c r="CK527" i="5"/>
  <c r="D526" i="5"/>
  <c r="CM527" i="5"/>
  <c r="Q527" i="5"/>
  <c r="CI527" i="5"/>
  <c r="CG527" i="5"/>
  <c r="CE527" i="5"/>
  <c r="CC527" i="5"/>
  <c r="CA527" i="5"/>
  <c r="BU527" i="5"/>
  <c r="BS527" i="5"/>
  <c r="BQ527" i="5"/>
  <c r="CO527" i="5"/>
  <c r="BL527" i="5"/>
  <c r="CB546" i="5"/>
  <c r="CC547" i="5"/>
  <c r="CG583" i="5"/>
  <c r="BT580" i="5"/>
  <c r="BU580" i="5" s="1"/>
  <c r="CP548" i="5"/>
  <c r="CQ548" i="5"/>
  <c r="CK583" i="5"/>
  <c r="CC561" i="5"/>
  <c r="CQ519" i="5"/>
  <c r="CP519" i="5"/>
  <c r="BU501" i="5"/>
  <c r="CC495" i="5"/>
  <c r="CB494" i="5"/>
  <c r="CC494" i="5" s="1"/>
  <c r="BJ550" i="5"/>
  <c r="BM550" i="5"/>
  <c r="CK452" i="5"/>
  <c r="BS530" i="5"/>
  <c r="CQ523" i="5"/>
  <c r="CP523" i="5"/>
  <c r="BQ511" i="5"/>
  <c r="CA511" i="5"/>
  <c r="BL511" i="5"/>
  <c r="CK511" i="5"/>
  <c r="CE511" i="5"/>
  <c r="BY511" i="5"/>
  <c r="D510" i="5"/>
  <c r="CM510" i="5" s="1"/>
  <c r="BS511" i="5"/>
  <c r="CE508" i="5"/>
  <c r="BU508" i="5"/>
  <c r="CK506" i="5"/>
  <c r="CA506" i="5"/>
  <c r="BY506" i="5"/>
  <c r="BW506" i="5"/>
  <c r="BU506" i="5"/>
  <c r="BS506" i="5"/>
  <c r="CO506" i="5"/>
  <c r="D505" i="5"/>
  <c r="CM506" i="5"/>
  <c r="CG506" i="5"/>
  <c r="CE506" i="5"/>
  <c r="CC506" i="5"/>
  <c r="BQ506" i="5"/>
  <c r="BL506" i="5"/>
  <c r="Q506" i="5"/>
  <c r="CI506" i="5"/>
  <c r="BX498" i="5"/>
  <c r="BY499" i="5"/>
  <c r="CO446" i="5"/>
  <c r="CK403" i="5"/>
  <c r="CJ402" i="5"/>
  <c r="CK402" i="5" s="1"/>
  <c r="CQ486" i="5"/>
  <c r="CP486" i="5"/>
  <c r="BM454" i="5"/>
  <c r="CD564" i="5"/>
  <c r="CE565" i="5"/>
  <c r="CB564" i="5"/>
  <c r="CC565" i="5"/>
  <c r="BU457" i="5"/>
  <c r="BW457" i="5"/>
  <c r="CO457" i="5"/>
  <c r="CM457" i="5"/>
  <c r="CC457" i="5"/>
  <c r="CA457" i="5"/>
  <c r="BQ457" i="5"/>
  <c r="BY457" i="5"/>
  <c r="BS457" i="5"/>
  <c r="BL457" i="5"/>
  <c r="CK457" i="5"/>
  <c r="CI457" i="5"/>
  <c r="CE457" i="5"/>
  <c r="Q457" i="5"/>
  <c r="CG457" i="5"/>
  <c r="CO418" i="5"/>
  <c r="CO391" i="5"/>
  <c r="CN390" i="5"/>
  <c r="CO390" i="5" s="1"/>
  <c r="BV435" i="5"/>
  <c r="BY476" i="5"/>
  <c r="CA476" i="5"/>
  <c r="BS476" i="5"/>
  <c r="BQ476" i="5"/>
  <c r="CI476" i="5"/>
  <c r="CG476" i="5"/>
  <c r="BW476" i="5"/>
  <c r="CO476" i="5"/>
  <c r="CM476" i="5"/>
  <c r="CK476" i="5"/>
  <c r="CE476" i="5"/>
  <c r="CC476" i="5"/>
  <c r="BL476" i="5"/>
  <c r="Q476" i="5"/>
  <c r="BU476" i="5"/>
  <c r="CN378" i="5"/>
  <c r="BL337" i="5"/>
  <c r="BU379" i="5"/>
  <c r="BS379" i="5"/>
  <c r="CM379" i="5"/>
  <c r="BQ379" i="5"/>
  <c r="CK379" i="5"/>
  <c r="CG379" i="5"/>
  <c r="CE379" i="5"/>
  <c r="D378" i="5"/>
  <c r="CC378" i="5" s="1"/>
  <c r="CC379" i="5"/>
  <c r="CA379" i="5"/>
  <c r="BL379" i="5"/>
  <c r="Q379" i="5"/>
  <c r="CI379" i="5"/>
  <c r="BW379" i="5"/>
  <c r="CK344" i="5"/>
  <c r="CJ343" i="5"/>
  <c r="CK343" i="5" s="1"/>
  <c r="Q396" i="5"/>
  <c r="CC396" i="5"/>
  <c r="CM396" i="5"/>
  <c r="BQ396" i="5"/>
  <c r="CE396" i="5"/>
  <c r="CJ353" i="5"/>
  <c r="CK354" i="5"/>
  <c r="CC395" i="5"/>
  <c r="CB331" i="5"/>
  <c r="CC331" i="5" s="1"/>
  <c r="CC332" i="5"/>
  <c r="CG372" i="5"/>
  <c r="BM334" i="5"/>
  <c r="CO367" i="5"/>
  <c r="CN366" i="5"/>
  <c r="CK337" i="5"/>
  <c r="CO396" i="5"/>
  <c r="BW385" i="5"/>
  <c r="BV384" i="5"/>
  <c r="CM370" i="5"/>
  <c r="CL369" i="5"/>
  <c r="CM369" i="5" s="1"/>
  <c r="BL363" i="5"/>
  <c r="Q363" i="5"/>
  <c r="CE307" i="5"/>
  <c r="CQ288" i="5"/>
  <c r="CP288" i="5"/>
  <c r="CK380" i="5"/>
  <c r="CJ378" i="5"/>
  <c r="D353" i="5"/>
  <c r="BU353" i="5" s="1"/>
  <c r="CL340" i="5"/>
  <c r="CM341" i="5"/>
  <c r="BZ322" i="5"/>
  <c r="CA322" i="5" s="1"/>
  <c r="CA323" i="5"/>
  <c r="CH302" i="5"/>
  <c r="D302" i="5"/>
  <c r="CK385" i="5"/>
  <c r="BY342" i="5"/>
  <c r="CM310" i="5"/>
  <c r="CM416" i="5"/>
  <c r="CL415" i="5"/>
  <c r="CQ387" i="5"/>
  <c r="CP387" i="5"/>
  <c r="BX334" i="5"/>
  <c r="BY334" i="5" s="1"/>
  <c r="CI288" i="5"/>
  <c r="CH287" i="5"/>
  <c r="BT340" i="5"/>
  <c r="BU340" i="5" s="1"/>
  <c r="BW407" i="5"/>
  <c r="BT319" i="5"/>
  <c r="BU319" i="5" s="1"/>
  <c r="BU320" i="5"/>
  <c r="CL281" i="5"/>
  <c r="CM281" i="5" s="1"/>
  <c r="CM282" i="5"/>
  <c r="CG337" i="5"/>
  <c r="CK292" i="5"/>
  <c r="CI278" i="5"/>
  <c r="BU371" i="5"/>
  <c r="BT369" i="5"/>
  <c r="BU369" i="5" s="1"/>
  <c r="CP349" i="5"/>
  <c r="CQ349" i="5"/>
  <c r="CI336" i="5"/>
  <c r="CG376" i="5"/>
  <c r="BS376" i="5"/>
  <c r="Q376" i="5"/>
  <c r="D375" i="5"/>
  <c r="BQ376" i="5"/>
  <c r="BL376" i="5"/>
  <c r="BY414" i="5"/>
  <c r="BY363" i="5"/>
  <c r="BY324" i="5"/>
  <c r="CO359" i="5"/>
  <c r="BY315" i="5"/>
  <c r="BQ281" i="5"/>
  <c r="CQ206" i="5"/>
  <c r="CP206" i="5"/>
  <c r="CQ315" i="5"/>
  <c r="CP315" i="5"/>
  <c r="CQ249" i="5"/>
  <c r="CP249" i="5"/>
  <c r="BR214" i="5"/>
  <c r="BS216" i="5"/>
  <c r="BJ294" i="5"/>
  <c r="CE267" i="5"/>
  <c r="BS267" i="5"/>
  <c r="BL267" i="5"/>
  <c r="BY267" i="5"/>
  <c r="Q267" i="5"/>
  <c r="CG267" i="5"/>
  <c r="CC267" i="5"/>
  <c r="CI267" i="5"/>
  <c r="CP222" i="5"/>
  <c r="CQ222" i="5"/>
  <c r="A248" i="5"/>
  <c r="CC359" i="5"/>
  <c r="BM211" i="5"/>
  <c r="CQ283" i="5"/>
  <c r="CP283" i="5"/>
  <c r="BW184" i="5"/>
  <c r="CQ183" i="5"/>
  <c r="CP183" i="5"/>
  <c r="CA197" i="5"/>
  <c r="CE290" i="5"/>
  <c r="Q216" i="5"/>
  <c r="D214" i="5"/>
  <c r="BL216" i="5"/>
  <c r="F221" i="5"/>
  <c r="BJ221" i="5" s="1"/>
  <c r="CK262" i="5"/>
  <c r="BY262" i="5"/>
  <c r="BL262" i="5"/>
  <c r="BW262" i="5"/>
  <c r="CI262" i="5"/>
  <c r="D261" i="5"/>
  <c r="CE261" i="5" s="1"/>
  <c r="Q262" i="5"/>
  <c r="CC262" i="5"/>
  <c r="CM262" i="5"/>
  <c r="CQ199" i="5"/>
  <c r="CP199" i="5"/>
  <c r="CC259" i="5"/>
  <c r="CA259" i="5"/>
  <c r="BL259" i="5"/>
  <c r="Q259" i="5"/>
  <c r="CI259" i="5"/>
  <c r="BQ259" i="5"/>
  <c r="BW259" i="5"/>
  <c r="BU259" i="5"/>
  <c r="BX302" i="5"/>
  <c r="CO168" i="5"/>
  <c r="BV183" i="5"/>
  <c r="BV155" i="5" s="1"/>
  <c r="BU183" i="5"/>
  <c r="CB189" i="5"/>
  <c r="CA189" i="5"/>
  <c r="BZ185" i="5"/>
  <c r="CQ192" i="5"/>
  <c r="CP192" i="5"/>
  <c r="BS143" i="5"/>
  <c r="BQ143" i="5"/>
  <c r="BL143" i="5"/>
  <c r="Q143" i="5"/>
  <c r="D142" i="5"/>
  <c r="BW143" i="5"/>
  <c r="CC160" i="5"/>
  <c r="BM109" i="5"/>
  <c r="BJ109" i="5"/>
  <c r="D109" i="5"/>
  <c r="CO65" i="5"/>
  <c r="BQ65" i="5"/>
  <c r="CM65" i="5"/>
  <c r="CK65" i="5"/>
  <c r="CG65" i="5"/>
  <c r="CE65" i="5"/>
  <c r="Q65" i="5"/>
  <c r="CA65" i="5"/>
  <c r="BU65" i="5"/>
  <c r="CI65" i="5"/>
  <c r="CC65" i="5"/>
  <c r="BY65" i="5"/>
  <c r="BW65" i="5"/>
  <c r="BS65" i="5"/>
  <c r="BL65" i="5"/>
  <c r="CO38" i="5"/>
  <c r="CM56" i="5"/>
  <c r="CK56" i="5"/>
  <c r="CI56" i="5"/>
  <c r="BL56" i="5"/>
  <c r="CE56" i="5"/>
  <c r="Q56" i="5"/>
  <c r="CC56" i="5"/>
  <c r="BY56" i="5"/>
  <c r="BS56" i="5"/>
  <c r="CO56" i="5"/>
  <c r="CG56" i="5"/>
  <c r="CA56" i="5"/>
  <c r="BW56" i="5"/>
  <c r="BU56" i="5"/>
  <c r="BQ56" i="5"/>
  <c r="CQ65" i="5"/>
  <c r="CP65" i="5"/>
  <c r="BM68" i="5"/>
  <c r="CG41" i="5"/>
  <c r="BL41" i="5"/>
  <c r="CO41" i="5"/>
  <c r="CC41" i="5"/>
  <c r="Q41" i="5"/>
  <c r="CK41" i="5"/>
  <c r="BY41" i="5"/>
  <c r="BW41" i="5"/>
  <c r="BQ41" i="5"/>
  <c r="BU41" i="5"/>
  <c r="BS41" i="5"/>
  <c r="CO58" i="5"/>
  <c r="BQ28" i="5"/>
  <c r="BS28" i="5"/>
  <c r="CM28" i="5"/>
  <c r="CA28" i="5"/>
  <c r="BL28" i="5"/>
  <c r="CE28" i="5"/>
  <c r="Q28" i="5"/>
  <c r="CI28" i="5"/>
  <c r="BW28" i="5"/>
  <c r="CQ89" i="5"/>
  <c r="CP89" i="5"/>
  <c r="BU115" i="5"/>
  <c r="BS115" i="5"/>
  <c r="CO115" i="5"/>
  <c r="BQ115" i="5"/>
  <c r="CM115" i="5"/>
  <c r="CK115" i="5"/>
  <c r="CI115" i="5"/>
  <c r="BL115" i="5"/>
  <c r="CE115" i="5"/>
  <c r="Q115" i="5"/>
  <c r="BY115" i="5"/>
  <c r="CG115" i="5"/>
  <c r="CC115" i="5"/>
  <c r="CA115" i="5"/>
  <c r="BW115" i="5"/>
  <c r="CQ169" i="5"/>
  <c r="CP169" i="5"/>
  <c r="CM16" i="5"/>
  <c r="CI41" i="5"/>
  <c r="CK378" i="5" l="1"/>
  <c r="CM292" i="5"/>
  <c r="BU331" i="5"/>
  <c r="BW406" i="5"/>
  <c r="CM550" i="5"/>
  <c r="CA331" i="5"/>
  <c r="CQ459" i="5"/>
  <c r="CP459" i="5"/>
  <c r="CG464" i="5"/>
  <c r="CO464" i="5"/>
  <c r="CA464" i="5"/>
  <c r="BY488" i="5"/>
  <c r="CM459" i="5"/>
  <c r="CI459" i="5"/>
  <c r="CE459" i="5"/>
  <c r="CO459" i="5"/>
  <c r="BL459" i="5"/>
  <c r="BU459" i="5"/>
  <c r="BS459" i="5"/>
  <c r="BQ459" i="5"/>
  <c r="BW459" i="5"/>
  <c r="CG459" i="5"/>
  <c r="Q459" i="5"/>
  <c r="BY459" i="5"/>
  <c r="CK459" i="5"/>
  <c r="CC459" i="5"/>
  <c r="CA459" i="5"/>
  <c r="CQ430" i="5"/>
  <c r="CP430" i="5"/>
  <c r="BN430" i="5"/>
  <c r="BP430" i="5" s="1"/>
  <c r="BQ430" i="5" s="1"/>
  <c r="BR430" i="5" s="1"/>
  <c r="BS430" i="5" s="1"/>
  <c r="BT430" i="5" s="1"/>
  <c r="BU430" i="5" s="1"/>
  <c r="BV430" i="5" s="1"/>
  <c r="BW430" i="5" s="1"/>
  <c r="BX430" i="5" s="1"/>
  <c r="BY430" i="5" s="1"/>
  <c r="BZ430" i="5" s="1"/>
  <c r="CA430" i="5" s="1"/>
  <c r="CB430" i="5" s="1"/>
  <c r="CC430" i="5" s="1"/>
  <c r="CD430" i="5" s="1"/>
  <c r="CE430" i="5" s="1"/>
  <c r="CF430" i="5" s="1"/>
  <c r="CG430" i="5" s="1"/>
  <c r="CH430" i="5" s="1"/>
  <c r="CI430" i="5" s="1"/>
  <c r="CJ430" i="5" s="1"/>
  <c r="CK430" i="5" s="1"/>
  <c r="CL430" i="5" s="1"/>
  <c r="CM430" i="5" s="1"/>
  <c r="CN430" i="5" s="1"/>
  <c r="CO430" i="5" s="1"/>
  <c r="CC546" i="5"/>
  <c r="BY546" i="5"/>
  <c r="CP340" i="5"/>
  <c r="CQ435" i="5"/>
  <c r="CI488" i="5"/>
  <c r="BU450" i="5"/>
  <c r="BS488" i="5"/>
  <c r="BS464" i="5"/>
  <c r="CK488" i="5"/>
  <c r="CQ453" i="5"/>
  <c r="BJ77" i="5"/>
  <c r="CC513" i="5"/>
  <c r="CI442" i="5"/>
  <c r="BW442" i="5"/>
  <c r="BL442" i="5"/>
  <c r="CE442" i="5"/>
  <c r="CM442" i="5"/>
  <c r="CC442" i="5"/>
  <c r="CA442" i="5"/>
  <c r="Q442" i="5"/>
  <c r="BU442" i="5"/>
  <c r="BY442" i="5"/>
  <c r="CK442" i="5"/>
  <c r="CG442" i="5"/>
  <c r="BQ442" i="5"/>
  <c r="BS442" i="5"/>
  <c r="CO442" i="5"/>
  <c r="CE464" i="5"/>
  <c r="CA488" i="5"/>
  <c r="CQ437" i="5"/>
  <c r="Q319" i="5"/>
  <c r="CQ358" i="5"/>
  <c r="CI145" i="5"/>
  <c r="CK100" i="5"/>
  <c r="BW100" i="5"/>
  <c r="BU100" i="5"/>
  <c r="BY100" i="5"/>
  <c r="BS100" i="5"/>
  <c r="CE269" i="5"/>
  <c r="CC269" i="5"/>
  <c r="BQ269" i="5"/>
  <c r="BS269" i="5"/>
  <c r="CE340" i="5"/>
  <c r="D77" i="5"/>
  <c r="BW77" i="5" s="1"/>
  <c r="CM415" i="5"/>
  <c r="CE572" i="5"/>
  <c r="CO289" i="5"/>
  <c r="BY331" i="5"/>
  <c r="CK553" i="5"/>
  <c r="CC343" i="5"/>
  <c r="BY464" i="5"/>
  <c r="BQ488" i="5"/>
  <c r="BY522" i="5"/>
  <c r="CI231" i="5"/>
  <c r="CI366" i="5"/>
  <c r="BL319" i="5"/>
  <c r="BQ100" i="5"/>
  <c r="BY145" i="5"/>
  <c r="CK319" i="5"/>
  <c r="BJ248" i="5"/>
  <c r="BM248" i="5"/>
  <c r="CC464" i="5"/>
  <c r="BW340" i="5"/>
  <c r="CO366" i="5"/>
  <c r="CE564" i="5"/>
  <c r="BY567" i="5"/>
  <c r="CE289" i="5"/>
  <c r="CK289" i="5"/>
  <c r="CC319" i="5"/>
  <c r="BQ464" i="5"/>
  <c r="BL488" i="5"/>
  <c r="CC100" i="5"/>
  <c r="BW464" i="5"/>
  <c r="CA343" i="5"/>
  <c r="CP418" i="5"/>
  <c r="CQ210" i="5"/>
  <c r="BW272" i="5"/>
  <c r="CO564" i="5"/>
  <c r="BJ435" i="5"/>
  <c r="BU272" i="5"/>
  <c r="BU289" i="5"/>
  <c r="CK363" i="5"/>
  <c r="CI464" i="5"/>
  <c r="BJ453" i="5"/>
  <c r="CE488" i="5"/>
  <c r="CE100" i="5"/>
  <c r="CA447" i="5"/>
  <c r="CK447" i="5"/>
  <c r="CC447" i="5"/>
  <c r="CQ469" i="5"/>
  <c r="CP469" i="5"/>
  <c r="CK384" i="5"/>
  <c r="CM340" i="5"/>
  <c r="CM464" i="5"/>
  <c r="BU464" i="5"/>
  <c r="BU536" i="5"/>
  <c r="CA567" i="5"/>
  <c r="BW289" i="5"/>
  <c r="CE366" i="5"/>
  <c r="BL464" i="5"/>
  <c r="BW567" i="5"/>
  <c r="BW287" i="5"/>
  <c r="CA100" i="5"/>
  <c r="CK464" i="5"/>
  <c r="CG33" i="5"/>
  <c r="CE33" i="5"/>
  <c r="Q33" i="5"/>
  <c r="CO33" i="5"/>
  <c r="CC33" i="5"/>
  <c r="BU33" i="5"/>
  <c r="CA33" i="5"/>
  <c r="BS33" i="5"/>
  <c r="BY33" i="5"/>
  <c r="CM33" i="5"/>
  <c r="BQ33" i="5"/>
  <c r="BW33" i="5"/>
  <c r="CK33" i="5"/>
  <c r="CI33" i="5"/>
  <c r="BL33" i="5"/>
  <c r="CO287" i="5"/>
  <c r="CM272" i="5"/>
  <c r="CO429" i="5"/>
  <c r="BW363" i="5"/>
  <c r="BS363" i="5"/>
  <c r="CO363" i="5"/>
  <c r="CI363" i="5"/>
  <c r="BU363" i="5"/>
  <c r="BQ363" i="5"/>
  <c r="CE363" i="5"/>
  <c r="CQ409" i="5"/>
  <c r="CP409" i="5"/>
  <c r="BU469" i="5"/>
  <c r="CC564" i="5"/>
  <c r="CO313" i="5"/>
  <c r="CI375" i="5"/>
  <c r="CG469" i="5"/>
  <c r="CK272" i="5"/>
  <c r="CG429" i="5"/>
  <c r="BN436" i="5"/>
  <c r="BP436" i="5" s="1"/>
  <c r="BQ436" i="5" s="1"/>
  <c r="BR436" i="5" s="1"/>
  <c r="BS436" i="5" s="1"/>
  <c r="BT436" i="5" s="1"/>
  <c r="BU436" i="5" s="1"/>
  <c r="BV436" i="5" s="1"/>
  <c r="BW436" i="5" s="1"/>
  <c r="BX436" i="5" s="1"/>
  <c r="BY436" i="5" s="1"/>
  <c r="BZ436" i="5" s="1"/>
  <c r="CA436" i="5" s="1"/>
  <c r="CB436" i="5" s="1"/>
  <c r="CC436" i="5" s="1"/>
  <c r="CD436" i="5" s="1"/>
  <c r="CE436" i="5" s="1"/>
  <c r="CF436" i="5" s="1"/>
  <c r="CG436" i="5" s="1"/>
  <c r="CH436" i="5" s="1"/>
  <c r="CI436" i="5" s="1"/>
  <c r="CJ436" i="5" s="1"/>
  <c r="CK436" i="5" s="1"/>
  <c r="CL436" i="5" s="1"/>
  <c r="CM436" i="5" s="1"/>
  <c r="CN436" i="5" s="1"/>
  <c r="CO436" i="5" s="1"/>
  <c r="CQ436" i="5"/>
  <c r="CP436" i="5"/>
  <c r="BS272" i="5"/>
  <c r="CI469" i="5"/>
  <c r="CI564" i="5"/>
  <c r="CE429" i="5"/>
  <c r="BM77" i="5"/>
  <c r="BY272" i="5"/>
  <c r="CM469" i="5"/>
  <c r="BJ510" i="5"/>
  <c r="BM510" i="5"/>
  <c r="CP406" i="5"/>
  <c r="CQ406" i="5"/>
  <c r="CP575" i="5"/>
  <c r="CQ575" i="5"/>
  <c r="CA272" i="5"/>
  <c r="CG272" i="5"/>
  <c r="CM429" i="5"/>
  <c r="Q239" i="5"/>
  <c r="CK239" i="5"/>
  <c r="BL239" i="5"/>
  <c r="BY239" i="5"/>
  <c r="CC239" i="5"/>
  <c r="CA239" i="5"/>
  <c r="BW239" i="5"/>
  <c r="CG239" i="5"/>
  <c r="CI239" i="5"/>
  <c r="CO239" i="5"/>
  <c r="BQ239" i="5"/>
  <c r="BS239" i="5"/>
  <c r="CM239" i="5"/>
  <c r="BU239" i="5"/>
  <c r="CE239" i="5"/>
  <c r="BJ574" i="5"/>
  <c r="BW346" i="5"/>
  <c r="CO272" i="5"/>
  <c r="BU429" i="5"/>
  <c r="CI429" i="5"/>
  <c r="CP209" i="5"/>
  <c r="BQ429" i="5"/>
  <c r="F477" i="5"/>
  <c r="BM478" i="5"/>
  <c r="BJ478" i="5"/>
  <c r="Q513" i="5"/>
  <c r="CM513" i="5"/>
  <c r="BU513" i="5"/>
  <c r="BL513" i="5"/>
  <c r="BY513" i="5"/>
  <c r="CI513" i="5"/>
  <c r="CO513" i="5"/>
  <c r="CK513" i="5"/>
  <c r="BW513" i="5"/>
  <c r="BQ513" i="5"/>
  <c r="BS513" i="5"/>
  <c r="BL249" i="5"/>
  <c r="BQ249" i="5"/>
  <c r="CM249" i="5"/>
  <c r="Q249" i="5"/>
  <c r="BY249" i="5"/>
  <c r="CI249" i="5"/>
  <c r="CC249" i="5"/>
  <c r="CO249" i="5"/>
  <c r="CK249" i="5"/>
  <c r="BU249" i="5"/>
  <c r="BW249" i="5"/>
  <c r="BS249" i="5"/>
  <c r="D248" i="5"/>
  <c r="CE249" i="5"/>
  <c r="CA249" i="5"/>
  <c r="CG249" i="5"/>
  <c r="CG513" i="5"/>
  <c r="BX142" i="5"/>
  <c r="BX141" i="5" s="1"/>
  <c r="BZ143" i="5"/>
  <c r="BY143" i="5"/>
  <c r="CE287" i="5"/>
  <c r="BL272" i="5"/>
  <c r="O221" i="5"/>
  <c r="CC429" i="5"/>
  <c r="BW429" i="5"/>
  <c r="CP479" i="5"/>
  <c r="CQ479" i="5"/>
  <c r="CE513" i="5"/>
  <c r="CP402" i="5"/>
  <c r="CQ402" i="5"/>
  <c r="CQ245" i="5"/>
  <c r="CP245" i="5"/>
  <c r="BL469" i="5"/>
  <c r="BY469" i="5"/>
  <c r="BS469" i="5"/>
  <c r="CK469" i="5"/>
  <c r="BW469" i="5"/>
  <c r="Q469" i="5"/>
  <c r="BQ469" i="5"/>
  <c r="CA287" i="5"/>
  <c r="CM472" i="5"/>
  <c r="CC272" i="5"/>
  <c r="BU415" i="5"/>
  <c r="CM564" i="5"/>
  <c r="BW472" i="5"/>
  <c r="BY429" i="5"/>
  <c r="BQ479" i="5"/>
  <c r="CC479" i="5"/>
  <c r="CA479" i="5"/>
  <c r="BL479" i="5"/>
  <c r="CE479" i="5"/>
  <c r="BY479" i="5"/>
  <c r="CK479" i="5"/>
  <c r="BW479" i="5"/>
  <c r="BU479" i="5"/>
  <c r="D478" i="5"/>
  <c r="BS479" i="5"/>
  <c r="CM479" i="5"/>
  <c r="Q479" i="5"/>
  <c r="CG479" i="5"/>
  <c r="CO479" i="5"/>
  <c r="CI479" i="5"/>
  <c r="CC469" i="5"/>
  <c r="CN441" i="5"/>
  <c r="CO441" i="5" s="1"/>
  <c r="CM441" i="5"/>
  <c r="CA298" i="5"/>
  <c r="CB298" i="5"/>
  <c r="CD533" i="5"/>
  <c r="CE534" i="5"/>
  <c r="CA472" i="5"/>
  <c r="BU519" i="5"/>
  <c r="CA415" i="5"/>
  <c r="CP580" i="5"/>
  <c r="CE272" i="5"/>
  <c r="CA429" i="5"/>
  <c r="CG488" i="5"/>
  <c r="CC488" i="5"/>
  <c r="BU488" i="5"/>
  <c r="BY135" i="5"/>
  <c r="BW135" i="5"/>
  <c r="BU135" i="5"/>
  <c r="BS135" i="5"/>
  <c r="BQ135" i="5"/>
  <c r="CK135" i="5"/>
  <c r="BL135" i="5"/>
  <c r="CO135" i="5"/>
  <c r="Q135" i="5"/>
  <c r="CG135" i="5"/>
  <c r="D128" i="5"/>
  <c r="CE135" i="5"/>
  <c r="CC135" i="5"/>
  <c r="CA135" i="5"/>
  <c r="CI135" i="5"/>
  <c r="CM135" i="5"/>
  <c r="BL349" i="5"/>
  <c r="CG349" i="5"/>
  <c r="BQ349" i="5"/>
  <c r="BW349" i="5"/>
  <c r="BY349" i="5"/>
  <c r="CA349" i="5"/>
  <c r="BU349" i="5"/>
  <c r="CE349" i="5"/>
  <c r="BS349" i="5"/>
  <c r="CI349" i="5"/>
  <c r="CO349" i="5"/>
  <c r="CC349" i="5"/>
  <c r="CK349" i="5"/>
  <c r="CM349" i="5"/>
  <c r="Q349" i="5"/>
  <c r="CG535" i="5"/>
  <c r="CF534" i="5"/>
  <c r="CQ553" i="5"/>
  <c r="CP553" i="5"/>
  <c r="D258" i="5"/>
  <c r="CC258" i="5" s="1"/>
  <c r="CI287" i="5"/>
  <c r="BW313" i="5"/>
  <c r="BU546" i="5"/>
  <c r="CA469" i="5"/>
  <c r="Q272" i="5"/>
  <c r="CP488" i="5"/>
  <c r="CQ488" i="5"/>
  <c r="CQ135" i="5"/>
  <c r="CP135" i="5"/>
  <c r="CP502" i="5"/>
  <c r="CQ502" i="5"/>
  <c r="CQ275" i="5"/>
  <c r="CP275" i="5"/>
  <c r="CH160" i="5"/>
  <c r="CG160" i="5"/>
  <c r="BL294" i="5"/>
  <c r="Q294" i="5"/>
  <c r="BU294" i="5"/>
  <c r="BQ294" i="5"/>
  <c r="BS294" i="5"/>
  <c r="CQ412" i="5"/>
  <c r="CP412" i="5"/>
  <c r="BL384" i="5"/>
  <c r="BS384" i="5"/>
  <c r="BQ384" i="5"/>
  <c r="Q384" i="5"/>
  <c r="CG384" i="5"/>
  <c r="BY384" i="5"/>
  <c r="CD352" i="5"/>
  <c r="CE353" i="5"/>
  <c r="Q340" i="5"/>
  <c r="BQ340" i="5"/>
  <c r="BL340" i="5"/>
  <c r="CG340" i="5"/>
  <c r="BS340" i="5"/>
  <c r="CK340" i="5"/>
  <c r="CP372" i="5"/>
  <c r="CQ372" i="5"/>
  <c r="CJ439" i="5"/>
  <c r="CI439" i="5"/>
  <c r="CK498" i="5"/>
  <c r="CJ497" i="5"/>
  <c r="CG519" i="5"/>
  <c r="CC313" i="5"/>
  <c r="BQ261" i="5"/>
  <c r="Q254" i="5"/>
  <c r="BS254" i="5"/>
  <c r="CG254" i="5"/>
  <c r="D253" i="5"/>
  <c r="BQ254" i="5"/>
  <c r="BL254" i="5"/>
  <c r="BY378" i="5"/>
  <c r="CO415" i="5"/>
  <c r="BW387" i="5"/>
  <c r="CA519" i="5"/>
  <c r="Q412" i="5"/>
  <c r="BQ412" i="5"/>
  <c r="BL412" i="5"/>
  <c r="BS412" i="5"/>
  <c r="CG412" i="5"/>
  <c r="BM253" i="5"/>
  <c r="BJ253" i="5"/>
  <c r="BM258" i="5"/>
  <c r="BJ258" i="5"/>
  <c r="BU346" i="5"/>
  <c r="BL292" i="5"/>
  <c r="Q292" i="5"/>
  <c r="BQ292" i="5"/>
  <c r="CE292" i="5"/>
  <c r="BU292" i="5"/>
  <c r="CG292" i="5"/>
  <c r="BS292" i="5"/>
  <c r="BY292" i="5"/>
  <c r="CQ142" i="5"/>
  <c r="CP142" i="5"/>
  <c r="BV301" i="5"/>
  <c r="BW302" i="5"/>
  <c r="CC567" i="5"/>
  <c r="CC572" i="5"/>
  <c r="CK556" i="5"/>
  <c r="CI292" i="5"/>
  <c r="CC384" i="5"/>
  <c r="Q343" i="5"/>
  <c r="CG343" i="5"/>
  <c r="BS343" i="5"/>
  <c r="BL343" i="5"/>
  <c r="BQ343" i="5"/>
  <c r="CK546" i="5"/>
  <c r="CK29" i="5"/>
  <c r="CI29" i="5"/>
  <c r="BL29" i="5"/>
  <c r="CG29" i="5"/>
  <c r="CE29" i="5"/>
  <c r="Q29" i="5"/>
  <c r="CC29" i="5"/>
  <c r="CA29" i="5"/>
  <c r="BY29" i="5"/>
  <c r="BW29" i="5"/>
  <c r="BQ29" i="5"/>
  <c r="BU29" i="5"/>
  <c r="CM29" i="5"/>
  <c r="BS29" i="5"/>
  <c r="CO29" i="5"/>
  <c r="CA231" i="5"/>
  <c r="BL231" i="5"/>
  <c r="BY231" i="5"/>
  <c r="Q231" i="5"/>
  <c r="BU231" i="5"/>
  <c r="BQ231" i="5"/>
  <c r="CC231" i="5"/>
  <c r="BW231" i="5"/>
  <c r="CE231" i="5"/>
  <c r="BS231" i="5"/>
  <c r="CG231" i="5"/>
  <c r="CG287" i="5"/>
  <c r="BL287" i="5"/>
  <c r="Q287" i="5"/>
  <c r="BY287" i="5"/>
  <c r="CK287" i="5"/>
  <c r="BS287" i="5"/>
  <c r="BQ287" i="5"/>
  <c r="CM287" i="5"/>
  <c r="CQ158" i="5"/>
  <c r="CP158" i="5"/>
  <c r="CP574" i="5"/>
  <c r="CQ574" i="5"/>
  <c r="BM301" i="5"/>
  <c r="BJ301" i="5"/>
  <c r="Q77" i="5"/>
  <c r="CG77" i="5"/>
  <c r="BU77" i="5"/>
  <c r="BL77" i="5"/>
  <c r="CA77" i="5"/>
  <c r="BY77" i="5"/>
  <c r="CM77" i="5"/>
  <c r="CO77" i="5"/>
  <c r="BS77" i="5"/>
  <c r="CC77" i="5"/>
  <c r="CG261" i="5"/>
  <c r="BL261" i="5"/>
  <c r="Q261" i="5"/>
  <c r="BS261" i="5"/>
  <c r="CC261" i="5"/>
  <c r="CO261" i="5"/>
  <c r="BW261" i="5"/>
  <c r="CM261" i="5"/>
  <c r="CI261" i="5"/>
  <c r="CK261" i="5"/>
  <c r="CA261" i="5"/>
  <c r="BY261" i="5"/>
  <c r="CG302" i="5"/>
  <c r="BS302" i="5"/>
  <c r="D301" i="5"/>
  <c r="BL302" i="5"/>
  <c r="Q302" i="5"/>
  <c r="BQ302" i="5"/>
  <c r="CG556" i="5"/>
  <c r="BL556" i="5"/>
  <c r="BY556" i="5"/>
  <c r="Q556" i="5"/>
  <c r="CA556" i="5"/>
  <c r="BS556" i="5"/>
  <c r="CO556" i="5"/>
  <c r="BU556" i="5"/>
  <c r="CC556" i="5"/>
  <c r="BQ556" i="5"/>
  <c r="CP188" i="5"/>
  <c r="CQ188" i="5"/>
  <c r="CP366" i="5"/>
  <c r="CQ366" i="5"/>
  <c r="CK313" i="5"/>
  <c r="BJ502" i="5"/>
  <c r="CE184" i="5"/>
  <c r="CF184" i="5"/>
  <c r="CQ261" i="5"/>
  <c r="CP261" i="5"/>
  <c r="CI415" i="5"/>
  <c r="BU125" i="5"/>
  <c r="BS125" i="5"/>
  <c r="CO125" i="5"/>
  <c r="BQ125" i="5"/>
  <c r="CM125" i="5"/>
  <c r="CK125" i="5"/>
  <c r="CI125" i="5"/>
  <c r="BL125" i="5"/>
  <c r="CE125" i="5"/>
  <c r="Q125" i="5"/>
  <c r="BY125" i="5"/>
  <c r="CG125" i="5"/>
  <c r="CC125" i="5"/>
  <c r="CA125" i="5"/>
  <c r="BW125" i="5"/>
  <c r="CH181" i="5"/>
  <c r="CG181" i="5"/>
  <c r="CN301" i="5"/>
  <c r="CO302" i="5"/>
  <c r="CL363" i="5"/>
  <c r="CM363" i="5" s="1"/>
  <c r="CM364" i="5"/>
  <c r="CQ447" i="5"/>
  <c r="CP447" i="5"/>
  <c r="CI572" i="5"/>
  <c r="BW564" i="5"/>
  <c r="CC441" i="5"/>
  <c r="CD441" i="5"/>
  <c r="BU412" i="5"/>
  <c r="CI384" i="5"/>
  <c r="Q203" i="5"/>
  <c r="CG203" i="5"/>
  <c r="BU203" i="5"/>
  <c r="D202" i="5"/>
  <c r="CC203" i="5"/>
  <c r="BQ203" i="5"/>
  <c r="BS203" i="5"/>
  <c r="CE203" i="5"/>
  <c r="CM203" i="5"/>
  <c r="CA203" i="5"/>
  <c r="BY203" i="5"/>
  <c r="CO203" i="5"/>
  <c r="CK203" i="5"/>
  <c r="BW203" i="5"/>
  <c r="BL203" i="5"/>
  <c r="CI203" i="5"/>
  <c r="BY313" i="5"/>
  <c r="BX221" i="5"/>
  <c r="CC230" i="5"/>
  <c r="CB229" i="5"/>
  <c r="CD230" i="5"/>
  <c r="CJ192" i="5"/>
  <c r="CI192" i="5"/>
  <c r="CL253" i="5"/>
  <c r="CM254" i="5"/>
  <c r="CC510" i="5"/>
  <c r="CG145" i="5"/>
  <c r="CP334" i="5"/>
  <c r="CQ334" i="5"/>
  <c r="CQ491" i="5"/>
  <c r="CP491" i="5"/>
  <c r="CP68" i="5"/>
  <c r="CQ68" i="5"/>
  <c r="CM109" i="5"/>
  <c r="CK109" i="5"/>
  <c r="CI109" i="5"/>
  <c r="BL109" i="5"/>
  <c r="CG109" i="5"/>
  <c r="CE109" i="5"/>
  <c r="Q109" i="5"/>
  <c r="CC109" i="5"/>
  <c r="BY109" i="5"/>
  <c r="BS109" i="5"/>
  <c r="CO109" i="5"/>
  <c r="CA109" i="5"/>
  <c r="BW109" i="5"/>
  <c r="BU109" i="5"/>
  <c r="BQ109" i="5"/>
  <c r="CI302" i="5"/>
  <c r="CH301" i="5"/>
  <c r="BM185" i="5"/>
  <c r="BJ185" i="5"/>
  <c r="BV253" i="5"/>
  <c r="BW254" i="5"/>
  <c r="BX253" i="5"/>
  <c r="BY254" i="5"/>
  <c r="BS91" i="5"/>
  <c r="CO91" i="5"/>
  <c r="BQ91" i="5"/>
  <c r="CM91" i="5"/>
  <c r="CK91" i="5"/>
  <c r="CI91" i="5"/>
  <c r="BL91" i="5"/>
  <c r="CG91" i="5"/>
  <c r="CC91" i="5"/>
  <c r="BW91" i="5"/>
  <c r="CE91" i="5"/>
  <c r="CA91" i="5"/>
  <c r="BY91" i="5"/>
  <c r="BU91" i="5"/>
  <c r="Q91" i="5"/>
  <c r="CQ295" i="5"/>
  <c r="CP295" i="5"/>
  <c r="CQ431" i="5"/>
  <c r="CP431" i="5"/>
  <c r="CA387" i="5"/>
  <c r="F213" i="5"/>
  <c r="BM214" i="5"/>
  <c r="BJ214" i="5"/>
  <c r="CH300" i="5"/>
  <c r="CG300" i="5"/>
  <c r="CM375" i="5"/>
  <c r="CM384" i="5"/>
  <c r="CD497" i="5"/>
  <c r="CE498" i="5"/>
  <c r="CE556" i="5"/>
  <c r="CQ254" i="5"/>
  <c r="CP254" i="5"/>
  <c r="Q226" i="5"/>
  <c r="D224" i="5"/>
  <c r="CO387" i="5"/>
  <c r="BU302" i="5"/>
  <c r="BT301" i="5"/>
  <c r="D483" i="5"/>
  <c r="CM484" i="5"/>
  <c r="BU484" i="5"/>
  <c r="CG484" i="5"/>
  <c r="BL484" i="5"/>
  <c r="CA484" i="5"/>
  <c r="Q484" i="5"/>
  <c r="CI484" i="5"/>
  <c r="BS484" i="5"/>
  <c r="BY484" i="5"/>
  <c r="CK484" i="5"/>
  <c r="CE484" i="5"/>
  <c r="BQ484" i="5"/>
  <c r="CC484" i="5"/>
  <c r="BW484" i="5"/>
  <c r="CO484" i="5"/>
  <c r="CA378" i="5"/>
  <c r="CQ484" i="5"/>
  <c r="CP484" i="5"/>
  <c r="CO572" i="5"/>
  <c r="CN231" i="5"/>
  <c r="CO231" i="5" s="1"/>
  <c r="CO233" i="5"/>
  <c r="CO340" i="5"/>
  <c r="CJ301" i="5"/>
  <c r="CK302" i="5"/>
  <c r="BL437" i="5"/>
  <c r="Q437" i="5"/>
  <c r="D435" i="5"/>
  <c r="BS437" i="5"/>
  <c r="BQ437" i="5"/>
  <c r="BU437" i="5"/>
  <c r="BU564" i="5"/>
  <c r="Q536" i="5"/>
  <c r="CC536" i="5"/>
  <c r="BY536" i="5"/>
  <c r="CK536" i="5"/>
  <c r="BL536" i="5"/>
  <c r="BS536" i="5"/>
  <c r="BQ536" i="5"/>
  <c r="D533" i="5"/>
  <c r="BW536" i="5"/>
  <c r="CG536" i="5"/>
  <c r="CI536" i="5"/>
  <c r="CA536" i="5"/>
  <c r="CO536" i="5"/>
  <c r="CE536" i="5"/>
  <c r="CQ29" i="5"/>
  <c r="CP29" i="5"/>
  <c r="BZ228" i="5"/>
  <c r="CA229" i="5"/>
  <c r="CL232" i="5"/>
  <c r="CK232" i="5"/>
  <c r="CJ231" i="5"/>
  <c r="CK231" i="5" s="1"/>
  <c r="BY572" i="5"/>
  <c r="CA340" i="5"/>
  <c r="BV154" i="5"/>
  <c r="BQ258" i="5"/>
  <c r="CB253" i="5"/>
  <c r="CC254" i="5"/>
  <c r="CQ505" i="5"/>
  <c r="CP505" i="5"/>
  <c r="CQ550" i="5"/>
  <c r="CP550" i="5"/>
  <c r="Q387" i="5"/>
  <c r="CG387" i="5"/>
  <c r="BS387" i="5"/>
  <c r="BL387" i="5"/>
  <c r="CE387" i="5"/>
  <c r="BQ387" i="5"/>
  <c r="BY188" i="5"/>
  <c r="BU188" i="5"/>
  <c r="Q188" i="5"/>
  <c r="CG188" i="5"/>
  <c r="CE188" i="5"/>
  <c r="CC188" i="5"/>
  <c r="CA188" i="5"/>
  <c r="BW188" i="5"/>
  <c r="BQ188" i="5"/>
  <c r="CK188" i="5"/>
  <c r="BL188" i="5"/>
  <c r="CI188" i="5"/>
  <c r="BS188" i="5"/>
  <c r="CO188" i="5"/>
  <c r="CM188" i="5"/>
  <c r="CK254" i="5"/>
  <c r="CJ253" i="5"/>
  <c r="CO427" i="5"/>
  <c r="CC427" i="5"/>
  <c r="BQ427" i="5"/>
  <c r="CG427" i="5"/>
  <c r="CE427" i="5"/>
  <c r="Q427" i="5"/>
  <c r="CM427" i="5"/>
  <c r="BW427" i="5"/>
  <c r="BU427" i="5"/>
  <c r="BL427" i="5"/>
  <c r="BS427" i="5"/>
  <c r="BY427" i="5"/>
  <c r="CI427" i="5"/>
  <c r="CA427" i="5"/>
  <c r="CK427" i="5"/>
  <c r="BM18" i="5"/>
  <c r="F14" i="5"/>
  <c r="BJ18" i="5"/>
  <c r="D185" i="5"/>
  <c r="CE510" i="5"/>
  <c r="BQ546" i="5"/>
  <c r="CG546" i="5"/>
  <c r="BL546" i="5"/>
  <c r="Q546" i="5"/>
  <c r="BW546" i="5"/>
  <c r="BS546" i="5"/>
  <c r="CA546" i="5"/>
  <c r="CC375" i="5"/>
  <c r="CI313" i="5"/>
  <c r="Q567" i="5"/>
  <c r="BQ567" i="5"/>
  <c r="BL567" i="5"/>
  <c r="BS567" i="5"/>
  <c r="CG567" i="5"/>
  <c r="BM221" i="5"/>
  <c r="CQ125" i="5"/>
  <c r="CP125" i="5"/>
  <c r="CD222" i="5"/>
  <c r="CE222" i="5" s="1"/>
  <c r="CF223" i="5"/>
  <c r="CE223" i="5"/>
  <c r="CM313" i="5"/>
  <c r="CI567" i="5"/>
  <c r="A151" i="5"/>
  <c r="A152" i="5" s="1"/>
  <c r="BY437" i="5"/>
  <c r="BX435" i="5"/>
  <c r="CO254" i="5"/>
  <c r="CC387" i="5"/>
  <c r="BW343" i="5"/>
  <c r="BY535" i="5"/>
  <c r="BX534" i="5"/>
  <c r="Q245" i="5"/>
  <c r="BW245" i="5"/>
  <c r="CM245" i="5"/>
  <c r="CI245" i="5"/>
  <c r="CA245" i="5"/>
  <c r="CC245" i="5"/>
  <c r="CE245" i="5"/>
  <c r="CK245" i="5"/>
  <c r="BS245" i="5"/>
  <c r="BU245" i="5"/>
  <c r="BY245" i="5"/>
  <c r="BL245" i="5"/>
  <c r="CO245" i="5"/>
  <c r="CG245" i="5"/>
  <c r="BQ245" i="5"/>
  <c r="BW353" i="5"/>
  <c r="BV352" i="5"/>
  <c r="CP91" i="5"/>
  <c r="CQ91" i="5"/>
  <c r="BL358" i="5"/>
  <c r="CG358" i="5"/>
  <c r="CE358" i="5"/>
  <c r="Q358" i="5"/>
  <c r="BS358" i="5"/>
  <c r="CA358" i="5"/>
  <c r="CM358" i="5"/>
  <c r="BQ358" i="5"/>
  <c r="CK358" i="5"/>
  <c r="BY358" i="5"/>
  <c r="CI358" i="5"/>
  <c r="CO358" i="5"/>
  <c r="BW358" i="5"/>
  <c r="BU358" i="5"/>
  <c r="BX352" i="5"/>
  <c r="BY353" i="5"/>
  <c r="BL498" i="5"/>
  <c r="Q498" i="5"/>
  <c r="D497" i="5"/>
  <c r="CI497" i="5" s="1"/>
  <c r="CG498" i="5"/>
  <c r="BQ498" i="5"/>
  <c r="BS498" i="5"/>
  <c r="D574" i="5"/>
  <c r="BU575" i="5"/>
  <c r="CG575" i="5"/>
  <c r="CK575" i="5"/>
  <c r="CA575" i="5"/>
  <c r="Q575" i="5"/>
  <c r="BL575" i="5"/>
  <c r="BW575" i="5"/>
  <c r="BQ575" i="5"/>
  <c r="CO575" i="5"/>
  <c r="BS575" i="5"/>
  <c r="BY575" i="5"/>
  <c r="CE575" i="5"/>
  <c r="CC575" i="5"/>
  <c r="CI575" i="5"/>
  <c r="CM575" i="5"/>
  <c r="BL415" i="5"/>
  <c r="Q415" i="5"/>
  <c r="BS415" i="5"/>
  <c r="BQ415" i="5"/>
  <c r="CG415" i="5"/>
  <c r="CP546" i="5"/>
  <c r="CQ546" i="5"/>
  <c r="BM228" i="5"/>
  <c r="BJ228" i="5"/>
  <c r="CC297" i="5"/>
  <c r="CD297" i="5"/>
  <c r="BY375" i="5"/>
  <c r="CO412" i="5"/>
  <c r="BZ437" i="5"/>
  <c r="CB438" i="5"/>
  <c r="CA438" i="5"/>
  <c r="BQ180" i="5"/>
  <c r="BL180" i="5"/>
  <c r="Q180" i="5"/>
  <c r="BU180" i="5"/>
  <c r="BS180" i="5"/>
  <c r="BU378" i="5"/>
  <c r="CI510" i="5"/>
  <c r="CP269" i="5"/>
  <c r="CQ269" i="5"/>
  <c r="BZ352" i="5"/>
  <c r="CA353" i="5"/>
  <c r="BW534" i="5"/>
  <c r="BV533" i="5"/>
  <c r="BW533" i="5" s="1"/>
  <c r="CG169" i="5"/>
  <c r="CH169" i="5"/>
  <c r="CQ399" i="5"/>
  <c r="CP399" i="5"/>
  <c r="BL399" i="5"/>
  <c r="Q399" i="5"/>
  <c r="CG399" i="5"/>
  <c r="CE399" i="5"/>
  <c r="CO399" i="5"/>
  <c r="BQ399" i="5"/>
  <c r="BW399" i="5"/>
  <c r="CI399" i="5"/>
  <c r="CC399" i="5"/>
  <c r="BU399" i="5"/>
  <c r="CK399" i="5"/>
  <c r="BS399" i="5"/>
  <c r="CM399" i="5"/>
  <c r="BY399" i="5"/>
  <c r="CA399" i="5"/>
  <c r="CP109" i="5"/>
  <c r="CQ109" i="5"/>
  <c r="BW384" i="5"/>
  <c r="CO378" i="5"/>
  <c r="CI556" i="5"/>
  <c r="BS519" i="5"/>
  <c r="BL519" i="5"/>
  <c r="BQ519" i="5"/>
  <c r="Q519" i="5"/>
  <c r="CC519" i="5"/>
  <c r="BW519" i="5"/>
  <c r="CE519" i="5"/>
  <c r="BW375" i="5"/>
  <c r="CM92" i="5"/>
  <c r="CK92" i="5"/>
  <c r="CI92" i="5"/>
  <c r="BL92" i="5"/>
  <c r="CG92" i="5"/>
  <c r="CE92" i="5"/>
  <c r="Q92" i="5"/>
  <c r="CC92" i="5"/>
  <c r="BY92" i="5"/>
  <c r="BS92" i="5"/>
  <c r="BQ92" i="5"/>
  <c r="CO92" i="5"/>
  <c r="CA92" i="5"/>
  <c r="BW92" i="5"/>
  <c r="BU92" i="5"/>
  <c r="BM196" i="5"/>
  <c r="BJ196" i="5"/>
  <c r="CH253" i="5"/>
  <c r="CI254" i="5"/>
  <c r="CC302" i="5"/>
  <c r="CQ541" i="5"/>
  <c r="CP541" i="5"/>
  <c r="CO519" i="5"/>
  <c r="O144" i="5"/>
  <c r="CA302" i="5"/>
  <c r="BU216" i="5"/>
  <c r="BT214" i="5"/>
  <c r="CC412" i="5"/>
  <c r="CI378" i="5"/>
  <c r="BN215" i="5"/>
  <c r="BP215" i="5" s="1"/>
  <c r="BQ215" i="5" s="1"/>
  <c r="BR215" i="5" s="1"/>
  <c r="BS215" i="5" s="1"/>
  <c r="BT215" i="5" s="1"/>
  <c r="BU215" i="5" s="1"/>
  <c r="BV215" i="5" s="1"/>
  <c r="BW215" i="5" s="1"/>
  <c r="BX215" i="5" s="1"/>
  <c r="BY215" i="5" s="1"/>
  <c r="BZ215" i="5" s="1"/>
  <c r="CA215" i="5" s="1"/>
  <c r="CB215" i="5" s="1"/>
  <c r="CC215" i="5" s="1"/>
  <c r="CD215" i="5" s="1"/>
  <c r="CE215" i="5" s="1"/>
  <c r="CF215" i="5" s="1"/>
  <c r="CG215" i="5" s="1"/>
  <c r="CH215" i="5" s="1"/>
  <c r="CI215" i="5" s="1"/>
  <c r="CJ215" i="5" s="1"/>
  <c r="CK215" i="5" s="1"/>
  <c r="CL215" i="5" s="1"/>
  <c r="CM215" i="5" s="1"/>
  <c r="CN215" i="5" s="1"/>
  <c r="CO215" i="5" s="1"/>
  <c r="CQ215" i="5"/>
  <c r="CP215" i="5"/>
  <c r="CC340" i="5"/>
  <c r="CK519" i="5"/>
  <c r="CE567" i="5"/>
  <c r="CO343" i="5"/>
  <c r="CK387" i="5"/>
  <c r="CK564" i="5"/>
  <c r="CP180" i="5"/>
  <c r="CQ180" i="5"/>
  <c r="CK412" i="5"/>
  <c r="BU510" i="5"/>
  <c r="CC165" i="5"/>
  <c r="CC366" i="5"/>
  <c r="BS108" i="5"/>
  <c r="CO108" i="5"/>
  <c r="BQ108" i="5"/>
  <c r="CM108" i="5"/>
  <c r="CK108" i="5"/>
  <c r="CI108" i="5"/>
  <c r="BL108" i="5"/>
  <c r="CG108" i="5"/>
  <c r="CC108" i="5"/>
  <c r="BW108" i="5"/>
  <c r="CE108" i="5"/>
  <c r="CA108" i="5"/>
  <c r="BY108" i="5"/>
  <c r="BU108" i="5"/>
  <c r="Q108" i="5"/>
  <c r="CQ454" i="5"/>
  <c r="CP454" i="5"/>
  <c r="CM258" i="5"/>
  <c r="BW258" i="5"/>
  <c r="CO258" i="5"/>
  <c r="CC189" i="5"/>
  <c r="CB185" i="5"/>
  <c r="CD189" i="5"/>
  <c r="CQ211" i="5"/>
  <c r="CP211" i="5"/>
  <c r="CK353" i="5"/>
  <c r="CJ352" i="5"/>
  <c r="CQ128" i="5"/>
  <c r="CP128" i="5"/>
  <c r="BL313" i="5"/>
  <c r="Q313" i="5"/>
  <c r="BQ313" i="5"/>
  <c r="BS313" i="5"/>
  <c r="CG313" i="5"/>
  <c r="Q406" i="5"/>
  <c r="CG406" i="5"/>
  <c r="CI406" i="5"/>
  <c r="BY406" i="5"/>
  <c r="CE406" i="5"/>
  <c r="CC406" i="5"/>
  <c r="CA406" i="5"/>
  <c r="BQ406" i="5"/>
  <c r="BS406" i="5"/>
  <c r="CK406" i="5"/>
  <c r="CO406" i="5"/>
  <c r="CM406" i="5"/>
  <c r="BL406" i="5"/>
  <c r="BW498" i="5"/>
  <c r="BV497" i="5"/>
  <c r="CI519" i="5"/>
  <c r="CI546" i="5"/>
  <c r="BU384" i="5"/>
  <c r="CE546" i="5"/>
  <c r="CC301" i="5"/>
  <c r="BT533" i="5"/>
  <c r="A253" i="5"/>
  <c r="A258" i="5" s="1"/>
  <c r="CM353" i="5"/>
  <c r="CL352" i="5"/>
  <c r="CF440" i="5"/>
  <c r="CE440" i="5"/>
  <c r="CE384" i="5"/>
  <c r="BU387" i="5"/>
  <c r="CD209" i="5"/>
  <c r="BW378" i="5"/>
  <c r="CK375" i="5"/>
  <c r="CA254" i="5"/>
  <c r="BZ253" i="5"/>
  <c r="CQ525" i="5"/>
  <c r="CP525" i="5"/>
  <c r="BZ180" i="5"/>
  <c r="BY180" i="5"/>
  <c r="BS214" i="5"/>
  <c r="BR213" i="5"/>
  <c r="BL510" i="5"/>
  <c r="Q510" i="5"/>
  <c r="CO510" i="5"/>
  <c r="BS510" i="5"/>
  <c r="CK510" i="5"/>
  <c r="BY510" i="5"/>
  <c r="Q353" i="5"/>
  <c r="BS353" i="5"/>
  <c r="BQ353" i="5"/>
  <c r="D352" i="5"/>
  <c r="BU352" i="5" s="1"/>
  <c r="BL353" i="5"/>
  <c r="CG353" i="5"/>
  <c r="BY498" i="5"/>
  <c r="BX497" i="5"/>
  <c r="BY497" i="5" s="1"/>
  <c r="CP92" i="5"/>
  <c r="CQ92" i="5"/>
  <c r="CQ197" i="5"/>
  <c r="CP197" i="5"/>
  <c r="CQ384" i="5"/>
  <c r="CP384" i="5"/>
  <c r="BL564" i="5"/>
  <c r="BQ564" i="5"/>
  <c r="Q564" i="5"/>
  <c r="BS564" i="5"/>
  <c r="CG564" i="5"/>
  <c r="CI353" i="5"/>
  <c r="CH352" i="5"/>
  <c r="CM387" i="5"/>
  <c r="BY542" i="5"/>
  <c r="BL542" i="5"/>
  <c r="Q542" i="5"/>
  <c r="CO542" i="5"/>
  <c r="CA542" i="5"/>
  <c r="D541" i="5"/>
  <c r="CM542" i="5"/>
  <c r="CG542" i="5"/>
  <c r="CE542" i="5"/>
  <c r="CC542" i="5"/>
  <c r="BS542" i="5"/>
  <c r="BU542" i="5"/>
  <c r="BW542" i="5"/>
  <c r="BQ542" i="5"/>
  <c r="CK542" i="5"/>
  <c r="CI542" i="5"/>
  <c r="BJ536" i="5"/>
  <c r="F533" i="5"/>
  <c r="BM536" i="5"/>
  <c r="Q229" i="5"/>
  <c r="D228" i="5"/>
  <c r="BS229" i="5"/>
  <c r="BQ229" i="5"/>
  <c r="BW229" i="5"/>
  <c r="CM229" i="5"/>
  <c r="BL229" i="5"/>
  <c r="BU229" i="5"/>
  <c r="CI211" i="5"/>
  <c r="BW211" i="5"/>
  <c r="Q211" i="5"/>
  <c r="BU211" i="5"/>
  <c r="D210" i="5"/>
  <c r="BS211" i="5"/>
  <c r="BQ211" i="5"/>
  <c r="CA211" i="5"/>
  <c r="BL211" i="5"/>
  <c r="CM211" i="5"/>
  <c r="CG211" i="5"/>
  <c r="BY211" i="5"/>
  <c r="CK211" i="5"/>
  <c r="CO211" i="5"/>
  <c r="CC211" i="5"/>
  <c r="BY387" i="5"/>
  <c r="A74" i="5"/>
  <c r="CO229" i="5"/>
  <c r="CD253" i="5"/>
  <c r="CE254" i="5"/>
  <c r="BQ510" i="5"/>
  <c r="BU254" i="5"/>
  <c r="BT253" i="5"/>
  <c r="BX217" i="5"/>
  <c r="BW217" i="5"/>
  <c r="BV216" i="5"/>
  <c r="CA375" i="5"/>
  <c r="BW294" i="5"/>
  <c r="CE375" i="5"/>
  <c r="CB497" i="5"/>
  <c r="CC498" i="5"/>
  <c r="CM546" i="5"/>
  <c r="CC289" i="5"/>
  <c r="CA412" i="5"/>
  <c r="BT144" i="5"/>
  <c r="Q196" i="5"/>
  <c r="CC196" i="5"/>
  <c r="BL196" i="5"/>
  <c r="CA196" i="5"/>
  <c r="BY196" i="5"/>
  <c r="CK196" i="5"/>
  <c r="CI196" i="5"/>
  <c r="BQ196" i="5"/>
  <c r="BW196" i="5"/>
  <c r="CE196" i="5"/>
  <c r="CO196" i="5"/>
  <c r="BU196" i="5"/>
  <c r="CM196" i="5"/>
  <c r="BS196" i="5"/>
  <c r="D155" i="5"/>
  <c r="CG378" i="5"/>
  <c r="BJ483" i="5"/>
  <c r="BM483" i="5"/>
  <c r="BU287" i="5"/>
  <c r="CE415" i="5"/>
  <c r="CK415" i="5"/>
  <c r="CA572" i="5"/>
  <c r="CC415" i="5"/>
  <c r="CN194" i="5"/>
  <c r="CO194" i="5" s="1"/>
  <c r="CM194" i="5"/>
  <c r="CO242" i="5"/>
  <c r="CC242" i="5"/>
  <c r="BQ242" i="5"/>
  <c r="CM242" i="5"/>
  <c r="CA242" i="5"/>
  <c r="BU242" i="5"/>
  <c r="CI242" i="5"/>
  <c r="CG242" i="5"/>
  <c r="Q242" i="5"/>
  <c r="BW242" i="5"/>
  <c r="CK242" i="5"/>
  <c r="BL242" i="5"/>
  <c r="BS242" i="5"/>
  <c r="CE242" i="5"/>
  <c r="BY242" i="5"/>
  <c r="BU261" i="5"/>
  <c r="CK346" i="5"/>
  <c r="CL301" i="5"/>
  <c r="CM301" i="5" s="1"/>
  <c r="CM302" i="5"/>
  <c r="CK567" i="5"/>
  <c r="CQ262" i="5"/>
  <c r="CP262" i="5"/>
  <c r="CG510" i="5"/>
  <c r="CP108" i="5"/>
  <c r="CQ108" i="5"/>
  <c r="CQ497" i="5"/>
  <c r="CP497" i="5"/>
  <c r="BJ66" i="5"/>
  <c r="BM66" i="5"/>
  <c r="CO505" i="5"/>
  <c r="CC505" i="5"/>
  <c r="BQ505" i="5"/>
  <c r="BL505" i="5"/>
  <c r="BY505" i="5"/>
  <c r="CM505" i="5"/>
  <c r="CA505" i="5"/>
  <c r="BU505" i="5"/>
  <c r="Q505" i="5"/>
  <c r="CI505" i="5"/>
  <c r="CG505" i="5"/>
  <c r="CE505" i="5"/>
  <c r="BW505" i="5"/>
  <c r="CK505" i="5"/>
  <c r="BS505" i="5"/>
  <c r="D502" i="5"/>
  <c r="D141" i="5"/>
  <c r="Q142" i="5"/>
  <c r="BU142" i="5"/>
  <c r="BL142" i="5"/>
  <c r="BW142" i="5"/>
  <c r="BS142" i="5"/>
  <c r="BQ142" i="5"/>
  <c r="BW183" i="5"/>
  <c r="BX183" i="5"/>
  <c r="BQ378" i="5"/>
  <c r="Q378" i="5"/>
  <c r="BS378" i="5"/>
  <c r="BL378" i="5"/>
  <c r="CG526" i="5"/>
  <c r="CC526" i="5"/>
  <c r="D525" i="5"/>
  <c r="CK526" i="5"/>
  <c r="BU526" i="5"/>
  <c r="BL526" i="5"/>
  <c r="Q526" i="5"/>
  <c r="CM526" i="5"/>
  <c r="CA526" i="5"/>
  <c r="BW526" i="5"/>
  <c r="BQ526" i="5"/>
  <c r="BY526" i="5"/>
  <c r="BS526" i="5"/>
  <c r="CO526" i="5"/>
  <c r="CE526" i="5"/>
  <c r="CI526" i="5"/>
  <c r="BM127" i="5"/>
  <c r="BJ127" i="5"/>
  <c r="BW415" i="5"/>
  <c r="CA313" i="5"/>
  <c r="CA296" i="5"/>
  <c r="BZ295" i="5"/>
  <c r="CB296" i="5"/>
  <c r="BY340" i="5"/>
  <c r="CA564" i="5"/>
  <c r="BL38" i="5"/>
  <c r="BQ38" i="5"/>
  <c r="Q38" i="5"/>
  <c r="CG38" i="5"/>
  <c r="BU38" i="5"/>
  <c r="BY38" i="5"/>
  <c r="CI38" i="5"/>
  <c r="CM38" i="5"/>
  <c r="CA38" i="5"/>
  <c r="CK38" i="5"/>
  <c r="BW38" i="5"/>
  <c r="BS38" i="5"/>
  <c r="CA510" i="5"/>
  <c r="CP141" i="5"/>
  <c r="CQ141" i="5"/>
  <c r="CM346" i="5"/>
  <c r="CN352" i="5"/>
  <c r="CO352" i="5" s="1"/>
  <c r="CO353" i="5"/>
  <c r="Q331" i="5"/>
  <c r="CG331" i="5"/>
  <c r="BL331" i="5"/>
  <c r="BS331" i="5"/>
  <c r="BQ331" i="5"/>
  <c r="CN497" i="5"/>
  <c r="CO498" i="5"/>
  <c r="CM567" i="5"/>
  <c r="Q550" i="5"/>
  <c r="BL550" i="5"/>
  <c r="CC550" i="5"/>
  <c r="CG550" i="5"/>
  <c r="BU550" i="5"/>
  <c r="CO550" i="5"/>
  <c r="CE550" i="5"/>
  <c r="CA550" i="5"/>
  <c r="BQ550" i="5"/>
  <c r="CE378" i="5"/>
  <c r="CA498" i="5"/>
  <c r="BZ497" i="5"/>
  <c r="CQ353" i="5"/>
  <c r="CP353" i="5"/>
  <c r="Q444" i="5"/>
  <c r="CC444" i="5"/>
  <c r="BL444" i="5"/>
  <c r="CK444" i="5"/>
  <c r="BS444" i="5"/>
  <c r="CG444" i="5"/>
  <c r="BY444" i="5"/>
  <c r="CA444" i="5"/>
  <c r="CO444" i="5"/>
  <c r="CE444" i="5"/>
  <c r="BW444" i="5"/>
  <c r="CI444" i="5"/>
  <c r="BU444" i="5"/>
  <c r="CM444" i="5"/>
  <c r="BQ444" i="5"/>
  <c r="CQ498" i="5"/>
  <c r="CP498" i="5"/>
  <c r="CG375" i="5"/>
  <c r="Q375" i="5"/>
  <c r="BL375" i="5"/>
  <c r="BQ375" i="5"/>
  <c r="BS375" i="5"/>
  <c r="CO384" i="5"/>
  <c r="BW556" i="5"/>
  <c r="BW510" i="5"/>
  <c r="CI340" i="5"/>
  <c r="CE313" i="5"/>
  <c r="BX294" i="5"/>
  <c r="BY294" i="5" s="1"/>
  <c r="BY295" i="5"/>
  <c r="CG346" i="5"/>
  <c r="BL346" i="5"/>
  <c r="Q346" i="5"/>
  <c r="BS346" i="5"/>
  <c r="CC346" i="5"/>
  <c r="BQ346" i="5"/>
  <c r="CI412" i="5"/>
  <c r="CI346" i="5"/>
  <c r="CP522" i="5"/>
  <c r="CQ522" i="5"/>
  <c r="BL289" i="5"/>
  <c r="Q289" i="5"/>
  <c r="BS289" i="5"/>
  <c r="CG289" i="5"/>
  <c r="BQ289" i="5"/>
  <c r="CO346" i="5"/>
  <c r="A23" i="5"/>
  <c r="CE412" i="5"/>
  <c r="CI343" i="5"/>
  <c r="BU572" i="5"/>
  <c r="CM343" i="5"/>
  <c r="BL366" i="5"/>
  <c r="BS366" i="5"/>
  <c r="BQ366" i="5"/>
  <c r="Q366" i="5"/>
  <c r="CK366" i="5"/>
  <c r="BW366" i="5"/>
  <c r="CG366" i="5"/>
  <c r="Q472" i="5"/>
  <c r="CC472" i="5"/>
  <c r="BY472" i="5"/>
  <c r="BL472" i="5"/>
  <c r="BU472" i="5"/>
  <c r="CG472" i="5"/>
  <c r="CI472" i="5"/>
  <c r="CK472" i="5"/>
  <c r="BS472" i="5"/>
  <c r="CE472" i="5"/>
  <c r="BQ472" i="5"/>
  <c r="CI331" i="5"/>
  <c r="CG158" i="5"/>
  <c r="BL158" i="5"/>
  <c r="CE158" i="5"/>
  <c r="Q158" i="5"/>
  <c r="CC158" i="5"/>
  <c r="BY158" i="5"/>
  <c r="BU158" i="5"/>
  <c r="BS158" i="5"/>
  <c r="CA158" i="5"/>
  <c r="BW158" i="5"/>
  <c r="BQ158" i="5"/>
  <c r="CI158" i="5"/>
  <c r="CQ77" i="5"/>
  <c r="CP77" i="5"/>
  <c r="D18" i="5"/>
  <c r="CM498" i="5"/>
  <c r="CL497" i="5"/>
  <c r="CM497" i="5" s="1"/>
  <c r="Q214" i="5"/>
  <c r="BL214" i="5"/>
  <c r="D213" i="5"/>
  <c r="BQ214" i="5"/>
  <c r="BX301" i="5"/>
  <c r="BY301" i="5" s="1"/>
  <c r="BY302" i="5"/>
  <c r="CI498" i="5"/>
  <c r="CN158" i="5"/>
  <c r="CM158" i="5"/>
  <c r="BU375" i="5"/>
  <c r="CQ415" i="5"/>
  <c r="CP415" i="5"/>
  <c r="CO567" i="5"/>
  <c r="BS572" i="5"/>
  <c r="BL572" i="5"/>
  <c r="Q572" i="5"/>
  <c r="CG572" i="5"/>
  <c r="BQ572" i="5"/>
  <c r="CM572" i="5"/>
  <c r="BR144" i="5"/>
  <c r="BJ352" i="5"/>
  <c r="BM352" i="5"/>
  <c r="BL454" i="5"/>
  <c r="CC454" i="5"/>
  <c r="Q454" i="5"/>
  <c r="D453" i="5"/>
  <c r="CO454" i="5"/>
  <c r="BY454" i="5"/>
  <c r="CE454" i="5"/>
  <c r="BQ454" i="5"/>
  <c r="CK454" i="5"/>
  <c r="CM454" i="5"/>
  <c r="BW454" i="5"/>
  <c r="BS454" i="5"/>
  <c r="CI454" i="5"/>
  <c r="CG454" i="5"/>
  <c r="CA454" i="5"/>
  <c r="BU454" i="5"/>
  <c r="CA384" i="5"/>
  <c r="Q450" i="5"/>
  <c r="BL450" i="5"/>
  <c r="BY450" i="5"/>
  <c r="BQ450" i="5"/>
  <c r="CK450" i="5"/>
  <c r="CE450" i="5"/>
  <c r="CO450" i="5"/>
  <c r="BS450" i="5"/>
  <c r="BW450" i="5"/>
  <c r="CG450" i="5"/>
  <c r="CI450" i="5"/>
  <c r="CA450" i="5"/>
  <c r="CM450" i="5"/>
  <c r="BW572" i="5"/>
  <c r="CQ302" i="5"/>
  <c r="CP302" i="5"/>
  <c r="CM412" i="5"/>
  <c r="BY564" i="5"/>
  <c r="CB352" i="5"/>
  <c r="CC352" i="5" s="1"/>
  <c r="CC353" i="5"/>
  <c r="CM519" i="5"/>
  <c r="CM378" i="5"/>
  <c r="BW180" i="5"/>
  <c r="CE302" i="5"/>
  <c r="CD301" i="5"/>
  <c r="CE301" i="5" s="1"/>
  <c r="CC287" i="5"/>
  <c r="BY346" i="5"/>
  <c r="CO375" i="5"/>
  <c r="F154" i="5"/>
  <c r="BM155" i="5"/>
  <c r="BJ155" i="5"/>
  <c r="CI352" i="5" l="1"/>
  <c r="CK352" i="5"/>
  <c r="BW352" i="5"/>
  <c r="BU533" i="5"/>
  <c r="CK258" i="5"/>
  <c r="BY258" i="5"/>
  <c r="CK77" i="5"/>
  <c r="CA258" i="5"/>
  <c r="BY142" i="5"/>
  <c r="D66" i="5"/>
  <c r="Q66" i="5" s="1"/>
  <c r="CO301" i="5"/>
  <c r="BQ77" i="5"/>
  <c r="CG258" i="5"/>
  <c r="CI258" i="5"/>
  <c r="CK301" i="5"/>
  <c r="CE77" i="5"/>
  <c r="BY435" i="5"/>
  <c r="CI77" i="5"/>
  <c r="CQ248" i="5"/>
  <c r="CP248" i="5"/>
  <c r="CC497" i="5"/>
  <c r="CO497" i="5"/>
  <c r="A153" i="5"/>
  <c r="CC478" i="5"/>
  <c r="BU478" i="5"/>
  <c r="D477" i="5"/>
  <c r="BY478" i="5"/>
  <c r="CA478" i="5"/>
  <c r="CK478" i="5"/>
  <c r="Q478" i="5"/>
  <c r="BS478" i="5"/>
  <c r="CE478" i="5"/>
  <c r="CG478" i="5"/>
  <c r="BL478" i="5"/>
  <c r="CO478" i="5"/>
  <c r="BQ478" i="5"/>
  <c r="CM478" i="5"/>
  <c r="BW478" i="5"/>
  <c r="CI478" i="5"/>
  <c r="CN228" i="5"/>
  <c r="CN221" i="5" s="1"/>
  <c r="CD298" i="5"/>
  <c r="CC298" i="5"/>
  <c r="BZ142" i="5"/>
  <c r="CB143" i="5"/>
  <c r="CA143" i="5"/>
  <c r="CG128" i="5"/>
  <c r="BS128" i="5"/>
  <c r="BU128" i="5"/>
  <c r="CA128" i="5"/>
  <c r="CO128" i="5"/>
  <c r="BW128" i="5"/>
  <c r="BL128" i="5"/>
  <c r="CK128" i="5"/>
  <c r="BY128" i="5"/>
  <c r="CE128" i="5"/>
  <c r="CI128" i="5"/>
  <c r="CC128" i="5"/>
  <c r="Q128" i="5"/>
  <c r="D127" i="5"/>
  <c r="CM128" i="5"/>
  <c r="BQ128" i="5"/>
  <c r="BU258" i="5"/>
  <c r="Q258" i="5"/>
  <c r="CE258" i="5"/>
  <c r="CQ510" i="5"/>
  <c r="CP510" i="5"/>
  <c r="BS213" i="5"/>
  <c r="BW497" i="5"/>
  <c r="BL258" i="5"/>
  <c r="CF533" i="5"/>
  <c r="CG533" i="5" s="1"/>
  <c r="CG534" i="5"/>
  <c r="CA352" i="5"/>
  <c r="BU497" i="5"/>
  <c r="CK497" i="5"/>
  <c r="CE248" i="5"/>
  <c r="CI248" i="5"/>
  <c r="BQ248" i="5"/>
  <c r="CK248" i="5"/>
  <c r="CO248" i="5"/>
  <c r="CM248" i="5"/>
  <c r="CG248" i="5"/>
  <c r="BY248" i="5"/>
  <c r="BS248" i="5"/>
  <c r="Q248" i="5"/>
  <c r="BW248" i="5"/>
  <c r="BU248" i="5"/>
  <c r="CC248" i="5"/>
  <c r="BL248" i="5"/>
  <c r="CA248" i="5"/>
  <c r="CC185" i="5"/>
  <c r="CP478" i="5"/>
  <c r="CQ478" i="5"/>
  <c r="CA497" i="5"/>
  <c r="BS258" i="5"/>
  <c r="BM477" i="5"/>
  <c r="BJ477" i="5"/>
  <c r="CG202" i="5"/>
  <c r="BU202" i="5"/>
  <c r="CK202" i="5"/>
  <c r="BL202" i="5"/>
  <c r="BY202" i="5"/>
  <c r="BW202" i="5"/>
  <c r="CA202" i="5"/>
  <c r="Q202" i="5"/>
  <c r="CO202" i="5"/>
  <c r="BQ202" i="5"/>
  <c r="CE202" i="5"/>
  <c r="CC202" i="5"/>
  <c r="CM202" i="5"/>
  <c r="CI202" i="5"/>
  <c r="BS202" i="5"/>
  <c r="CA180" i="5"/>
  <c r="CB180" i="5"/>
  <c r="CG223" i="5"/>
  <c r="CF222" i="5"/>
  <c r="CG222" i="5" s="1"/>
  <c r="CH223" i="5"/>
  <c r="BY183" i="5"/>
  <c r="BZ183" i="5"/>
  <c r="BL155" i="5"/>
  <c r="BQ155" i="5"/>
  <c r="D154" i="5"/>
  <c r="Q155" i="5"/>
  <c r="BS155" i="5"/>
  <c r="BU155" i="5"/>
  <c r="BQ228" i="5"/>
  <c r="Q228" i="5"/>
  <c r="BW228" i="5"/>
  <c r="BL228" i="5"/>
  <c r="BS228" i="5"/>
  <c r="BU228" i="5"/>
  <c r="CQ228" i="5"/>
  <c r="CP228" i="5"/>
  <c r="BL574" i="5"/>
  <c r="Q574" i="5"/>
  <c r="CA574" i="5"/>
  <c r="BS574" i="5"/>
  <c r="CO574" i="5"/>
  <c r="CM574" i="5"/>
  <c r="BW574" i="5"/>
  <c r="CE574" i="5"/>
  <c r="CI574" i="5"/>
  <c r="CK574" i="5"/>
  <c r="CG574" i="5"/>
  <c r="BU574" i="5"/>
  <c r="CC574" i="5"/>
  <c r="BY574" i="5"/>
  <c r="BQ574" i="5"/>
  <c r="BM14" i="5"/>
  <c r="BJ14" i="5"/>
  <c r="CJ300" i="5"/>
  <c r="CI300" i="5"/>
  <c r="CH184" i="5"/>
  <c r="CG184" i="5"/>
  <c r="BL301" i="5"/>
  <c r="Q301" i="5"/>
  <c r="CG301" i="5"/>
  <c r="BS301" i="5"/>
  <c r="BQ301" i="5"/>
  <c r="BW301" i="5"/>
  <c r="Q185" i="5"/>
  <c r="BQ185" i="5"/>
  <c r="BL185" i="5"/>
  <c r="BU185" i="5"/>
  <c r="BS185" i="5"/>
  <c r="BW185" i="5"/>
  <c r="CC253" i="5"/>
  <c r="D209" i="5"/>
  <c r="CE209" i="5" s="1"/>
  <c r="CI210" i="5"/>
  <c r="BS210" i="5"/>
  <c r="BL210" i="5"/>
  <c r="Q210" i="5"/>
  <c r="CM210" i="5"/>
  <c r="BQ210" i="5"/>
  <c r="CO210" i="5"/>
  <c r="CA210" i="5"/>
  <c r="CG210" i="5"/>
  <c r="BU210" i="5"/>
  <c r="BW210" i="5"/>
  <c r="CC210" i="5"/>
  <c r="CK210" i="5"/>
  <c r="BY210" i="5"/>
  <c r="CA185" i="5"/>
  <c r="BT213" i="5"/>
  <c r="BU213" i="5" s="1"/>
  <c r="BU214" i="5"/>
  <c r="CQ18" i="5"/>
  <c r="CP18" i="5"/>
  <c r="BV144" i="5"/>
  <c r="D221" i="5"/>
  <c r="BY221" i="5" s="1"/>
  <c r="BL224" i="5"/>
  <c r="Q224" i="5"/>
  <c r="BM224" i="5"/>
  <c r="CM253" i="5"/>
  <c r="CE253" i="5"/>
  <c r="CO158" i="5"/>
  <c r="BQ18" i="5"/>
  <c r="D14" i="5"/>
  <c r="Q18" i="5"/>
  <c r="BL18" i="5"/>
  <c r="CG18" i="5"/>
  <c r="CA18" i="5"/>
  <c r="CI18" i="5"/>
  <c r="BW18" i="5"/>
  <c r="CO18" i="5"/>
  <c r="BU18" i="5"/>
  <c r="CM18" i="5"/>
  <c r="BS18" i="5"/>
  <c r="CE18" i="5"/>
  <c r="BY18" i="5"/>
  <c r="CC18" i="5"/>
  <c r="CK18" i="5"/>
  <c r="CQ127" i="5"/>
  <c r="CP127" i="5"/>
  <c r="CQ66" i="5"/>
  <c r="CP66" i="5"/>
  <c r="CQ536" i="5"/>
  <c r="CP536" i="5"/>
  <c r="BY185" i="5"/>
  <c r="CA253" i="5"/>
  <c r="BW155" i="5"/>
  <c r="BU66" i="5"/>
  <c r="CP258" i="5"/>
  <c r="CQ258" i="5"/>
  <c r="CE352" i="5"/>
  <c r="A157" i="5"/>
  <c r="A158" i="5" s="1"/>
  <c r="F144" i="5"/>
  <c r="BJ154" i="5"/>
  <c r="BM154" i="5"/>
  <c r="CD296" i="5"/>
  <c r="CB295" i="5"/>
  <c r="CC296" i="5"/>
  <c r="BL525" i="5"/>
  <c r="CG525" i="5"/>
  <c r="BS525" i="5"/>
  <c r="Q525" i="5"/>
  <c r="BU525" i="5"/>
  <c r="CI525" i="5"/>
  <c r="CC525" i="5"/>
  <c r="CK525" i="5"/>
  <c r="BQ525" i="5"/>
  <c r="CA525" i="5"/>
  <c r="BW525" i="5"/>
  <c r="CM525" i="5"/>
  <c r="BY525" i="5"/>
  <c r="CE525" i="5"/>
  <c r="CO525" i="5"/>
  <c r="CI253" i="5"/>
  <c r="CC438" i="5"/>
  <c r="CD438" i="5"/>
  <c r="CB437" i="5"/>
  <c r="BM213" i="5"/>
  <c r="BJ213" i="5"/>
  <c r="CF230" i="5"/>
  <c r="CE230" i="5"/>
  <c r="CD229" i="5"/>
  <c r="CQ253" i="5"/>
  <c r="CP253" i="5"/>
  <c r="BL253" i="5"/>
  <c r="Q253" i="5"/>
  <c r="BS253" i="5"/>
  <c r="BQ253" i="5"/>
  <c r="CG253" i="5"/>
  <c r="CK439" i="5"/>
  <c r="CL439" i="5"/>
  <c r="CP155" i="5"/>
  <c r="CQ155" i="5"/>
  <c r="BW216" i="5"/>
  <c r="BV214" i="5"/>
  <c r="BL541" i="5"/>
  <c r="CM541" i="5"/>
  <c r="Q541" i="5"/>
  <c r="CK541" i="5"/>
  <c r="CA541" i="5"/>
  <c r="BU541" i="5"/>
  <c r="BQ541" i="5"/>
  <c r="CO541" i="5"/>
  <c r="BS541" i="5"/>
  <c r="CG541" i="5"/>
  <c r="CC541" i="5"/>
  <c r="CE541" i="5"/>
  <c r="CI541" i="5"/>
  <c r="BY541" i="5"/>
  <c r="BW541" i="5"/>
  <c r="CH440" i="5"/>
  <c r="CG440" i="5"/>
  <c r="CQ214" i="5"/>
  <c r="CP214" i="5"/>
  <c r="BZ294" i="5"/>
  <c r="CA294" i="5" s="1"/>
  <c r="CA295" i="5"/>
  <c r="BX216" i="5"/>
  <c r="BZ217" i="5"/>
  <c r="BY217" i="5"/>
  <c r="CA301" i="5"/>
  <c r="CA437" i="5"/>
  <c r="BZ435" i="5"/>
  <c r="CA435" i="5" s="1"/>
  <c r="BL497" i="5"/>
  <c r="Q497" i="5"/>
  <c r="BQ497" i="5"/>
  <c r="CG497" i="5"/>
  <c r="BS497" i="5"/>
  <c r="CK253" i="5"/>
  <c r="BW253" i="5"/>
  <c r="CB228" i="5"/>
  <c r="CC229" i="5"/>
  <c r="CF441" i="5"/>
  <c r="CE441" i="5"/>
  <c r="CJ181" i="5"/>
  <c r="CI181" i="5"/>
  <c r="BY253" i="5"/>
  <c r="A267" i="5"/>
  <c r="A269" i="5" s="1"/>
  <c r="BU253" i="5"/>
  <c r="CM352" i="5"/>
  <c r="BL533" i="5"/>
  <c r="Q533" i="5"/>
  <c r="CI533" i="5"/>
  <c r="BQ533" i="5"/>
  <c r="CC533" i="5"/>
  <c r="CE533" i="5"/>
  <c r="CK533" i="5"/>
  <c r="BS533" i="5"/>
  <c r="CA533" i="5"/>
  <c r="CO533" i="5"/>
  <c r="CM533" i="5"/>
  <c r="BS435" i="5"/>
  <c r="Q435" i="5"/>
  <c r="BL435" i="5"/>
  <c r="BU435" i="5"/>
  <c r="BQ435" i="5"/>
  <c r="BL502" i="5"/>
  <c r="Q502" i="5"/>
  <c r="CC502" i="5"/>
  <c r="BQ502" i="5"/>
  <c r="CG502" i="5"/>
  <c r="CI502" i="5"/>
  <c r="BU502" i="5"/>
  <c r="CK502" i="5"/>
  <c r="CE502" i="5"/>
  <c r="CA502" i="5"/>
  <c r="BS502" i="5"/>
  <c r="CO502" i="5"/>
  <c r="BW502" i="5"/>
  <c r="CM502" i="5"/>
  <c r="BY502" i="5"/>
  <c r="Q453" i="5"/>
  <c r="CG453" i="5"/>
  <c r="CC453" i="5"/>
  <c r="CA453" i="5"/>
  <c r="BU453" i="5"/>
  <c r="BL453" i="5"/>
  <c r="CE453" i="5"/>
  <c r="BY453" i="5"/>
  <c r="BQ453" i="5"/>
  <c r="CO453" i="5"/>
  <c r="CK453" i="5"/>
  <c r="BS453" i="5"/>
  <c r="CI453" i="5"/>
  <c r="BW453" i="5"/>
  <c r="CM453" i="5"/>
  <c r="BM533" i="5"/>
  <c r="BJ533" i="5"/>
  <c r="CQ352" i="5"/>
  <c r="CP352" i="5"/>
  <c r="CQ483" i="5"/>
  <c r="CP483" i="5"/>
  <c r="CQ196" i="5"/>
  <c r="CP196" i="5"/>
  <c r="CM232" i="5"/>
  <c r="CL231" i="5"/>
  <c r="CQ185" i="5"/>
  <c r="CP185" i="5"/>
  <c r="BY228" i="5"/>
  <c r="CJ160" i="5"/>
  <c r="CI160" i="5"/>
  <c r="CQ221" i="5"/>
  <c r="CP221" i="5"/>
  <c r="CL192" i="5"/>
  <c r="CK192" i="5"/>
  <c r="CJ185" i="5"/>
  <c r="CK185" i="5" s="1"/>
  <c r="A24" i="5"/>
  <c r="CE210" i="5"/>
  <c r="CJ169" i="5"/>
  <c r="CI169" i="5"/>
  <c r="BX533" i="5"/>
  <c r="BY533" i="5" s="1"/>
  <c r="BY534" i="5"/>
  <c r="CG483" i="5"/>
  <c r="Q483" i="5"/>
  <c r="CI483" i="5"/>
  <c r="BL483" i="5"/>
  <c r="BU483" i="5"/>
  <c r="CC483" i="5"/>
  <c r="CO483" i="5"/>
  <c r="CE483" i="5"/>
  <c r="CK483" i="5"/>
  <c r="CA483" i="5"/>
  <c r="CM483" i="5"/>
  <c r="BW483" i="5"/>
  <c r="BQ483" i="5"/>
  <c r="BS483" i="5"/>
  <c r="BY483" i="5"/>
  <c r="CE497" i="5"/>
  <c r="CI301" i="5"/>
  <c r="CP301" i="5"/>
  <c r="CQ301" i="5"/>
  <c r="Q213" i="5"/>
  <c r="BL213" i="5"/>
  <c r="BQ213" i="5"/>
  <c r="BL141" i="5"/>
  <c r="Q141" i="5"/>
  <c r="BS141" i="5"/>
  <c r="BU141" i="5"/>
  <c r="BQ141" i="5"/>
  <c r="BW141" i="5"/>
  <c r="BY141" i="5"/>
  <c r="Q352" i="5"/>
  <c r="BL352" i="5"/>
  <c r="CG352" i="5"/>
  <c r="BQ352" i="5"/>
  <c r="BS352" i="5"/>
  <c r="BX155" i="5"/>
  <c r="CE189" i="5"/>
  <c r="CF189" i="5"/>
  <c r="CD185" i="5"/>
  <c r="CE185" i="5" s="1"/>
  <c r="CO253" i="5"/>
  <c r="CF297" i="5"/>
  <c r="CE297" i="5"/>
  <c r="BY352" i="5"/>
  <c r="CA228" i="5"/>
  <c r="BZ221" i="5"/>
  <c r="BU301" i="5"/>
  <c r="A75" i="5"/>
  <c r="BW435" i="5"/>
  <c r="BS66" i="5" l="1"/>
  <c r="CG66" i="5"/>
  <c r="CE66" i="5"/>
  <c r="BY66" i="5"/>
  <c r="CI66" i="5"/>
  <c r="CK66" i="5"/>
  <c r="BW66" i="5"/>
  <c r="CA66" i="5"/>
  <c r="BQ66" i="5"/>
  <c r="BL66" i="5"/>
  <c r="CC66" i="5"/>
  <c r="CM66" i="5"/>
  <c r="CO66" i="5"/>
  <c r="CO221" i="5"/>
  <c r="BZ141" i="5"/>
  <c r="CA141" i="5" s="1"/>
  <c r="CA142" i="5"/>
  <c r="CE298" i="5"/>
  <c r="CF298" i="5"/>
  <c r="CK477" i="5"/>
  <c r="CA477" i="5"/>
  <c r="CO477" i="5"/>
  <c r="BQ477" i="5"/>
  <c r="CM477" i="5"/>
  <c r="CI477" i="5"/>
  <c r="CE477" i="5"/>
  <c r="BW477" i="5"/>
  <c r="BY477" i="5"/>
  <c r="Q477" i="5"/>
  <c r="BL477" i="5"/>
  <c r="CG477" i="5"/>
  <c r="BU477" i="5"/>
  <c r="CC477" i="5"/>
  <c r="BS477" i="5"/>
  <c r="CO228" i="5"/>
  <c r="CQ477" i="5"/>
  <c r="CP477" i="5"/>
  <c r="BU127" i="5"/>
  <c r="CO127" i="5"/>
  <c r="CC127" i="5"/>
  <c r="Q127" i="5"/>
  <c r="CE127" i="5"/>
  <c r="BY127" i="5"/>
  <c r="BW127" i="5"/>
  <c r="BL127" i="5"/>
  <c r="CK127" i="5"/>
  <c r="CI127" i="5"/>
  <c r="CA127" i="5"/>
  <c r="CG127" i="5"/>
  <c r="BS127" i="5"/>
  <c r="CM127" i="5"/>
  <c r="BQ127" i="5"/>
  <c r="CA221" i="5"/>
  <c r="CD143" i="5"/>
  <c r="CB142" i="5"/>
  <c r="CC143" i="5"/>
  <c r="CK160" i="5"/>
  <c r="CQ533" i="5"/>
  <c r="CP533" i="5"/>
  <c r="CB221" i="5"/>
  <c r="CC221" i="5" s="1"/>
  <c r="CC228" i="5"/>
  <c r="BJ144" i="5"/>
  <c r="BM144" i="5"/>
  <c r="CH230" i="5"/>
  <c r="CG230" i="5"/>
  <c r="CF229" i="5"/>
  <c r="CJ184" i="5"/>
  <c r="CI184" i="5"/>
  <c r="CJ440" i="5"/>
  <c r="CI440" i="5"/>
  <c r="CL169" i="5"/>
  <c r="CK169" i="5"/>
  <c r="CB217" i="5"/>
  <c r="CA217" i="5"/>
  <c r="BZ216" i="5"/>
  <c r="CQ213" i="5"/>
  <c r="CP213" i="5"/>
  <c r="CK300" i="5"/>
  <c r="CL300" i="5"/>
  <c r="A76" i="5"/>
  <c r="A79" i="5" s="1"/>
  <c r="CF438" i="5"/>
  <c r="CE438" i="5"/>
  <c r="CD437" i="5"/>
  <c r="CB294" i="5"/>
  <c r="CC295" i="5"/>
  <c r="Q14" i="5"/>
  <c r="BL14" i="5"/>
  <c r="BQ14" i="5"/>
  <c r="CI14" i="5"/>
  <c r="BW14" i="5"/>
  <c r="CO14" i="5"/>
  <c r="CA14" i="5"/>
  <c r="BS14" i="5"/>
  <c r="CM14" i="5"/>
  <c r="BU14" i="5"/>
  <c r="CG14" i="5"/>
  <c r="CE14" i="5"/>
  <c r="CC14" i="5"/>
  <c r="CK14" i="5"/>
  <c r="BY14" i="5"/>
  <c r="CN192" i="5"/>
  <c r="CM192" i="5"/>
  <c r="CL185" i="5"/>
  <c r="CM185" i="5" s="1"/>
  <c r="CM231" i="5"/>
  <c r="CL228" i="5"/>
  <c r="BV213" i="5"/>
  <c r="BW213" i="5" s="1"/>
  <c r="BW214" i="5"/>
  <c r="CE296" i="5"/>
  <c r="CD295" i="5"/>
  <c r="CF296" i="5"/>
  <c r="BX214" i="5"/>
  <c r="BY216" i="5"/>
  <c r="BL154" i="5"/>
  <c r="Q154" i="5"/>
  <c r="BQ154" i="5"/>
  <c r="D144" i="5"/>
  <c r="BU154" i="5"/>
  <c r="BS154" i="5"/>
  <c r="BL221" i="5"/>
  <c r="Q221" i="5"/>
  <c r="BQ221" i="5"/>
  <c r="BS221" i="5"/>
  <c r="BW221" i="5"/>
  <c r="BU221" i="5"/>
  <c r="CQ14" i="5"/>
  <c r="CP14" i="5"/>
  <c r="CB183" i="5"/>
  <c r="CB155" i="5" s="1"/>
  <c r="CA183" i="5"/>
  <c r="CC437" i="5"/>
  <c r="CB435" i="5"/>
  <c r="CC435" i="5" s="1"/>
  <c r="BY155" i="5"/>
  <c r="BX154" i="5"/>
  <c r="CL181" i="5"/>
  <c r="CK181" i="5"/>
  <c r="CG189" i="5"/>
  <c r="CH189" i="5"/>
  <c r="CF185" i="5"/>
  <c r="CG185" i="5" s="1"/>
  <c r="BW144" i="5"/>
  <c r="Q209" i="5"/>
  <c r="CA209" i="5"/>
  <c r="BL209" i="5"/>
  <c r="CM209" i="5"/>
  <c r="BS209" i="5"/>
  <c r="CI209" i="5"/>
  <c r="CG209" i="5"/>
  <c r="CC209" i="5"/>
  <c r="CO209" i="5"/>
  <c r="BU209" i="5"/>
  <c r="BQ209" i="5"/>
  <c r="CK209" i="5"/>
  <c r="BW209" i="5"/>
  <c r="BY209" i="5"/>
  <c r="BZ155" i="5"/>
  <c r="CJ223" i="5"/>
  <c r="CH222" i="5"/>
  <c r="CI222" i="5" s="1"/>
  <c r="CI223" i="5"/>
  <c r="A272" i="5"/>
  <c r="A275" i="5" s="1"/>
  <c r="A25" i="5"/>
  <c r="A26" i="5" s="1"/>
  <c r="CH441" i="5"/>
  <c r="CG441" i="5"/>
  <c r="CQ154" i="5"/>
  <c r="CP154" i="5"/>
  <c r="A160" i="5"/>
  <c r="BW154" i="5"/>
  <c r="CD180" i="5"/>
  <c r="CC180" i="5"/>
  <c r="CQ224" i="5"/>
  <c r="CP224" i="5"/>
  <c r="CH297" i="5"/>
  <c r="CG297" i="5"/>
  <c r="CN439" i="5"/>
  <c r="CM439" i="5"/>
  <c r="CL437" i="5"/>
  <c r="CD228" i="5"/>
  <c r="CE229" i="5"/>
  <c r="CF143" i="5" l="1"/>
  <c r="CD142" i="5"/>
  <c r="CE143" i="5"/>
  <c r="CC142" i="5"/>
  <c r="CB141" i="5"/>
  <c r="CC141" i="5" s="1"/>
  <c r="CH298" i="5"/>
  <c r="CG298" i="5"/>
  <c r="CO439" i="5"/>
  <c r="CN437" i="5"/>
  <c r="BZ154" i="5"/>
  <c r="CA155" i="5"/>
  <c r="CF295" i="5"/>
  <c r="CH296" i="5"/>
  <c r="CG296" i="5"/>
  <c r="CA216" i="5"/>
  <c r="BZ214" i="5"/>
  <c r="CJ230" i="5"/>
  <c r="CI230" i="5"/>
  <c r="CH229" i="5"/>
  <c r="BY154" i="5"/>
  <c r="BX144" i="5"/>
  <c r="BY144" i="5" s="1"/>
  <c r="CD294" i="5"/>
  <c r="CE295" i="5"/>
  <c r="CN300" i="5"/>
  <c r="CO300" i="5" s="1"/>
  <c r="CM300" i="5"/>
  <c r="CD217" i="5"/>
  <c r="CC217" i="5"/>
  <c r="CB216" i="5"/>
  <c r="CK223" i="5"/>
  <c r="CJ222" i="5"/>
  <c r="CK222" i="5" s="1"/>
  <c r="CL223" i="5"/>
  <c r="CG438" i="5"/>
  <c r="CF437" i="5"/>
  <c r="CH438" i="5"/>
  <c r="CL184" i="5"/>
  <c r="CK184" i="5"/>
  <c r="BL144" i="5"/>
  <c r="Q144" i="5"/>
  <c r="BQ144" i="5"/>
  <c r="BS144" i="5"/>
  <c r="BU144" i="5"/>
  <c r="CN181" i="5"/>
  <c r="CO181" i="5" s="1"/>
  <c r="CM181" i="5"/>
  <c r="CM228" i="5"/>
  <c r="A278" i="5"/>
  <c r="CJ441" i="5"/>
  <c r="CK441" i="5" s="1"/>
  <c r="CI441" i="5"/>
  <c r="A27" i="5"/>
  <c r="CI189" i="5"/>
  <c r="CH185" i="5"/>
  <c r="CI185" i="5" s="1"/>
  <c r="A80" i="5"/>
  <c r="CE228" i="5"/>
  <c r="CD221" i="5"/>
  <c r="CE221" i="5" s="1"/>
  <c r="CB154" i="5"/>
  <c r="CC155" i="5"/>
  <c r="CC294" i="5"/>
  <c r="A161" i="5"/>
  <c r="CQ144" i="5"/>
  <c r="CP144" i="5"/>
  <c r="CM437" i="5"/>
  <c r="CD183" i="5"/>
  <c r="CD155" i="5" s="1"/>
  <c r="CC183" i="5"/>
  <c r="BX213" i="5"/>
  <c r="BY213" i="5" s="1"/>
  <c r="BY214" i="5"/>
  <c r="CD435" i="5"/>
  <c r="CE435" i="5" s="1"/>
  <c r="CE437" i="5"/>
  <c r="CF228" i="5"/>
  <c r="CG229" i="5"/>
  <c r="CI297" i="5"/>
  <c r="CJ297" i="5"/>
  <c r="CN169" i="5"/>
  <c r="CM169" i="5"/>
  <c r="CF180" i="5"/>
  <c r="CE180" i="5"/>
  <c r="CO192" i="5"/>
  <c r="CN185" i="5"/>
  <c r="CO185" i="5" s="1"/>
  <c r="CK440" i="5"/>
  <c r="CL440" i="5"/>
  <c r="CJ298" i="5" l="1"/>
  <c r="CI298" i="5"/>
  <c r="CE142" i="5"/>
  <c r="CD141" i="5"/>
  <c r="CE141" i="5" s="1"/>
  <c r="CH143" i="5"/>
  <c r="CF142" i="5"/>
  <c r="CG143" i="5"/>
  <c r="CD154" i="5"/>
  <c r="CE155" i="5"/>
  <c r="A81" i="5"/>
  <c r="CJ438" i="5"/>
  <c r="CI438" i="5"/>
  <c r="CH437" i="5"/>
  <c r="CH228" i="5"/>
  <c r="CI229" i="5"/>
  <c r="BZ144" i="5"/>
  <c r="CA144" i="5" s="1"/>
  <c r="CA154" i="5"/>
  <c r="CG180" i="5"/>
  <c r="CH180" i="5"/>
  <c r="CB144" i="5"/>
  <c r="CC144" i="5" s="1"/>
  <c r="CC154" i="5"/>
  <c r="CG437" i="5"/>
  <c r="CF435" i="5"/>
  <c r="CG435" i="5" s="1"/>
  <c r="CM184" i="5"/>
  <c r="CN184" i="5"/>
  <c r="CO184" i="5" s="1"/>
  <c r="CK230" i="5"/>
  <c r="CJ229" i="5"/>
  <c r="CE294" i="5"/>
  <c r="CA214" i="5"/>
  <c r="BZ213" i="5"/>
  <c r="CA213" i="5" s="1"/>
  <c r="CL222" i="5"/>
  <c r="CM223" i="5"/>
  <c r="CE183" i="5"/>
  <c r="CF183" i="5"/>
  <c r="A162" i="5"/>
  <c r="A163" i="5" s="1"/>
  <c r="A281" i="5"/>
  <c r="CO169" i="5"/>
  <c r="CO437" i="5"/>
  <c r="CL297" i="5"/>
  <c r="CK297" i="5"/>
  <c r="CN440" i="5"/>
  <c r="CO440" i="5" s="1"/>
  <c r="CM440" i="5"/>
  <c r="CJ296" i="5"/>
  <c r="CI296" i="5"/>
  <c r="CH295" i="5"/>
  <c r="A28" i="5"/>
  <c r="CB214" i="5"/>
  <c r="CC216" i="5"/>
  <c r="CG295" i="5"/>
  <c r="CF294" i="5"/>
  <c r="CG228" i="5"/>
  <c r="CF221" i="5"/>
  <c r="CG221" i="5" s="1"/>
  <c r="CL435" i="5"/>
  <c r="CM435" i="5" s="1"/>
  <c r="CE217" i="5"/>
  <c r="CD216" i="5"/>
  <c r="CF217" i="5"/>
  <c r="CG142" i="5" l="1"/>
  <c r="CF141" i="5"/>
  <c r="CG141" i="5" s="1"/>
  <c r="CJ143" i="5"/>
  <c r="CI143" i="5"/>
  <c r="CH142" i="5"/>
  <c r="CK298" i="5"/>
  <c r="CL298" i="5"/>
  <c r="CB213" i="5"/>
  <c r="CC213" i="5" s="1"/>
  <c r="CC214" i="5"/>
  <c r="CK229" i="5"/>
  <c r="CJ228" i="5"/>
  <c r="CI295" i="5"/>
  <c r="CH294" i="5"/>
  <c r="CN297" i="5"/>
  <c r="CO297" i="5" s="1"/>
  <c r="CM297" i="5"/>
  <c r="CI228" i="5"/>
  <c r="CH221" i="5"/>
  <c r="CI221" i="5" s="1"/>
  <c r="A83" i="5"/>
  <c r="A84" i="5" s="1"/>
  <c r="A85" i="5" s="1"/>
  <c r="A86" i="5" s="1"/>
  <c r="A88" i="5" s="1"/>
  <c r="A89" i="5" s="1"/>
  <c r="A90" i="5" s="1"/>
  <c r="A91" i="5" s="1"/>
  <c r="A92" i="5" s="1"/>
  <c r="A93" i="5" s="1"/>
  <c r="A94" i="5" s="1"/>
  <c r="A96" i="5" s="1"/>
  <c r="A97" i="5" s="1"/>
  <c r="A98" i="5" s="1"/>
  <c r="A99" i="5" s="1"/>
  <c r="A100" i="5" s="1"/>
  <c r="A102" i="5" s="1"/>
  <c r="A103" i="5" s="1"/>
  <c r="A104" i="5" s="1"/>
  <c r="A105" i="5" s="1"/>
  <c r="A106" i="5" s="1"/>
  <c r="A108" i="5" s="1"/>
  <c r="A109" i="5" s="1"/>
  <c r="A110" i="5" s="1"/>
  <c r="A111" i="5" s="1"/>
  <c r="A112" i="5" s="1"/>
  <c r="A113" i="5" s="1"/>
  <c r="A114" i="5" s="1"/>
  <c r="A115" i="5" s="1"/>
  <c r="A116" i="5" s="1"/>
  <c r="A117" i="5" s="1"/>
  <c r="A118" i="5" s="1"/>
  <c r="A119" i="5" s="1"/>
  <c r="CH217" i="5"/>
  <c r="CG217" i="5"/>
  <c r="CF216" i="5"/>
  <c r="CN435" i="5"/>
  <c r="CO435" i="5" s="1"/>
  <c r="CH183" i="5"/>
  <c r="CG183" i="5"/>
  <c r="CH435" i="5"/>
  <c r="CI435" i="5" s="1"/>
  <c r="CI437" i="5"/>
  <c r="CJ437" i="5"/>
  <c r="CK438" i="5"/>
  <c r="CM222" i="5"/>
  <c r="CL221" i="5"/>
  <c r="CM221" i="5" s="1"/>
  <c r="CE154" i="5"/>
  <c r="CD144" i="5"/>
  <c r="CE144" i="5" s="1"/>
  <c r="A284" i="5"/>
  <c r="A287" i="5"/>
  <c r="A289" i="5" s="1"/>
  <c r="A292" i="5" s="1"/>
  <c r="A294" i="5" s="1"/>
  <c r="A301" i="5" s="1"/>
  <c r="A310" i="5" s="1"/>
  <c r="A313" i="5" s="1"/>
  <c r="A316" i="5" s="1"/>
  <c r="A319" i="5" s="1"/>
  <c r="A322" i="5" s="1"/>
  <c r="A325" i="5" s="1"/>
  <c r="A328" i="5" s="1"/>
  <c r="A331" i="5" s="1"/>
  <c r="A334" i="5" s="1"/>
  <c r="A337" i="5" s="1"/>
  <c r="A340" i="5" s="1"/>
  <c r="A343" i="5" s="1"/>
  <c r="A346" i="5" s="1"/>
  <c r="A349" i="5" s="1"/>
  <c r="A352" i="5" s="1"/>
  <c r="A358" i="5" s="1"/>
  <c r="A363" i="5" s="1"/>
  <c r="A366" i="5" s="1"/>
  <c r="A369" i="5" s="1"/>
  <c r="A372" i="5" s="1"/>
  <c r="A375" i="5" s="1"/>
  <c r="A378" i="5" s="1"/>
  <c r="A381" i="5" s="1"/>
  <c r="A384" i="5" s="1"/>
  <c r="A387" i="5" s="1"/>
  <c r="A390" i="5" s="1"/>
  <c r="A393" i="5" s="1"/>
  <c r="A396" i="5" s="1"/>
  <c r="A399" i="5" s="1"/>
  <c r="A402" i="5" s="1"/>
  <c r="A404" i="5" s="1"/>
  <c r="A406" i="5" s="1"/>
  <c r="A409" i="5" s="1"/>
  <c r="A412" i="5" s="1"/>
  <c r="A415" i="5" s="1"/>
  <c r="A418" i="5" s="1"/>
  <c r="A421" i="5" s="1"/>
  <c r="A424" i="5" s="1"/>
  <c r="A427" i="5" s="1"/>
  <c r="A429" i="5" s="1"/>
  <c r="A435" i="5" s="1"/>
  <c r="A442" i="5" s="1"/>
  <c r="A444" i="5" s="1"/>
  <c r="A447" i="5" s="1"/>
  <c r="A450" i="5" s="1"/>
  <c r="A453" i="5" s="1"/>
  <c r="A464" i="5" s="1"/>
  <c r="A469" i="5" s="1"/>
  <c r="A472" i="5" s="1"/>
  <c r="A477" i="5" s="1"/>
  <c r="A483" i="5" s="1"/>
  <c r="A488" i="5" s="1"/>
  <c r="A491" i="5" s="1"/>
  <c r="A494" i="5" s="1"/>
  <c r="A497" i="5" s="1"/>
  <c r="A502" i="5" s="1"/>
  <c r="A508" i="5" s="1"/>
  <c r="A510" i="5" s="1"/>
  <c r="A516" i="5" s="1"/>
  <c r="A519" i="5" s="1"/>
  <c r="A522" i="5" s="1"/>
  <c r="A525" i="5" s="1"/>
  <c r="A530" i="5" s="1"/>
  <c r="A533" i="5" s="1"/>
  <c r="A541" i="5" s="1"/>
  <c r="A546" i="5" s="1"/>
  <c r="A548" i="5" s="1"/>
  <c r="A550" i="5" s="1"/>
  <c r="A556" i="5" s="1"/>
  <c r="A558" i="5" s="1"/>
  <c r="A561" i="5" s="1"/>
  <c r="A564" i="5" s="1"/>
  <c r="A567" i="5" s="1"/>
  <c r="A570" i="5" s="1"/>
  <c r="A572" i="5" s="1"/>
  <c r="A574" i="5" s="1"/>
  <c r="A580" i="5" s="1"/>
  <c r="A583" i="5" s="1"/>
  <c r="CF155" i="5"/>
  <c r="CD214" i="5"/>
  <c r="CE216" i="5"/>
  <c r="CJ295" i="5"/>
  <c r="CL296" i="5"/>
  <c r="CK296" i="5"/>
  <c r="CG294" i="5"/>
  <c r="A29" i="5"/>
  <c r="A164" i="5"/>
  <c r="CJ180" i="5"/>
  <c r="CI180" i="5"/>
  <c r="CH155" i="5"/>
  <c r="CN298" i="5" l="1"/>
  <c r="CO298" i="5" s="1"/>
  <c r="CM298" i="5"/>
  <c r="CH141" i="5"/>
  <c r="CI141" i="5" s="1"/>
  <c r="CI142" i="5"/>
  <c r="CL143" i="5"/>
  <c r="CK143" i="5"/>
  <c r="CJ142" i="5"/>
  <c r="A30" i="5"/>
  <c r="A31" i="5" s="1"/>
  <c r="A32" i="5" s="1"/>
  <c r="A33" i="5" s="1"/>
  <c r="A34" i="5" s="1"/>
  <c r="A35" i="5" s="1"/>
  <c r="A36" i="5" s="1"/>
  <c r="A37" i="5" s="1"/>
  <c r="A40" i="5" s="1"/>
  <c r="A41" i="5" s="1"/>
  <c r="A42" i="5" s="1"/>
  <c r="A43" i="5" s="1"/>
  <c r="A44" i="5" s="1"/>
  <c r="A45" i="5" s="1"/>
  <c r="A46" i="5" s="1"/>
  <c r="A47" i="5" s="1"/>
  <c r="A48" i="5" s="1"/>
  <c r="A49" i="5" s="1"/>
  <c r="A51" i="5" s="1"/>
  <c r="A52" i="5" s="1"/>
  <c r="A53" i="5" s="1"/>
  <c r="A54" i="5" s="1"/>
  <c r="A55" i="5" s="1"/>
  <c r="A56" i="5" s="1"/>
  <c r="A58" i="5" s="1"/>
  <c r="A59" i="5" s="1"/>
  <c r="A61" i="5" s="1"/>
  <c r="A62" i="5" s="1"/>
  <c r="A64" i="5" s="1"/>
  <c r="A65" i="5" s="1"/>
  <c r="CJ217" i="5"/>
  <c r="CI217" i="5"/>
  <c r="CH216" i="5"/>
  <c r="CM296" i="5"/>
  <c r="CN296" i="5"/>
  <c r="CL295" i="5"/>
  <c r="CK295" i="5"/>
  <c r="CJ294" i="5"/>
  <c r="CE214" i="5"/>
  <c r="CD213" i="5"/>
  <c r="CE213" i="5" s="1"/>
  <c r="CF154" i="5"/>
  <c r="CG155" i="5"/>
  <c r="CK437" i="5"/>
  <c r="CJ435" i="5"/>
  <c r="CK435" i="5" s="1"/>
  <c r="CI155" i="5"/>
  <c r="CH154" i="5"/>
  <c r="CI183" i="5"/>
  <c r="CJ183" i="5"/>
  <c r="CK183" i="5" s="1"/>
  <c r="CL180" i="5"/>
  <c r="CK180" i="5"/>
  <c r="CI294" i="5"/>
  <c r="CF214" i="5"/>
  <c r="CG216" i="5"/>
  <c r="A165" i="5"/>
  <c r="A167" i="5" s="1"/>
  <c r="CJ221" i="5"/>
  <c r="CK221" i="5" s="1"/>
  <c r="CK228" i="5"/>
  <c r="CJ155" i="5" l="1"/>
  <c r="CJ141" i="5"/>
  <c r="CK141" i="5" s="1"/>
  <c r="CK142" i="5"/>
  <c r="CN143" i="5"/>
  <c r="CM143" i="5"/>
  <c r="CL142" i="5"/>
  <c r="CG214" i="5"/>
  <c r="CF213" i="5"/>
  <c r="CG213" i="5" s="1"/>
  <c r="CL294" i="5"/>
  <c r="CM295" i="5"/>
  <c r="CG154" i="5"/>
  <c r="CF144" i="5"/>
  <c r="CG144" i="5" s="1"/>
  <c r="CK155" i="5"/>
  <c r="CJ154" i="5"/>
  <c r="CM180" i="5"/>
  <c r="CN180" i="5"/>
  <c r="CL155" i="5"/>
  <c r="CI216" i="5"/>
  <c r="CH214" i="5"/>
  <c r="CL217" i="5"/>
  <c r="CK217" i="5"/>
  <c r="CJ216" i="5"/>
  <c r="CK294" i="5"/>
  <c r="A168" i="5"/>
  <c r="A169" i="5" s="1"/>
  <c r="A170" i="5" s="1"/>
  <c r="A172" i="5" s="1"/>
  <c r="A173" i="5" s="1"/>
  <c r="A175" i="5" s="1"/>
  <c r="A177" i="5" s="1"/>
  <c r="A178" i="5" s="1"/>
  <c r="A180" i="5" s="1"/>
  <c r="A181" i="5" s="1"/>
  <c r="A182" i="5" s="1"/>
  <c r="A183" i="5" s="1"/>
  <c r="CN295" i="5"/>
  <c r="CO296" i="5"/>
  <c r="CI154" i="5"/>
  <c r="CH144" i="5"/>
  <c r="CI144" i="5" s="1"/>
  <c r="CN142" i="5" l="1"/>
  <c r="CO143" i="5"/>
  <c r="CM142" i="5"/>
  <c r="CL141" i="5"/>
  <c r="CM141" i="5" s="1"/>
  <c r="A184" i="5"/>
  <c r="CO180" i="5"/>
  <c r="CN155" i="5"/>
  <c r="CH213" i="5"/>
  <c r="CI213" i="5" s="1"/>
  <c r="CI214" i="5"/>
  <c r="CN217" i="5"/>
  <c r="CM217" i="5"/>
  <c r="CL216" i="5"/>
  <c r="CN294" i="5"/>
  <c r="CO295" i="5"/>
  <c r="CL154" i="5"/>
  <c r="CM155" i="5"/>
  <c r="CM294" i="5"/>
  <c r="CK154" i="5"/>
  <c r="CJ144" i="5"/>
  <c r="CK144" i="5" s="1"/>
  <c r="CK216" i="5"/>
  <c r="CJ214" i="5"/>
  <c r="CO142" i="5" l="1"/>
  <c r="CN141" i="5"/>
  <c r="CO141" i="5" s="1"/>
  <c r="CN154" i="5"/>
  <c r="CO155" i="5"/>
  <c r="CJ213" i="5"/>
  <c r="CK213" i="5" s="1"/>
  <c r="CK214" i="5"/>
  <c r="CM216" i="5"/>
  <c r="CL214" i="5"/>
  <c r="CO294" i="5"/>
  <c r="A187" i="5"/>
  <c r="A188" i="5" s="1"/>
  <c r="CO217" i="5"/>
  <c r="CN216" i="5"/>
  <c r="CL144" i="5"/>
  <c r="CM144" i="5" s="1"/>
  <c r="CM154" i="5"/>
  <c r="CO216" i="5" l="1"/>
  <c r="CN214" i="5"/>
  <c r="CN144" i="5"/>
  <c r="CO144" i="5" s="1"/>
  <c r="CO154" i="5"/>
  <c r="CM214" i="5"/>
  <c r="CL213" i="5"/>
  <c r="CM213" i="5" s="1"/>
  <c r="A189" i="5"/>
  <c r="A190" i="5" s="1"/>
  <c r="A191" i="5" l="1"/>
  <c r="A192" i="5" s="1"/>
  <c r="CN213" i="5"/>
  <c r="CO213" i="5" s="1"/>
  <c r="CO214" i="5"/>
  <c r="A194" i="5" l="1"/>
  <c r="A195" i="5"/>
  <c r="BN17" i="4" l="1"/>
  <c r="BR17" i="4" l="1"/>
  <c r="BS17" i="4" s="1"/>
  <c r="BM17" i="4"/>
  <c r="CQ17" i="4" s="1"/>
  <c r="BL17" i="4"/>
  <c r="CS17" i="4"/>
  <c r="AZ17" i="4"/>
  <c r="O17" i="4"/>
  <c r="N17" i="4"/>
  <c r="M17" i="4"/>
  <c r="L17" i="4"/>
  <c r="K17" i="4"/>
  <c r="J17" i="4"/>
  <c r="BJ17" i="4"/>
  <c r="Q17" i="4"/>
  <c r="F70" i="3"/>
  <c r="D70" i="3" s="1"/>
  <c r="BL70" i="3" s="1"/>
  <c r="CS70" i="3"/>
  <c r="CP17" i="4" l="1"/>
  <c r="BJ70" i="3"/>
  <c r="CO29" i="4" l="1"/>
  <c r="CM29" i="4"/>
  <c r="CK29" i="4"/>
  <c r="CI29" i="4"/>
  <c r="CG29" i="4"/>
  <c r="CC29" i="4"/>
  <c r="CA29" i="4"/>
  <c r="BW29" i="4"/>
  <c r="BU29" i="4"/>
  <c r="CQ21" i="4"/>
  <c r="CE21" i="4"/>
  <c r="CV21" i="4"/>
  <c r="CV19" i="4"/>
  <c r="DJ128" i="4"/>
  <c r="BQ127" i="4"/>
  <c r="BW58" i="4"/>
  <c r="CI58" i="4"/>
  <c r="BU58" i="4"/>
  <c r="BS58" i="4"/>
  <c r="BQ58" i="4"/>
  <c r="BU93" i="4"/>
  <c r="BS93" i="4"/>
  <c r="BQ93" i="4"/>
  <c r="CI67" i="4"/>
  <c r="BS67" i="4"/>
  <c r="CK80" i="4"/>
  <c r="CK79" i="4" s="1"/>
  <c r="CI80" i="4"/>
  <c r="CI79" i="4" s="1"/>
  <c r="CI78" i="4" s="1"/>
  <c r="BS80" i="4"/>
  <c r="BS79" i="4" s="1"/>
  <c r="BS78" i="4" s="1"/>
  <c r="BQ80" i="4"/>
  <c r="CC70" i="4"/>
  <c r="CI70" i="4"/>
  <c r="BU70" i="4"/>
  <c r="BS70" i="4"/>
  <c r="CI84" i="4"/>
  <c r="BU84" i="4"/>
  <c r="BS84" i="4"/>
  <c r="BQ84" i="4"/>
  <c r="BP84" i="4"/>
  <c r="CI56" i="4"/>
  <c r="BU56" i="4"/>
  <c r="BS56" i="4"/>
  <c r="BQ56" i="4"/>
  <c r="CI60" i="4"/>
  <c r="BU60" i="4"/>
  <c r="BS60" i="4"/>
  <c r="CI83" i="4"/>
  <c r="BU83" i="4"/>
  <c r="BS83" i="4"/>
  <c r="BQ104" i="4"/>
  <c r="BP104" i="4"/>
  <c r="CQ90" i="4"/>
  <c r="CR90" i="4" s="1"/>
  <c r="CM90" i="4"/>
  <c r="CG90" i="4"/>
  <c r="CH90" i="4" s="1"/>
  <c r="BW90" i="4"/>
  <c r="CI90" i="4"/>
  <c r="BU90" i="4"/>
  <c r="BS90" i="4"/>
  <c r="BQ90" i="4"/>
  <c r="BP90" i="4"/>
  <c r="BO90" i="4"/>
  <c r="CG87" i="4"/>
  <c r="CH87" i="4" s="1"/>
  <c r="CE87" i="4"/>
  <c r="CF87" i="4" s="1"/>
  <c r="CQ87" i="4"/>
  <c r="CR87" i="4" s="1"/>
  <c r="CI87" i="4"/>
  <c r="BU87" i="4"/>
  <c r="BS87" i="4"/>
  <c r="BT87" i="4" s="1"/>
  <c r="BQ39" i="4"/>
  <c r="CK112" i="4"/>
  <c r="CC112" i="4"/>
  <c r="BS112" i="4"/>
  <c r="CI62" i="4"/>
  <c r="CG62" i="4"/>
  <c r="CE62" i="4"/>
  <c r="CC62" i="4"/>
  <c r="CA62" i="4"/>
  <c r="BY62" i="4"/>
  <c r="BW62" i="4"/>
  <c r="BU62" i="4"/>
  <c r="BS62" i="4"/>
  <c r="BQ62" i="4"/>
  <c r="BP62" i="4"/>
  <c r="CM110" i="4"/>
  <c r="CK110" i="4"/>
  <c r="CI110" i="4"/>
  <c r="CG110" i="4"/>
  <c r="CE110" i="4"/>
  <c r="CA110" i="4"/>
  <c r="BY110" i="4"/>
  <c r="BW110" i="4"/>
  <c r="BU110" i="4"/>
  <c r="CI103" i="4"/>
  <c r="BQ103" i="4"/>
  <c r="CQ106" i="4"/>
  <c r="CO106" i="4"/>
  <c r="CM106" i="4"/>
  <c r="CK106" i="4"/>
  <c r="CI106" i="4"/>
  <c r="CI105" i="4" s="1"/>
  <c r="CG106" i="4"/>
  <c r="CE106" i="4"/>
  <c r="CC106" i="4"/>
  <c r="CA106" i="4"/>
  <c r="BY106" i="4"/>
  <c r="BW106" i="4"/>
  <c r="BU106" i="4"/>
  <c r="BU105" i="4" s="1"/>
  <c r="BS106" i="4"/>
  <c r="BS105" i="4" s="1"/>
  <c r="CI65" i="4"/>
  <c r="BU65" i="4"/>
  <c r="BS65" i="4"/>
  <c r="BQ65" i="4"/>
  <c r="CI104" i="4"/>
  <c r="CJ104" i="4" s="1"/>
  <c r="BU104" i="4"/>
  <c r="BS104" i="4"/>
  <c r="BT104" i="4" s="1"/>
  <c r="CO103" i="4"/>
  <c r="CK103" i="4"/>
  <c r="CG103" i="4"/>
  <c r="CE103" i="4"/>
  <c r="CA103" i="4"/>
  <c r="BS103" i="4"/>
  <c r="BQ108" i="4"/>
  <c r="BU85" i="4"/>
  <c r="BS85" i="4"/>
  <c r="BQ85" i="4"/>
  <c r="CI69" i="4"/>
  <c r="BU69" i="4"/>
  <c r="BS69" i="4"/>
  <c r="BQ110" i="4"/>
  <c r="CI49" i="4"/>
  <c r="BQ49" i="4"/>
  <c r="CI97" i="4"/>
  <c r="CJ97" i="4" s="1"/>
  <c r="BU97" i="4"/>
  <c r="BV97" i="4" s="1"/>
  <c r="BS97" i="4"/>
  <c r="BT97" i="4" s="1"/>
  <c r="BU91" i="4"/>
  <c r="BS91" i="4"/>
  <c r="CI95" i="4"/>
  <c r="BU95" i="4"/>
  <c r="BS95" i="4"/>
  <c r="BU126" i="4"/>
  <c r="BS126" i="4"/>
  <c r="BU42" i="4"/>
  <c r="BS42" i="4"/>
  <c r="BQ42" i="4"/>
  <c r="CI53" i="4"/>
  <c r="BU53" i="4"/>
  <c r="BS53" i="4"/>
  <c r="BQ36" i="4"/>
  <c r="CE86" i="4"/>
  <c r="CQ86" i="4"/>
  <c r="CO86" i="4"/>
  <c r="CM86" i="4"/>
  <c r="CK86" i="4"/>
  <c r="CI86" i="4"/>
  <c r="CG86" i="4"/>
  <c r="CA86" i="4"/>
  <c r="BY86" i="4"/>
  <c r="BW86" i="4"/>
  <c r="BU86" i="4"/>
  <c r="BS86" i="4"/>
  <c r="BQ122" i="4"/>
  <c r="BP122" i="4"/>
  <c r="BQ114" i="4"/>
  <c r="CG55" i="4"/>
  <c r="CE55" i="4"/>
  <c r="CC55" i="4"/>
  <c r="CA55" i="4"/>
  <c r="BY55" i="4"/>
  <c r="BW55" i="4"/>
  <c r="BU55" i="4"/>
  <c r="BS55" i="4"/>
  <c r="CI75" i="4"/>
  <c r="BU75" i="4"/>
  <c r="BS75" i="4"/>
  <c r="BQ75" i="4"/>
  <c r="CI45" i="4"/>
  <c r="BU45" i="4"/>
  <c r="BS45" i="4"/>
  <c r="CI51" i="4"/>
  <c r="BU51" i="4"/>
  <c r="BS51" i="4"/>
  <c r="BQ51" i="4"/>
  <c r="CI107" i="4"/>
  <c r="BU107" i="4"/>
  <c r="BS107" i="4"/>
  <c r="BQ88" i="4"/>
  <c r="BY41" i="4"/>
  <c r="CO41" i="4"/>
  <c r="CM41" i="4"/>
  <c r="CK41" i="4"/>
  <c r="CI41" i="4"/>
  <c r="CG41" i="4"/>
  <c r="CE41" i="4"/>
  <c r="CC41" i="4"/>
  <c r="CA41" i="4"/>
  <c r="BS41" i="4"/>
  <c r="BQ41" i="4"/>
  <c r="CI68" i="4"/>
  <c r="CJ68" i="4" s="1"/>
  <c r="BU68" i="4"/>
  <c r="BS68" i="4"/>
  <c r="BQ68" i="4"/>
  <c r="BP68" i="4"/>
  <c r="CI44" i="4"/>
  <c r="BU44" i="4"/>
  <c r="BS44" i="4"/>
  <c r="BQ44" i="4"/>
  <c r="BQ106" i="4"/>
  <c r="CE38" i="4"/>
  <c r="CA38" i="4"/>
  <c r="CQ38" i="4"/>
  <c r="CO38" i="4"/>
  <c r="CM38" i="4"/>
  <c r="CK38" i="4"/>
  <c r="CI38" i="4"/>
  <c r="CG38" i="4"/>
  <c r="CC38" i="4"/>
  <c r="BY38" i="4"/>
  <c r="BW38" i="4"/>
  <c r="BU38" i="4"/>
  <c r="BS38" i="4"/>
  <c r="CI101" i="4"/>
  <c r="BU101" i="4"/>
  <c r="BS101" i="4"/>
  <c r="BQ101" i="4"/>
  <c r="BP101" i="4"/>
  <c r="CT101" i="4" s="1"/>
  <c r="CI73" i="4"/>
  <c r="BU73" i="4"/>
  <c r="BS73" i="4"/>
  <c r="BQ73" i="4"/>
  <c r="CI57" i="4"/>
  <c r="BU57" i="4"/>
  <c r="BS57" i="4"/>
  <c r="CI59" i="4"/>
  <c r="BU59" i="4"/>
  <c r="BS59" i="4"/>
  <c r="BQ59" i="4"/>
  <c r="CI52" i="4"/>
  <c r="BU52" i="4"/>
  <c r="BS52" i="4"/>
  <c r="BQ52" i="4"/>
  <c r="BW77" i="4"/>
  <c r="BU77" i="4"/>
  <c r="BS77" i="4"/>
  <c r="BU96" i="4"/>
  <c r="BS96" i="4"/>
  <c r="CA68" i="4"/>
  <c r="CI100" i="4"/>
  <c r="BU100" i="4"/>
  <c r="BS100" i="4"/>
  <c r="BQ100" i="4"/>
  <c r="CI43" i="4"/>
  <c r="BU43" i="4"/>
  <c r="BS43" i="4"/>
  <c r="BY66" i="4"/>
  <c r="CI109" i="4"/>
  <c r="BU109" i="4"/>
  <c r="BS109" i="4"/>
  <c r="CI63" i="4"/>
  <c r="BU63" i="4"/>
  <c r="BS63" i="4"/>
  <c r="CQ62" i="4"/>
  <c r="CK62" i="4"/>
  <c r="CI61" i="4"/>
  <c r="BU61" i="4"/>
  <c r="BS61" i="4"/>
  <c r="BQ61" i="4"/>
  <c r="BQ115" i="4"/>
  <c r="BP115" i="4"/>
  <c r="CI48" i="4"/>
  <c r="BQ48" i="4"/>
  <c r="BQ105" i="4"/>
  <c r="BU92" i="4"/>
  <c r="BS92" i="4"/>
  <c r="BQ63" i="4"/>
  <c r="CQ55" i="4"/>
  <c r="CO54" i="4"/>
  <c r="CM54" i="4"/>
  <c r="CK55" i="4"/>
  <c r="CC54" i="4"/>
  <c r="CA54" i="4"/>
  <c r="BY54" i="4"/>
  <c r="BW54" i="4"/>
  <c r="BU54" i="4"/>
  <c r="BS54" i="4"/>
  <c r="BQ54" i="4"/>
  <c r="CG54" i="4"/>
  <c r="CE54" i="4"/>
  <c r="BQ89" i="4"/>
  <c r="BQ95" i="4"/>
  <c r="CI81" i="4"/>
  <c r="BU81" i="4"/>
  <c r="BS81" i="4"/>
  <c r="CI50" i="4"/>
  <c r="BU50" i="4"/>
  <c r="BS50" i="4"/>
  <c r="BQ46" i="4"/>
  <c r="BQ79" i="4"/>
  <c r="BP79" i="4"/>
  <c r="BU48" i="4"/>
  <c r="BS48" i="4"/>
  <c r="BW47" i="4"/>
  <c r="BU47" i="4"/>
  <c r="BU46" i="4" s="1"/>
  <c r="BQ97" i="4"/>
  <c r="BO97" i="4"/>
  <c r="CG45" i="4"/>
  <c r="CI76" i="4"/>
  <c r="BU76" i="4"/>
  <c r="BS76" i="4"/>
  <c r="BQ76" i="4"/>
  <c r="CI74" i="4"/>
  <c r="BU74" i="4"/>
  <c r="BS74" i="4"/>
  <c r="BQ74" i="4"/>
  <c r="CI82" i="4"/>
  <c r="BU82" i="4"/>
  <c r="BS82" i="4"/>
  <c r="BQ82" i="4"/>
  <c r="BQ94" i="4"/>
  <c r="BO94" i="4"/>
  <c r="CI40" i="4"/>
  <c r="BU40" i="4"/>
  <c r="BS40" i="4"/>
  <c r="BQ40" i="4"/>
  <c r="BQ117" i="4"/>
  <c r="BP47" i="4"/>
  <c r="CT47" i="4" s="1"/>
  <c r="BQ47" i="4"/>
  <c r="CI66" i="4"/>
  <c r="BU66" i="4"/>
  <c r="BS66" i="4"/>
  <c r="BQ66" i="4"/>
  <c r="CQ37" i="4"/>
  <c r="CO37" i="4"/>
  <c r="CO36" i="4" s="1"/>
  <c r="CM37" i="4"/>
  <c r="CN37" i="4" s="1"/>
  <c r="CK37" i="4"/>
  <c r="CL37" i="4" s="1"/>
  <c r="CI37" i="4"/>
  <c r="CI36" i="4" s="1"/>
  <c r="CG37" i="4"/>
  <c r="CG36" i="4" s="1"/>
  <c r="CE37" i="4"/>
  <c r="CE36" i="4" s="1"/>
  <c r="CC37" i="4"/>
  <c r="CD37" i="4" s="1"/>
  <c r="CA37" i="4"/>
  <c r="CA36" i="4" s="1"/>
  <c r="BY37" i="4"/>
  <c r="BY36" i="4" s="1"/>
  <c r="BW37" i="4"/>
  <c r="BW36" i="4" s="1"/>
  <c r="BU37" i="4"/>
  <c r="BU36" i="4" s="1"/>
  <c r="BU35" i="4" s="1"/>
  <c r="BS37" i="4"/>
  <c r="BQ37" i="4"/>
  <c r="BP37" i="4"/>
  <c r="BO37" i="4"/>
  <c r="BU125" i="4"/>
  <c r="CO64" i="4"/>
  <c r="CK64" i="4"/>
  <c r="CI64" i="4"/>
  <c r="CE64" i="4"/>
  <c r="CC64" i="4"/>
  <c r="BY64" i="4"/>
  <c r="BW64" i="4"/>
  <c r="BU64" i="4"/>
  <c r="BS64" i="4"/>
  <c r="CQ121" i="4"/>
  <c r="CO121" i="4"/>
  <c r="CM121" i="4"/>
  <c r="CK121" i="4"/>
  <c r="CI121" i="4"/>
  <c r="CG121" i="4"/>
  <c r="CE121" i="4"/>
  <c r="CC121" i="4"/>
  <c r="CA121" i="4"/>
  <c r="BY121" i="4"/>
  <c r="BW121" i="4"/>
  <c r="BU121" i="4"/>
  <c r="BS121" i="4"/>
  <c r="CQ111" i="4"/>
  <c r="CO111" i="4"/>
  <c r="CM111" i="4"/>
  <c r="CK111" i="4"/>
  <c r="CI111" i="4"/>
  <c r="CG111" i="4"/>
  <c r="CE111" i="4"/>
  <c r="CC111" i="4"/>
  <c r="CA111" i="4"/>
  <c r="BY111" i="4"/>
  <c r="BW111" i="4"/>
  <c r="BU111" i="4"/>
  <c r="BS111" i="4"/>
  <c r="CQ32" i="4"/>
  <c r="CR32" i="4" s="1"/>
  <c r="CO32" i="4"/>
  <c r="CM32" i="4"/>
  <c r="CN32" i="4" s="1"/>
  <c r="CK32" i="4"/>
  <c r="CI32" i="4"/>
  <c r="CJ32" i="4" s="1"/>
  <c r="CG32" i="4"/>
  <c r="CH32" i="4" s="1"/>
  <c r="CE32" i="4"/>
  <c r="CC32" i="4"/>
  <c r="CA32" i="4"/>
  <c r="BY32" i="4"/>
  <c r="BW32" i="4"/>
  <c r="BX32" i="4" s="1"/>
  <c r="BU32" i="4"/>
  <c r="BS32" i="4"/>
  <c r="BT32" i="4" s="1"/>
  <c r="BO32" i="4"/>
  <c r="CQ16" i="4"/>
  <c r="CO16" i="4"/>
  <c r="CM16" i="4"/>
  <c r="CK16" i="4"/>
  <c r="CI16" i="4"/>
  <c r="CG16" i="4"/>
  <c r="CE16" i="4"/>
  <c r="CC16" i="4"/>
  <c r="CA16" i="4"/>
  <c r="BY16" i="4"/>
  <c r="BW16" i="4"/>
  <c r="BU16" i="4"/>
  <c r="BS16" i="4"/>
  <c r="K14" i="4"/>
  <c r="BS14" i="4" s="1"/>
  <c r="DF3" i="4"/>
  <c r="P24" i="2"/>
  <c r="BS27" i="4" l="1"/>
  <c r="CI92" i="4"/>
  <c r="CO21" i="4"/>
  <c r="CO20" i="4" s="1"/>
  <c r="BU21" i="4"/>
  <c r="CE19" i="4"/>
  <c r="CE18" i="4" s="1"/>
  <c r="CA27" i="4"/>
  <c r="BU19" i="4"/>
  <c r="BU18" i="4" s="1"/>
  <c r="CC27" i="4"/>
  <c r="CM21" i="4"/>
  <c r="CM20" i="4" s="1"/>
  <c r="BS21" i="4"/>
  <c r="BS20" i="4" s="1"/>
  <c r="CC19" i="4"/>
  <c r="CC18" i="4" s="1"/>
  <c r="BW22" i="4"/>
  <c r="CG19" i="4"/>
  <c r="CG18" i="4" s="1"/>
  <c r="CA19" i="4"/>
  <c r="CA18" i="4" s="1"/>
  <c r="BU25" i="4"/>
  <c r="BY21" i="4"/>
  <c r="BY20" i="4" s="1"/>
  <c r="CC21" i="4"/>
  <c r="CC20" i="4" s="1"/>
  <c r="CK27" i="4"/>
  <c r="CG21" i="4"/>
  <c r="CO27" i="4"/>
  <c r="CI19" i="4"/>
  <c r="CI18" i="4" s="1"/>
  <c r="BW21" i="4"/>
  <c r="BW20" i="4" s="1"/>
  <c r="CA21" i="4"/>
  <c r="CA20" i="4" s="1"/>
  <c r="CI21" i="4"/>
  <c r="CI20" i="4" s="1"/>
  <c r="CK19" i="4"/>
  <c r="CK18" i="4" s="1"/>
  <c r="CI27" i="4"/>
  <c r="CK21" i="4"/>
  <c r="CK20" i="4" s="1"/>
  <c r="BW27" i="4"/>
  <c r="CO19" i="4"/>
  <c r="CM27" i="4"/>
  <c r="BY27" i="4"/>
  <c r="BS23" i="4"/>
  <c r="CK124" i="4"/>
  <c r="CC98" i="4"/>
  <c r="CE61" i="4"/>
  <c r="BQ19" i="4"/>
  <c r="BS71" i="4"/>
  <c r="CA70" i="4"/>
  <c r="BS24" i="4"/>
  <c r="CO112" i="4"/>
  <c r="CK36" i="4"/>
  <c r="CK35" i="4" s="1"/>
  <c r="CK34" i="4" s="1"/>
  <c r="CK33" i="4" s="1"/>
  <c r="CK31" i="4" s="1"/>
  <c r="CL31" i="4" s="1"/>
  <c r="BS22" i="4"/>
  <c r="CG66" i="4"/>
  <c r="CO55" i="4"/>
  <c r="CM36" i="4"/>
  <c r="CM35" i="4" s="1"/>
  <c r="CN35" i="4" s="1"/>
  <c r="BU24" i="4"/>
  <c r="CA66" i="4"/>
  <c r="CQ69" i="4"/>
  <c r="BS47" i="4"/>
  <c r="BS46" i="4" s="1"/>
  <c r="BS26" i="4"/>
  <c r="BQ22" i="4"/>
  <c r="CG98" i="4"/>
  <c r="CE112" i="4"/>
  <c r="CI54" i="4"/>
  <c r="CI55" i="4"/>
  <c r="BS88" i="4"/>
  <c r="CQ40" i="4"/>
  <c r="CQ39" i="4" s="1"/>
  <c r="CQ41" i="4"/>
  <c r="CV20" i="4"/>
  <c r="BU22" i="4"/>
  <c r="BW19" i="4"/>
  <c r="BW18" i="4" s="1"/>
  <c r="BQ27" i="4"/>
  <c r="CQ19" i="4"/>
  <c r="CQ18" i="4" s="1"/>
  <c r="CC36" i="4"/>
  <c r="CI126" i="4"/>
  <c r="CI94" i="4"/>
  <c r="CJ94" i="4" s="1"/>
  <c r="BP28" i="4"/>
  <c r="CI98" i="4"/>
  <c r="BW66" i="4"/>
  <c r="CO42" i="4"/>
  <c r="BY22" i="4"/>
  <c r="BY61" i="4"/>
  <c r="CQ97" i="4"/>
  <c r="CR97" i="4" s="1"/>
  <c r="BY19" i="4"/>
  <c r="BY18" i="4" s="1"/>
  <c r="CI42" i="4"/>
  <c r="CI93" i="4"/>
  <c r="CM62" i="4"/>
  <c r="BU39" i="4"/>
  <c r="CO62" i="4"/>
  <c r="BT37" i="4"/>
  <c r="BS36" i="4"/>
  <c r="BS35" i="4" s="1"/>
  <c r="BS34" i="4" s="1"/>
  <c r="BS33" i="4" s="1"/>
  <c r="BS31" i="4" s="1"/>
  <c r="BT31" i="4" s="1"/>
  <c r="BS19" i="4"/>
  <c r="BS18" i="4" s="1"/>
  <c r="CM19" i="4"/>
  <c r="CM18" i="4" s="1"/>
  <c r="BW82" i="4"/>
  <c r="BS25" i="4"/>
  <c r="BQ18" i="4"/>
  <c r="BW74" i="4"/>
  <c r="BX74" i="4" s="1"/>
  <c r="CA69" i="4"/>
  <c r="BU27" i="4"/>
  <c r="CQ27" i="4"/>
  <c r="BY29" i="4"/>
  <c r="BY97" i="4"/>
  <c r="BZ97" i="4" s="1"/>
  <c r="CO66" i="4"/>
  <c r="CM55" i="4"/>
  <c r="CN55" i="4" s="1"/>
  <c r="CO69" i="4"/>
  <c r="CQ110" i="4"/>
  <c r="CO102" i="4"/>
  <c r="CA104" i="4"/>
  <c r="CB104" i="4" s="1"/>
  <c r="CE29" i="4"/>
  <c r="CQ29" i="4"/>
  <c r="BS29" i="4"/>
  <c r="BU26" i="4"/>
  <c r="BU41" i="4"/>
  <c r="BV41" i="4" s="1"/>
  <c r="BU80" i="4"/>
  <c r="BU79" i="4" s="1"/>
  <c r="BU78" i="4" s="1"/>
  <c r="BU34" i="4"/>
  <c r="BU33" i="4" s="1"/>
  <c r="BU31" i="4" s="1"/>
  <c r="BV31" i="4" s="1"/>
  <c r="CI35" i="4"/>
  <c r="CI34" i="4" s="1"/>
  <c r="CI33" i="4" s="1"/>
  <c r="CI31" i="4" s="1"/>
  <c r="CJ31" i="4" s="1"/>
  <c r="CI108" i="4"/>
  <c r="BW42" i="4"/>
  <c r="CM124" i="4"/>
  <c r="CN124" i="4" s="1"/>
  <c r="BU108" i="4"/>
  <c r="BU103" i="4"/>
  <c r="BU102" i="4" s="1"/>
  <c r="BU94" i="4"/>
  <c r="BV94" i="4" s="1"/>
  <c r="CO124" i="4"/>
  <c r="CP124" i="4" s="1"/>
  <c r="BY67" i="4"/>
  <c r="BY68" i="4"/>
  <c r="BZ68" i="4" s="1"/>
  <c r="CO75" i="4"/>
  <c r="CQ61" i="4"/>
  <c r="CE102" i="4"/>
  <c r="BU71" i="4"/>
  <c r="CK109" i="4"/>
  <c r="CL109" i="4" s="1"/>
  <c r="CK66" i="4"/>
  <c r="CL66" i="4" s="1"/>
  <c r="BS49" i="4"/>
  <c r="BS98" i="4"/>
  <c r="BS94" i="4"/>
  <c r="BT94" i="4" s="1"/>
  <c r="CI120" i="4"/>
  <c r="CI102" i="4"/>
  <c r="CO110" i="4"/>
  <c r="CA73" i="4"/>
  <c r="BS124" i="4"/>
  <c r="BT124" i="4" s="1"/>
  <c r="CK83" i="4"/>
  <c r="BS110" i="4"/>
  <c r="CG104" i="4"/>
  <c r="CH104" i="4" s="1"/>
  <c r="BU124" i="4"/>
  <c r="CM104" i="4"/>
  <c r="CN104" i="4" s="1"/>
  <c r="CE42" i="4"/>
  <c r="CF42" i="4" s="1"/>
  <c r="CE97" i="4"/>
  <c r="CF97" i="4" s="1"/>
  <c r="CO104" i="4"/>
  <c r="CP104" i="4" s="1"/>
  <c r="CQ45" i="4"/>
  <c r="CG126" i="4"/>
  <c r="CA124" i="4"/>
  <c r="CB124" i="4" s="1"/>
  <c r="BS120" i="4"/>
  <c r="BW124" i="4"/>
  <c r="BX124" i="4" s="1"/>
  <c r="CC83" i="4"/>
  <c r="BU123" i="4"/>
  <c r="BU122" i="4" s="1"/>
  <c r="BW44" i="4"/>
  <c r="BY124" i="4"/>
  <c r="BZ124" i="4" s="1"/>
  <c r="CQ104" i="4"/>
  <c r="CR104" i="4" s="1"/>
  <c r="CQ98" i="4"/>
  <c r="CE44" i="4"/>
  <c r="CC124" i="4"/>
  <c r="CD124" i="4" s="1"/>
  <c r="BS108" i="4"/>
  <c r="CI39" i="4"/>
  <c r="CA126" i="4"/>
  <c r="CM99" i="4"/>
  <c r="CN99" i="4" s="1"/>
  <c r="CC87" i="4"/>
  <c r="CD87" i="4" s="1"/>
  <c r="BS119" i="4"/>
  <c r="BS118" i="4" s="1"/>
  <c r="BS117" i="4" s="1"/>
  <c r="CG119" i="4"/>
  <c r="CG118" i="4" s="1"/>
  <c r="BW119" i="4"/>
  <c r="CK87" i="4"/>
  <c r="CL87" i="4" s="1"/>
  <c r="CO87" i="4"/>
  <c r="CP87" i="4" s="1"/>
  <c r="CE98" i="4"/>
  <c r="CM61" i="4"/>
  <c r="BY99" i="4"/>
  <c r="BZ99" i="4" s="1"/>
  <c r="BW99" i="4"/>
  <c r="CQ124" i="4"/>
  <c r="CR124" i="4" s="1"/>
  <c r="CI124" i="4"/>
  <c r="CJ124" i="4" s="1"/>
  <c r="CQ54" i="4"/>
  <c r="BS99" i="4"/>
  <c r="BW87" i="4"/>
  <c r="BX87" i="4" s="1"/>
  <c r="BY87" i="4"/>
  <c r="BZ87" i="4" s="1"/>
  <c r="CE116" i="4"/>
  <c r="CE115" i="4" s="1"/>
  <c r="CE114" i="4" s="1"/>
  <c r="BY100" i="4"/>
  <c r="CI119" i="4"/>
  <c r="CO61" i="4"/>
  <c r="CA98" i="4"/>
  <c r="CI99" i="4"/>
  <c r="CE119" i="4"/>
  <c r="CG99" i="4"/>
  <c r="CE85" i="4"/>
  <c r="CA116" i="4"/>
  <c r="CM64" i="4"/>
  <c r="BW97" i="4"/>
  <c r="BX97" i="4" s="1"/>
  <c r="BY126" i="4"/>
  <c r="BU116" i="4"/>
  <c r="BU115" i="4" s="1"/>
  <c r="BU114" i="4" s="1"/>
  <c r="BU113" i="4" s="1"/>
  <c r="CQ119" i="4"/>
  <c r="CQ118" i="4" s="1"/>
  <c r="CQ117" i="4" s="1"/>
  <c r="CG43" i="4"/>
  <c r="CH43" i="4" s="1"/>
  <c r="CQ64" i="4"/>
  <c r="CE124" i="4"/>
  <c r="CF124" i="4" s="1"/>
  <c r="CQ103" i="4"/>
  <c r="CC116" i="4"/>
  <c r="CA58" i="4"/>
  <c r="CB58" i="4" s="1"/>
  <c r="CO97" i="4"/>
  <c r="CP97" i="4" s="1"/>
  <c r="BW98" i="4"/>
  <c r="BX98" i="4" s="1"/>
  <c r="CM126" i="4"/>
  <c r="BS72" i="4"/>
  <c r="CA47" i="4"/>
  <c r="BW109" i="4"/>
  <c r="BX109" i="4" s="1"/>
  <c r="CO126" i="4"/>
  <c r="CK97" i="4"/>
  <c r="CL97" i="4" s="1"/>
  <c r="CK90" i="4"/>
  <c r="CL90" i="4" s="1"/>
  <c r="CO101" i="4"/>
  <c r="CA42" i="4"/>
  <c r="CC51" i="4"/>
  <c r="CC90" i="4"/>
  <c r="CD90" i="4" s="1"/>
  <c r="BY43" i="4"/>
  <c r="BZ43" i="4" s="1"/>
  <c r="CS101" i="4"/>
  <c r="BY94" i="4"/>
  <c r="BZ94" i="4" s="1"/>
  <c r="CA77" i="4"/>
  <c r="BY103" i="4"/>
  <c r="CA35" i="4"/>
  <c r="CA34" i="4" s="1"/>
  <c r="CA33" i="4" s="1"/>
  <c r="CM87" i="4"/>
  <c r="CN87" i="4" s="1"/>
  <c r="BX86" i="4"/>
  <c r="CO94" i="4"/>
  <c r="CP94" i="4" s="1"/>
  <c r="CL32" i="4"/>
  <c r="CA94" i="4"/>
  <c r="CB94" i="4" s="1"/>
  <c r="CF41" i="4"/>
  <c r="BQ107" i="4"/>
  <c r="BO107" i="4"/>
  <c r="BQ112" i="4"/>
  <c r="CG64" i="4"/>
  <c r="BT14" i="4"/>
  <c r="CA97" i="4"/>
  <c r="CB97" i="4" s="1"/>
  <c r="BP117" i="4"/>
  <c r="CS104" i="4"/>
  <c r="CT104" i="4"/>
  <c r="CC50" i="4"/>
  <c r="CE50" i="4"/>
  <c r="CO50" i="4"/>
  <c r="BY50" i="4"/>
  <c r="BY52" i="4"/>
  <c r="CO52" i="4"/>
  <c r="CM52" i="4"/>
  <c r="CT122" i="4"/>
  <c r="CS122" i="4"/>
  <c r="CQ56" i="4"/>
  <c r="CC53" i="4"/>
  <c r="CO53" i="4"/>
  <c r="CK53" i="4"/>
  <c r="CG53" i="4"/>
  <c r="BY53" i="4"/>
  <c r="CM53" i="4"/>
  <c r="CA53" i="4"/>
  <c r="BS102" i="4"/>
  <c r="CP32" i="4"/>
  <c r="CT37" i="4"/>
  <c r="CS37" i="4"/>
  <c r="BQ81" i="4"/>
  <c r="CE60" i="4"/>
  <c r="CQ60" i="4"/>
  <c r="CC60" i="4"/>
  <c r="CO60" i="4"/>
  <c r="CG60" i="4"/>
  <c r="CA60" i="4"/>
  <c r="CK60" i="4"/>
  <c r="CJ86" i="4"/>
  <c r="BZ32" i="4"/>
  <c r="BY119" i="4"/>
  <c r="BV74" i="4"/>
  <c r="CJ79" i="4"/>
  <c r="BO79" i="4"/>
  <c r="BW50" i="4"/>
  <c r="BX50" i="4" s="1"/>
  <c r="BQ109" i="4"/>
  <c r="BP109" i="4"/>
  <c r="BO109" i="4"/>
  <c r="CK77" i="4"/>
  <c r="CQ76" i="4"/>
  <c r="CL79" i="4"/>
  <c r="CA52" i="4"/>
  <c r="BW53" i="4"/>
  <c r="CD32" i="4"/>
  <c r="CA119" i="4"/>
  <c r="BQ50" i="4"/>
  <c r="BV109" i="4"/>
  <c r="BU119" i="4"/>
  <c r="CK99" i="4"/>
  <c r="CL99" i="4" s="1"/>
  <c r="CA64" i="4"/>
  <c r="BX37" i="4"/>
  <c r="CP37" i="4"/>
  <c r="CS47" i="4"/>
  <c r="CJ74" i="4"/>
  <c r="BP97" i="4"/>
  <c r="CK54" i="4"/>
  <c r="CK98" i="4"/>
  <c r="CA100" i="4"/>
  <c r="CB100" i="4" s="1"/>
  <c r="CC59" i="4"/>
  <c r="BT95" i="4"/>
  <c r="BV43" i="4"/>
  <c r="BW107" i="4"/>
  <c r="BV32" i="4"/>
  <c r="CO125" i="4"/>
  <c r="BP89" i="4"/>
  <c r="BT109" i="4"/>
  <c r="CM92" i="4"/>
  <c r="CN92" i="4" s="1"/>
  <c r="BQ113" i="4"/>
  <c r="CB37" i="4"/>
  <c r="CR37" i="4"/>
  <c r="CC110" i="4"/>
  <c r="BV37" i="4"/>
  <c r="BP82" i="4"/>
  <c r="BY42" i="4"/>
  <c r="BZ37" i="4"/>
  <c r="CO74" i="4"/>
  <c r="CP74" i="4" s="1"/>
  <c r="BY47" i="4"/>
  <c r="CA96" i="4"/>
  <c r="CE91" i="4"/>
  <c r="CO96" i="4"/>
  <c r="CQ99" i="4"/>
  <c r="CG76" i="4"/>
  <c r="BQ78" i="4"/>
  <c r="BP78" i="4"/>
  <c r="CG77" i="4"/>
  <c r="BQ125" i="4"/>
  <c r="CM44" i="4"/>
  <c r="CK44" i="4"/>
  <c r="BY44" i="4"/>
  <c r="BP76" i="4"/>
  <c r="BV95" i="4"/>
  <c r="BQ98" i="4"/>
  <c r="CG68" i="4"/>
  <c r="CH68" i="4" s="1"/>
  <c r="CM68" i="4"/>
  <c r="CN68" i="4" s="1"/>
  <c r="CE68" i="4"/>
  <c r="CF68" i="4" s="1"/>
  <c r="CC68" i="4"/>
  <c r="CD68" i="4" s="1"/>
  <c r="CO68" i="4"/>
  <c r="CP68" i="4" s="1"/>
  <c r="BW69" i="4"/>
  <c r="CE69" i="4"/>
  <c r="BQ86" i="4"/>
  <c r="BW103" i="4"/>
  <c r="BX103" i="4" s="1"/>
  <c r="CF37" i="4"/>
  <c r="BP54" i="4"/>
  <c r="BP96" i="4"/>
  <c r="BQ96" i="4"/>
  <c r="CS68" i="4"/>
  <c r="CT68" i="4"/>
  <c r="CB41" i="4"/>
  <c r="CB32" i="4"/>
  <c r="BQ121" i="4"/>
  <c r="BP121" i="4"/>
  <c r="CM119" i="4"/>
  <c r="CM118" i="4" s="1"/>
  <c r="BY40" i="4"/>
  <c r="BY39" i="4" s="1"/>
  <c r="CK40" i="4"/>
  <c r="CK39" i="4" s="1"/>
  <c r="CM40" i="4"/>
  <c r="CM39" i="4" s="1"/>
  <c r="CG40" i="4"/>
  <c r="CG39" i="4" s="1"/>
  <c r="CA40" i="4"/>
  <c r="CA39" i="4" s="1"/>
  <c r="BW40" i="4"/>
  <c r="BW39" i="4" s="1"/>
  <c r="CT79" i="4"/>
  <c r="CS79" i="4"/>
  <c r="BT79" i="4"/>
  <c r="BW68" i="4"/>
  <c r="BX68" i="4" s="1"/>
  <c r="CM77" i="4"/>
  <c r="BW45" i="4"/>
  <c r="BY45" i="4"/>
  <c r="CK45" i="4"/>
  <c r="CE45" i="4"/>
  <c r="CC45" i="4"/>
  <c r="CA45" i="4"/>
  <c r="CJ109" i="4"/>
  <c r="CO43" i="4"/>
  <c r="CB55" i="4"/>
  <c r="BQ32" i="4"/>
  <c r="BP32" i="4"/>
  <c r="BQ111" i="4"/>
  <c r="BS125" i="4"/>
  <c r="BS123" i="4" s="1"/>
  <c r="BS122" i="4" s="1"/>
  <c r="CM45" i="4"/>
  <c r="BT101" i="4"/>
  <c r="CO82" i="4"/>
  <c r="CM82" i="4"/>
  <c r="CA82" i="4"/>
  <c r="BQ53" i="4"/>
  <c r="BP53" i="4"/>
  <c r="BQ69" i="4"/>
  <c r="BP69" i="4"/>
  <c r="BP103" i="4"/>
  <c r="CO45" i="4"/>
  <c r="BY98" i="4"/>
  <c r="BQ43" i="4"/>
  <c r="BP43" i="4"/>
  <c r="BQ57" i="4"/>
  <c r="BP57" i="4"/>
  <c r="BV101" i="4"/>
  <c r="BO68" i="4"/>
  <c r="BV68" i="4"/>
  <c r="CB68" i="4"/>
  <c r="BT68" i="4"/>
  <c r="CF55" i="4"/>
  <c r="CC86" i="4"/>
  <c r="CD86" i="4" s="1"/>
  <c r="CQ36" i="4"/>
  <c r="CE94" i="4"/>
  <c r="CF94" i="4" s="1"/>
  <c r="CT115" i="4"/>
  <c r="CS115" i="4"/>
  <c r="BV73" i="4"/>
  <c r="BO55" i="4"/>
  <c r="BP55" i="4"/>
  <c r="BV86" i="4"/>
  <c r="BW126" i="4"/>
  <c r="BQ34" i="4"/>
  <c r="CF32" i="4"/>
  <c r="CH37" i="4"/>
  <c r="BO74" i="4"/>
  <c r="CJ50" i="4"/>
  <c r="BQ92" i="4"/>
  <c r="BP92" i="4"/>
  <c r="BO92" i="4"/>
  <c r="BO100" i="4"/>
  <c r="BQ38" i="4"/>
  <c r="BY83" i="4"/>
  <c r="CO83" i="4"/>
  <c r="CA51" i="4"/>
  <c r="CM83" i="4"/>
  <c r="BW83" i="4"/>
  <c r="CE83" i="4"/>
  <c r="BQ45" i="4"/>
  <c r="BQ55" i="4"/>
  <c r="CC42" i="4"/>
  <c r="CK42" i="4"/>
  <c r="CG42" i="4"/>
  <c r="CH42" i="4" s="1"/>
  <c r="CM42" i="4"/>
  <c r="CC97" i="4"/>
  <c r="CD97" i="4" s="1"/>
  <c r="BP44" i="4"/>
  <c r="BP41" i="4"/>
  <c r="BP88" i="4"/>
  <c r="BT107" i="4"/>
  <c r="BP45" i="4"/>
  <c r="BT86" i="4"/>
  <c r="CK61" i="4"/>
  <c r="BW61" i="4"/>
  <c r="CC61" i="4"/>
  <c r="CG61" i="4"/>
  <c r="BO52" i="4"/>
  <c r="CN41" i="4"/>
  <c r="BT50" i="4"/>
  <c r="CK69" i="4"/>
  <c r="BP52" i="4"/>
  <c r="CK116" i="4"/>
  <c r="CJ100" i="4"/>
  <c r="BQ77" i="4"/>
  <c r="CK51" i="4"/>
  <c r="BX55" i="4"/>
  <c r="BQ91" i="4"/>
  <c r="CO105" i="4"/>
  <c r="BY105" i="4"/>
  <c r="CM105" i="4"/>
  <c r="CG105" i="4"/>
  <c r="BW105" i="4"/>
  <c r="CE105" i="4"/>
  <c r="BP65" i="4"/>
  <c r="CQ105" i="4"/>
  <c r="CK105" i="4"/>
  <c r="CK104" i="4"/>
  <c r="CL104" i="4" s="1"/>
  <c r="BQ70" i="4"/>
  <c r="BP70" i="4"/>
  <c r="CK73" i="4"/>
  <c r="BY73" i="4"/>
  <c r="BW73" i="4"/>
  <c r="BT55" i="4"/>
  <c r="CJ37" i="4"/>
  <c r="BW94" i="4"/>
  <c r="BX94" i="4" s="1"/>
  <c r="BP77" i="4"/>
  <c r="CJ73" i="4"/>
  <c r="CG124" i="4"/>
  <c r="CH124" i="4" s="1"/>
  <c r="CE49" i="4"/>
  <c r="BU98" i="4"/>
  <c r="CS90" i="4"/>
  <c r="CT90" i="4"/>
  <c r="CC99" i="4"/>
  <c r="CD99" i="4" s="1"/>
  <c r="BW35" i="4"/>
  <c r="BW34" i="4" s="1"/>
  <c r="BW33" i="4" s="1"/>
  <c r="BW31" i="4" s="1"/>
  <c r="CM112" i="4"/>
  <c r="CO40" i="4"/>
  <c r="CO39" i="4" s="1"/>
  <c r="CE40" i="4"/>
  <c r="CE39" i="4" s="1"/>
  <c r="CA67" i="4"/>
  <c r="BY75" i="4"/>
  <c r="CK75" i="4"/>
  <c r="CQ112" i="4"/>
  <c r="CN86" i="4"/>
  <c r="CJ43" i="4"/>
  <c r="CP41" i="4"/>
  <c r="BP107" i="4"/>
  <c r="CM116" i="4"/>
  <c r="CM115" i="4" s="1"/>
  <c r="CM114" i="4" s="1"/>
  <c r="CE66" i="4"/>
  <c r="CQ66" i="4"/>
  <c r="BV100" i="4"/>
  <c r="CG74" i="4"/>
  <c r="CH74" i="4" s="1"/>
  <c r="CE74" i="4"/>
  <c r="CF74" i="4" s="1"/>
  <c r="CG75" i="4"/>
  <c r="CQ75" i="4"/>
  <c r="CA75" i="4"/>
  <c r="CG35" i="4"/>
  <c r="CG34" i="4" s="1"/>
  <c r="CG33" i="4" s="1"/>
  <c r="BY90" i="4"/>
  <c r="BZ90" i="4" s="1"/>
  <c r="BS39" i="4"/>
  <c r="CE90" i="4"/>
  <c r="CF90" i="4" s="1"/>
  <c r="CO85" i="4"/>
  <c r="CC84" i="4"/>
  <c r="CK70" i="4"/>
  <c r="BY58" i="4"/>
  <c r="BZ58" i="4" s="1"/>
  <c r="BT44" i="4"/>
  <c r="BZ55" i="4"/>
  <c r="CK102" i="4"/>
  <c r="CG102" i="4"/>
  <c r="CA102" i="4"/>
  <c r="CT84" i="4"/>
  <c r="CS84" i="4"/>
  <c r="CM103" i="4"/>
  <c r="CT62" i="4"/>
  <c r="CS62" i="4"/>
  <c r="CI116" i="4"/>
  <c r="CI115" i="4" s="1"/>
  <c r="CI114" i="4" s="1"/>
  <c r="CI113" i="4" s="1"/>
  <c r="BY104" i="4"/>
  <c r="BZ104" i="4" s="1"/>
  <c r="BU67" i="4"/>
  <c r="CQ116" i="4"/>
  <c r="CQ115" i="4" s="1"/>
  <c r="CQ114" i="4" s="1"/>
  <c r="BP93" i="4"/>
  <c r="BU120" i="4"/>
  <c r="CE93" i="4"/>
  <c r="BU99" i="4"/>
  <c r="BV99" i="4" s="1"/>
  <c r="BP35" i="4"/>
  <c r="BQ35" i="4"/>
  <c r="BQ33" i="4"/>
  <c r="BW116" i="4"/>
  <c r="BY120" i="4"/>
  <c r="CC120" i="4"/>
  <c r="CO120" i="4"/>
  <c r="CE120" i="4"/>
  <c r="CE99" i="4"/>
  <c r="CF99" i="4" s="1"/>
  <c r="BQ31" i="4"/>
  <c r="BP31" i="4"/>
  <c r="BO31" i="4"/>
  <c r="BW112" i="4"/>
  <c r="BS116" i="4"/>
  <c r="BS115" i="4" s="1"/>
  <c r="BS114" i="4" s="1"/>
  <c r="BS113" i="4" s="1"/>
  <c r="BQ83" i="4"/>
  <c r="CE84" i="4"/>
  <c r="BY116" i="4"/>
  <c r="BY115" i="4" s="1"/>
  <c r="BY114" i="4" s="1"/>
  <c r="BV87" i="4"/>
  <c r="BQ116" i="4"/>
  <c r="BP116" i="4"/>
  <c r="BY80" i="4"/>
  <c r="BY79" i="4" s="1"/>
  <c r="BZ79" i="4" s="1"/>
  <c r="CM66" i="4"/>
  <c r="CJ107" i="4"/>
  <c r="BZ86" i="4"/>
  <c r="BO42" i="4"/>
  <c r="CM70" i="4"/>
  <c r="BV107" i="4"/>
  <c r="CG83" i="4"/>
  <c r="BO104" i="4"/>
  <c r="BV104" i="4"/>
  <c r="BQ87" i="4"/>
  <c r="BP87" i="4"/>
  <c r="CJ90" i="4"/>
  <c r="BV90" i="4"/>
  <c r="BX90" i="4"/>
  <c r="CN90" i="4"/>
  <c r="BT58" i="4"/>
  <c r="BO87" i="4"/>
  <c r="BT90" i="4"/>
  <c r="CQ120" i="4"/>
  <c r="CA99" i="4"/>
  <c r="CB99" i="4" s="1"/>
  <c r="CO99" i="4"/>
  <c r="CP99" i="4" s="1"/>
  <c r="CA109" i="4"/>
  <c r="CB109" i="4" s="1"/>
  <c r="BY109" i="4"/>
  <c r="BZ109" i="4" s="1"/>
  <c r="CG109" i="4"/>
  <c r="CH109" i="4" s="1"/>
  <c r="BQ60" i="4"/>
  <c r="CO84" i="4"/>
  <c r="BP83" i="4"/>
  <c r="CQ126" i="4"/>
  <c r="CC126" i="4"/>
  <c r="CK126" i="4"/>
  <c r="CE126" i="4"/>
  <c r="CJ87" i="4"/>
  <c r="BJ20" i="3"/>
  <c r="BJ42" i="3"/>
  <c r="BJ139" i="3"/>
  <c r="BJ140" i="3"/>
  <c r="BJ141" i="3"/>
  <c r="BJ142" i="3"/>
  <c r="BJ143" i="3"/>
  <c r="BJ226" i="3"/>
  <c r="BJ239" i="3"/>
  <c r="BJ241" i="3"/>
  <c r="BJ264" i="3"/>
  <c r="BJ508" i="3"/>
  <c r="BJ516" i="3"/>
  <c r="BJ539" i="3"/>
  <c r="BJ556" i="3"/>
  <c r="BJ590" i="3"/>
  <c r="DG591" i="3"/>
  <c r="BN590" i="3"/>
  <c r="BX589" i="3"/>
  <c r="BV589" i="3"/>
  <c r="BT589" i="3"/>
  <c r="BN589" i="3"/>
  <c r="F589" i="3"/>
  <c r="D589" i="3" s="1"/>
  <c r="Q589" i="3" s="1"/>
  <c r="BX588" i="3"/>
  <c r="BV588" i="3"/>
  <c r="BT588" i="3"/>
  <c r="BT587" i="3" s="1"/>
  <c r="BN588" i="3"/>
  <c r="O588" i="3"/>
  <c r="O587" i="3" s="1"/>
  <c r="F588" i="3"/>
  <c r="CF587" i="3"/>
  <c r="BR587" i="3"/>
  <c r="BP587" i="3"/>
  <c r="BN587" i="3"/>
  <c r="N587" i="3"/>
  <c r="M587" i="3"/>
  <c r="L587" i="3"/>
  <c r="K587" i="3"/>
  <c r="I587" i="3"/>
  <c r="H587" i="3"/>
  <c r="G587" i="3"/>
  <c r="E587" i="3"/>
  <c r="BN586" i="3"/>
  <c r="F586" i="3"/>
  <c r="CN586" i="3" s="1"/>
  <c r="BN585" i="3"/>
  <c r="O585" i="3"/>
  <c r="O584" i="3" s="1"/>
  <c r="F585" i="3"/>
  <c r="CL585" i="3" s="1"/>
  <c r="CF584" i="3"/>
  <c r="BR584" i="3"/>
  <c r="BP584" i="3"/>
  <c r="N584" i="3"/>
  <c r="M584" i="3"/>
  <c r="L584" i="3"/>
  <c r="K584" i="3"/>
  <c r="I584" i="3"/>
  <c r="H584" i="3"/>
  <c r="G584" i="3"/>
  <c r="E584" i="3"/>
  <c r="BN583" i="3"/>
  <c r="F583" i="3"/>
  <c r="D583" i="3" s="1"/>
  <c r="CK583" i="3" s="1"/>
  <c r="BN582" i="3"/>
  <c r="O582" i="3"/>
  <c r="F582" i="3"/>
  <c r="BN581" i="3"/>
  <c r="O581" i="3"/>
  <c r="F581" i="3"/>
  <c r="BM581" i="3" s="1"/>
  <c r="BN580" i="3"/>
  <c r="O580" i="3"/>
  <c r="F580" i="3"/>
  <c r="D580" i="3" s="1"/>
  <c r="CN579" i="3"/>
  <c r="CN578" i="3" s="1"/>
  <c r="CL579" i="3"/>
  <c r="CL578" i="3" s="1"/>
  <c r="CJ579" i="3"/>
  <c r="CJ578" i="3" s="1"/>
  <c r="CH579" i="3"/>
  <c r="CH578" i="3" s="1"/>
  <c r="CF579" i="3"/>
  <c r="CD579" i="3"/>
  <c r="CD578" i="3" s="1"/>
  <c r="CB579" i="3"/>
  <c r="CB578" i="3" s="1"/>
  <c r="BZ579" i="3"/>
  <c r="BZ578" i="3" s="1"/>
  <c r="BX579" i="3"/>
  <c r="BX578" i="3" s="1"/>
  <c r="BV579" i="3"/>
  <c r="BV578" i="3" s="1"/>
  <c r="BT579" i="3"/>
  <c r="BR579" i="3"/>
  <c r="BP579" i="3"/>
  <c r="BP578" i="3" s="1"/>
  <c r="L579" i="3"/>
  <c r="L578" i="3" s="1"/>
  <c r="K579" i="3"/>
  <c r="K578" i="3" s="1"/>
  <c r="I579" i="3"/>
  <c r="I578" i="3" s="1"/>
  <c r="H579" i="3"/>
  <c r="H578" i="3" s="1"/>
  <c r="G579" i="3"/>
  <c r="E579" i="3"/>
  <c r="N578" i="3"/>
  <c r="M578" i="3"/>
  <c r="BN577" i="3"/>
  <c r="O577" i="3"/>
  <c r="F577" i="3"/>
  <c r="F576" i="3" s="1"/>
  <c r="CF576" i="3"/>
  <c r="BR576" i="3"/>
  <c r="BP576" i="3"/>
  <c r="BN576" i="3"/>
  <c r="L576" i="3"/>
  <c r="K576" i="3"/>
  <c r="I576" i="3"/>
  <c r="H576" i="3"/>
  <c r="G576" i="3"/>
  <c r="E576" i="3"/>
  <c r="BN575" i="3"/>
  <c r="O575" i="3"/>
  <c r="F575" i="3"/>
  <c r="CF574" i="3"/>
  <c r="BR574" i="3"/>
  <c r="BP574" i="3"/>
  <c r="L574" i="3"/>
  <c r="K574" i="3"/>
  <c r="I574" i="3"/>
  <c r="H574" i="3"/>
  <c r="G574" i="3"/>
  <c r="E574" i="3"/>
  <c r="BN573" i="3"/>
  <c r="F573" i="3"/>
  <c r="BN572" i="3"/>
  <c r="O572" i="3"/>
  <c r="O571" i="3" s="1"/>
  <c r="F572" i="3"/>
  <c r="CJ572" i="3" s="1"/>
  <c r="CF571" i="3"/>
  <c r="BR571" i="3"/>
  <c r="BP571" i="3"/>
  <c r="N571" i="3"/>
  <c r="M571" i="3"/>
  <c r="L571" i="3"/>
  <c r="K571" i="3"/>
  <c r="I571" i="3"/>
  <c r="H571" i="3"/>
  <c r="G571" i="3"/>
  <c r="E571" i="3"/>
  <c r="BN570" i="3"/>
  <c r="F570" i="3"/>
  <c r="BJ570" i="3" s="1"/>
  <c r="BN569" i="3"/>
  <c r="O569" i="3"/>
  <c r="O568" i="3" s="1"/>
  <c r="F569" i="3"/>
  <c r="BX569" i="3" s="1"/>
  <c r="CF568" i="3"/>
  <c r="BR568" i="3"/>
  <c r="BP568" i="3"/>
  <c r="N568" i="3"/>
  <c r="M568" i="3"/>
  <c r="L568" i="3"/>
  <c r="K568" i="3"/>
  <c r="I568" i="3"/>
  <c r="H568" i="3"/>
  <c r="G568" i="3"/>
  <c r="E568" i="3"/>
  <c r="CN567" i="3"/>
  <c r="CN565" i="3" s="1"/>
  <c r="CL567" i="3"/>
  <c r="CL565" i="3" s="1"/>
  <c r="BN567" i="3"/>
  <c r="F567" i="3"/>
  <c r="BJ567" i="3" s="1"/>
  <c r="BN566" i="3"/>
  <c r="O566" i="3"/>
  <c r="O565" i="3" s="1"/>
  <c r="F566" i="3"/>
  <c r="BJ566" i="3" s="1"/>
  <c r="CJ565" i="3"/>
  <c r="CH565" i="3"/>
  <c r="CF565" i="3"/>
  <c r="CD565" i="3"/>
  <c r="CB565" i="3"/>
  <c r="BZ565" i="3"/>
  <c r="BX565" i="3"/>
  <c r="BV565" i="3"/>
  <c r="BT565" i="3"/>
  <c r="BR565" i="3"/>
  <c r="BP565" i="3"/>
  <c r="N565" i="3"/>
  <c r="M565" i="3"/>
  <c r="L565" i="3"/>
  <c r="K565" i="3"/>
  <c r="I565" i="3"/>
  <c r="H565" i="3"/>
  <c r="G565" i="3"/>
  <c r="E565" i="3"/>
  <c r="CN564" i="3"/>
  <c r="CN562" i="3" s="1"/>
  <c r="CL564" i="3"/>
  <c r="CJ564" i="3"/>
  <c r="CJ562" i="3" s="1"/>
  <c r="CH564" i="3"/>
  <c r="CF564" i="3"/>
  <c r="CF562" i="3" s="1"/>
  <c r="CD564" i="3"/>
  <c r="CD562" i="3" s="1"/>
  <c r="CB564" i="3"/>
  <c r="CB562" i="3" s="1"/>
  <c r="BZ564" i="3"/>
  <c r="BZ562" i="3" s="1"/>
  <c r="BX564" i="3"/>
  <c r="BX562" i="3" s="1"/>
  <c r="BV564" i="3"/>
  <c r="BT564" i="3"/>
  <c r="BN564" i="3"/>
  <c r="F564" i="3"/>
  <c r="BM564" i="3" s="1"/>
  <c r="BR563" i="3"/>
  <c r="BN563" i="3"/>
  <c r="O563" i="3"/>
  <c r="O562" i="3" s="1"/>
  <c r="F563" i="3"/>
  <c r="BJ563" i="3" s="1"/>
  <c r="BP562" i="3"/>
  <c r="N562" i="3"/>
  <c r="M562" i="3"/>
  <c r="L562" i="3"/>
  <c r="K562" i="3"/>
  <c r="I562" i="3"/>
  <c r="H562" i="3"/>
  <c r="G562" i="3"/>
  <c r="E562" i="3"/>
  <c r="BN561" i="3"/>
  <c r="O561" i="3"/>
  <c r="F561" i="3"/>
  <c r="CJ561" i="3" s="1"/>
  <c r="CF560" i="3"/>
  <c r="BR560" i="3"/>
  <c r="BP560" i="3"/>
  <c r="L560" i="3"/>
  <c r="K560" i="3"/>
  <c r="I560" i="3"/>
  <c r="H560" i="3"/>
  <c r="G560" i="3"/>
  <c r="E560" i="3"/>
  <c r="CN559" i="3"/>
  <c r="CB559" i="3"/>
  <c r="BZ559" i="3"/>
  <c r="BV559" i="3"/>
  <c r="BN559" i="3"/>
  <c r="F559" i="3"/>
  <c r="D559" i="3" s="1"/>
  <c r="BY559" i="3" s="1"/>
  <c r="BZ558" i="3"/>
  <c r="BN558" i="3"/>
  <c r="O558" i="3"/>
  <c r="O557" i="3" s="1"/>
  <c r="F558" i="3"/>
  <c r="BM558" i="3" s="1"/>
  <c r="CF557" i="3"/>
  <c r="BX557" i="3"/>
  <c r="BT557" i="3"/>
  <c r="BR557" i="3"/>
  <c r="BP557" i="3"/>
  <c r="BN557" i="3"/>
  <c r="N557" i="3"/>
  <c r="M557" i="3"/>
  <c r="L557" i="3"/>
  <c r="K557" i="3"/>
  <c r="I557" i="3"/>
  <c r="H557" i="3"/>
  <c r="G557" i="3"/>
  <c r="E557" i="3"/>
  <c r="BN556" i="3"/>
  <c r="BM556" i="3"/>
  <c r="D556" i="3"/>
  <c r="CO556" i="3" s="1"/>
  <c r="CN555" i="3"/>
  <c r="CL555" i="3"/>
  <c r="CJ555" i="3"/>
  <c r="CH555" i="3"/>
  <c r="CF555" i="3"/>
  <c r="CD555" i="3"/>
  <c r="CB555" i="3"/>
  <c r="BZ555" i="3"/>
  <c r="BX555" i="3"/>
  <c r="BX554" i="3" s="1"/>
  <c r="BV555" i="3"/>
  <c r="BT555" i="3"/>
  <c r="BR555" i="3"/>
  <c r="BP555" i="3"/>
  <c r="O555" i="3"/>
  <c r="N555" i="3"/>
  <c r="M555" i="3"/>
  <c r="L555" i="3"/>
  <c r="K555" i="3"/>
  <c r="I555" i="3"/>
  <c r="H555" i="3"/>
  <c r="G555" i="3"/>
  <c r="F555" i="3"/>
  <c r="E555" i="3"/>
  <c r="BN553" i="3"/>
  <c r="O553" i="3"/>
  <c r="F553" i="3"/>
  <c r="BJ553" i="3" s="1"/>
  <c r="CF552" i="3"/>
  <c r="BR552" i="3"/>
  <c r="BP552" i="3"/>
  <c r="BN552" i="3"/>
  <c r="L552" i="3"/>
  <c r="K552" i="3"/>
  <c r="I552" i="3"/>
  <c r="H552" i="3"/>
  <c r="G552" i="3"/>
  <c r="E552" i="3"/>
  <c r="BN551" i="3"/>
  <c r="O551" i="3"/>
  <c r="F551" i="3"/>
  <c r="CN551" i="3" s="1"/>
  <c r="CF550" i="3"/>
  <c r="BR550" i="3"/>
  <c r="BP550" i="3"/>
  <c r="L550" i="3"/>
  <c r="K550" i="3"/>
  <c r="I550" i="3"/>
  <c r="H550" i="3"/>
  <c r="G550" i="3"/>
  <c r="E550" i="3"/>
  <c r="CB549" i="3"/>
  <c r="BZ549" i="3"/>
  <c r="BX549" i="3"/>
  <c r="BV549" i="3"/>
  <c r="BT549" i="3"/>
  <c r="BN549" i="3"/>
  <c r="F549" i="3"/>
  <c r="BN548" i="3"/>
  <c r="O548" i="3"/>
  <c r="F548" i="3"/>
  <c r="D548" i="3" s="1"/>
  <c r="BN547" i="3"/>
  <c r="O547" i="3"/>
  <c r="F547" i="3"/>
  <c r="D547" i="3" s="1"/>
  <c r="BL547" i="3" s="1"/>
  <c r="CN546" i="3"/>
  <c r="CN545" i="3" s="1"/>
  <c r="CL546" i="3"/>
  <c r="CJ546" i="3"/>
  <c r="CJ545" i="3" s="1"/>
  <c r="CH546" i="3"/>
  <c r="CF546" i="3"/>
  <c r="CF545" i="3" s="1"/>
  <c r="CD546" i="3"/>
  <c r="CB546" i="3"/>
  <c r="BZ546" i="3"/>
  <c r="BX546" i="3"/>
  <c r="BV546" i="3"/>
  <c r="BT546" i="3"/>
  <c r="BR546" i="3"/>
  <c r="BP546" i="3"/>
  <c r="BP545" i="3" s="1"/>
  <c r="L546" i="3"/>
  <c r="L545" i="3" s="1"/>
  <c r="K546" i="3"/>
  <c r="K545" i="3" s="1"/>
  <c r="I546" i="3"/>
  <c r="I545" i="3" s="1"/>
  <c r="H546" i="3"/>
  <c r="H545" i="3" s="1"/>
  <c r="G546" i="3"/>
  <c r="G545" i="3" s="1"/>
  <c r="E546" i="3"/>
  <c r="E545" i="3" s="1"/>
  <c r="R545" i="3"/>
  <c r="N545" i="3"/>
  <c r="M545" i="3"/>
  <c r="CN544" i="3"/>
  <c r="CL544" i="3"/>
  <c r="BN544" i="3"/>
  <c r="F544" i="3"/>
  <c r="BJ544" i="3" s="1"/>
  <c r="BN543" i="3"/>
  <c r="O543" i="3"/>
  <c r="F543" i="3"/>
  <c r="BM543" i="3" s="1"/>
  <c r="BT542" i="3"/>
  <c r="BT541" i="3" s="1"/>
  <c r="BN542" i="3"/>
  <c r="O542" i="3"/>
  <c r="F542" i="3"/>
  <c r="BJ542" i="3" s="1"/>
  <c r="CN541" i="3"/>
  <c r="CL541" i="3"/>
  <c r="CJ541" i="3"/>
  <c r="CH541" i="3"/>
  <c r="CH540" i="3" s="1"/>
  <c r="CF541" i="3"/>
  <c r="CD541" i="3"/>
  <c r="CD540" i="3" s="1"/>
  <c r="CB541" i="3"/>
  <c r="CB540" i="3" s="1"/>
  <c r="BZ541" i="3"/>
  <c r="BZ540" i="3" s="1"/>
  <c r="BX541" i="3"/>
  <c r="BX540" i="3" s="1"/>
  <c r="BV541" i="3"/>
  <c r="BV540" i="3" s="1"/>
  <c r="BR541" i="3"/>
  <c r="BR540" i="3" s="1"/>
  <c r="BP541" i="3"/>
  <c r="BP540" i="3" s="1"/>
  <c r="BN541" i="3"/>
  <c r="L541" i="3"/>
  <c r="L540" i="3" s="1"/>
  <c r="K541" i="3"/>
  <c r="K540" i="3" s="1"/>
  <c r="I541" i="3"/>
  <c r="H541" i="3"/>
  <c r="H540" i="3" s="1"/>
  <c r="G541" i="3"/>
  <c r="G540" i="3" s="1"/>
  <c r="E541" i="3"/>
  <c r="N540" i="3"/>
  <c r="M540" i="3"/>
  <c r="CJ539" i="3"/>
  <c r="CB539" i="3"/>
  <c r="CB538" i="3" s="1"/>
  <c r="BR539" i="3"/>
  <c r="BN539" i="3"/>
  <c r="BM539" i="3"/>
  <c r="D539" i="3"/>
  <c r="BQ539" i="3" s="1"/>
  <c r="CN538" i="3"/>
  <c r="CL538" i="3"/>
  <c r="CH538" i="3"/>
  <c r="BZ538" i="3"/>
  <c r="BP538" i="3"/>
  <c r="BN538" i="3"/>
  <c r="O538" i="3"/>
  <c r="N538" i="3"/>
  <c r="M538" i="3"/>
  <c r="L538" i="3"/>
  <c r="K538" i="3"/>
  <c r="I538" i="3"/>
  <c r="H538" i="3"/>
  <c r="G538" i="3"/>
  <c r="F538" i="3"/>
  <c r="E538" i="3"/>
  <c r="BN536" i="3"/>
  <c r="F536" i="3"/>
  <c r="BM536" i="3" s="1"/>
  <c r="BN535" i="3"/>
  <c r="O535" i="3"/>
  <c r="O534" i="3" s="1"/>
  <c r="F535" i="3"/>
  <c r="D535" i="3" s="1"/>
  <c r="CN534" i="3"/>
  <c r="CL534" i="3"/>
  <c r="CJ534" i="3"/>
  <c r="CH534" i="3"/>
  <c r="CF534" i="3"/>
  <c r="CD534" i="3"/>
  <c r="CB534" i="3"/>
  <c r="BZ534" i="3"/>
  <c r="BX534" i="3"/>
  <c r="BV534" i="3"/>
  <c r="BT534" i="3"/>
  <c r="BR534" i="3"/>
  <c r="BP534" i="3"/>
  <c r="BN534" i="3"/>
  <c r="N534" i="3"/>
  <c r="M534" i="3"/>
  <c r="L534" i="3"/>
  <c r="K534" i="3"/>
  <c r="I534" i="3"/>
  <c r="H534" i="3"/>
  <c r="G534" i="3"/>
  <c r="E534" i="3"/>
  <c r="CD533" i="3"/>
  <c r="CB533" i="3"/>
  <c r="BZ533" i="3"/>
  <c r="BX533" i="3"/>
  <c r="BV533" i="3"/>
  <c r="BR533" i="3"/>
  <c r="BN533" i="3"/>
  <c r="F533" i="3"/>
  <c r="BM533" i="3" s="1"/>
  <c r="BN532" i="3"/>
  <c r="O532" i="3"/>
  <c r="F532" i="3"/>
  <c r="BM532" i="3" s="1"/>
  <c r="BN531" i="3"/>
  <c r="O531" i="3"/>
  <c r="F531" i="3"/>
  <c r="BJ531" i="3" s="1"/>
  <c r="CN530" i="3"/>
  <c r="CN529" i="3" s="1"/>
  <c r="CL530" i="3"/>
  <c r="CL529" i="3" s="1"/>
  <c r="CJ530" i="3"/>
  <c r="CJ529" i="3" s="1"/>
  <c r="CH530" i="3"/>
  <c r="CF530" i="3"/>
  <c r="CD530" i="3"/>
  <c r="CB530" i="3"/>
  <c r="BZ530" i="3"/>
  <c r="BX530" i="3"/>
  <c r="BV530" i="3"/>
  <c r="BT530" i="3"/>
  <c r="BR530" i="3"/>
  <c r="BP530" i="3"/>
  <c r="BN530" i="3"/>
  <c r="L530" i="3"/>
  <c r="L529" i="3" s="1"/>
  <c r="K530" i="3"/>
  <c r="K529" i="3" s="1"/>
  <c r="I530" i="3"/>
  <c r="I529" i="3" s="1"/>
  <c r="H530" i="3"/>
  <c r="H529" i="3" s="1"/>
  <c r="G530" i="3"/>
  <c r="E530" i="3"/>
  <c r="E529" i="3" s="1"/>
  <c r="N529" i="3"/>
  <c r="M529" i="3"/>
  <c r="BN528" i="3"/>
  <c r="F528" i="3"/>
  <c r="BM528" i="3" s="1"/>
  <c r="BN527" i="3"/>
  <c r="O527" i="3"/>
  <c r="O526" i="3" s="1"/>
  <c r="F527" i="3"/>
  <c r="D527" i="3" s="1"/>
  <c r="CF526" i="3"/>
  <c r="BR526" i="3"/>
  <c r="BP526" i="3"/>
  <c r="N526" i="3"/>
  <c r="M526" i="3"/>
  <c r="L526" i="3"/>
  <c r="K526" i="3"/>
  <c r="I526" i="3"/>
  <c r="H526" i="3"/>
  <c r="G526" i="3"/>
  <c r="E526" i="3"/>
  <c r="BN525" i="3"/>
  <c r="F525" i="3"/>
  <c r="D525" i="3" s="1"/>
  <c r="BN524" i="3"/>
  <c r="O524" i="3"/>
  <c r="O523" i="3" s="1"/>
  <c r="F524" i="3"/>
  <c r="CN524" i="3" s="1"/>
  <c r="BR523" i="3"/>
  <c r="BP523" i="3"/>
  <c r="BN523" i="3"/>
  <c r="N523" i="3"/>
  <c r="M523" i="3"/>
  <c r="L523" i="3"/>
  <c r="K523" i="3"/>
  <c r="I523" i="3"/>
  <c r="H523" i="3"/>
  <c r="G523" i="3"/>
  <c r="E523" i="3"/>
  <c r="BN522" i="3"/>
  <c r="F522" i="3"/>
  <c r="D522" i="3" s="1"/>
  <c r="BN521" i="3"/>
  <c r="O521" i="3"/>
  <c r="O520" i="3" s="1"/>
  <c r="F521" i="3"/>
  <c r="BJ521" i="3" s="1"/>
  <c r="CN520" i="3"/>
  <c r="CL520" i="3"/>
  <c r="CJ520" i="3"/>
  <c r="CH520" i="3"/>
  <c r="CF520" i="3"/>
  <c r="CD520" i="3"/>
  <c r="CB520" i="3"/>
  <c r="BZ520" i="3"/>
  <c r="BX520" i="3"/>
  <c r="BV520" i="3"/>
  <c r="BT520" i="3"/>
  <c r="BR520" i="3"/>
  <c r="BP520" i="3"/>
  <c r="BN520" i="3"/>
  <c r="N520" i="3"/>
  <c r="M520" i="3"/>
  <c r="L520" i="3"/>
  <c r="K520" i="3"/>
  <c r="I520" i="3"/>
  <c r="H520" i="3"/>
  <c r="G520" i="3"/>
  <c r="E520" i="3"/>
  <c r="CN519" i="3"/>
  <c r="CL519" i="3"/>
  <c r="CL517" i="3" s="1"/>
  <c r="CJ519" i="3"/>
  <c r="CJ517" i="3" s="1"/>
  <c r="CH519" i="3"/>
  <c r="CH517" i="3" s="1"/>
  <c r="CF519" i="3"/>
  <c r="CF517" i="3" s="1"/>
  <c r="CD519" i="3"/>
  <c r="CB519" i="3"/>
  <c r="CB517" i="3" s="1"/>
  <c r="BZ519" i="3"/>
  <c r="BX519" i="3"/>
  <c r="BX517" i="3" s="1"/>
  <c r="BV519" i="3"/>
  <c r="BV517" i="3" s="1"/>
  <c r="BT519" i="3"/>
  <c r="BT517" i="3" s="1"/>
  <c r="BR519" i="3"/>
  <c r="BR517" i="3" s="1"/>
  <c r="BN519" i="3"/>
  <c r="F519" i="3"/>
  <c r="BM519" i="3" s="1"/>
  <c r="BN518" i="3"/>
  <c r="O518" i="3"/>
  <c r="O517" i="3" s="1"/>
  <c r="F518" i="3"/>
  <c r="D518" i="3" s="1"/>
  <c r="Q518" i="3" s="1"/>
  <c r="BP517" i="3"/>
  <c r="N517" i="3"/>
  <c r="M517" i="3"/>
  <c r="L517" i="3"/>
  <c r="K517" i="3"/>
  <c r="I517" i="3"/>
  <c r="H517" i="3"/>
  <c r="G517" i="3"/>
  <c r="E517" i="3"/>
  <c r="BN516" i="3"/>
  <c r="BM516" i="3"/>
  <c r="D516" i="3"/>
  <c r="CN515" i="3"/>
  <c r="CL515" i="3"/>
  <c r="CJ515" i="3"/>
  <c r="CH515" i="3"/>
  <c r="CF515" i="3"/>
  <c r="CD515" i="3"/>
  <c r="CB515" i="3"/>
  <c r="BZ515" i="3"/>
  <c r="BX515" i="3"/>
  <c r="BV515" i="3"/>
  <c r="BT515" i="3"/>
  <c r="BR515" i="3"/>
  <c r="BP515" i="3"/>
  <c r="P515" i="3"/>
  <c r="O515" i="3"/>
  <c r="N515" i="3"/>
  <c r="M515" i="3"/>
  <c r="L515" i="3"/>
  <c r="K515" i="3"/>
  <c r="I515" i="3"/>
  <c r="H515" i="3"/>
  <c r="G515" i="3"/>
  <c r="F515" i="3"/>
  <c r="E515" i="3"/>
  <c r="BN513" i="3"/>
  <c r="O513" i="3"/>
  <c r="F513" i="3"/>
  <c r="CN513" i="3" s="1"/>
  <c r="CN512" i="3" s="1"/>
  <c r="CF512" i="3"/>
  <c r="BR512" i="3"/>
  <c r="BP512" i="3"/>
  <c r="L512" i="3"/>
  <c r="K512" i="3"/>
  <c r="I512" i="3"/>
  <c r="H512" i="3"/>
  <c r="G512" i="3"/>
  <c r="E512" i="3"/>
  <c r="BN511" i="3"/>
  <c r="F511" i="3"/>
  <c r="BM511" i="3" s="1"/>
  <c r="BN510" i="3"/>
  <c r="O510" i="3"/>
  <c r="O509" i="3" s="1"/>
  <c r="F510" i="3"/>
  <c r="BJ510" i="3" s="1"/>
  <c r="CN509" i="3"/>
  <c r="CL509" i="3"/>
  <c r="CJ509" i="3"/>
  <c r="CH509" i="3"/>
  <c r="CF509" i="3"/>
  <c r="CD509" i="3"/>
  <c r="CB509" i="3"/>
  <c r="BZ509" i="3"/>
  <c r="BX509" i="3"/>
  <c r="BV509" i="3"/>
  <c r="BT509" i="3"/>
  <c r="BR509" i="3"/>
  <c r="BP509" i="3"/>
  <c r="BN509" i="3"/>
  <c r="N509" i="3"/>
  <c r="M509" i="3"/>
  <c r="L509" i="3"/>
  <c r="K509" i="3"/>
  <c r="I509" i="3"/>
  <c r="H509" i="3"/>
  <c r="G509" i="3"/>
  <c r="E509" i="3"/>
  <c r="BN508" i="3"/>
  <c r="BM508" i="3"/>
  <c r="D508" i="3"/>
  <c r="CN507" i="3"/>
  <c r="CL507" i="3"/>
  <c r="CJ507" i="3"/>
  <c r="CH507" i="3"/>
  <c r="CF507" i="3"/>
  <c r="CD507" i="3"/>
  <c r="CB507" i="3"/>
  <c r="BZ507" i="3"/>
  <c r="BX507" i="3"/>
  <c r="BV507" i="3"/>
  <c r="BT507" i="3"/>
  <c r="BR507" i="3"/>
  <c r="BP507" i="3"/>
  <c r="BN507" i="3"/>
  <c r="P507" i="3"/>
  <c r="O507" i="3"/>
  <c r="N507" i="3"/>
  <c r="M507" i="3"/>
  <c r="L507" i="3"/>
  <c r="K507" i="3"/>
  <c r="I507" i="3"/>
  <c r="H507" i="3"/>
  <c r="G507" i="3"/>
  <c r="F507" i="3"/>
  <c r="E507" i="3"/>
  <c r="BN505" i="3"/>
  <c r="F505" i="3"/>
  <c r="BJ505" i="3" s="1"/>
  <c r="BN504" i="3"/>
  <c r="O504" i="3"/>
  <c r="F504" i="3"/>
  <c r="BX504" i="3" s="1"/>
  <c r="BN503" i="3"/>
  <c r="O503" i="3"/>
  <c r="F503" i="3"/>
  <c r="BJ503" i="3" s="1"/>
  <c r="BR502" i="3"/>
  <c r="BR501" i="3" s="1"/>
  <c r="BP502" i="3"/>
  <c r="BP501" i="3" s="1"/>
  <c r="L502" i="3"/>
  <c r="L501" i="3" s="1"/>
  <c r="K502" i="3"/>
  <c r="K501" i="3" s="1"/>
  <c r="I502" i="3"/>
  <c r="I501" i="3" s="1"/>
  <c r="H502" i="3"/>
  <c r="H501" i="3" s="1"/>
  <c r="G502" i="3"/>
  <c r="G501" i="3" s="1"/>
  <c r="E502" i="3"/>
  <c r="CF501" i="3"/>
  <c r="N501" i="3"/>
  <c r="M501" i="3"/>
  <c r="BN500" i="3"/>
  <c r="F500" i="3"/>
  <c r="BJ500" i="3" s="1"/>
  <c r="BN499" i="3"/>
  <c r="O499" i="3"/>
  <c r="O498" i="3" s="1"/>
  <c r="F499" i="3"/>
  <c r="BJ499" i="3" s="1"/>
  <c r="BR498" i="3"/>
  <c r="BP498" i="3"/>
  <c r="N498" i="3"/>
  <c r="M498" i="3"/>
  <c r="L498" i="3"/>
  <c r="K498" i="3"/>
  <c r="I498" i="3"/>
  <c r="H498" i="3"/>
  <c r="G498" i="3"/>
  <c r="E498" i="3"/>
  <c r="BN497" i="3"/>
  <c r="F497" i="3"/>
  <c r="BJ497" i="3" s="1"/>
  <c r="BN496" i="3"/>
  <c r="O496" i="3"/>
  <c r="O495" i="3" s="1"/>
  <c r="F496" i="3"/>
  <c r="BJ496" i="3" s="1"/>
  <c r="CN495" i="3"/>
  <c r="CL495" i="3"/>
  <c r="CJ495" i="3"/>
  <c r="CH495" i="3"/>
  <c r="CF495" i="3"/>
  <c r="CD495" i="3"/>
  <c r="CB495" i="3"/>
  <c r="BZ495" i="3"/>
  <c r="BX495" i="3"/>
  <c r="BV495" i="3"/>
  <c r="BT495" i="3"/>
  <c r="BR495" i="3"/>
  <c r="BP495" i="3"/>
  <c r="N495" i="3"/>
  <c r="M495" i="3"/>
  <c r="L495" i="3"/>
  <c r="K495" i="3"/>
  <c r="I495" i="3"/>
  <c r="H495" i="3"/>
  <c r="G495" i="3"/>
  <c r="E495" i="3"/>
  <c r="CN494" i="3"/>
  <c r="BN494" i="3"/>
  <c r="F494" i="3"/>
  <c r="BJ494" i="3" s="1"/>
  <c r="BZ493" i="3"/>
  <c r="BN493" i="3"/>
  <c r="O493" i="3"/>
  <c r="O492" i="3" s="1"/>
  <c r="F493" i="3"/>
  <c r="CL492" i="3"/>
  <c r="CJ492" i="3"/>
  <c r="CH492" i="3"/>
  <c r="CF492" i="3"/>
  <c r="CD492" i="3"/>
  <c r="CB492" i="3"/>
  <c r="BX492" i="3"/>
  <c r="BV492" i="3"/>
  <c r="BT492" i="3"/>
  <c r="BR492" i="3"/>
  <c r="BP492" i="3"/>
  <c r="N492" i="3"/>
  <c r="M492" i="3"/>
  <c r="L492" i="3"/>
  <c r="K492" i="3"/>
  <c r="I492" i="3"/>
  <c r="H492" i="3"/>
  <c r="G492" i="3"/>
  <c r="E492" i="3"/>
  <c r="BN491" i="3"/>
  <c r="F491" i="3"/>
  <c r="BN490" i="3"/>
  <c r="O490" i="3"/>
  <c r="F490" i="3"/>
  <c r="BJ490" i="3" s="1"/>
  <c r="BN489" i="3"/>
  <c r="O489" i="3"/>
  <c r="F489" i="3"/>
  <c r="BM489" i="3" s="1"/>
  <c r="CN488" i="3"/>
  <c r="CN487" i="3" s="1"/>
  <c r="CL488" i="3"/>
  <c r="CL487" i="3" s="1"/>
  <c r="CJ488" i="3"/>
  <c r="CJ487" i="3" s="1"/>
  <c r="CH488" i="3"/>
  <c r="CH487" i="3" s="1"/>
  <c r="CF488" i="3"/>
  <c r="CF487" i="3" s="1"/>
  <c r="CD488" i="3"/>
  <c r="CD487" i="3" s="1"/>
  <c r="CB488" i="3"/>
  <c r="CB487" i="3" s="1"/>
  <c r="BZ488" i="3"/>
  <c r="BZ487" i="3" s="1"/>
  <c r="BX488" i="3"/>
  <c r="BX487" i="3" s="1"/>
  <c r="BV488" i="3"/>
  <c r="BV487" i="3" s="1"/>
  <c r="BT488" i="3"/>
  <c r="BT487" i="3" s="1"/>
  <c r="BR488" i="3"/>
  <c r="BR487" i="3" s="1"/>
  <c r="BP488" i="3"/>
  <c r="BP487" i="3" s="1"/>
  <c r="L488" i="3"/>
  <c r="L487" i="3" s="1"/>
  <c r="K488" i="3"/>
  <c r="K487" i="3" s="1"/>
  <c r="I488" i="3"/>
  <c r="I487" i="3" s="1"/>
  <c r="H488" i="3"/>
  <c r="H487" i="3" s="1"/>
  <c r="G488" i="3"/>
  <c r="E488" i="3"/>
  <c r="P487" i="3"/>
  <c r="N487" i="3"/>
  <c r="M487" i="3"/>
  <c r="CN486" i="3"/>
  <c r="CL486" i="3"/>
  <c r="CJ486" i="3"/>
  <c r="BN486" i="3"/>
  <c r="F486" i="3"/>
  <c r="BN485" i="3"/>
  <c r="O485" i="3"/>
  <c r="F485" i="3"/>
  <c r="D485" i="3" s="1"/>
  <c r="BQ485" i="3" s="1"/>
  <c r="BN484" i="3"/>
  <c r="O484" i="3"/>
  <c r="F484" i="3"/>
  <c r="BM484" i="3" s="1"/>
  <c r="BR483" i="3"/>
  <c r="BN483" i="3"/>
  <c r="O483" i="3"/>
  <c r="H483" i="3"/>
  <c r="H482" i="3" s="1"/>
  <c r="H481" i="3" s="1"/>
  <c r="CN482" i="3"/>
  <c r="CL482" i="3"/>
  <c r="CJ482" i="3"/>
  <c r="CH482" i="3"/>
  <c r="CH481" i="3" s="1"/>
  <c r="CF482" i="3"/>
  <c r="CF481" i="3" s="1"/>
  <c r="CD482" i="3"/>
  <c r="CD481" i="3" s="1"/>
  <c r="CB482" i="3"/>
  <c r="CB481" i="3" s="1"/>
  <c r="BZ482" i="3"/>
  <c r="BX482" i="3"/>
  <c r="BX481" i="3" s="1"/>
  <c r="BV482" i="3"/>
  <c r="BV481" i="3" s="1"/>
  <c r="BT482" i="3"/>
  <c r="BT481" i="3" s="1"/>
  <c r="BP482" i="3"/>
  <c r="BP481" i="3" s="1"/>
  <c r="BN482" i="3"/>
  <c r="L482" i="3"/>
  <c r="L481" i="3" s="1"/>
  <c r="K482" i="3"/>
  <c r="K481" i="3" s="1"/>
  <c r="I482" i="3"/>
  <c r="G482" i="3"/>
  <c r="G481" i="3" s="1"/>
  <c r="E482" i="3"/>
  <c r="E481" i="3" s="1"/>
  <c r="N481" i="3"/>
  <c r="M481" i="3"/>
  <c r="BN480" i="3"/>
  <c r="F480" i="3"/>
  <c r="BM480" i="3" s="1"/>
  <c r="BN479" i="3"/>
  <c r="O479" i="3"/>
  <c r="F479" i="3"/>
  <c r="BJ479" i="3" s="1"/>
  <c r="BN478" i="3"/>
  <c r="O478" i="3"/>
  <c r="F478" i="3"/>
  <c r="D478" i="3" s="1"/>
  <c r="CA478" i="3" s="1"/>
  <c r="CN477" i="3"/>
  <c r="CN476" i="3" s="1"/>
  <c r="CL477" i="3"/>
  <c r="CJ477" i="3"/>
  <c r="CJ476" i="3" s="1"/>
  <c r="CH477" i="3"/>
  <c r="CH476" i="3" s="1"/>
  <c r="CF477" i="3"/>
  <c r="CF476" i="3" s="1"/>
  <c r="CD477" i="3"/>
  <c r="CD476" i="3" s="1"/>
  <c r="CB477" i="3"/>
  <c r="BZ477" i="3"/>
  <c r="BX477" i="3"/>
  <c r="BX476" i="3" s="1"/>
  <c r="BV477" i="3"/>
  <c r="BT477" i="3"/>
  <c r="BR477" i="3"/>
  <c r="BR476" i="3" s="1"/>
  <c r="BP477" i="3"/>
  <c r="BP476" i="3" s="1"/>
  <c r="BN476" i="3"/>
  <c r="L477" i="3"/>
  <c r="L476" i="3" s="1"/>
  <c r="K477" i="3"/>
  <c r="K476" i="3" s="1"/>
  <c r="I477" i="3"/>
  <c r="H477" i="3"/>
  <c r="H476" i="3" s="1"/>
  <c r="G477" i="3"/>
  <c r="G476" i="3" s="1"/>
  <c r="E477" i="3"/>
  <c r="E476" i="3" s="1"/>
  <c r="N476" i="3"/>
  <c r="M476" i="3"/>
  <c r="BN475" i="3"/>
  <c r="F475" i="3"/>
  <c r="CN474" i="3"/>
  <c r="CL474" i="3"/>
  <c r="CJ474" i="3"/>
  <c r="CH474" i="3"/>
  <c r="CF474" i="3"/>
  <c r="CD474" i="3"/>
  <c r="CB474" i="3"/>
  <c r="BZ474" i="3"/>
  <c r="BX474" i="3"/>
  <c r="BV474" i="3"/>
  <c r="BT474" i="3"/>
  <c r="BN474" i="3"/>
  <c r="O474" i="3"/>
  <c r="O473" i="3" s="1"/>
  <c r="F474" i="3"/>
  <c r="BJ474" i="3" s="1"/>
  <c r="BR473" i="3"/>
  <c r="BP473" i="3"/>
  <c r="BN473" i="3"/>
  <c r="N473" i="3"/>
  <c r="M473" i="3"/>
  <c r="L473" i="3"/>
  <c r="K473" i="3"/>
  <c r="I473" i="3"/>
  <c r="H473" i="3"/>
  <c r="G473" i="3"/>
  <c r="E473" i="3"/>
  <c r="CF472" i="3"/>
  <c r="BN472" i="3"/>
  <c r="F472" i="3"/>
  <c r="BM472" i="3" s="1"/>
  <c r="BN471" i="3"/>
  <c r="O471" i="3"/>
  <c r="F471" i="3"/>
  <c r="BM471" i="3" s="1"/>
  <c r="BN470" i="3"/>
  <c r="O470" i="3"/>
  <c r="O469" i="3" s="1"/>
  <c r="F470" i="3"/>
  <c r="F469" i="3" s="1"/>
  <c r="CN469" i="3"/>
  <c r="CN468" i="3" s="1"/>
  <c r="CL469" i="3"/>
  <c r="CL468" i="3" s="1"/>
  <c r="CJ469" i="3"/>
  <c r="CH469" i="3"/>
  <c r="CF469" i="3"/>
  <c r="CD469" i="3"/>
  <c r="CD468" i="3" s="1"/>
  <c r="CB469" i="3"/>
  <c r="BZ469" i="3"/>
  <c r="BZ468" i="3" s="1"/>
  <c r="BX469" i="3"/>
  <c r="BV469" i="3"/>
  <c r="BV468" i="3" s="1"/>
  <c r="BT469" i="3"/>
  <c r="BT468" i="3" s="1"/>
  <c r="BR469" i="3"/>
  <c r="BP469" i="3"/>
  <c r="BP468" i="3" s="1"/>
  <c r="BN468" i="3"/>
  <c r="L469" i="3"/>
  <c r="L468" i="3" s="1"/>
  <c r="K469" i="3"/>
  <c r="K468" i="3" s="1"/>
  <c r="I469" i="3"/>
  <c r="I468" i="3" s="1"/>
  <c r="H469" i="3"/>
  <c r="H468" i="3" s="1"/>
  <c r="G469" i="3"/>
  <c r="G468" i="3" s="1"/>
  <c r="E469" i="3"/>
  <c r="E468" i="3" s="1"/>
  <c r="N468" i="3"/>
  <c r="M468" i="3"/>
  <c r="CN467" i="3"/>
  <c r="CL467" i="3"/>
  <c r="CJ467" i="3"/>
  <c r="CH467" i="3"/>
  <c r="CF467" i="3"/>
  <c r="CD467" i="3"/>
  <c r="CB467" i="3"/>
  <c r="BZ467" i="3"/>
  <c r="BX467" i="3"/>
  <c r="BV467" i="3"/>
  <c r="BT467" i="3"/>
  <c r="BN467" i="3"/>
  <c r="F467" i="3"/>
  <c r="BJ467" i="3" s="1"/>
  <c r="BN466" i="3"/>
  <c r="O466" i="3"/>
  <c r="F466" i="3"/>
  <c r="D466" i="3" s="1"/>
  <c r="CC466" i="3" s="1"/>
  <c r="BN465" i="3"/>
  <c r="G465" i="3"/>
  <c r="O465" i="3" s="1"/>
  <c r="BN464" i="3"/>
  <c r="O464" i="3"/>
  <c r="H464" i="3"/>
  <c r="F464" i="3" s="1"/>
  <c r="BJ464" i="3" s="1"/>
  <c r="BN463" i="3"/>
  <c r="O463" i="3"/>
  <c r="H463" i="3"/>
  <c r="F463" i="3" s="1"/>
  <c r="BJ463" i="3" s="1"/>
  <c r="BN462" i="3"/>
  <c r="O462" i="3"/>
  <c r="F462" i="3"/>
  <c r="BJ462" i="3" s="1"/>
  <c r="BN461" i="3"/>
  <c r="O461" i="3"/>
  <c r="F461" i="3"/>
  <c r="BM461" i="3" s="1"/>
  <c r="BN460" i="3"/>
  <c r="O460" i="3"/>
  <c r="F460" i="3"/>
  <c r="D460" i="3" s="1"/>
  <c r="BN459" i="3"/>
  <c r="O459" i="3"/>
  <c r="F459" i="3"/>
  <c r="BJ459" i="3" s="1"/>
  <c r="CN458" i="3"/>
  <c r="CL458" i="3"/>
  <c r="CL457" i="3" s="1"/>
  <c r="CJ458" i="3"/>
  <c r="CH458" i="3"/>
  <c r="CF458" i="3"/>
  <c r="CD458" i="3"/>
  <c r="CB458" i="3"/>
  <c r="CB457" i="3" s="1"/>
  <c r="BZ458" i="3"/>
  <c r="BX458" i="3"/>
  <c r="BV458" i="3"/>
  <c r="BT458" i="3"/>
  <c r="BR458" i="3"/>
  <c r="BP458" i="3"/>
  <c r="BP457" i="3" s="1"/>
  <c r="BN458" i="3"/>
  <c r="L458" i="3"/>
  <c r="L457" i="3" s="1"/>
  <c r="K458" i="3"/>
  <c r="K457" i="3" s="1"/>
  <c r="I458" i="3"/>
  <c r="I457" i="3" s="1"/>
  <c r="E458" i="3"/>
  <c r="N457" i="3"/>
  <c r="M457" i="3"/>
  <c r="CN456" i="3"/>
  <c r="CN454" i="3" s="1"/>
  <c r="CL456" i="3"/>
  <c r="CJ456" i="3"/>
  <c r="CH456" i="3"/>
  <c r="CH454" i="3" s="1"/>
  <c r="CF456" i="3"/>
  <c r="CD456" i="3"/>
  <c r="CD454" i="3" s="1"/>
  <c r="CB456" i="3"/>
  <c r="CB454" i="3" s="1"/>
  <c r="BZ456" i="3"/>
  <c r="BX456" i="3"/>
  <c r="BV456" i="3"/>
  <c r="BV454" i="3" s="1"/>
  <c r="BT456" i="3"/>
  <c r="BT454" i="3" s="1"/>
  <c r="BN456" i="3"/>
  <c r="F456" i="3"/>
  <c r="BN455" i="3"/>
  <c r="O455" i="3"/>
  <c r="O454" i="3" s="1"/>
  <c r="F455" i="3"/>
  <c r="BM455" i="3" s="1"/>
  <c r="BR454" i="3"/>
  <c r="BP454" i="3"/>
  <c r="BN454" i="3"/>
  <c r="N454" i="3"/>
  <c r="M454" i="3"/>
  <c r="L454" i="3"/>
  <c r="K454" i="3"/>
  <c r="I454" i="3"/>
  <c r="H454" i="3"/>
  <c r="G454" i="3"/>
  <c r="E454" i="3"/>
  <c r="CN453" i="3"/>
  <c r="CN451" i="3" s="1"/>
  <c r="CL453" i="3"/>
  <c r="CJ453" i="3"/>
  <c r="CJ451" i="3" s="1"/>
  <c r="CH453" i="3"/>
  <c r="CH451" i="3" s="1"/>
  <c r="CF453" i="3"/>
  <c r="CD453" i="3"/>
  <c r="CB453" i="3"/>
  <c r="CB451" i="3" s="1"/>
  <c r="BZ453" i="3"/>
  <c r="BX453" i="3"/>
  <c r="BX451" i="3" s="1"/>
  <c r="BV453" i="3"/>
  <c r="BT453" i="3"/>
  <c r="BN453" i="3"/>
  <c r="F453" i="3"/>
  <c r="D453" i="3" s="1"/>
  <c r="BS453" i="3" s="1"/>
  <c r="BN452" i="3"/>
  <c r="O452" i="3"/>
  <c r="O451" i="3" s="1"/>
  <c r="F452" i="3"/>
  <c r="BM452" i="3" s="1"/>
  <c r="BR451" i="3"/>
  <c r="BP451" i="3"/>
  <c r="N451" i="3"/>
  <c r="M451" i="3"/>
  <c r="L451" i="3"/>
  <c r="K451" i="3"/>
  <c r="I451" i="3"/>
  <c r="H451" i="3"/>
  <c r="G451" i="3"/>
  <c r="E451" i="3"/>
  <c r="CN450" i="3"/>
  <c r="CN448" i="3" s="1"/>
  <c r="BN450" i="3"/>
  <c r="F450" i="3"/>
  <c r="BJ450" i="3" s="1"/>
  <c r="BN449" i="3"/>
  <c r="O449" i="3"/>
  <c r="O448" i="3" s="1"/>
  <c r="F449" i="3"/>
  <c r="BJ449" i="3" s="1"/>
  <c r="CL448" i="3"/>
  <c r="CJ448" i="3"/>
  <c r="CH448" i="3"/>
  <c r="CF448" i="3"/>
  <c r="CD448" i="3"/>
  <c r="CB448" i="3"/>
  <c r="BZ448" i="3"/>
  <c r="BX448" i="3"/>
  <c r="BV448" i="3"/>
  <c r="BT448" i="3"/>
  <c r="BR448" i="3"/>
  <c r="BP448" i="3"/>
  <c r="N448" i="3"/>
  <c r="M448" i="3"/>
  <c r="L448" i="3"/>
  <c r="K448" i="3"/>
  <c r="I448" i="3"/>
  <c r="H448" i="3"/>
  <c r="G448" i="3"/>
  <c r="E448" i="3"/>
  <c r="CB447" i="3"/>
  <c r="BZ447" i="3"/>
  <c r="BN447" i="3"/>
  <c r="O447" i="3"/>
  <c r="F447" i="3"/>
  <c r="BJ447" i="3" s="1"/>
  <c r="CN446" i="3"/>
  <c r="CL446" i="3"/>
  <c r="CJ446" i="3"/>
  <c r="CH446" i="3"/>
  <c r="CF446" i="3"/>
  <c r="CD446" i="3"/>
  <c r="BX446" i="3"/>
  <c r="BV446" i="3"/>
  <c r="BT446" i="3"/>
  <c r="BR446" i="3"/>
  <c r="BP446" i="3"/>
  <c r="L446" i="3"/>
  <c r="K446" i="3"/>
  <c r="I446" i="3"/>
  <c r="H446" i="3"/>
  <c r="G446" i="3"/>
  <c r="E446" i="3"/>
  <c r="BV445" i="3"/>
  <c r="BN445" i="3"/>
  <c r="F445" i="3"/>
  <c r="BJ445" i="3" s="1"/>
  <c r="BZ444" i="3"/>
  <c r="CB444" i="3" s="1"/>
  <c r="CD444" i="3" s="1"/>
  <c r="BV444" i="3"/>
  <c r="BX444" i="3" s="1"/>
  <c r="BN444" i="3"/>
  <c r="O444" i="3"/>
  <c r="F444" i="3"/>
  <c r="BZ443" i="3"/>
  <c r="CB443" i="3" s="1"/>
  <c r="CD443" i="3" s="1"/>
  <c r="BN443" i="3"/>
  <c r="O443" i="3"/>
  <c r="F443" i="3"/>
  <c r="BJ443" i="3" s="1"/>
  <c r="CL442" i="3"/>
  <c r="BV442" i="3"/>
  <c r="BN442" i="3"/>
  <c r="O442" i="3"/>
  <c r="F442" i="3"/>
  <c r="BJ442" i="3" s="1"/>
  <c r="BT441" i="3"/>
  <c r="BT439" i="3" s="1"/>
  <c r="BR441" i="3"/>
  <c r="BP441" i="3"/>
  <c r="L441" i="3"/>
  <c r="L439" i="3" s="1"/>
  <c r="K441" i="3"/>
  <c r="K439" i="3" s="1"/>
  <c r="I441" i="3"/>
  <c r="I439" i="3" s="1"/>
  <c r="H441" i="3"/>
  <c r="H439" i="3" s="1"/>
  <c r="G441" i="3"/>
  <c r="G439" i="3" s="1"/>
  <c r="E441" i="3"/>
  <c r="E439" i="3" s="1"/>
  <c r="F440" i="3"/>
  <c r="D440" i="3" s="1"/>
  <c r="N439" i="3"/>
  <c r="M439" i="3"/>
  <c r="J439" i="3"/>
  <c r="BN438" i="3"/>
  <c r="F438" i="3"/>
  <c r="D438" i="3" s="1"/>
  <c r="BN437" i="3"/>
  <c r="O437" i="3"/>
  <c r="F437" i="3"/>
  <c r="BM437" i="3" s="1"/>
  <c r="BN436" i="3"/>
  <c r="O436" i="3"/>
  <c r="F436" i="3"/>
  <c r="BJ436" i="3" s="1"/>
  <c r="CN435" i="3"/>
  <c r="CN433" i="3" s="1"/>
  <c r="CL435" i="3"/>
  <c r="CL433" i="3" s="1"/>
  <c r="CJ435" i="3"/>
  <c r="CJ433" i="3" s="1"/>
  <c r="CH435" i="3"/>
  <c r="CH433" i="3" s="1"/>
  <c r="CF435" i="3"/>
  <c r="CF433" i="3" s="1"/>
  <c r="CD435" i="3"/>
  <c r="CB435" i="3"/>
  <c r="CB433" i="3" s="1"/>
  <c r="BZ435" i="3"/>
  <c r="BZ433" i="3" s="1"/>
  <c r="BX435" i="3"/>
  <c r="BX433" i="3" s="1"/>
  <c r="BV435" i="3"/>
  <c r="BV433" i="3" s="1"/>
  <c r="BT435" i="3"/>
  <c r="BT433" i="3" s="1"/>
  <c r="BR435" i="3"/>
  <c r="BR433" i="3" s="1"/>
  <c r="BP435" i="3"/>
  <c r="BP433" i="3" s="1"/>
  <c r="BK435" i="3"/>
  <c r="BN435" i="3" s="1"/>
  <c r="L435" i="3"/>
  <c r="K435" i="3"/>
  <c r="K433" i="3" s="1"/>
  <c r="I435" i="3"/>
  <c r="I433" i="3" s="1"/>
  <c r="H435" i="3"/>
  <c r="H433" i="3" s="1"/>
  <c r="G435" i="3"/>
  <c r="E435" i="3"/>
  <c r="E433" i="3" s="1"/>
  <c r="F434" i="3"/>
  <c r="D434" i="3" s="1"/>
  <c r="BL434" i="3" s="1"/>
  <c r="BC433" i="3"/>
  <c r="BB433" i="3"/>
  <c r="BA433" i="3"/>
  <c r="AZ433" i="3"/>
  <c r="AY433" i="3"/>
  <c r="AX433" i="3"/>
  <c r="AW433" i="3"/>
  <c r="AV433" i="3"/>
  <c r="AU433" i="3"/>
  <c r="AT433" i="3"/>
  <c r="AS433" i="3"/>
  <c r="AR433" i="3"/>
  <c r="AQ433" i="3"/>
  <c r="AP433" i="3"/>
  <c r="AO433" i="3"/>
  <c r="AN433" i="3"/>
  <c r="AM433" i="3"/>
  <c r="AL433" i="3"/>
  <c r="AK433" i="3"/>
  <c r="AJ433" i="3"/>
  <c r="AI433" i="3"/>
  <c r="AH433" i="3"/>
  <c r="AG433" i="3"/>
  <c r="AF433" i="3"/>
  <c r="AE433" i="3"/>
  <c r="AD433" i="3"/>
  <c r="AC433" i="3"/>
  <c r="AB433" i="3"/>
  <c r="AA433" i="3"/>
  <c r="Z433" i="3"/>
  <c r="Y433" i="3"/>
  <c r="X433" i="3"/>
  <c r="W433" i="3"/>
  <c r="V433" i="3"/>
  <c r="U433" i="3"/>
  <c r="T433" i="3"/>
  <c r="S433" i="3"/>
  <c r="R433" i="3"/>
  <c r="P433" i="3"/>
  <c r="N433" i="3"/>
  <c r="M433" i="3"/>
  <c r="L433" i="3"/>
  <c r="J433" i="3"/>
  <c r="BN432" i="3"/>
  <c r="O432" i="3"/>
  <c r="F432" i="3"/>
  <c r="D432" i="3" s="1"/>
  <c r="CN431" i="3"/>
  <c r="CL431" i="3"/>
  <c r="CJ431" i="3"/>
  <c r="CH431" i="3"/>
  <c r="CF431" i="3"/>
  <c r="CD431" i="3"/>
  <c r="CB431" i="3"/>
  <c r="BZ431" i="3"/>
  <c r="BX431" i="3"/>
  <c r="BV431" i="3"/>
  <c r="BT431" i="3"/>
  <c r="BR431" i="3"/>
  <c r="BP431" i="3"/>
  <c r="BN431" i="3"/>
  <c r="L431" i="3"/>
  <c r="K431" i="3"/>
  <c r="I431" i="3"/>
  <c r="H431" i="3"/>
  <c r="G431" i="3"/>
  <c r="E431" i="3"/>
  <c r="CL430" i="3"/>
  <c r="BN430" i="3"/>
  <c r="F430" i="3"/>
  <c r="BM430" i="3" s="1"/>
  <c r="BN429" i="3"/>
  <c r="O429" i="3"/>
  <c r="O428" i="3" s="1"/>
  <c r="F429" i="3"/>
  <c r="BM429" i="3" s="1"/>
  <c r="CN428" i="3"/>
  <c r="CJ428" i="3"/>
  <c r="CH428" i="3"/>
  <c r="CF428" i="3"/>
  <c r="CD428" i="3"/>
  <c r="CB428" i="3"/>
  <c r="BZ428" i="3"/>
  <c r="BX428" i="3"/>
  <c r="BV428" i="3"/>
  <c r="BT428" i="3"/>
  <c r="BR428" i="3"/>
  <c r="BP428" i="3"/>
  <c r="BK428" i="3"/>
  <c r="BN428" i="3" s="1"/>
  <c r="N428" i="3"/>
  <c r="M428" i="3"/>
  <c r="L428" i="3"/>
  <c r="K428" i="3"/>
  <c r="I428" i="3"/>
  <c r="H428" i="3"/>
  <c r="G428" i="3"/>
  <c r="E428" i="3"/>
  <c r="CN427" i="3"/>
  <c r="CL427" i="3"/>
  <c r="BN427" i="3"/>
  <c r="F427" i="3"/>
  <c r="BM427" i="3" s="1"/>
  <c r="BN426" i="3"/>
  <c r="O426" i="3"/>
  <c r="O425" i="3" s="1"/>
  <c r="F426" i="3"/>
  <c r="CJ425" i="3"/>
  <c r="CH425" i="3"/>
  <c r="CF425" i="3"/>
  <c r="CD425" i="3"/>
  <c r="CB425" i="3"/>
  <c r="BZ425" i="3"/>
  <c r="BX425" i="3"/>
  <c r="BV425" i="3"/>
  <c r="BT425" i="3"/>
  <c r="BR425" i="3"/>
  <c r="BP425" i="3"/>
  <c r="BK425" i="3"/>
  <c r="BN425" i="3" s="1"/>
  <c r="N425" i="3"/>
  <c r="M425" i="3"/>
  <c r="L425" i="3"/>
  <c r="K425" i="3"/>
  <c r="I425" i="3"/>
  <c r="H425" i="3"/>
  <c r="G425" i="3"/>
  <c r="E425" i="3"/>
  <c r="CN424" i="3"/>
  <c r="CL424" i="3"/>
  <c r="BN424" i="3"/>
  <c r="F424" i="3"/>
  <c r="BM424" i="3" s="1"/>
  <c r="BN423" i="3"/>
  <c r="O423" i="3"/>
  <c r="O422" i="3" s="1"/>
  <c r="F423" i="3"/>
  <c r="BJ423" i="3" s="1"/>
  <c r="CJ422" i="3"/>
  <c r="CH422" i="3"/>
  <c r="CF422" i="3"/>
  <c r="CD422" i="3"/>
  <c r="CB422" i="3"/>
  <c r="BZ422" i="3"/>
  <c r="BX422" i="3"/>
  <c r="BV422" i="3"/>
  <c r="BT422" i="3"/>
  <c r="BR422" i="3"/>
  <c r="BP422" i="3"/>
  <c r="BN422" i="3"/>
  <c r="N422" i="3"/>
  <c r="M422" i="3"/>
  <c r="L422" i="3"/>
  <c r="K422" i="3"/>
  <c r="I422" i="3"/>
  <c r="H422" i="3"/>
  <c r="G422" i="3"/>
  <c r="E422" i="3"/>
  <c r="BN421" i="3"/>
  <c r="F421" i="3"/>
  <c r="CJ421" i="3" s="1"/>
  <c r="BN420" i="3"/>
  <c r="O420" i="3"/>
  <c r="O419" i="3" s="1"/>
  <c r="F420" i="3"/>
  <c r="BZ420" i="3" s="1"/>
  <c r="CF419" i="3"/>
  <c r="BR419" i="3"/>
  <c r="BP419" i="3"/>
  <c r="BN419" i="3"/>
  <c r="N419" i="3"/>
  <c r="M419" i="3"/>
  <c r="L419" i="3"/>
  <c r="K419" i="3"/>
  <c r="I419" i="3"/>
  <c r="H419" i="3"/>
  <c r="G419" i="3"/>
  <c r="E419" i="3"/>
  <c r="BN418" i="3"/>
  <c r="F418" i="3"/>
  <c r="BM418" i="3" s="1"/>
  <c r="BN417" i="3"/>
  <c r="O417" i="3"/>
  <c r="O416" i="3" s="1"/>
  <c r="F417" i="3"/>
  <c r="CF416" i="3"/>
  <c r="BR416" i="3"/>
  <c r="BP416" i="3"/>
  <c r="N416" i="3"/>
  <c r="M416" i="3"/>
  <c r="L416" i="3"/>
  <c r="K416" i="3"/>
  <c r="I416" i="3"/>
  <c r="H416" i="3"/>
  <c r="G416" i="3"/>
  <c r="E416" i="3"/>
  <c r="BN415" i="3"/>
  <c r="F415" i="3"/>
  <c r="BJ415" i="3" s="1"/>
  <c r="BN414" i="3"/>
  <c r="O414" i="3"/>
  <c r="O413" i="3" s="1"/>
  <c r="F414" i="3"/>
  <c r="CB414" i="3" s="1"/>
  <c r="CF413" i="3"/>
  <c r="BR413" i="3"/>
  <c r="BP413" i="3"/>
  <c r="BK413" i="3"/>
  <c r="BN413" i="3" s="1"/>
  <c r="N413" i="3"/>
  <c r="M413" i="3"/>
  <c r="L413" i="3"/>
  <c r="K413" i="3"/>
  <c r="I413" i="3"/>
  <c r="H413" i="3"/>
  <c r="G413" i="3"/>
  <c r="E413" i="3"/>
  <c r="BT412" i="3"/>
  <c r="BN412" i="3"/>
  <c r="F412" i="3"/>
  <c r="D412" i="3" s="1"/>
  <c r="BQ412" i="3" s="1"/>
  <c r="BR411" i="3"/>
  <c r="BN411" i="3"/>
  <c r="O411" i="3"/>
  <c r="O410" i="3" s="1"/>
  <c r="F411" i="3"/>
  <c r="BM411" i="3" s="1"/>
  <c r="CN410" i="3"/>
  <c r="CL410" i="3"/>
  <c r="CJ410" i="3"/>
  <c r="CH410" i="3"/>
  <c r="CF410" i="3"/>
  <c r="CD410" i="3"/>
  <c r="CB410" i="3"/>
  <c r="BZ410" i="3"/>
  <c r="BX410" i="3"/>
  <c r="BP410" i="3"/>
  <c r="BK410" i="3"/>
  <c r="N410" i="3"/>
  <c r="M410" i="3"/>
  <c r="L410" i="3"/>
  <c r="K410" i="3"/>
  <c r="I410" i="3"/>
  <c r="H410" i="3"/>
  <c r="G410" i="3"/>
  <c r="E410" i="3"/>
  <c r="BN409" i="3"/>
  <c r="O409" i="3"/>
  <c r="F409" i="3"/>
  <c r="CN408" i="3"/>
  <c r="CL408" i="3"/>
  <c r="CJ408" i="3"/>
  <c r="CH408" i="3"/>
  <c r="CF408" i="3"/>
  <c r="CD408" i="3"/>
  <c r="CB408" i="3"/>
  <c r="BZ408" i="3"/>
  <c r="BX408" i="3"/>
  <c r="BV408" i="3"/>
  <c r="BT408" i="3"/>
  <c r="BR408" i="3"/>
  <c r="BP408" i="3"/>
  <c r="BN408" i="3"/>
  <c r="L408" i="3"/>
  <c r="K408" i="3"/>
  <c r="I408" i="3"/>
  <c r="H408" i="3"/>
  <c r="G408" i="3"/>
  <c r="E408" i="3"/>
  <c r="BN407" i="3"/>
  <c r="O407" i="3"/>
  <c r="F407" i="3"/>
  <c r="CF406" i="3"/>
  <c r="BR406" i="3"/>
  <c r="BP406" i="3"/>
  <c r="BN406" i="3"/>
  <c r="L406" i="3"/>
  <c r="K406" i="3"/>
  <c r="I406" i="3"/>
  <c r="H406" i="3"/>
  <c r="G406" i="3"/>
  <c r="E406" i="3"/>
  <c r="BN405" i="3"/>
  <c r="F405" i="3"/>
  <c r="BN404" i="3"/>
  <c r="O404" i="3"/>
  <c r="O403" i="3" s="1"/>
  <c r="F404" i="3"/>
  <c r="BJ404" i="3" s="1"/>
  <c r="CN403" i="3"/>
  <c r="CL403" i="3"/>
  <c r="CJ403" i="3"/>
  <c r="CH403" i="3"/>
  <c r="CF403" i="3"/>
  <c r="CD403" i="3"/>
  <c r="CB403" i="3"/>
  <c r="BZ403" i="3"/>
  <c r="BX403" i="3"/>
  <c r="BV403" i="3"/>
  <c r="BT403" i="3"/>
  <c r="BR403" i="3"/>
  <c r="BP403" i="3"/>
  <c r="BN403" i="3"/>
  <c r="N403" i="3"/>
  <c r="M403" i="3"/>
  <c r="L403" i="3"/>
  <c r="K403" i="3"/>
  <c r="I403" i="3"/>
  <c r="H403" i="3"/>
  <c r="G403" i="3"/>
  <c r="E403" i="3"/>
  <c r="CB402" i="3"/>
  <c r="CB400" i="3" s="1"/>
  <c r="BN402" i="3"/>
  <c r="F402" i="3"/>
  <c r="BM402" i="3" s="1"/>
  <c r="BX401" i="3"/>
  <c r="BN401" i="3"/>
  <c r="O401" i="3"/>
  <c r="O400" i="3" s="1"/>
  <c r="F401" i="3"/>
  <c r="D401" i="3" s="1"/>
  <c r="Q401" i="3" s="1"/>
  <c r="CN400" i="3"/>
  <c r="CL400" i="3"/>
  <c r="CJ400" i="3"/>
  <c r="CH400" i="3"/>
  <c r="CF400" i="3"/>
  <c r="CD400" i="3"/>
  <c r="BZ400" i="3"/>
  <c r="BV400" i="3"/>
  <c r="BT400" i="3"/>
  <c r="BR400" i="3"/>
  <c r="BP400" i="3"/>
  <c r="BK400" i="3"/>
  <c r="BN400" i="3" s="1"/>
  <c r="N400" i="3"/>
  <c r="M400" i="3"/>
  <c r="L400" i="3"/>
  <c r="K400" i="3"/>
  <c r="I400" i="3"/>
  <c r="H400" i="3"/>
  <c r="G400" i="3"/>
  <c r="E400" i="3"/>
  <c r="BN399" i="3"/>
  <c r="F399" i="3"/>
  <c r="CL399" i="3" s="1"/>
  <c r="BN398" i="3"/>
  <c r="O398" i="3"/>
  <c r="O397" i="3" s="1"/>
  <c r="F398" i="3"/>
  <c r="BJ398" i="3" s="1"/>
  <c r="CF397" i="3"/>
  <c r="BR397" i="3"/>
  <c r="BP397" i="3"/>
  <c r="N397" i="3"/>
  <c r="M397" i="3"/>
  <c r="L397" i="3"/>
  <c r="K397" i="3"/>
  <c r="I397" i="3"/>
  <c r="H397" i="3"/>
  <c r="G397" i="3"/>
  <c r="E397" i="3"/>
  <c r="BV396" i="3"/>
  <c r="BN396" i="3"/>
  <c r="F396" i="3"/>
  <c r="D396" i="3" s="1"/>
  <c r="BN395" i="3"/>
  <c r="O395" i="3"/>
  <c r="O394" i="3" s="1"/>
  <c r="F395" i="3"/>
  <c r="BX395" i="3" s="1"/>
  <c r="CF394" i="3"/>
  <c r="BR394" i="3"/>
  <c r="BP394" i="3"/>
  <c r="BK394" i="3"/>
  <c r="N394" i="3"/>
  <c r="M394" i="3"/>
  <c r="L394" i="3"/>
  <c r="K394" i="3"/>
  <c r="I394" i="3"/>
  <c r="H394" i="3"/>
  <c r="G394" i="3"/>
  <c r="E394" i="3"/>
  <c r="BN393" i="3"/>
  <c r="F393" i="3"/>
  <c r="BJ393" i="3" s="1"/>
  <c r="BN392" i="3"/>
  <c r="O392" i="3"/>
  <c r="O391" i="3" s="1"/>
  <c r="F392" i="3"/>
  <c r="CF391" i="3"/>
  <c r="BR391" i="3"/>
  <c r="BP391" i="3"/>
  <c r="BK391" i="3"/>
  <c r="N391" i="3"/>
  <c r="M391" i="3"/>
  <c r="L391" i="3"/>
  <c r="K391" i="3"/>
  <c r="I391" i="3"/>
  <c r="H391" i="3"/>
  <c r="G391" i="3"/>
  <c r="E391" i="3"/>
  <c r="BN390" i="3"/>
  <c r="F390" i="3"/>
  <c r="CL390" i="3" s="1"/>
  <c r="BN389" i="3"/>
  <c r="O389" i="3"/>
  <c r="O388" i="3" s="1"/>
  <c r="F389" i="3"/>
  <c r="BX389" i="3" s="1"/>
  <c r="CF388" i="3"/>
  <c r="BR388" i="3"/>
  <c r="BP388" i="3"/>
  <c r="N388" i="3"/>
  <c r="M388" i="3"/>
  <c r="L388" i="3"/>
  <c r="K388" i="3"/>
  <c r="I388" i="3"/>
  <c r="H388" i="3"/>
  <c r="G388" i="3"/>
  <c r="E388" i="3"/>
  <c r="BN387" i="3"/>
  <c r="F387" i="3"/>
  <c r="BM387" i="3" s="1"/>
  <c r="BN386" i="3"/>
  <c r="O386" i="3"/>
  <c r="O385" i="3" s="1"/>
  <c r="F386" i="3"/>
  <c r="D386" i="3" s="1"/>
  <c r="CE386" i="3" s="1"/>
  <c r="CN385" i="3"/>
  <c r="CL385" i="3"/>
  <c r="CJ385" i="3"/>
  <c r="CH385" i="3"/>
  <c r="CF385" i="3"/>
  <c r="CD385" i="3"/>
  <c r="CB385" i="3"/>
  <c r="BZ385" i="3"/>
  <c r="BX385" i="3"/>
  <c r="BV385" i="3"/>
  <c r="BT385" i="3"/>
  <c r="BR385" i="3"/>
  <c r="BP385" i="3"/>
  <c r="BK385" i="3"/>
  <c r="BN385" i="3" s="1"/>
  <c r="N385" i="3"/>
  <c r="M385" i="3"/>
  <c r="L385" i="3"/>
  <c r="K385" i="3"/>
  <c r="I385" i="3"/>
  <c r="H385" i="3"/>
  <c r="G385" i="3"/>
  <c r="E385" i="3"/>
  <c r="BN384" i="3"/>
  <c r="F384" i="3"/>
  <c r="BV384" i="3" s="1"/>
  <c r="BV382" i="3" s="1"/>
  <c r="BN383" i="3"/>
  <c r="O383" i="3"/>
  <c r="O382" i="3" s="1"/>
  <c r="F383" i="3"/>
  <c r="D383" i="3" s="1"/>
  <c r="CA383" i="3" s="1"/>
  <c r="BR382" i="3"/>
  <c r="BP382" i="3"/>
  <c r="BK382" i="3"/>
  <c r="BN382" i="3" s="1"/>
  <c r="N382" i="3"/>
  <c r="M382" i="3"/>
  <c r="L382" i="3"/>
  <c r="K382" i="3"/>
  <c r="I382" i="3"/>
  <c r="H382" i="3"/>
  <c r="G382" i="3"/>
  <c r="E382" i="3"/>
  <c r="BN381" i="3"/>
  <c r="F381" i="3"/>
  <c r="BN380" i="3"/>
  <c r="O380" i="3"/>
  <c r="O379" i="3" s="1"/>
  <c r="F380" i="3"/>
  <c r="BV380" i="3" s="1"/>
  <c r="CF379" i="3"/>
  <c r="BR379" i="3"/>
  <c r="BP379" i="3"/>
  <c r="BK379" i="3"/>
  <c r="BN379" i="3" s="1"/>
  <c r="N379" i="3"/>
  <c r="M379" i="3"/>
  <c r="L379" i="3"/>
  <c r="K379" i="3"/>
  <c r="I379" i="3"/>
  <c r="H379" i="3"/>
  <c r="G379" i="3"/>
  <c r="E379" i="3"/>
  <c r="BN378" i="3"/>
  <c r="F378" i="3"/>
  <c r="BJ378" i="3" s="1"/>
  <c r="BN377" i="3"/>
  <c r="O377" i="3"/>
  <c r="O376" i="3" s="1"/>
  <c r="F377" i="3"/>
  <c r="D377" i="3" s="1"/>
  <c r="BS377" i="3" s="1"/>
  <c r="CF376" i="3"/>
  <c r="BR376" i="3"/>
  <c r="BP376" i="3"/>
  <c r="BN376" i="3"/>
  <c r="N376" i="3"/>
  <c r="M376" i="3"/>
  <c r="L376" i="3"/>
  <c r="K376" i="3"/>
  <c r="I376" i="3"/>
  <c r="H376" i="3"/>
  <c r="G376" i="3"/>
  <c r="E376" i="3"/>
  <c r="BN375" i="3"/>
  <c r="F375" i="3"/>
  <c r="D375" i="3" s="1"/>
  <c r="BN374" i="3"/>
  <c r="O374" i="3"/>
  <c r="O373" i="3" s="1"/>
  <c r="F374" i="3"/>
  <c r="BJ374" i="3" s="1"/>
  <c r="CF373" i="3"/>
  <c r="BR373" i="3"/>
  <c r="BP373" i="3"/>
  <c r="N373" i="3"/>
  <c r="M373" i="3"/>
  <c r="L373" i="3"/>
  <c r="K373" i="3"/>
  <c r="I373" i="3"/>
  <c r="H373" i="3"/>
  <c r="G373" i="3"/>
  <c r="E373" i="3"/>
  <c r="BN372" i="3"/>
  <c r="F372" i="3"/>
  <c r="D372" i="3" s="1"/>
  <c r="BN371" i="3"/>
  <c r="O371" i="3"/>
  <c r="O370" i="3" s="1"/>
  <c r="F371" i="3"/>
  <c r="BJ371" i="3" s="1"/>
  <c r="CF370" i="3"/>
  <c r="BR370" i="3"/>
  <c r="BP370" i="3"/>
  <c r="BN370" i="3"/>
  <c r="N370" i="3"/>
  <c r="M370" i="3"/>
  <c r="L370" i="3"/>
  <c r="K370" i="3"/>
  <c r="I370" i="3"/>
  <c r="H370" i="3"/>
  <c r="G370" i="3"/>
  <c r="E370" i="3"/>
  <c r="CN369" i="3"/>
  <c r="CN367" i="3" s="1"/>
  <c r="CL369" i="3"/>
  <c r="CJ369" i="3"/>
  <c r="CH369" i="3"/>
  <c r="CF369" i="3"/>
  <c r="CF367" i="3" s="1"/>
  <c r="CD369" i="3"/>
  <c r="CD367" i="3" s="1"/>
  <c r="CB369" i="3"/>
  <c r="BZ369" i="3"/>
  <c r="BZ367" i="3" s="1"/>
  <c r="BX369" i="3"/>
  <c r="BV369" i="3"/>
  <c r="BV367" i="3" s="1"/>
  <c r="BT369" i="3"/>
  <c r="BN369" i="3"/>
  <c r="F369" i="3"/>
  <c r="BM369" i="3" s="1"/>
  <c r="CH368" i="3"/>
  <c r="CJ368" i="3" s="1"/>
  <c r="CB368" i="3"/>
  <c r="BX368" i="3"/>
  <c r="BT368" i="3"/>
  <c r="BN368" i="3"/>
  <c r="O368" i="3"/>
  <c r="O367" i="3" s="1"/>
  <c r="F368" i="3"/>
  <c r="BM368" i="3" s="1"/>
  <c r="BR367" i="3"/>
  <c r="BP367" i="3"/>
  <c r="N367" i="3"/>
  <c r="M367" i="3"/>
  <c r="L367" i="3"/>
  <c r="K367" i="3"/>
  <c r="I367" i="3"/>
  <c r="H367" i="3"/>
  <c r="G367" i="3"/>
  <c r="E367" i="3"/>
  <c r="CN366" i="3"/>
  <c r="CL366" i="3"/>
  <c r="BN366" i="3"/>
  <c r="F366" i="3"/>
  <c r="D366" i="3" s="1"/>
  <c r="BN365" i="3"/>
  <c r="O365" i="3"/>
  <c r="F365" i="3"/>
  <c r="BJ365" i="3" s="1"/>
  <c r="BN364" i="3"/>
  <c r="O364" i="3"/>
  <c r="F364" i="3"/>
  <c r="BJ364" i="3" s="1"/>
  <c r="CN363" i="3"/>
  <c r="CL363" i="3"/>
  <c r="CJ363" i="3"/>
  <c r="CJ362" i="3" s="1"/>
  <c r="CH363" i="3"/>
  <c r="CH362" i="3" s="1"/>
  <c r="CF363" i="3"/>
  <c r="CF362" i="3" s="1"/>
  <c r="CD363" i="3"/>
  <c r="CD362" i="3" s="1"/>
  <c r="CB363" i="3"/>
  <c r="CB362" i="3" s="1"/>
  <c r="BZ363" i="3"/>
  <c r="BZ362" i="3" s="1"/>
  <c r="BX363" i="3"/>
  <c r="BV363" i="3"/>
  <c r="BT363" i="3"/>
  <c r="BT362" i="3" s="1"/>
  <c r="BR363" i="3"/>
  <c r="BR362" i="3" s="1"/>
  <c r="BP363" i="3"/>
  <c r="BP362" i="3" s="1"/>
  <c r="BK363" i="3"/>
  <c r="BN362" i="3" s="1"/>
  <c r="L363" i="3"/>
  <c r="L362" i="3" s="1"/>
  <c r="K363" i="3"/>
  <c r="K362" i="3" s="1"/>
  <c r="I363" i="3"/>
  <c r="I362" i="3" s="1"/>
  <c r="H363" i="3"/>
  <c r="H362" i="3" s="1"/>
  <c r="G363" i="3"/>
  <c r="G362" i="3" s="1"/>
  <c r="E363" i="3"/>
  <c r="BX362" i="3"/>
  <c r="BV362" i="3"/>
  <c r="N362" i="3"/>
  <c r="M362" i="3"/>
  <c r="BN361" i="3"/>
  <c r="F361" i="3"/>
  <c r="CN361" i="3" s="1"/>
  <c r="BN360" i="3"/>
  <c r="O360" i="3"/>
  <c r="F360" i="3"/>
  <c r="CJ360" i="3" s="1"/>
  <c r="BN359" i="3"/>
  <c r="O359" i="3"/>
  <c r="F359" i="3"/>
  <c r="CJ359" i="3" s="1"/>
  <c r="BN358" i="3"/>
  <c r="O358" i="3"/>
  <c r="F358" i="3"/>
  <c r="BX358" i="3" s="1"/>
  <c r="CF357" i="3"/>
  <c r="CF356" i="3" s="1"/>
  <c r="BR357" i="3"/>
  <c r="BR356" i="3" s="1"/>
  <c r="BP357" i="3"/>
  <c r="BK357" i="3"/>
  <c r="L357" i="3"/>
  <c r="L356" i="3" s="1"/>
  <c r="K357" i="3"/>
  <c r="K356" i="3" s="1"/>
  <c r="I357" i="3"/>
  <c r="I356" i="3" s="1"/>
  <c r="H357" i="3"/>
  <c r="H356" i="3" s="1"/>
  <c r="G357" i="3"/>
  <c r="E357" i="3"/>
  <c r="N356" i="3"/>
  <c r="M356" i="3"/>
  <c r="CN355" i="3"/>
  <c r="CL355" i="3"/>
  <c r="CL353" i="3" s="1"/>
  <c r="CJ355" i="3"/>
  <c r="CH355" i="3"/>
  <c r="BN355" i="3"/>
  <c r="F355" i="3"/>
  <c r="D355" i="3" s="1"/>
  <c r="BN354" i="3"/>
  <c r="O354" i="3"/>
  <c r="O353" i="3" s="1"/>
  <c r="F354" i="3"/>
  <c r="BJ354" i="3" s="1"/>
  <c r="CF353" i="3"/>
  <c r="CD353" i="3"/>
  <c r="CB353" i="3"/>
  <c r="BZ353" i="3"/>
  <c r="BX353" i="3"/>
  <c r="BV353" i="3"/>
  <c r="BT353" i="3"/>
  <c r="BR353" i="3"/>
  <c r="BP353" i="3"/>
  <c r="BK353" i="3"/>
  <c r="BN353" i="3" s="1"/>
  <c r="N353" i="3"/>
  <c r="M353" i="3"/>
  <c r="L353" i="3"/>
  <c r="K353" i="3"/>
  <c r="I353" i="3"/>
  <c r="H353" i="3"/>
  <c r="G353" i="3"/>
  <c r="E353" i="3"/>
  <c r="BN352" i="3"/>
  <c r="F352" i="3"/>
  <c r="BJ352" i="3" s="1"/>
  <c r="BN351" i="3"/>
  <c r="O351" i="3"/>
  <c r="O350" i="3" s="1"/>
  <c r="F351" i="3"/>
  <c r="BZ351" i="3" s="1"/>
  <c r="CF350" i="3"/>
  <c r="BR350" i="3"/>
  <c r="BP350" i="3"/>
  <c r="BK350" i="3"/>
  <c r="BN350" i="3" s="1"/>
  <c r="N350" i="3"/>
  <c r="M350" i="3"/>
  <c r="L350" i="3"/>
  <c r="K350" i="3"/>
  <c r="I350" i="3"/>
  <c r="H350" i="3"/>
  <c r="G350" i="3"/>
  <c r="E350" i="3"/>
  <c r="BN349" i="3"/>
  <c r="F349" i="3"/>
  <c r="D349" i="3" s="1"/>
  <c r="BN348" i="3"/>
  <c r="O348" i="3"/>
  <c r="O347" i="3" s="1"/>
  <c r="F348" i="3"/>
  <c r="CH348" i="3" s="1"/>
  <c r="CF347" i="3"/>
  <c r="BR347" i="3"/>
  <c r="BP347" i="3"/>
  <c r="BK347" i="3"/>
  <c r="BN347" i="3" s="1"/>
  <c r="N347" i="3"/>
  <c r="M347" i="3"/>
  <c r="L347" i="3"/>
  <c r="K347" i="3"/>
  <c r="I347" i="3"/>
  <c r="H347" i="3"/>
  <c r="G347" i="3"/>
  <c r="E347" i="3"/>
  <c r="BN346" i="3"/>
  <c r="F346" i="3"/>
  <c r="BN345" i="3"/>
  <c r="O345" i="3"/>
  <c r="O344" i="3" s="1"/>
  <c r="F345" i="3"/>
  <c r="CF344" i="3"/>
  <c r="BR344" i="3"/>
  <c r="BP344" i="3"/>
  <c r="BK344" i="3"/>
  <c r="N344" i="3"/>
  <c r="M344" i="3"/>
  <c r="L344" i="3"/>
  <c r="K344" i="3"/>
  <c r="I344" i="3"/>
  <c r="H344" i="3"/>
  <c r="G344" i="3"/>
  <c r="E344" i="3"/>
  <c r="CN343" i="3"/>
  <c r="CN341" i="3" s="1"/>
  <c r="CL343" i="3"/>
  <c r="CL341" i="3" s="1"/>
  <c r="BN343" i="3"/>
  <c r="F343" i="3"/>
  <c r="BV342" i="3"/>
  <c r="BX342" i="3" s="1"/>
  <c r="BX341" i="3" s="1"/>
  <c r="BN342" i="3"/>
  <c r="O342" i="3"/>
  <c r="O341" i="3" s="1"/>
  <c r="F342" i="3"/>
  <c r="D342" i="3" s="1"/>
  <c r="CJ341" i="3"/>
  <c r="CH341" i="3"/>
  <c r="CF341" i="3"/>
  <c r="CD341" i="3"/>
  <c r="CB341" i="3"/>
  <c r="BT341" i="3"/>
  <c r="BR341" i="3"/>
  <c r="BP341" i="3"/>
  <c r="BK341" i="3"/>
  <c r="BN341" i="3" s="1"/>
  <c r="N341" i="3"/>
  <c r="M341" i="3"/>
  <c r="L341" i="3"/>
  <c r="K341" i="3"/>
  <c r="I341" i="3"/>
  <c r="H341" i="3"/>
  <c r="G341" i="3"/>
  <c r="E341" i="3"/>
  <c r="BN340" i="3"/>
  <c r="F340" i="3"/>
  <c r="BJ340" i="3" s="1"/>
  <c r="BN339" i="3"/>
  <c r="O339" i="3"/>
  <c r="O338" i="3" s="1"/>
  <c r="F339" i="3"/>
  <c r="BJ339" i="3" s="1"/>
  <c r="CF338" i="3"/>
  <c r="BR338" i="3"/>
  <c r="BP338" i="3"/>
  <c r="BK338" i="3"/>
  <c r="N338" i="3"/>
  <c r="M338" i="3"/>
  <c r="L338" i="3"/>
  <c r="K338" i="3"/>
  <c r="I338" i="3"/>
  <c r="H338" i="3"/>
  <c r="G338" i="3"/>
  <c r="E338" i="3"/>
  <c r="BN337" i="3"/>
  <c r="F337" i="3"/>
  <c r="BN336" i="3"/>
  <c r="O336" i="3"/>
  <c r="O335" i="3" s="1"/>
  <c r="F336" i="3"/>
  <c r="CF335" i="3"/>
  <c r="BR335" i="3"/>
  <c r="BP335" i="3"/>
  <c r="BK335" i="3"/>
  <c r="N335" i="3"/>
  <c r="M335" i="3"/>
  <c r="L335" i="3"/>
  <c r="K335" i="3"/>
  <c r="I335" i="3"/>
  <c r="H335" i="3"/>
  <c r="G335" i="3"/>
  <c r="E335" i="3"/>
  <c r="CN334" i="3"/>
  <c r="BN334" i="3"/>
  <c r="F334" i="3"/>
  <c r="BJ334" i="3" s="1"/>
  <c r="CN333" i="3"/>
  <c r="CL333" i="3"/>
  <c r="CJ333" i="3"/>
  <c r="CJ332" i="3" s="1"/>
  <c r="CH333" i="3"/>
  <c r="CH332" i="3" s="1"/>
  <c r="CF333" i="3"/>
  <c r="CF332" i="3" s="1"/>
  <c r="BN333" i="3"/>
  <c r="O333" i="3"/>
  <c r="O332" i="3" s="1"/>
  <c r="F333" i="3"/>
  <c r="BM333" i="3" s="1"/>
  <c r="CD332" i="3"/>
  <c r="CB332" i="3"/>
  <c r="BZ332" i="3"/>
  <c r="BX332" i="3"/>
  <c r="BV332" i="3"/>
  <c r="BT332" i="3"/>
  <c r="BR332" i="3"/>
  <c r="BP332" i="3"/>
  <c r="BN332" i="3"/>
  <c r="N332" i="3"/>
  <c r="M332" i="3"/>
  <c r="L332" i="3"/>
  <c r="K332" i="3"/>
  <c r="I332" i="3"/>
  <c r="H332" i="3"/>
  <c r="G332" i="3"/>
  <c r="E332" i="3"/>
  <c r="CH331" i="3"/>
  <c r="CH329" i="3" s="1"/>
  <c r="CF331" i="3"/>
  <c r="CD331" i="3"/>
  <c r="CB331" i="3"/>
  <c r="BZ331" i="3"/>
  <c r="BZ329" i="3" s="1"/>
  <c r="BX331" i="3"/>
  <c r="BX329" i="3" s="1"/>
  <c r="BN331" i="3"/>
  <c r="F331" i="3"/>
  <c r="BJ331" i="3" s="1"/>
  <c r="BN330" i="3"/>
  <c r="O330" i="3"/>
  <c r="O329" i="3" s="1"/>
  <c r="F330" i="3"/>
  <c r="D330" i="3" s="1"/>
  <c r="BL330" i="3" s="1"/>
  <c r="CN329" i="3"/>
  <c r="CL329" i="3"/>
  <c r="CJ329" i="3"/>
  <c r="CD329" i="3"/>
  <c r="CB329" i="3"/>
  <c r="BV329" i="3"/>
  <c r="BT329" i="3"/>
  <c r="BR329" i="3"/>
  <c r="BP329" i="3"/>
  <c r="BN329" i="3"/>
  <c r="N329" i="3"/>
  <c r="M329" i="3"/>
  <c r="L329" i="3"/>
  <c r="K329" i="3"/>
  <c r="I329" i="3"/>
  <c r="H329" i="3"/>
  <c r="G329" i="3"/>
  <c r="E329" i="3"/>
  <c r="BN328" i="3"/>
  <c r="F328" i="3"/>
  <c r="BZ328" i="3" s="1"/>
  <c r="BN327" i="3"/>
  <c r="O327" i="3"/>
  <c r="O326" i="3" s="1"/>
  <c r="F327" i="3"/>
  <c r="BJ327" i="3" s="1"/>
  <c r="CF326" i="3"/>
  <c r="BR326" i="3"/>
  <c r="BP326" i="3"/>
  <c r="BN326" i="3"/>
  <c r="N326" i="3"/>
  <c r="M326" i="3"/>
  <c r="L326" i="3"/>
  <c r="K326" i="3"/>
  <c r="I326" i="3"/>
  <c r="H326" i="3"/>
  <c r="G326" i="3"/>
  <c r="E326" i="3"/>
  <c r="BN325" i="3"/>
  <c r="F325" i="3"/>
  <c r="BJ325" i="3" s="1"/>
  <c r="BN324" i="3"/>
  <c r="O324" i="3"/>
  <c r="O323" i="3" s="1"/>
  <c r="F324" i="3"/>
  <c r="CF323" i="3"/>
  <c r="BR323" i="3"/>
  <c r="BP323" i="3"/>
  <c r="BN323" i="3"/>
  <c r="N323" i="3"/>
  <c r="M323" i="3"/>
  <c r="L323" i="3"/>
  <c r="K323" i="3"/>
  <c r="I323" i="3"/>
  <c r="H323" i="3"/>
  <c r="G323" i="3"/>
  <c r="E323" i="3"/>
  <c r="BN322" i="3"/>
  <c r="F322" i="3"/>
  <c r="BJ322" i="3" s="1"/>
  <c r="BN321" i="3"/>
  <c r="O321" i="3"/>
  <c r="O320" i="3" s="1"/>
  <c r="F321" i="3"/>
  <c r="BJ321" i="3" s="1"/>
  <c r="CN320" i="3"/>
  <c r="CL320" i="3"/>
  <c r="CJ320" i="3"/>
  <c r="CH320" i="3"/>
  <c r="CF320" i="3"/>
  <c r="CD320" i="3"/>
  <c r="CB320" i="3"/>
  <c r="BZ320" i="3"/>
  <c r="BX320" i="3"/>
  <c r="BV320" i="3"/>
  <c r="BT320" i="3"/>
  <c r="BR320" i="3"/>
  <c r="BP320" i="3"/>
  <c r="BN320" i="3"/>
  <c r="N320" i="3"/>
  <c r="M320" i="3"/>
  <c r="L320" i="3"/>
  <c r="K320" i="3"/>
  <c r="I320" i="3"/>
  <c r="H320" i="3"/>
  <c r="G320" i="3"/>
  <c r="E320" i="3"/>
  <c r="BN319" i="3"/>
  <c r="F319" i="3"/>
  <c r="CH319" i="3" s="1"/>
  <c r="BN318" i="3"/>
  <c r="O318" i="3"/>
  <c r="O317" i="3" s="1"/>
  <c r="F318" i="3"/>
  <c r="CH318" i="3" s="1"/>
  <c r="CF317" i="3"/>
  <c r="BR317" i="3"/>
  <c r="BP317" i="3"/>
  <c r="BN317" i="3"/>
  <c r="N317" i="3"/>
  <c r="M317" i="3"/>
  <c r="L317" i="3"/>
  <c r="K317" i="3"/>
  <c r="I317" i="3"/>
  <c r="H317" i="3"/>
  <c r="G317" i="3"/>
  <c r="E317" i="3"/>
  <c r="BN316" i="3"/>
  <c r="F316" i="3"/>
  <c r="BJ316" i="3" s="1"/>
  <c r="BN315" i="3"/>
  <c r="O315" i="3"/>
  <c r="O314" i="3" s="1"/>
  <c r="F315" i="3"/>
  <c r="BM315" i="3" s="1"/>
  <c r="CN314" i="3"/>
  <c r="CL314" i="3"/>
  <c r="CJ314" i="3"/>
  <c r="CH314" i="3"/>
  <c r="CF314" i="3"/>
  <c r="CD314" i="3"/>
  <c r="CB314" i="3"/>
  <c r="BZ314" i="3"/>
  <c r="BX314" i="3"/>
  <c r="BV314" i="3"/>
  <c r="BT314" i="3"/>
  <c r="BR314" i="3"/>
  <c r="BP314" i="3"/>
  <c r="N314" i="3"/>
  <c r="M314" i="3"/>
  <c r="L314" i="3"/>
  <c r="K314" i="3"/>
  <c r="I314" i="3"/>
  <c r="H314" i="3"/>
  <c r="G314" i="3"/>
  <c r="E314" i="3"/>
  <c r="BN313" i="3"/>
  <c r="F313" i="3"/>
  <c r="BN312" i="3"/>
  <c r="O312" i="3"/>
  <c r="F312" i="3"/>
  <c r="CL312" i="3" s="1"/>
  <c r="BN311" i="3"/>
  <c r="O311" i="3"/>
  <c r="F311" i="3"/>
  <c r="CB311" i="3" s="1"/>
  <c r="BN310" i="3"/>
  <c r="O310" i="3"/>
  <c r="F310" i="3"/>
  <c r="BM310" i="3" s="1"/>
  <c r="BN309" i="3"/>
  <c r="O309" i="3"/>
  <c r="F309" i="3"/>
  <c r="BJ309" i="3" s="1"/>
  <c r="BN308" i="3"/>
  <c r="O308" i="3"/>
  <c r="F308" i="3"/>
  <c r="BJ308" i="3" s="1"/>
  <c r="A308" i="3"/>
  <c r="BN307" i="3"/>
  <c r="O307" i="3"/>
  <c r="F307" i="3"/>
  <c r="CB307" i="3" s="1"/>
  <c r="BR306" i="3"/>
  <c r="BP306" i="3"/>
  <c r="BP305" i="3" s="1"/>
  <c r="BK306" i="3"/>
  <c r="BN306" i="3" s="1"/>
  <c r="L306" i="3"/>
  <c r="L305" i="3" s="1"/>
  <c r="K306" i="3"/>
  <c r="K305" i="3" s="1"/>
  <c r="I306" i="3"/>
  <c r="I305" i="3" s="1"/>
  <c r="H306" i="3"/>
  <c r="H305" i="3" s="1"/>
  <c r="G306" i="3"/>
  <c r="G305" i="3" s="1"/>
  <c r="E306" i="3"/>
  <c r="CF305" i="3"/>
  <c r="N305" i="3"/>
  <c r="M305" i="3"/>
  <c r="CB304" i="3"/>
  <c r="CD304" i="3" s="1"/>
  <c r="BV304" i="3"/>
  <c r="BN304" i="3"/>
  <c r="F304" i="3"/>
  <c r="BJ304" i="3" s="1"/>
  <c r="BN303" i="3"/>
  <c r="O303" i="3"/>
  <c r="F303" i="3"/>
  <c r="BM303" i="3" s="1"/>
  <c r="BV302" i="3"/>
  <c r="BN302" i="3"/>
  <c r="O302" i="3"/>
  <c r="F302" i="3"/>
  <c r="BM302" i="3" s="1"/>
  <c r="BV301" i="3"/>
  <c r="BN301" i="3"/>
  <c r="O301" i="3"/>
  <c r="F301" i="3"/>
  <c r="BJ301" i="3" s="1"/>
  <c r="A301" i="3"/>
  <c r="A302" i="3" s="1"/>
  <c r="BV300" i="3"/>
  <c r="BX300" i="3" s="1"/>
  <c r="BZ300" i="3" s="1"/>
  <c r="BN300" i="3"/>
  <c r="O300" i="3"/>
  <c r="F300" i="3"/>
  <c r="BT299" i="3"/>
  <c r="BR299" i="3"/>
  <c r="BP299" i="3"/>
  <c r="BP298" i="3" s="1"/>
  <c r="BK299" i="3"/>
  <c r="BN299" i="3" s="1"/>
  <c r="L299" i="3"/>
  <c r="L298" i="3" s="1"/>
  <c r="K299" i="3"/>
  <c r="K298" i="3" s="1"/>
  <c r="I299" i="3"/>
  <c r="H299" i="3"/>
  <c r="H298" i="3" s="1"/>
  <c r="G299" i="3"/>
  <c r="G298" i="3" s="1"/>
  <c r="E299" i="3"/>
  <c r="N298" i="3"/>
  <c r="M298" i="3"/>
  <c r="BN297" i="3"/>
  <c r="O297" i="3"/>
  <c r="F297" i="3"/>
  <c r="CL297" i="3" s="1"/>
  <c r="CL296" i="3" s="1"/>
  <c r="CF296" i="3"/>
  <c r="BR296" i="3"/>
  <c r="BP296" i="3"/>
  <c r="L296" i="3"/>
  <c r="K296" i="3"/>
  <c r="I296" i="3"/>
  <c r="H296" i="3"/>
  <c r="G296" i="3"/>
  <c r="E296" i="3"/>
  <c r="BN295" i="3"/>
  <c r="F295" i="3"/>
  <c r="CB295" i="3" s="1"/>
  <c r="BN294" i="3"/>
  <c r="O294" i="3"/>
  <c r="O293" i="3" s="1"/>
  <c r="F294" i="3"/>
  <c r="CN294" i="3" s="1"/>
  <c r="CF293" i="3"/>
  <c r="BR293" i="3"/>
  <c r="BP293" i="3"/>
  <c r="BN293" i="3"/>
  <c r="N293" i="3"/>
  <c r="M293" i="3"/>
  <c r="L293" i="3"/>
  <c r="K293" i="3"/>
  <c r="I293" i="3"/>
  <c r="H293" i="3"/>
  <c r="G293" i="3"/>
  <c r="E293" i="3"/>
  <c r="BN292" i="3"/>
  <c r="O292" i="3"/>
  <c r="F292" i="3"/>
  <c r="BJ292" i="3" s="1"/>
  <c r="CF291" i="3"/>
  <c r="BR291" i="3"/>
  <c r="BP291" i="3"/>
  <c r="L291" i="3"/>
  <c r="K291" i="3"/>
  <c r="I291" i="3"/>
  <c r="H291" i="3"/>
  <c r="G291" i="3"/>
  <c r="E291" i="3"/>
  <c r="BN290" i="3"/>
  <c r="F290" i="3"/>
  <c r="BJ290" i="3" s="1"/>
  <c r="BN289" i="3"/>
  <c r="O289" i="3"/>
  <c r="O288" i="3" s="1"/>
  <c r="F289" i="3"/>
  <c r="BJ289" i="3" s="1"/>
  <c r="CN288" i="3"/>
  <c r="CL288" i="3"/>
  <c r="CJ288" i="3"/>
  <c r="CH288" i="3"/>
  <c r="CF288" i="3"/>
  <c r="CD288" i="3"/>
  <c r="CB288" i="3"/>
  <c r="BZ288" i="3"/>
  <c r="BX288" i="3"/>
  <c r="BV288" i="3"/>
  <c r="BT288" i="3"/>
  <c r="BR288" i="3"/>
  <c r="BP288" i="3"/>
  <c r="BK288" i="3"/>
  <c r="BN288" i="3" s="1"/>
  <c r="N288" i="3"/>
  <c r="M288" i="3"/>
  <c r="L288" i="3"/>
  <c r="K288" i="3"/>
  <c r="I288" i="3"/>
  <c r="H288" i="3"/>
  <c r="G288" i="3"/>
  <c r="E288" i="3"/>
  <c r="BN287" i="3"/>
  <c r="F287" i="3"/>
  <c r="BN286" i="3"/>
  <c r="O286" i="3"/>
  <c r="O285" i="3" s="1"/>
  <c r="F286" i="3"/>
  <c r="CH286" i="3" s="1"/>
  <c r="CF285" i="3"/>
  <c r="BR285" i="3"/>
  <c r="BP285" i="3"/>
  <c r="BK285" i="3"/>
  <c r="BN285" i="3" s="1"/>
  <c r="N285" i="3"/>
  <c r="M285" i="3"/>
  <c r="L285" i="3"/>
  <c r="K285" i="3"/>
  <c r="I285" i="3"/>
  <c r="H285" i="3"/>
  <c r="G285" i="3"/>
  <c r="E285" i="3"/>
  <c r="CN284" i="3"/>
  <c r="BN284" i="3"/>
  <c r="F284" i="3"/>
  <c r="BM284" i="3" s="1"/>
  <c r="BN283" i="3"/>
  <c r="O283" i="3"/>
  <c r="O282" i="3" s="1"/>
  <c r="F283" i="3"/>
  <c r="CL282" i="3"/>
  <c r="CJ282" i="3"/>
  <c r="CH282" i="3"/>
  <c r="CF282" i="3"/>
  <c r="CD282" i="3"/>
  <c r="CB282" i="3"/>
  <c r="BZ282" i="3"/>
  <c r="BX282" i="3"/>
  <c r="BV282" i="3"/>
  <c r="BT282" i="3"/>
  <c r="BR282" i="3"/>
  <c r="BP282" i="3"/>
  <c r="BK282" i="3"/>
  <c r="BN282" i="3" s="1"/>
  <c r="N282" i="3"/>
  <c r="M282" i="3"/>
  <c r="L282" i="3"/>
  <c r="K282" i="3"/>
  <c r="I282" i="3"/>
  <c r="H282" i="3"/>
  <c r="G282" i="3"/>
  <c r="E282" i="3"/>
  <c r="BN281" i="3"/>
  <c r="F281" i="3"/>
  <c r="CJ281" i="3" s="1"/>
  <c r="BN280" i="3"/>
  <c r="O280" i="3"/>
  <c r="O279" i="3" s="1"/>
  <c r="F280" i="3"/>
  <c r="BJ280" i="3" s="1"/>
  <c r="CF279" i="3"/>
  <c r="BR279" i="3"/>
  <c r="BP279" i="3"/>
  <c r="BK279" i="3"/>
  <c r="BN279" i="3" s="1"/>
  <c r="N279" i="3"/>
  <c r="M279" i="3"/>
  <c r="L279" i="3"/>
  <c r="K279" i="3"/>
  <c r="I279" i="3"/>
  <c r="H279" i="3"/>
  <c r="G279" i="3"/>
  <c r="E279" i="3"/>
  <c r="CN278" i="3"/>
  <c r="CN276" i="3" s="1"/>
  <c r="CL278" i="3"/>
  <c r="BN278" i="3"/>
  <c r="F278" i="3"/>
  <c r="BJ278" i="3" s="1"/>
  <c r="BN277" i="3"/>
  <c r="O277" i="3"/>
  <c r="O276" i="3" s="1"/>
  <c r="F277" i="3"/>
  <c r="D277" i="3" s="1"/>
  <c r="CK277" i="3" s="1"/>
  <c r="CJ276" i="3"/>
  <c r="CH276" i="3"/>
  <c r="CF276" i="3"/>
  <c r="CD276" i="3"/>
  <c r="CB276" i="3"/>
  <c r="BZ276" i="3"/>
  <c r="BX276" i="3"/>
  <c r="BV276" i="3"/>
  <c r="BT276" i="3"/>
  <c r="BR276" i="3"/>
  <c r="BP276" i="3"/>
  <c r="BK276" i="3"/>
  <c r="BN276" i="3" s="1"/>
  <c r="N276" i="3"/>
  <c r="M276" i="3"/>
  <c r="L276" i="3"/>
  <c r="K276" i="3"/>
  <c r="I276" i="3"/>
  <c r="H276" i="3"/>
  <c r="G276" i="3"/>
  <c r="E276" i="3"/>
  <c r="BN275" i="3"/>
  <c r="F275" i="3"/>
  <c r="BJ275" i="3" s="1"/>
  <c r="BN274" i="3"/>
  <c r="O274" i="3"/>
  <c r="O273" i="3" s="1"/>
  <c r="F274" i="3"/>
  <c r="BM274" i="3" s="1"/>
  <c r="CN273" i="3"/>
  <c r="CL273" i="3"/>
  <c r="CJ273" i="3"/>
  <c r="CH273" i="3"/>
  <c r="CF273" i="3"/>
  <c r="CD273" i="3"/>
  <c r="CB273" i="3"/>
  <c r="BZ273" i="3"/>
  <c r="BX273" i="3"/>
  <c r="BV273" i="3"/>
  <c r="BT273" i="3"/>
  <c r="BR273" i="3"/>
  <c r="BP273" i="3"/>
  <c r="N273" i="3"/>
  <c r="M273" i="3"/>
  <c r="L273" i="3"/>
  <c r="K273" i="3"/>
  <c r="I273" i="3"/>
  <c r="H273" i="3"/>
  <c r="G273" i="3"/>
  <c r="E273" i="3"/>
  <c r="BN272" i="3"/>
  <c r="O272" i="3"/>
  <c r="F272" i="3"/>
  <c r="BJ272" i="3" s="1"/>
  <c r="CN271" i="3"/>
  <c r="CL271" i="3"/>
  <c r="CJ271" i="3"/>
  <c r="CH271" i="3"/>
  <c r="CF271" i="3"/>
  <c r="CD271" i="3"/>
  <c r="CB271" i="3"/>
  <c r="BZ271" i="3"/>
  <c r="BX271" i="3"/>
  <c r="BV271" i="3"/>
  <c r="BT271" i="3"/>
  <c r="BR271" i="3"/>
  <c r="BP271" i="3"/>
  <c r="L271" i="3"/>
  <c r="K271" i="3"/>
  <c r="I271" i="3"/>
  <c r="H271" i="3"/>
  <c r="G271" i="3"/>
  <c r="E271" i="3"/>
  <c r="BN270" i="3"/>
  <c r="F270" i="3"/>
  <c r="BJ270" i="3" s="1"/>
  <c r="BN269" i="3"/>
  <c r="O269" i="3"/>
  <c r="F269" i="3"/>
  <c r="BN268" i="3"/>
  <c r="O268" i="3"/>
  <c r="F268" i="3"/>
  <c r="BM268" i="3" s="1"/>
  <c r="BN267" i="3"/>
  <c r="O267" i="3"/>
  <c r="F267" i="3"/>
  <c r="BJ267" i="3" s="1"/>
  <c r="CN266" i="3"/>
  <c r="CN265" i="3" s="1"/>
  <c r="CL266" i="3"/>
  <c r="CL265" i="3" s="1"/>
  <c r="CJ266" i="3"/>
  <c r="CJ265" i="3" s="1"/>
  <c r="CH266" i="3"/>
  <c r="CH265" i="3" s="1"/>
  <c r="CF266" i="3"/>
  <c r="CF265" i="3" s="1"/>
  <c r="CD266" i="3"/>
  <c r="CB266" i="3"/>
  <c r="CB265" i="3" s="1"/>
  <c r="BZ266" i="3"/>
  <c r="BZ265" i="3" s="1"/>
  <c r="BX266" i="3"/>
  <c r="BX265" i="3" s="1"/>
  <c r="BV266" i="3"/>
  <c r="BT266" i="3"/>
  <c r="BR266" i="3"/>
  <c r="BR265" i="3" s="1"/>
  <c r="BP266" i="3"/>
  <c r="BP265" i="3" s="1"/>
  <c r="L266" i="3"/>
  <c r="L265" i="3" s="1"/>
  <c r="K266" i="3"/>
  <c r="K265" i="3" s="1"/>
  <c r="I266" i="3"/>
  <c r="I265" i="3" s="1"/>
  <c r="H266" i="3"/>
  <c r="H265" i="3" s="1"/>
  <c r="G266" i="3"/>
  <c r="G265" i="3" s="1"/>
  <c r="E266" i="3"/>
  <c r="E265" i="3" s="1"/>
  <c r="N265" i="3"/>
  <c r="M265" i="3"/>
  <c r="BN264" i="3"/>
  <c r="BM264" i="3"/>
  <c r="D264" i="3"/>
  <c r="CN263" i="3"/>
  <c r="CL263" i="3"/>
  <c r="CJ263" i="3"/>
  <c r="CH263" i="3"/>
  <c r="CF263" i="3"/>
  <c r="CD263" i="3"/>
  <c r="CB263" i="3"/>
  <c r="BZ263" i="3"/>
  <c r="BX263" i="3"/>
  <c r="BV263" i="3"/>
  <c r="BT263" i="3"/>
  <c r="BR263" i="3"/>
  <c r="BP263" i="3"/>
  <c r="BN263" i="3"/>
  <c r="O263" i="3"/>
  <c r="N263" i="3"/>
  <c r="M263" i="3"/>
  <c r="L263" i="3"/>
  <c r="K263" i="3"/>
  <c r="I263" i="3"/>
  <c r="H263" i="3"/>
  <c r="G263" i="3"/>
  <c r="F263" i="3"/>
  <c r="E263" i="3"/>
  <c r="BN261" i="3"/>
  <c r="F261" i="3"/>
  <c r="BJ261" i="3" s="1"/>
  <c r="BN260" i="3"/>
  <c r="O260" i="3"/>
  <c r="F260" i="3"/>
  <c r="BN259" i="3"/>
  <c r="O259" i="3"/>
  <c r="F259" i="3"/>
  <c r="F258" i="3" s="1"/>
  <c r="BR258" i="3"/>
  <c r="BP258" i="3"/>
  <c r="BP257" i="3" s="1"/>
  <c r="BK258" i="3"/>
  <c r="BN258" i="3" s="1"/>
  <c r="L258" i="3"/>
  <c r="L257" i="3" s="1"/>
  <c r="K258" i="3"/>
  <c r="K257" i="3" s="1"/>
  <c r="I258" i="3"/>
  <c r="I257" i="3" s="1"/>
  <c r="H258" i="3"/>
  <c r="H257" i="3" s="1"/>
  <c r="G258" i="3"/>
  <c r="G257" i="3" s="1"/>
  <c r="E258" i="3"/>
  <c r="N257" i="3"/>
  <c r="M257" i="3"/>
  <c r="BN256" i="3"/>
  <c r="F256" i="3"/>
  <c r="BM256" i="3" s="1"/>
  <c r="CJ255" i="3"/>
  <c r="BN255" i="3"/>
  <c r="O255" i="3"/>
  <c r="F255" i="3"/>
  <c r="BM255" i="3" s="1"/>
  <c r="CN254" i="3"/>
  <c r="BN254" i="3"/>
  <c r="O254" i="3"/>
  <c r="F254" i="3"/>
  <c r="BM254" i="3" s="1"/>
  <c r="CL253" i="3"/>
  <c r="CL252" i="3" s="1"/>
  <c r="CJ253" i="3"/>
  <c r="CH253" i="3"/>
  <c r="CF253" i="3"/>
  <c r="CD253" i="3"/>
  <c r="CD252" i="3" s="1"/>
  <c r="CB253" i="3"/>
  <c r="CB252" i="3" s="1"/>
  <c r="BZ253" i="3"/>
  <c r="BZ252" i="3" s="1"/>
  <c r="BX253" i="3"/>
  <c r="BX252" i="3" s="1"/>
  <c r="BV253" i="3"/>
  <c r="BV252" i="3" s="1"/>
  <c r="BT253" i="3"/>
  <c r="BT252" i="3" s="1"/>
  <c r="BR253" i="3"/>
  <c r="BR252" i="3" s="1"/>
  <c r="BP253" i="3"/>
  <c r="BP252" i="3" s="1"/>
  <c r="BK253" i="3"/>
  <c r="L253" i="3"/>
  <c r="L252" i="3" s="1"/>
  <c r="K253" i="3"/>
  <c r="K252" i="3" s="1"/>
  <c r="I253" i="3"/>
  <c r="I252" i="3" s="1"/>
  <c r="H253" i="3"/>
  <c r="H252" i="3" s="1"/>
  <c r="G253" i="3"/>
  <c r="G252" i="3" s="1"/>
  <c r="E253" i="3"/>
  <c r="N252" i="3"/>
  <c r="M252" i="3"/>
  <c r="E252" i="3"/>
  <c r="BN251" i="3"/>
  <c r="F251" i="3"/>
  <c r="BM251" i="3" s="1"/>
  <c r="BN250" i="3"/>
  <c r="O250" i="3"/>
  <c r="O249" i="3" s="1"/>
  <c r="F250" i="3"/>
  <c r="BM250" i="3" s="1"/>
  <c r="CN249" i="3"/>
  <c r="CL249" i="3"/>
  <c r="CJ249" i="3"/>
  <c r="CH249" i="3"/>
  <c r="CF249" i="3"/>
  <c r="CD249" i="3"/>
  <c r="CB249" i="3"/>
  <c r="BZ249" i="3"/>
  <c r="BX249" i="3"/>
  <c r="BV249" i="3"/>
  <c r="BT249" i="3"/>
  <c r="BR249" i="3"/>
  <c r="BP249" i="3"/>
  <c r="BK249" i="3"/>
  <c r="BN249" i="3" s="1"/>
  <c r="N249" i="3"/>
  <c r="M249" i="3"/>
  <c r="L249" i="3"/>
  <c r="K249" i="3"/>
  <c r="I249" i="3"/>
  <c r="H249" i="3"/>
  <c r="G249" i="3"/>
  <c r="E249" i="3"/>
  <c r="BN248" i="3"/>
  <c r="F248" i="3"/>
  <c r="BJ248" i="3" s="1"/>
  <c r="BN247" i="3"/>
  <c r="O247" i="3"/>
  <c r="O246" i="3" s="1"/>
  <c r="F247" i="3"/>
  <c r="CN246" i="3"/>
  <c r="CL246" i="3"/>
  <c r="CJ246" i="3"/>
  <c r="CH246" i="3"/>
  <c r="CF246" i="3"/>
  <c r="CD246" i="3"/>
  <c r="CB246" i="3"/>
  <c r="BZ246" i="3"/>
  <c r="BX246" i="3"/>
  <c r="BV246" i="3"/>
  <c r="BT246" i="3"/>
  <c r="BR246" i="3"/>
  <c r="BP246" i="3"/>
  <c r="BK246" i="3"/>
  <c r="BN246" i="3" s="1"/>
  <c r="N246" i="3"/>
  <c r="M246" i="3"/>
  <c r="L246" i="3"/>
  <c r="K246" i="3"/>
  <c r="I246" i="3"/>
  <c r="H246" i="3"/>
  <c r="G246" i="3"/>
  <c r="E246" i="3"/>
  <c r="A246" i="3"/>
  <c r="BN245" i="3"/>
  <c r="F245" i="3"/>
  <c r="BJ245" i="3" s="1"/>
  <c r="BN244" i="3"/>
  <c r="O244" i="3"/>
  <c r="F244" i="3"/>
  <c r="BM244" i="3" s="1"/>
  <c r="CN243" i="3"/>
  <c r="CL243" i="3"/>
  <c r="CJ243" i="3"/>
  <c r="CH243" i="3"/>
  <c r="CF243" i="3"/>
  <c r="CD243" i="3"/>
  <c r="CB243" i="3"/>
  <c r="BZ243" i="3"/>
  <c r="BX243" i="3"/>
  <c r="BV243" i="3"/>
  <c r="BT243" i="3"/>
  <c r="BR243" i="3"/>
  <c r="BP243" i="3"/>
  <c r="BN243" i="3"/>
  <c r="L243" i="3"/>
  <c r="K243" i="3"/>
  <c r="I243" i="3"/>
  <c r="H243" i="3"/>
  <c r="G243" i="3"/>
  <c r="E243" i="3"/>
  <c r="BM241" i="3"/>
  <c r="D241" i="3"/>
  <c r="BB240" i="3"/>
  <c r="BA240" i="3"/>
  <c r="AZ240" i="3"/>
  <c r="AY240" i="3"/>
  <c r="AX240" i="3"/>
  <c r="AW240" i="3"/>
  <c r="AV240" i="3"/>
  <c r="AU240" i="3"/>
  <c r="AT240" i="3"/>
  <c r="AS240" i="3"/>
  <c r="AR240" i="3"/>
  <c r="AQ240" i="3"/>
  <c r="AP240" i="3"/>
  <c r="AO240" i="3"/>
  <c r="AN240" i="3"/>
  <c r="AM240" i="3"/>
  <c r="AL240" i="3"/>
  <c r="AK240" i="3"/>
  <c r="AJ240" i="3"/>
  <c r="AI240" i="3"/>
  <c r="AH240" i="3"/>
  <c r="AG240" i="3"/>
  <c r="AF240" i="3"/>
  <c r="AE240" i="3"/>
  <c r="AD240" i="3"/>
  <c r="AC240" i="3"/>
  <c r="AB240" i="3"/>
  <c r="AA240" i="3"/>
  <c r="Z240" i="3"/>
  <c r="Y240" i="3"/>
  <c r="X240" i="3"/>
  <c r="W240" i="3"/>
  <c r="V240" i="3"/>
  <c r="U240" i="3"/>
  <c r="T240" i="3"/>
  <c r="S240" i="3"/>
  <c r="R240" i="3"/>
  <c r="Q240" i="3"/>
  <c r="P240" i="3"/>
  <c r="O240" i="3"/>
  <c r="N240" i="3"/>
  <c r="M240" i="3"/>
  <c r="L240" i="3"/>
  <c r="K240" i="3"/>
  <c r="J240" i="3"/>
  <c r="I240" i="3"/>
  <c r="H240" i="3"/>
  <c r="G240" i="3"/>
  <c r="F240" i="3"/>
  <c r="E240" i="3"/>
  <c r="BN239" i="3"/>
  <c r="BM239" i="3"/>
  <c r="D239" i="3"/>
  <c r="BW239" i="3" s="1"/>
  <c r="CN238" i="3"/>
  <c r="CN237" i="3" s="1"/>
  <c r="CL238" i="3"/>
  <c r="CJ238" i="3"/>
  <c r="CJ237" i="3" s="1"/>
  <c r="CH238" i="3"/>
  <c r="CH237" i="3" s="1"/>
  <c r="CF238" i="3"/>
  <c r="CD238" i="3"/>
  <c r="CD237" i="3" s="1"/>
  <c r="CB238" i="3"/>
  <c r="CB237" i="3" s="1"/>
  <c r="BZ238" i="3"/>
  <c r="BX238" i="3"/>
  <c r="BX237" i="3" s="1"/>
  <c r="BV238" i="3"/>
  <c r="BV237" i="3" s="1"/>
  <c r="BT238" i="3"/>
  <c r="BT237" i="3" s="1"/>
  <c r="BR238" i="3"/>
  <c r="BR237" i="3" s="1"/>
  <c r="BP238" i="3"/>
  <c r="BP237" i="3" s="1"/>
  <c r="BK238" i="3"/>
  <c r="P238" i="3"/>
  <c r="O238" i="3"/>
  <c r="O237" i="3" s="1"/>
  <c r="N238" i="3"/>
  <c r="N237" i="3" s="1"/>
  <c r="M238" i="3"/>
  <c r="M237" i="3" s="1"/>
  <c r="L238" i="3"/>
  <c r="L237" i="3" s="1"/>
  <c r="K238" i="3"/>
  <c r="K237" i="3" s="1"/>
  <c r="I238" i="3"/>
  <c r="I237" i="3" s="1"/>
  <c r="H238" i="3"/>
  <c r="H237" i="3" s="1"/>
  <c r="G238" i="3"/>
  <c r="G237" i="3" s="1"/>
  <c r="F238" i="3"/>
  <c r="F237" i="3" s="1"/>
  <c r="E238" i="3"/>
  <c r="E237" i="3" s="1"/>
  <c r="CF236" i="3"/>
  <c r="BN236" i="3"/>
  <c r="O236" i="3"/>
  <c r="F236" i="3"/>
  <c r="BZ235" i="3"/>
  <c r="BX235" i="3"/>
  <c r="BX234" i="3" s="1"/>
  <c r="BN235" i="3"/>
  <c r="O235" i="3"/>
  <c r="F235" i="3"/>
  <c r="D235" i="3" s="1"/>
  <c r="CD234" i="3"/>
  <c r="BV234" i="3"/>
  <c r="BT234" i="3"/>
  <c r="BR234" i="3"/>
  <c r="BP234" i="3"/>
  <c r="BK234" i="3"/>
  <c r="BN234" i="3" s="1"/>
  <c r="L234" i="3"/>
  <c r="K234" i="3"/>
  <c r="I234" i="3"/>
  <c r="H234" i="3"/>
  <c r="G234" i="3"/>
  <c r="E234" i="3"/>
  <c r="BV233" i="3"/>
  <c r="BX233" i="3" s="1"/>
  <c r="BT233" i="3"/>
  <c r="BT232" i="3" s="1"/>
  <c r="BN233" i="3"/>
  <c r="O233" i="3"/>
  <c r="F233" i="3"/>
  <c r="BJ233" i="3" s="1"/>
  <c r="CL232" i="3"/>
  <c r="BR232" i="3"/>
  <c r="BP232" i="3"/>
  <c r="BK232" i="3"/>
  <c r="L232" i="3"/>
  <c r="K232" i="3"/>
  <c r="I232" i="3"/>
  <c r="H232" i="3"/>
  <c r="G232" i="3"/>
  <c r="E232" i="3"/>
  <c r="BN230" i="3"/>
  <c r="O230" i="3"/>
  <c r="F230" i="3"/>
  <c r="BM230" i="3" s="1"/>
  <c r="A230" i="3"/>
  <c r="A233" i="3" s="1"/>
  <c r="BP229" i="3"/>
  <c r="BP227" i="3" s="1"/>
  <c r="BK229" i="3"/>
  <c r="BN229" i="3" s="1"/>
  <c r="L229" i="3"/>
  <c r="L227" i="3" s="1"/>
  <c r="K229" i="3"/>
  <c r="K227" i="3" s="1"/>
  <c r="I229" i="3"/>
  <c r="I227" i="3" s="1"/>
  <c r="H229" i="3"/>
  <c r="H227" i="3" s="1"/>
  <c r="G229" i="3"/>
  <c r="E229" i="3"/>
  <c r="F228" i="3"/>
  <c r="BC227" i="3"/>
  <c r="M227" i="3"/>
  <c r="J227" i="3"/>
  <c r="CN226" i="3"/>
  <c r="BZ226" i="3"/>
  <c r="BN226" i="3"/>
  <c r="BM226" i="3"/>
  <c r="D226" i="3"/>
  <c r="BX225" i="3"/>
  <c r="BV225" i="3"/>
  <c r="BT225" i="3"/>
  <c r="BR225" i="3"/>
  <c r="BP225" i="3"/>
  <c r="BK225" i="3"/>
  <c r="P225" i="3"/>
  <c r="O225" i="3"/>
  <c r="N225" i="3"/>
  <c r="N224" i="3" s="1"/>
  <c r="M225" i="3"/>
  <c r="L225" i="3"/>
  <c r="K225" i="3"/>
  <c r="I225" i="3"/>
  <c r="H225" i="3"/>
  <c r="G225" i="3"/>
  <c r="F225" i="3"/>
  <c r="E225" i="3"/>
  <c r="BN223" i="3"/>
  <c r="O223" i="3"/>
  <c r="F223" i="3"/>
  <c r="D223" i="3" s="1"/>
  <c r="A223" i="3"/>
  <c r="BN222" i="3"/>
  <c r="L222" i="3"/>
  <c r="L221" i="3" s="1"/>
  <c r="K222" i="3"/>
  <c r="K221" i="3" s="1"/>
  <c r="I222" i="3"/>
  <c r="I221" i="3" s="1"/>
  <c r="H222" i="3"/>
  <c r="H221" i="3" s="1"/>
  <c r="G222" i="3"/>
  <c r="G221" i="3" s="1"/>
  <c r="E222" i="3"/>
  <c r="BN221" i="3"/>
  <c r="BR220" i="3"/>
  <c r="BR219" i="3" s="1"/>
  <c r="BN220" i="3"/>
  <c r="O220" i="3"/>
  <c r="F220" i="3"/>
  <c r="D220" i="3" s="1"/>
  <c r="BP219" i="3"/>
  <c r="BP217" i="3" s="1"/>
  <c r="BP216" i="3" s="1"/>
  <c r="BN217" i="3"/>
  <c r="L219" i="3"/>
  <c r="L217" i="3" s="1"/>
  <c r="K219" i="3"/>
  <c r="K217" i="3" s="1"/>
  <c r="I219" i="3"/>
  <c r="I217" i="3" s="1"/>
  <c r="H219" i="3"/>
  <c r="H217" i="3" s="1"/>
  <c r="G219" i="3"/>
  <c r="G217" i="3" s="1"/>
  <c r="E219" i="3"/>
  <c r="E217" i="3" s="1"/>
  <c r="F218" i="3"/>
  <c r="D218" i="3" s="1"/>
  <c r="BC217" i="3"/>
  <c r="M217" i="3"/>
  <c r="J217" i="3"/>
  <c r="CD215" i="3"/>
  <c r="CB215" i="3"/>
  <c r="BN215" i="3"/>
  <c r="O215" i="3"/>
  <c r="F215" i="3"/>
  <c r="BJ215" i="3" s="1"/>
  <c r="CN214" i="3"/>
  <c r="CN213" i="3" s="1"/>
  <c r="CN212" i="3" s="1"/>
  <c r="CL214" i="3"/>
  <c r="CL213" i="3" s="1"/>
  <c r="CL212" i="3" s="1"/>
  <c r="CJ214" i="3"/>
  <c r="CJ213" i="3" s="1"/>
  <c r="CJ212" i="3" s="1"/>
  <c r="CH214" i="3"/>
  <c r="CH213" i="3" s="1"/>
  <c r="CH212" i="3" s="1"/>
  <c r="CF214" i="3"/>
  <c r="CF213" i="3" s="1"/>
  <c r="CF212" i="3" s="1"/>
  <c r="BZ214" i="3"/>
  <c r="BX214" i="3"/>
  <c r="BX213" i="3" s="1"/>
  <c r="BX212" i="3" s="1"/>
  <c r="BV214" i="3"/>
  <c r="BV213" i="3" s="1"/>
  <c r="BV212" i="3" s="1"/>
  <c r="BT214" i="3"/>
  <c r="BT213" i="3" s="1"/>
  <c r="BT212" i="3" s="1"/>
  <c r="BR214" i="3"/>
  <c r="BR213" i="3" s="1"/>
  <c r="BR212" i="3" s="1"/>
  <c r="BP214" i="3"/>
  <c r="BP213" i="3" s="1"/>
  <c r="BP212" i="3" s="1"/>
  <c r="BK214" i="3"/>
  <c r="BK213" i="3" s="1"/>
  <c r="L214" i="3"/>
  <c r="L213" i="3" s="1"/>
  <c r="L212" i="3" s="1"/>
  <c r="K214" i="3"/>
  <c r="K213" i="3" s="1"/>
  <c r="K212" i="3" s="1"/>
  <c r="I214" i="3"/>
  <c r="I213" i="3" s="1"/>
  <c r="I212" i="3" s="1"/>
  <c r="H214" i="3"/>
  <c r="H213" i="3" s="1"/>
  <c r="H212" i="3" s="1"/>
  <c r="G214" i="3"/>
  <c r="G213" i="3" s="1"/>
  <c r="G212" i="3" s="1"/>
  <c r="E214" i="3"/>
  <c r="CN211" i="3"/>
  <c r="CN209" i="3" s="1"/>
  <c r="CN208" i="3" s="1"/>
  <c r="BN211" i="3"/>
  <c r="BF211" i="3"/>
  <c r="O211" i="3"/>
  <c r="F211" i="3"/>
  <c r="A211" i="3"/>
  <c r="BV210" i="3"/>
  <c r="BN210" i="3"/>
  <c r="O210" i="3"/>
  <c r="F210" i="3"/>
  <c r="BJ210" i="3" s="1"/>
  <c r="CL209" i="3"/>
  <c r="CJ209" i="3"/>
  <c r="CH209" i="3"/>
  <c r="CH208" i="3" s="1"/>
  <c r="CF209" i="3"/>
  <c r="CF208" i="3" s="1"/>
  <c r="CD209" i="3"/>
  <c r="CD208" i="3" s="1"/>
  <c r="CB209" i="3"/>
  <c r="CB208" i="3" s="1"/>
  <c r="BZ209" i="3"/>
  <c r="BZ208" i="3" s="1"/>
  <c r="BX209" i="3"/>
  <c r="BT209" i="3"/>
  <c r="BT208" i="3" s="1"/>
  <c r="BR209" i="3"/>
  <c r="BR208" i="3" s="1"/>
  <c r="BP209" i="3"/>
  <c r="BP208" i="3" s="1"/>
  <c r="BK209" i="3"/>
  <c r="BN209" i="3" s="1"/>
  <c r="N209" i="3"/>
  <c r="M209" i="3"/>
  <c r="L209" i="3"/>
  <c r="L208" i="3" s="1"/>
  <c r="K209" i="3"/>
  <c r="K208" i="3" s="1"/>
  <c r="I209" i="3"/>
  <c r="I208" i="3" s="1"/>
  <c r="H209" i="3"/>
  <c r="H208" i="3" s="1"/>
  <c r="G209" i="3"/>
  <c r="G208" i="3" s="1"/>
  <c r="E209" i="3"/>
  <c r="BN207" i="3"/>
  <c r="O207" i="3"/>
  <c r="O206" i="3" s="1"/>
  <c r="F207" i="3"/>
  <c r="BM207" i="3" s="1"/>
  <c r="CN206" i="3"/>
  <c r="CN205" i="3" s="1"/>
  <c r="CL206" i="3"/>
  <c r="CL205" i="3" s="1"/>
  <c r="CJ206" i="3"/>
  <c r="CJ205" i="3" s="1"/>
  <c r="CH206" i="3"/>
  <c r="CH205" i="3" s="1"/>
  <c r="CF206" i="3"/>
  <c r="CF205" i="3" s="1"/>
  <c r="CD206" i="3"/>
  <c r="CB206" i="3"/>
  <c r="CB205" i="3" s="1"/>
  <c r="BZ206" i="3"/>
  <c r="BZ205" i="3" s="1"/>
  <c r="BX206" i="3"/>
  <c r="BX205" i="3" s="1"/>
  <c r="BV206" i="3"/>
  <c r="BV205" i="3" s="1"/>
  <c r="BT206" i="3"/>
  <c r="BT205" i="3" s="1"/>
  <c r="BR206" i="3"/>
  <c r="BP206" i="3"/>
  <c r="BP205" i="3" s="1"/>
  <c r="BK206" i="3"/>
  <c r="BN206" i="3" s="1"/>
  <c r="N206" i="3"/>
  <c r="M206" i="3"/>
  <c r="L206" i="3"/>
  <c r="L205" i="3" s="1"/>
  <c r="K206" i="3"/>
  <c r="K205" i="3" s="1"/>
  <c r="I206" i="3"/>
  <c r="I205" i="3" s="1"/>
  <c r="H206" i="3"/>
  <c r="H205" i="3" s="1"/>
  <c r="G206" i="3"/>
  <c r="G205" i="3" s="1"/>
  <c r="E206" i="3"/>
  <c r="BN204" i="3"/>
  <c r="O204" i="3"/>
  <c r="F204" i="3"/>
  <c r="BM204" i="3" s="1"/>
  <c r="BR203" i="3"/>
  <c r="BR200" i="3" s="1"/>
  <c r="BN203" i="3"/>
  <c r="O203" i="3"/>
  <c r="F203" i="3"/>
  <c r="BJ203" i="3" s="1"/>
  <c r="CL202" i="3"/>
  <c r="BN202" i="3"/>
  <c r="O202" i="3"/>
  <c r="F202" i="3"/>
  <c r="BM202" i="3" s="1"/>
  <c r="A202" i="3"/>
  <c r="BN201" i="3"/>
  <c r="O201" i="3"/>
  <c r="F201" i="3"/>
  <c r="CN200" i="3"/>
  <c r="CN199" i="3" s="1"/>
  <c r="CJ200" i="3"/>
  <c r="CJ199" i="3" s="1"/>
  <c r="CH200" i="3"/>
  <c r="CH199" i="3" s="1"/>
  <c r="CF200" i="3"/>
  <c r="CF199" i="3" s="1"/>
  <c r="CD200" i="3"/>
  <c r="CD199" i="3" s="1"/>
  <c r="CB200" i="3"/>
  <c r="CB199" i="3" s="1"/>
  <c r="BZ200" i="3"/>
  <c r="BZ199" i="3" s="1"/>
  <c r="BX200" i="3"/>
  <c r="BX199" i="3" s="1"/>
  <c r="BV200" i="3"/>
  <c r="BV199" i="3" s="1"/>
  <c r="BT200" i="3"/>
  <c r="BT199" i="3" s="1"/>
  <c r="BP200" i="3"/>
  <c r="BP199" i="3" s="1"/>
  <c r="BK200" i="3"/>
  <c r="BK199" i="3" s="1"/>
  <c r="BN199" i="3" s="1"/>
  <c r="L200" i="3"/>
  <c r="L199" i="3" s="1"/>
  <c r="K200" i="3"/>
  <c r="K199" i="3" s="1"/>
  <c r="I200" i="3"/>
  <c r="H200" i="3"/>
  <c r="H199" i="3" s="1"/>
  <c r="G200" i="3"/>
  <c r="G199" i="3" s="1"/>
  <c r="E200" i="3"/>
  <c r="E199" i="3" s="1"/>
  <c r="CH198" i="3"/>
  <c r="CJ198" i="3" s="1"/>
  <c r="CL198" i="3" s="1"/>
  <c r="CB198" i="3"/>
  <c r="CD198" i="3" s="1"/>
  <c r="BN198" i="3"/>
  <c r="O198" i="3"/>
  <c r="H198" i="3"/>
  <c r="F198" i="3" s="1"/>
  <c r="BN197" i="3"/>
  <c r="O197" i="3"/>
  <c r="H197" i="3"/>
  <c r="BN196" i="3"/>
  <c r="O196" i="3"/>
  <c r="F196" i="3"/>
  <c r="D196" i="3" s="1"/>
  <c r="Q196" i="3" s="1"/>
  <c r="CB195" i="3"/>
  <c r="BN195" i="3"/>
  <c r="O195" i="3"/>
  <c r="F195" i="3"/>
  <c r="BJ195" i="3" s="1"/>
  <c r="BN194" i="3"/>
  <c r="O194" i="3"/>
  <c r="F194" i="3"/>
  <c r="D194" i="3" s="1"/>
  <c r="Q194" i="3" s="1"/>
  <c r="CN193" i="3"/>
  <c r="CL193" i="3"/>
  <c r="CJ193" i="3"/>
  <c r="CH193" i="3"/>
  <c r="CF193" i="3"/>
  <c r="CD193" i="3"/>
  <c r="CB193" i="3"/>
  <c r="BN193" i="3"/>
  <c r="O193" i="3"/>
  <c r="F193" i="3"/>
  <c r="BM193" i="3" s="1"/>
  <c r="CL192" i="3"/>
  <c r="CN192" i="3" s="1"/>
  <c r="BV192" i="3"/>
  <c r="BX192" i="3" s="1"/>
  <c r="BN192" i="3"/>
  <c r="O192" i="3"/>
  <c r="F192" i="3"/>
  <c r="BJ192" i="3" s="1"/>
  <c r="CH191" i="3"/>
  <c r="CJ191" i="3" s="1"/>
  <c r="BN191" i="3"/>
  <c r="O191" i="3"/>
  <c r="H191" i="3"/>
  <c r="F191" i="3" s="1"/>
  <c r="CJ190" i="3"/>
  <c r="CF190" i="3"/>
  <c r="BN190" i="3"/>
  <c r="O190" i="3"/>
  <c r="F190" i="3"/>
  <c r="BJ190" i="3" s="1"/>
  <c r="BN189" i="3"/>
  <c r="O189" i="3"/>
  <c r="F189" i="3"/>
  <c r="D189" i="3" s="1"/>
  <c r="Q189" i="3" s="1"/>
  <c r="BT188" i="3"/>
  <c r="BR188" i="3"/>
  <c r="BP188" i="3"/>
  <c r="BK188" i="3"/>
  <c r="BN188" i="3" s="1"/>
  <c r="P188" i="3"/>
  <c r="L188" i="3"/>
  <c r="K188" i="3"/>
  <c r="I188" i="3"/>
  <c r="G188" i="3"/>
  <c r="E188" i="3"/>
  <c r="BV187" i="3"/>
  <c r="BX187" i="3" s="1"/>
  <c r="BZ187" i="3" s="1"/>
  <c r="BN187" i="3"/>
  <c r="O187" i="3"/>
  <c r="H187" i="3"/>
  <c r="F187" i="3" s="1"/>
  <c r="BJ187" i="3" s="1"/>
  <c r="CN186" i="3"/>
  <c r="BR186" i="3"/>
  <c r="BT186" i="3" s="1"/>
  <c r="BV186" i="3" s="1"/>
  <c r="BN186" i="3"/>
  <c r="O186" i="3"/>
  <c r="H186" i="3"/>
  <c r="F186" i="3" s="1"/>
  <c r="D186" i="3" s="1"/>
  <c r="CM186" i="3" s="1"/>
  <c r="CN185" i="3"/>
  <c r="BZ185" i="3"/>
  <c r="CB185" i="3" s="1"/>
  <c r="BN185" i="3"/>
  <c r="O185" i="3"/>
  <c r="H185" i="3"/>
  <c r="F185" i="3" s="1"/>
  <c r="BJ185" i="3" s="1"/>
  <c r="BN184" i="3"/>
  <c r="O184" i="3"/>
  <c r="F184" i="3"/>
  <c r="BM184" i="3" s="1"/>
  <c r="BN183" i="3"/>
  <c r="O183" i="3"/>
  <c r="H183" i="3"/>
  <c r="BV183" i="3" s="1"/>
  <c r="BN182" i="3"/>
  <c r="O182" i="3"/>
  <c r="F182" i="3"/>
  <c r="D182" i="3" s="1"/>
  <c r="Q182" i="3" s="1"/>
  <c r="BN181" i="3"/>
  <c r="O181" i="3"/>
  <c r="F181" i="3"/>
  <c r="BJ181" i="3" s="1"/>
  <c r="BN180" i="3"/>
  <c r="O180" i="3"/>
  <c r="F180" i="3"/>
  <c r="BN179" i="3"/>
  <c r="O179" i="3"/>
  <c r="F179" i="3"/>
  <c r="D179" i="3" s="1"/>
  <c r="Q179" i="3" s="1"/>
  <c r="CH178" i="3"/>
  <c r="BN178" i="3"/>
  <c r="O178" i="3"/>
  <c r="F178" i="3"/>
  <c r="BM178" i="3" s="1"/>
  <c r="BN177" i="3"/>
  <c r="O177" i="3"/>
  <c r="F177" i="3"/>
  <c r="CJ176" i="3"/>
  <c r="CL176" i="3" s="1"/>
  <c r="CB176" i="3"/>
  <c r="CD176" i="3" s="1"/>
  <c r="BN176" i="3"/>
  <c r="O176" i="3"/>
  <c r="F176" i="3"/>
  <c r="BM176" i="3" s="1"/>
  <c r="CD175" i="3"/>
  <c r="CF175" i="3" s="1"/>
  <c r="BV175" i="3"/>
  <c r="BX175" i="3" s="1"/>
  <c r="BN175" i="3"/>
  <c r="O175" i="3"/>
  <c r="F175" i="3"/>
  <c r="BN174" i="3"/>
  <c r="O174" i="3"/>
  <c r="F174" i="3"/>
  <c r="D174" i="3" s="1"/>
  <c r="Q174" i="3" s="1"/>
  <c r="CN173" i="3"/>
  <c r="BN173" i="3"/>
  <c r="O173" i="3"/>
  <c r="H173" i="3"/>
  <c r="F173" i="3" s="1"/>
  <c r="BJ173" i="3" s="1"/>
  <c r="BX172" i="3"/>
  <c r="BR172" i="3"/>
  <c r="BT172" i="3" s="1"/>
  <c r="BN172" i="3"/>
  <c r="O172" i="3"/>
  <c r="H172" i="3"/>
  <c r="F172" i="3" s="1"/>
  <c r="BM172" i="3" s="1"/>
  <c r="CJ171" i="3"/>
  <c r="CB171" i="3"/>
  <c r="CD171" i="3" s="1"/>
  <c r="CF171" i="3" s="1"/>
  <c r="BX171" i="3"/>
  <c r="BN171" i="3"/>
  <c r="O171" i="3"/>
  <c r="H171" i="3"/>
  <c r="F171" i="3" s="1"/>
  <c r="BJ171" i="3" s="1"/>
  <c r="CN170" i="3"/>
  <c r="CF170" i="3"/>
  <c r="CB170" i="3"/>
  <c r="BN170" i="3"/>
  <c r="O170" i="3"/>
  <c r="H170" i="3"/>
  <c r="F170" i="3" s="1"/>
  <c r="BM170" i="3" s="1"/>
  <c r="BN169" i="3"/>
  <c r="O169" i="3"/>
  <c r="F169" i="3"/>
  <c r="D169" i="3" s="1"/>
  <c r="Q169" i="3" s="1"/>
  <c r="CF168" i="3"/>
  <c r="CH168" i="3" s="1"/>
  <c r="BX168" i="3"/>
  <c r="BZ168" i="3" s="1"/>
  <c r="CB168" i="3" s="1"/>
  <c r="BN168" i="3"/>
  <c r="O168" i="3"/>
  <c r="F168" i="3"/>
  <c r="D168" i="3" s="1"/>
  <c r="CH167" i="3"/>
  <c r="CJ167" i="3" s="1"/>
  <c r="CL167" i="3" s="1"/>
  <c r="BN167" i="3"/>
  <c r="O167" i="3"/>
  <c r="F167" i="3"/>
  <c r="BJ167" i="3" s="1"/>
  <c r="CL166" i="3"/>
  <c r="CH166" i="3"/>
  <c r="CB166" i="3"/>
  <c r="CD166" i="3" s="1"/>
  <c r="BN166" i="3"/>
  <c r="O166" i="3"/>
  <c r="F166" i="3"/>
  <c r="D166" i="3" s="1"/>
  <c r="CK166" i="3" s="1"/>
  <c r="CN165" i="3"/>
  <c r="CH165" i="3"/>
  <c r="CB165" i="3"/>
  <c r="BN165" i="3"/>
  <c r="O165" i="3"/>
  <c r="H165" i="3"/>
  <c r="F165" i="3" s="1"/>
  <c r="BJ165" i="3" s="1"/>
  <c r="CF164" i="3"/>
  <c r="BN164" i="3"/>
  <c r="O164" i="3"/>
  <c r="F164" i="3"/>
  <c r="BJ164" i="3" s="1"/>
  <c r="CN163" i="3"/>
  <c r="BX163" i="3"/>
  <c r="BZ163" i="3" s="1"/>
  <c r="CB163" i="3" s="1"/>
  <c r="BN163" i="3"/>
  <c r="O163" i="3"/>
  <c r="H163" i="3"/>
  <c r="F163" i="3" s="1"/>
  <c r="BJ163" i="3" s="1"/>
  <c r="BN162" i="3"/>
  <c r="O162" i="3"/>
  <c r="F162" i="3"/>
  <c r="D162" i="3" s="1"/>
  <c r="Q162" i="3" s="1"/>
  <c r="CF161" i="3"/>
  <c r="CH161" i="3" s="1"/>
  <c r="BN161" i="3"/>
  <c r="O161" i="3"/>
  <c r="H161" i="3"/>
  <c r="F161" i="3" s="1"/>
  <c r="BJ161" i="3" s="1"/>
  <c r="BN160" i="3"/>
  <c r="O160" i="3"/>
  <c r="F160" i="3"/>
  <c r="BJ160" i="3" s="1"/>
  <c r="BN159" i="3"/>
  <c r="O159" i="3"/>
  <c r="F159" i="3"/>
  <c r="D159" i="3" s="1"/>
  <c r="Q159" i="3" s="1"/>
  <c r="BP158" i="3"/>
  <c r="BK158" i="3"/>
  <c r="P158" i="3"/>
  <c r="L158" i="3"/>
  <c r="K158" i="3"/>
  <c r="I158" i="3"/>
  <c r="G158" i="3"/>
  <c r="E158" i="3"/>
  <c r="BN156" i="3"/>
  <c r="O156" i="3"/>
  <c r="F156" i="3"/>
  <c r="BN155" i="3"/>
  <c r="O155" i="3"/>
  <c r="F155" i="3"/>
  <c r="D155" i="3" s="1"/>
  <c r="BN154" i="3"/>
  <c r="O154" i="3"/>
  <c r="F154" i="3"/>
  <c r="D154" i="3" s="1"/>
  <c r="CJ153" i="3"/>
  <c r="CJ148" i="3" s="1"/>
  <c r="CD153" i="3"/>
  <c r="CD148" i="3" s="1"/>
  <c r="BN153" i="3"/>
  <c r="O153" i="3"/>
  <c r="F153" i="3"/>
  <c r="D153" i="3" s="1"/>
  <c r="CO153" i="3" s="1"/>
  <c r="BN152" i="3"/>
  <c r="O152" i="3"/>
  <c r="F152" i="3"/>
  <c r="BM152" i="3" s="1"/>
  <c r="BN151" i="3"/>
  <c r="O151" i="3"/>
  <c r="F151" i="3"/>
  <c r="BM151" i="3" s="1"/>
  <c r="BN150" i="3"/>
  <c r="O150" i="3"/>
  <c r="F150" i="3"/>
  <c r="A150" i="3"/>
  <c r="A151" i="3" s="1"/>
  <c r="BN149" i="3"/>
  <c r="O149" i="3"/>
  <c r="F149" i="3"/>
  <c r="BM149" i="3" s="1"/>
  <c r="CN148" i="3"/>
  <c r="CL148" i="3"/>
  <c r="CH148" i="3"/>
  <c r="CB148" i="3"/>
  <c r="BZ148" i="3"/>
  <c r="BX148" i="3"/>
  <c r="BV148" i="3"/>
  <c r="BT148" i="3"/>
  <c r="BR148" i="3"/>
  <c r="BP148" i="3"/>
  <c r="BK148" i="3"/>
  <c r="BN148" i="3" s="1"/>
  <c r="N148" i="3"/>
  <c r="M148" i="3"/>
  <c r="L148" i="3"/>
  <c r="K148" i="3"/>
  <c r="I148" i="3"/>
  <c r="H148" i="3"/>
  <c r="G148" i="3"/>
  <c r="E148" i="3"/>
  <c r="BT146" i="3"/>
  <c r="BV146" i="3" s="1"/>
  <c r="BN146" i="3"/>
  <c r="O146" i="3"/>
  <c r="F146" i="3"/>
  <c r="BM146" i="3" s="1"/>
  <c r="BR145" i="3"/>
  <c r="BR144" i="3" s="1"/>
  <c r="BP145" i="3"/>
  <c r="BP144" i="3" s="1"/>
  <c r="BK145" i="3"/>
  <c r="BN145" i="3" s="1"/>
  <c r="L145" i="3"/>
  <c r="L144" i="3" s="1"/>
  <c r="K145" i="3"/>
  <c r="K144" i="3" s="1"/>
  <c r="I145" i="3"/>
  <c r="I144" i="3" s="1"/>
  <c r="H145" i="3"/>
  <c r="H144" i="3" s="1"/>
  <c r="G145" i="3"/>
  <c r="G144" i="3" s="1"/>
  <c r="E145" i="3"/>
  <c r="BN143" i="3"/>
  <c r="BM143" i="3"/>
  <c r="D143" i="3"/>
  <c r="CE143" i="3" s="1"/>
  <c r="BN142" i="3"/>
  <c r="BM142" i="3"/>
  <c r="D142" i="3"/>
  <c r="BL142" i="3" s="1"/>
  <c r="BN141" i="3"/>
  <c r="BM141" i="3"/>
  <c r="D141" i="3"/>
  <c r="BL141" i="3" s="1"/>
  <c r="BN140" i="3"/>
  <c r="BM140" i="3"/>
  <c r="D140" i="3"/>
  <c r="BL140" i="3" s="1"/>
  <c r="BN139" i="3"/>
  <c r="BM139" i="3"/>
  <c r="D139" i="3"/>
  <c r="BL139" i="3" s="1"/>
  <c r="BN138" i="3"/>
  <c r="O138" i="3"/>
  <c r="H138" i="3"/>
  <c r="H131" i="3" s="1"/>
  <c r="H130" i="3" s="1"/>
  <c r="BN137" i="3"/>
  <c r="O137" i="3"/>
  <c r="F137" i="3"/>
  <c r="BN136" i="3"/>
  <c r="O136" i="3"/>
  <c r="F136" i="3"/>
  <c r="BM136" i="3" s="1"/>
  <c r="BN135" i="3"/>
  <c r="O135" i="3"/>
  <c r="F135" i="3"/>
  <c r="BM135" i="3" s="1"/>
  <c r="BN134" i="3"/>
  <c r="O134" i="3"/>
  <c r="F134" i="3"/>
  <c r="D134" i="3" s="1"/>
  <c r="CO134" i="3" s="1"/>
  <c r="BN133" i="3"/>
  <c r="O133" i="3"/>
  <c r="F133" i="3"/>
  <c r="BJ133" i="3" s="1"/>
  <c r="A133" i="3"/>
  <c r="A134" i="3" s="1"/>
  <c r="BN132" i="3"/>
  <c r="O132" i="3"/>
  <c r="F132" i="3"/>
  <c r="BJ132" i="3" s="1"/>
  <c r="CN131" i="3"/>
  <c r="CN130" i="3" s="1"/>
  <c r="CL131" i="3"/>
  <c r="CL130" i="3" s="1"/>
  <c r="CJ131" i="3"/>
  <c r="CH131" i="3"/>
  <c r="CH130" i="3" s="1"/>
  <c r="CF131" i="3"/>
  <c r="CF130" i="3" s="1"/>
  <c r="CD131" i="3"/>
  <c r="CD130" i="3" s="1"/>
  <c r="CB131" i="3"/>
  <c r="CB130" i="3" s="1"/>
  <c r="BZ131" i="3"/>
  <c r="BZ130" i="3" s="1"/>
  <c r="BX131" i="3"/>
  <c r="BX130" i="3" s="1"/>
  <c r="BV131" i="3"/>
  <c r="BV130" i="3" s="1"/>
  <c r="BT131" i="3"/>
  <c r="BT130" i="3" s="1"/>
  <c r="BR131" i="3"/>
  <c r="BR130" i="3" s="1"/>
  <c r="BP131" i="3"/>
  <c r="BP130" i="3" s="1"/>
  <c r="AA131" i="3"/>
  <c r="X131" i="3"/>
  <c r="U131" i="3"/>
  <c r="N131" i="3"/>
  <c r="M131" i="3"/>
  <c r="L131" i="3"/>
  <c r="L130" i="3" s="1"/>
  <c r="K131" i="3"/>
  <c r="K130" i="3" s="1"/>
  <c r="I131" i="3"/>
  <c r="I130" i="3" s="1"/>
  <c r="G131" i="3"/>
  <c r="G130" i="3" s="1"/>
  <c r="E131" i="3"/>
  <c r="E130" i="3" s="1"/>
  <c r="CS129" i="3"/>
  <c r="BN129" i="3"/>
  <c r="H129" i="3"/>
  <c r="G129" i="3"/>
  <c r="O129" i="3" s="1"/>
  <c r="CS128" i="3"/>
  <c r="BN128" i="3"/>
  <c r="O128" i="3"/>
  <c r="H128" i="3"/>
  <c r="CS127" i="3"/>
  <c r="BN127" i="3"/>
  <c r="O127" i="3"/>
  <c r="F127" i="3"/>
  <c r="CS126" i="3"/>
  <c r="BN126" i="3"/>
  <c r="O126" i="3"/>
  <c r="F126" i="3"/>
  <c r="D126" i="3" s="1"/>
  <c r="BW126" i="3" s="1"/>
  <c r="CS125" i="3"/>
  <c r="BN125" i="3"/>
  <c r="O125" i="3"/>
  <c r="F125" i="3"/>
  <c r="BJ125" i="3" s="1"/>
  <c r="CS124" i="3"/>
  <c r="BN124" i="3"/>
  <c r="O124" i="3"/>
  <c r="F124" i="3"/>
  <c r="BJ124" i="3" s="1"/>
  <c r="CS123" i="3"/>
  <c r="BN123" i="3"/>
  <c r="O123" i="3"/>
  <c r="F123" i="3"/>
  <c r="D123" i="3" s="1"/>
  <c r="CS122" i="3"/>
  <c r="BN122" i="3"/>
  <c r="G122" i="3"/>
  <c r="O122" i="3" s="1"/>
  <c r="CS121" i="3"/>
  <c r="BN121" i="3"/>
  <c r="O121" i="3"/>
  <c r="F121" i="3"/>
  <c r="CS120" i="3"/>
  <c r="BN120" i="3"/>
  <c r="O120" i="3"/>
  <c r="F120" i="3"/>
  <c r="D120" i="3" s="1"/>
  <c r="CC120" i="3" s="1"/>
  <c r="CS119" i="3"/>
  <c r="BN119" i="3"/>
  <c r="O119" i="3"/>
  <c r="F119" i="3"/>
  <c r="D119" i="3" s="1"/>
  <c r="CS118" i="3"/>
  <c r="BN118" i="3"/>
  <c r="G118" i="3"/>
  <c r="O118" i="3" s="1"/>
  <c r="CS117" i="3"/>
  <c r="BN117" i="3"/>
  <c r="O117" i="3"/>
  <c r="F117" i="3"/>
  <c r="BJ117" i="3" s="1"/>
  <c r="CS116" i="3"/>
  <c r="BN116" i="3"/>
  <c r="O116" i="3"/>
  <c r="F116" i="3"/>
  <c r="BM116" i="3" s="1"/>
  <c r="CS115" i="3"/>
  <c r="BN115" i="3"/>
  <c r="G115" i="3"/>
  <c r="CS114" i="3"/>
  <c r="BN114" i="3"/>
  <c r="G114" i="3"/>
  <c r="F114" i="3" s="1"/>
  <c r="BJ114" i="3" s="1"/>
  <c r="CS113" i="3"/>
  <c r="BN113" i="3"/>
  <c r="O113" i="3"/>
  <c r="F113" i="3"/>
  <c r="BM113" i="3" s="1"/>
  <c r="CS112" i="3"/>
  <c r="BN112" i="3"/>
  <c r="G112" i="3"/>
  <c r="F112" i="3" s="1"/>
  <c r="D112" i="3" s="1"/>
  <c r="CS111" i="3"/>
  <c r="BN111" i="3"/>
  <c r="G111" i="3"/>
  <c r="O111" i="3" s="1"/>
  <c r="CS110" i="3"/>
  <c r="BN110" i="3"/>
  <c r="O110" i="3"/>
  <c r="F110" i="3"/>
  <c r="D110" i="3" s="1"/>
  <c r="Q110" i="3" s="1"/>
  <c r="CS109" i="3"/>
  <c r="BN109" i="3"/>
  <c r="G109" i="3"/>
  <c r="F109" i="3" s="1"/>
  <c r="BJ109" i="3" s="1"/>
  <c r="CS108" i="3"/>
  <c r="BN108" i="3"/>
  <c r="G108" i="3"/>
  <c r="O108" i="3" s="1"/>
  <c r="CS107" i="3"/>
  <c r="BN107" i="3"/>
  <c r="O107" i="3"/>
  <c r="F107" i="3"/>
  <c r="BJ107" i="3" s="1"/>
  <c r="CS106" i="3"/>
  <c r="BN106" i="3"/>
  <c r="G106" i="3"/>
  <c r="O106" i="3" s="1"/>
  <c r="CS105" i="3"/>
  <c r="BN105" i="3"/>
  <c r="O105" i="3"/>
  <c r="F105" i="3"/>
  <c r="CS104" i="3"/>
  <c r="BN104" i="3"/>
  <c r="O104" i="3"/>
  <c r="F104" i="3"/>
  <c r="D104" i="3" s="1"/>
  <c r="Q104" i="3" s="1"/>
  <c r="CS103" i="3"/>
  <c r="BN103" i="3"/>
  <c r="G103" i="3"/>
  <c r="F103" i="3" s="1"/>
  <c r="BJ103" i="3" s="1"/>
  <c r="CS102" i="3"/>
  <c r="BN102" i="3"/>
  <c r="O102" i="3"/>
  <c r="F102" i="3"/>
  <c r="CS101" i="3"/>
  <c r="BN101" i="3"/>
  <c r="O101" i="3"/>
  <c r="F101" i="3"/>
  <c r="CS100" i="3"/>
  <c r="BN100" i="3"/>
  <c r="O100" i="3"/>
  <c r="F100" i="3"/>
  <c r="BM100" i="3" s="1"/>
  <c r="CS99" i="3"/>
  <c r="BN99" i="3"/>
  <c r="O99" i="3"/>
  <c r="F99" i="3"/>
  <c r="BM99" i="3" s="1"/>
  <c r="CS98" i="3"/>
  <c r="BN98" i="3"/>
  <c r="O98" i="3"/>
  <c r="F98" i="3"/>
  <c r="D98" i="3" s="1"/>
  <c r="Q98" i="3" s="1"/>
  <c r="CS97" i="3"/>
  <c r="BN97" i="3"/>
  <c r="O97" i="3"/>
  <c r="F97" i="3"/>
  <c r="BM97" i="3" s="1"/>
  <c r="CS96" i="3"/>
  <c r="BN96" i="3"/>
  <c r="G96" i="3"/>
  <c r="O96" i="3" s="1"/>
  <c r="CS95" i="3"/>
  <c r="BN95" i="3"/>
  <c r="G95" i="3"/>
  <c r="CS94" i="3"/>
  <c r="BN94" i="3"/>
  <c r="G94" i="3"/>
  <c r="O94" i="3" s="1"/>
  <c r="CS93" i="3"/>
  <c r="BN93" i="3"/>
  <c r="O93" i="3"/>
  <c r="H93" i="3"/>
  <c r="F93" i="3" s="1"/>
  <c r="BJ93" i="3" s="1"/>
  <c r="CS92" i="3"/>
  <c r="BN92" i="3"/>
  <c r="G92" i="3"/>
  <c r="CS91" i="3"/>
  <c r="BN91" i="3"/>
  <c r="O91" i="3"/>
  <c r="F91" i="3"/>
  <c r="BM91" i="3" s="1"/>
  <c r="CS90" i="3"/>
  <c r="BN90" i="3"/>
  <c r="O90" i="3"/>
  <c r="F90" i="3"/>
  <c r="BJ90" i="3" s="1"/>
  <c r="CS89" i="3"/>
  <c r="BN89" i="3"/>
  <c r="G89" i="3"/>
  <c r="O89" i="3" s="1"/>
  <c r="CS88" i="3"/>
  <c r="BN88" i="3"/>
  <c r="O88" i="3"/>
  <c r="F88" i="3"/>
  <c r="BM88" i="3" s="1"/>
  <c r="CS87" i="3"/>
  <c r="BN87" i="3"/>
  <c r="O87" i="3"/>
  <c r="F87" i="3"/>
  <c r="BM87" i="3" s="1"/>
  <c r="CS86" i="3"/>
  <c r="BN86" i="3"/>
  <c r="O86" i="3"/>
  <c r="F86" i="3"/>
  <c r="BJ86" i="3" s="1"/>
  <c r="CS85" i="3"/>
  <c r="BN85" i="3"/>
  <c r="O85" i="3"/>
  <c r="F85" i="3"/>
  <c r="CS84" i="3"/>
  <c r="BN84" i="3"/>
  <c r="O84" i="3"/>
  <c r="F84" i="3"/>
  <c r="BJ84" i="3" s="1"/>
  <c r="CS83" i="3"/>
  <c r="BN83" i="3"/>
  <c r="O83" i="3"/>
  <c r="F83" i="3"/>
  <c r="BJ83" i="3" s="1"/>
  <c r="CS82" i="3"/>
  <c r="BN82" i="3"/>
  <c r="O82" i="3"/>
  <c r="F82" i="3"/>
  <c r="BJ82" i="3" s="1"/>
  <c r="CS81" i="3"/>
  <c r="BN81" i="3"/>
  <c r="O81" i="3"/>
  <c r="F81" i="3"/>
  <c r="CN80" i="3"/>
  <c r="CL80" i="3"/>
  <c r="CJ80" i="3"/>
  <c r="CH80" i="3"/>
  <c r="CF80" i="3"/>
  <c r="CD80" i="3"/>
  <c r="CB80" i="3"/>
  <c r="BZ80" i="3"/>
  <c r="BX80" i="3"/>
  <c r="BV80" i="3"/>
  <c r="BT80" i="3"/>
  <c r="BR80" i="3"/>
  <c r="BP80" i="3"/>
  <c r="BK80" i="3"/>
  <c r="BN80" i="3" s="1"/>
  <c r="L80" i="3"/>
  <c r="K80" i="3"/>
  <c r="I80" i="3"/>
  <c r="E80" i="3"/>
  <c r="CS79" i="3"/>
  <c r="BN79" i="3"/>
  <c r="O79" i="3"/>
  <c r="F79" i="3"/>
  <c r="CS78" i="3"/>
  <c r="BN78" i="3"/>
  <c r="O78" i="3"/>
  <c r="F78" i="3"/>
  <c r="BM78" i="3" s="1"/>
  <c r="CS77" i="3"/>
  <c r="BN77" i="3"/>
  <c r="O77" i="3"/>
  <c r="H77" i="3"/>
  <c r="CS76" i="3"/>
  <c r="BN76" i="3"/>
  <c r="BF76" i="3"/>
  <c r="O76" i="3"/>
  <c r="F76" i="3"/>
  <c r="BM76" i="3" s="1"/>
  <c r="CS75" i="3"/>
  <c r="BN75" i="3"/>
  <c r="O75" i="3"/>
  <c r="F75" i="3"/>
  <c r="D75" i="3" s="1"/>
  <c r="CS74" i="3"/>
  <c r="BN74" i="3"/>
  <c r="O74" i="3"/>
  <c r="F74" i="3"/>
  <c r="BM74" i="3" s="1"/>
  <c r="CS73" i="3"/>
  <c r="BN73" i="3"/>
  <c r="O73" i="3"/>
  <c r="K73" i="3"/>
  <c r="K71" i="3" s="1"/>
  <c r="A73" i="3"/>
  <c r="A74" i="3" s="1"/>
  <c r="A75" i="3" s="1"/>
  <c r="CS72" i="3"/>
  <c r="BN72" i="3"/>
  <c r="O72" i="3"/>
  <c r="F72" i="3"/>
  <c r="BM72" i="3" s="1"/>
  <c r="CN71" i="3"/>
  <c r="CL71" i="3"/>
  <c r="CJ71" i="3"/>
  <c r="CH71" i="3"/>
  <c r="CF71" i="3"/>
  <c r="CD71" i="3"/>
  <c r="CB71" i="3"/>
  <c r="BZ71" i="3"/>
  <c r="BX71" i="3"/>
  <c r="BV71" i="3"/>
  <c r="BT71" i="3"/>
  <c r="BR71" i="3"/>
  <c r="BP71" i="3"/>
  <c r="BK71" i="3"/>
  <c r="CS71" i="3" s="1"/>
  <c r="L71" i="3"/>
  <c r="I71" i="3"/>
  <c r="G71" i="3"/>
  <c r="E71" i="3"/>
  <c r="J69" i="3"/>
  <c r="CS68" i="3"/>
  <c r="BN68" i="3"/>
  <c r="O68" i="3"/>
  <c r="H68" i="3"/>
  <c r="F68" i="3" s="1"/>
  <c r="BJ68" i="3" s="1"/>
  <c r="CS67" i="3"/>
  <c r="CN67" i="3"/>
  <c r="CL67" i="3"/>
  <c r="CJ67" i="3"/>
  <c r="CH67" i="3"/>
  <c r="CF67" i="3"/>
  <c r="CD67" i="3"/>
  <c r="CB67" i="3"/>
  <c r="BZ67" i="3"/>
  <c r="BX67" i="3"/>
  <c r="BV67" i="3"/>
  <c r="BN67" i="3"/>
  <c r="O67" i="3"/>
  <c r="F67" i="3"/>
  <c r="CS66" i="3"/>
  <c r="BN66" i="3"/>
  <c r="O66" i="3"/>
  <c r="F66" i="3"/>
  <c r="D66" i="3" s="1"/>
  <c r="Q66" i="3" s="1"/>
  <c r="CS65" i="3"/>
  <c r="CN65" i="3"/>
  <c r="CL65" i="3"/>
  <c r="CJ65" i="3"/>
  <c r="CH65" i="3"/>
  <c r="CF65" i="3"/>
  <c r="CD65" i="3"/>
  <c r="CB65" i="3"/>
  <c r="BZ65" i="3"/>
  <c r="BN65" i="3"/>
  <c r="O65" i="3"/>
  <c r="F65" i="3"/>
  <c r="BJ65" i="3" s="1"/>
  <c r="CS64" i="3"/>
  <c r="CN64" i="3"/>
  <c r="CL64" i="3"/>
  <c r="CJ64" i="3"/>
  <c r="CH64" i="3"/>
  <c r="BN64" i="3"/>
  <c r="O64" i="3"/>
  <c r="F64" i="3"/>
  <c r="BJ64" i="3" s="1"/>
  <c r="CS63" i="3"/>
  <c r="BN63" i="3"/>
  <c r="O63" i="3"/>
  <c r="F63" i="3"/>
  <c r="BJ63" i="3" s="1"/>
  <c r="CS62" i="3"/>
  <c r="CN62" i="3"/>
  <c r="CL62" i="3"/>
  <c r="CJ62" i="3"/>
  <c r="BN62" i="3"/>
  <c r="O62" i="3"/>
  <c r="F62" i="3"/>
  <c r="BJ62" i="3" s="1"/>
  <c r="CS61" i="3"/>
  <c r="CN61" i="3"/>
  <c r="CL61" i="3"/>
  <c r="CJ61" i="3"/>
  <c r="CH61" i="3"/>
  <c r="CF61" i="3"/>
  <c r="CD61" i="3"/>
  <c r="CB61" i="3"/>
  <c r="BZ61" i="3"/>
  <c r="BX61" i="3"/>
  <c r="BV61" i="3"/>
  <c r="BT61" i="3"/>
  <c r="BR61" i="3"/>
  <c r="BR41" i="3" s="1"/>
  <c r="BN61" i="3"/>
  <c r="O61" i="3"/>
  <c r="F61" i="3"/>
  <c r="BM61" i="3" s="1"/>
  <c r="CS60" i="3"/>
  <c r="BN60" i="3"/>
  <c r="O60" i="3"/>
  <c r="F60" i="3"/>
  <c r="BJ60" i="3" s="1"/>
  <c r="CS59" i="3"/>
  <c r="BN59" i="3"/>
  <c r="O59" i="3"/>
  <c r="F59" i="3"/>
  <c r="D59" i="3" s="1"/>
  <c r="CI59" i="3" s="1"/>
  <c r="CS58" i="3"/>
  <c r="BN58" i="3"/>
  <c r="O58" i="3"/>
  <c r="F58" i="3"/>
  <c r="BM58" i="3" s="1"/>
  <c r="CS57" i="3"/>
  <c r="BN57" i="3"/>
  <c r="O57" i="3"/>
  <c r="H57" i="3"/>
  <c r="F57" i="3" s="1"/>
  <c r="BJ57" i="3" s="1"/>
  <c r="CS56" i="3"/>
  <c r="BN56" i="3"/>
  <c r="O56" i="3"/>
  <c r="F56" i="3"/>
  <c r="BM56" i="3" s="1"/>
  <c r="CS55" i="3"/>
  <c r="CN55" i="3"/>
  <c r="CL55" i="3"/>
  <c r="CJ55" i="3"/>
  <c r="CH55" i="3"/>
  <c r="CF55" i="3"/>
  <c r="CD55" i="3"/>
  <c r="CB55" i="3"/>
  <c r="BZ55" i="3"/>
  <c r="BX55" i="3"/>
  <c r="BV55" i="3"/>
  <c r="BN55" i="3"/>
  <c r="O55" i="3"/>
  <c r="H55" i="3"/>
  <c r="F55" i="3" s="1"/>
  <c r="BJ55" i="3" s="1"/>
  <c r="CS54" i="3"/>
  <c r="CN54" i="3"/>
  <c r="CL54" i="3"/>
  <c r="CJ54" i="3"/>
  <c r="CH54" i="3"/>
  <c r="CF54" i="3"/>
  <c r="BN54" i="3"/>
  <c r="O54" i="3"/>
  <c r="F54" i="3"/>
  <c r="BJ54" i="3" s="1"/>
  <c r="CS53" i="3"/>
  <c r="BN53" i="3"/>
  <c r="O53" i="3"/>
  <c r="F53" i="3"/>
  <c r="BJ53" i="3" s="1"/>
  <c r="CS52" i="3"/>
  <c r="BN52" i="3"/>
  <c r="O52" i="3"/>
  <c r="F52" i="3"/>
  <c r="BM52" i="3" s="1"/>
  <c r="CS51" i="3"/>
  <c r="BN51" i="3"/>
  <c r="O51" i="3"/>
  <c r="F51" i="3"/>
  <c r="BJ51" i="3" s="1"/>
  <c r="CS50" i="3"/>
  <c r="BN50" i="3"/>
  <c r="O50" i="3"/>
  <c r="F50" i="3"/>
  <c r="BM50" i="3" s="1"/>
  <c r="CS49" i="3"/>
  <c r="BN49" i="3"/>
  <c r="O49" i="3"/>
  <c r="F49" i="3"/>
  <c r="BJ49" i="3" s="1"/>
  <c r="CS48" i="3"/>
  <c r="CN48" i="3"/>
  <c r="CL48" i="3"/>
  <c r="CJ48" i="3"/>
  <c r="CH48" i="3"/>
  <c r="CF48" i="3"/>
  <c r="CD48" i="3"/>
  <c r="CB48" i="3"/>
  <c r="BZ48" i="3"/>
  <c r="BX48" i="3"/>
  <c r="BV48" i="3"/>
  <c r="BT48" i="3"/>
  <c r="BN48" i="3"/>
  <c r="O48" i="3"/>
  <c r="F48" i="3"/>
  <c r="BJ48" i="3" s="1"/>
  <c r="CS47" i="3"/>
  <c r="BN47" i="3"/>
  <c r="O47" i="3"/>
  <c r="F47" i="3"/>
  <c r="BM47" i="3" s="1"/>
  <c r="CS46" i="3"/>
  <c r="BN46" i="3"/>
  <c r="O46" i="3"/>
  <c r="F46" i="3"/>
  <c r="CS45" i="3"/>
  <c r="CN45" i="3"/>
  <c r="BN45" i="3"/>
  <c r="O45" i="3"/>
  <c r="F45" i="3"/>
  <c r="BM45" i="3" s="1"/>
  <c r="CS44" i="3"/>
  <c r="CN44" i="3"/>
  <c r="CL44" i="3"/>
  <c r="CJ44" i="3"/>
  <c r="CH44" i="3"/>
  <c r="CF44" i="3"/>
  <c r="CD44" i="3"/>
  <c r="CB44" i="3"/>
  <c r="BZ44" i="3"/>
  <c r="BN44" i="3"/>
  <c r="O44" i="3"/>
  <c r="F44" i="3"/>
  <c r="BJ44" i="3" s="1"/>
  <c r="CS43" i="3"/>
  <c r="CN43" i="3"/>
  <c r="CL43" i="3"/>
  <c r="BN43" i="3"/>
  <c r="O43" i="3"/>
  <c r="F43" i="3"/>
  <c r="CS42" i="3"/>
  <c r="BN42" i="3"/>
  <c r="O42" i="3"/>
  <c r="D42" i="3"/>
  <c r="Q42" i="3" s="1"/>
  <c r="BP41" i="3"/>
  <c r="BK41" i="3"/>
  <c r="CS41" i="3" s="1"/>
  <c r="L41" i="3"/>
  <c r="K41" i="3"/>
  <c r="I41" i="3"/>
  <c r="G41" i="3"/>
  <c r="E41" i="3"/>
  <c r="CS40" i="3"/>
  <c r="CN40" i="3"/>
  <c r="CL40" i="3"/>
  <c r="CJ40" i="3"/>
  <c r="CH40" i="3"/>
  <c r="CF40" i="3"/>
  <c r="CD40" i="3"/>
  <c r="CB40" i="3"/>
  <c r="BZ40" i="3"/>
  <c r="BN40" i="3"/>
  <c r="O40" i="3"/>
  <c r="H40" i="3"/>
  <c r="F40" i="3" s="1"/>
  <c r="BJ40" i="3" s="1"/>
  <c r="CS39" i="3"/>
  <c r="CN39" i="3"/>
  <c r="BN39" i="3"/>
  <c r="O39" i="3"/>
  <c r="F39" i="3"/>
  <c r="BM39" i="3" s="1"/>
  <c r="CS38" i="3"/>
  <c r="CN38" i="3"/>
  <c r="BN38" i="3"/>
  <c r="O38" i="3"/>
  <c r="H38" i="3"/>
  <c r="F38" i="3"/>
  <c r="BM38" i="3" s="1"/>
  <c r="CS37" i="3"/>
  <c r="BN37" i="3"/>
  <c r="O37" i="3"/>
  <c r="H37" i="3"/>
  <c r="F37" i="3" s="1"/>
  <c r="BJ37" i="3" s="1"/>
  <c r="CS36" i="3"/>
  <c r="CN36" i="3"/>
  <c r="CL36" i="3"/>
  <c r="BN36" i="3"/>
  <c r="H36" i="3"/>
  <c r="G36" i="3"/>
  <c r="O36" i="3" s="1"/>
  <c r="CS35" i="3"/>
  <c r="CL35" i="3"/>
  <c r="BN35" i="3"/>
  <c r="O35" i="3"/>
  <c r="F35" i="3"/>
  <c r="CS34" i="3"/>
  <c r="BN34" i="3"/>
  <c r="O34" i="3"/>
  <c r="F34" i="3"/>
  <c r="D34" i="3" s="1"/>
  <c r="CS33" i="3"/>
  <c r="BN33" i="3"/>
  <c r="O33" i="3"/>
  <c r="F33" i="3"/>
  <c r="BM33" i="3" s="1"/>
  <c r="CS32" i="3"/>
  <c r="CN32" i="3"/>
  <c r="CL32" i="3"/>
  <c r="BN32" i="3"/>
  <c r="O32" i="3"/>
  <c r="H32" i="3"/>
  <c r="F32" i="3" s="1"/>
  <c r="BJ32" i="3" s="1"/>
  <c r="CS31" i="3"/>
  <c r="CN31" i="3"/>
  <c r="CL31" i="3"/>
  <c r="CJ31" i="3"/>
  <c r="CH31" i="3"/>
  <c r="CF31" i="3"/>
  <c r="CD31" i="3"/>
  <c r="CB31" i="3"/>
  <c r="BZ31" i="3"/>
  <c r="BX31" i="3"/>
  <c r="BV31" i="3"/>
  <c r="BT31" i="3"/>
  <c r="BT21" i="3" s="1"/>
  <c r="BN31" i="3"/>
  <c r="O31" i="3"/>
  <c r="F31" i="3"/>
  <c r="BM31" i="3" s="1"/>
  <c r="CS30" i="3"/>
  <c r="CN30" i="3"/>
  <c r="CL30" i="3"/>
  <c r="BN30" i="3"/>
  <c r="O30" i="3"/>
  <c r="F30" i="3"/>
  <c r="CS29" i="3"/>
  <c r="CN29" i="3"/>
  <c r="CL29" i="3"/>
  <c r="BN29" i="3"/>
  <c r="O29" i="3"/>
  <c r="F29" i="3"/>
  <c r="BM29" i="3" s="1"/>
  <c r="CS28" i="3"/>
  <c r="CN28" i="3"/>
  <c r="CL28" i="3"/>
  <c r="BN28" i="3"/>
  <c r="O28" i="3"/>
  <c r="F28" i="3"/>
  <c r="D28" i="3" s="1"/>
  <c r="BS28" i="3" s="1"/>
  <c r="CS27" i="3"/>
  <c r="CN27" i="3"/>
  <c r="CL27" i="3"/>
  <c r="BN27" i="3"/>
  <c r="O27" i="3"/>
  <c r="F27" i="3"/>
  <c r="BJ27" i="3" s="1"/>
  <c r="CS26" i="3"/>
  <c r="CN26" i="3"/>
  <c r="CL26" i="3"/>
  <c r="BN26" i="3"/>
  <c r="BF26" i="3"/>
  <c r="O26" i="3"/>
  <c r="F26" i="3"/>
  <c r="BJ26" i="3" s="1"/>
  <c r="CS25" i="3"/>
  <c r="CN25" i="3"/>
  <c r="CL25" i="3"/>
  <c r="CJ25" i="3"/>
  <c r="CH25" i="3"/>
  <c r="CF25" i="3"/>
  <c r="BN25" i="3"/>
  <c r="O25" i="3"/>
  <c r="F25" i="3"/>
  <c r="CS24" i="3"/>
  <c r="BN24" i="3"/>
  <c r="O24" i="3"/>
  <c r="F24" i="3"/>
  <c r="CS23" i="3"/>
  <c r="BV23" i="3"/>
  <c r="BN23" i="3"/>
  <c r="O23" i="3"/>
  <c r="F23" i="3"/>
  <c r="BJ23" i="3" s="1"/>
  <c r="CS22" i="3"/>
  <c r="BN22" i="3"/>
  <c r="O22" i="3"/>
  <c r="F22" i="3"/>
  <c r="A22" i="3"/>
  <c r="BX21" i="3"/>
  <c r="BR21" i="3"/>
  <c r="BP21" i="3"/>
  <c r="BK21" i="3"/>
  <c r="AZ21" i="3"/>
  <c r="P21" i="3"/>
  <c r="L21" i="3"/>
  <c r="K21" i="3"/>
  <c r="I21" i="3"/>
  <c r="E21" i="3"/>
  <c r="CS20" i="3"/>
  <c r="BN20" i="3"/>
  <c r="BM20" i="3"/>
  <c r="D20" i="3"/>
  <c r="BU20" i="3" s="1"/>
  <c r="CN19" i="3"/>
  <c r="CL19" i="3"/>
  <c r="CJ19" i="3"/>
  <c r="CH19" i="3"/>
  <c r="CF19" i="3"/>
  <c r="CD19" i="3"/>
  <c r="CB19" i="3"/>
  <c r="BZ19" i="3"/>
  <c r="BX19" i="3"/>
  <c r="BV19" i="3"/>
  <c r="BT19" i="3"/>
  <c r="BR19" i="3"/>
  <c r="BP19" i="3"/>
  <c r="BK19" i="3"/>
  <c r="CS19" i="3" s="1"/>
  <c r="O19" i="3"/>
  <c r="N19" i="3"/>
  <c r="N17" i="3" s="1"/>
  <c r="M19" i="3"/>
  <c r="M17" i="3" s="1"/>
  <c r="L19" i="3"/>
  <c r="K19" i="3"/>
  <c r="I19" i="3"/>
  <c r="H19" i="3"/>
  <c r="G19" i="3"/>
  <c r="F19" i="3"/>
  <c r="E19" i="3"/>
  <c r="CS18" i="3"/>
  <c r="F18" i="3"/>
  <c r="D18" i="3" s="1"/>
  <c r="BL18" i="3" s="1"/>
  <c r="AZ17" i="3"/>
  <c r="J17" i="3"/>
  <c r="CN16" i="3"/>
  <c r="CL16" i="3"/>
  <c r="CJ16" i="3"/>
  <c r="CH16" i="3"/>
  <c r="CF16" i="3"/>
  <c r="CD16" i="3"/>
  <c r="CB16" i="3"/>
  <c r="BZ16" i="3"/>
  <c r="BX16" i="3"/>
  <c r="BV16" i="3"/>
  <c r="BT16" i="3"/>
  <c r="BR16" i="3"/>
  <c r="BP16" i="3"/>
  <c r="AA16" i="3"/>
  <c r="X16" i="3"/>
  <c r="U16" i="3"/>
  <c r="P16" i="3"/>
  <c r="O16" i="3"/>
  <c r="N16" i="3"/>
  <c r="M16" i="3"/>
  <c r="L16" i="3"/>
  <c r="K14" i="3"/>
  <c r="DC3" i="3"/>
  <c r="F483" i="3" l="1"/>
  <c r="BJ483" i="3" s="1"/>
  <c r="G554" i="3"/>
  <c r="CP91" i="3"/>
  <c r="CQ91" i="3"/>
  <c r="CQ368" i="3"/>
  <c r="CP368" i="3"/>
  <c r="CP461" i="3"/>
  <c r="CQ461" i="3"/>
  <c r="CQ38" i="3"/>
  <c r="CP38" i="3"/>
  <c r="CQ50" i="3"/>
  <c r="CP50" i="3"/>
  <c r="CQ74" i="3"/>
  <c r="CP74" i="3"/>
  <c r="CP141" i="3"/>
  <c r="CQ141" i="3"/>
  <c r="CP333" i="3"/>
  <c r="CQ333" i="3"/>
  <c r="CP539" i="3"/>
  <c r="CQ539" i="3"/>
  <c r="CP33" i="3"/>
  <c r="CQ33" i="3"/>
  <c r="CP47" i="3"/>
  <c r="CQ47" i="3"/>
  <c r="CQ170" i="3"/>
  <c r="CP170" i="3"/>
  <c r="CQ172" i="3"/>
  <c r="CP172" i="3"/>
  <c r="CP241" i="3"/>
  <c r="CQ241" i="3"/>
  <c r="CP255" i="3"/>
  <c r="CQ255" i="3"/>
  <c r="CP424" i="3"/>
  <c r="CQ424" i="3"/>
  <c r="CQ516" i="3"/>
  <c r="CP516" i="3"/>
  <c r="CP556" i="3"/>
  <c r="CQ556" i="3"/>
  <c r="CP511" i="3"/>
  <c r="CQ511" i="3"/>
  <c r="CP61" i="3"/>
  <c r="CQ61" i="3"/>
  <c r="CQ116" i="3"/>
  <c r="CP116" i="3"/>
  <c r="CQ152" i="3"/>
  <c r="CP152" i="3"/>
  <c r="CQ264" i="3"/>
  <c r="CP264" i="3"/>
  <c r="CP315" i="3"/>
  <c r="CQ315" i="3"/>
  <c r="CP519" i="3"/>
  <c r="CQ519" i="3"/>
  <c r="CP29" i="3"/>
  <c r="CQ29" i="3"/>
  <c r="CP31" i="3"/>
  <c r="CQ31" i="3"/>
  <c r="CP45" i="3"/>
  <c r="CQ45" i="3"/>
  <c r="CP113" i="3"/>
  <c r="CQ113" i="3"/>
  <c r="CP149" i="3"/>
  <c r="CQ149" i="3"/>
  <c r="CP207" i="3"/>
  <c r="CQ207" i="3"/>
  <c r="CQ402" i="3"/>
  <c r="CP402" i="3"/>
  <c r="CP427" i="3"/>
  <c r="CQ427" i="3"/>
  <c r="CQ564" i="3"/>
  <c r="CP564" i="3"/>
  <c r="CQ302" i="3"/>
  <c r="CP302" i="3"/>
  <c r="CP151" i="3"/>
  <c r="CQ151" i="3"/>
  <c r="CP99" i="3"/>
  <c r="CQ99" i="3"/>
  <c r="CP303" i="3"/>
  <c r="CQ303" i="3"/>
  <c r="CP72" i="3"/>
  <c r="CQ72" i="3"/>
  <c r="CQ142" i="3"/>
  <c r="CP142" i="3"/>
  <c r="CP204" i="3"/>
  <c r="CQ204" i="3"/>
  <c r="CP39" i="3"/>
  <c r="CQ39" i="3"/>
  <c r="CQ97" i="3"/>
  <c r="CP97" i="3"/>
  <c r="CQ100" i="3"/>
  <c r="CP100" i="3"/>
  <c r="CP139" i="3"/>
  <c r="CQ139" i="3"/>
  <c r="CP143" i="3"/>
  <c r="CQ143" i="3"/>
  <c r="CQ176" i="3"/>
  <c r="CP176" i="3"/>
  <c r="CP369" i="3"/>
  <c r="CQ369" i="3"/>
  <c r="CP471" i="3"/>
  <c r="CQ471" i="3"/>
  <c r="CP543" i="3"/>
  <c r="CQ543" i="3"/>
  <c r="CP244" i="3"/>
  <c r="CQ244" i="3"/>
  <c r="CP484" i="3"/>
  <c r="CQ484" i="3"/>
  <c r="CQ452" i="3"/>
  <c r="CP452" i="3"/>
  <c r="CQ528" i="3"/>
  <c r="CP528" i="3"/>
  <c r="CP78" i="3"/>
  <c r="CQ78" i="3"/>
  <c r="CP135" i="3"/>
  <c r="CQ135" i="3"/>
  <c r="CQ146" i="3"/>
  <c r="CP146" i="3"/>
  <c r="CP268" i="3"/>
  <c r="CQ268" i="3"/>
  <c r="CQ558" i="3"/>
  <c r="CP558" i="3"/>
  <c r="CP581" i="3"/>
  <c r="CQ581" i="3"/>
  <c r="CP87" i="3"/>
  <c r="CQ87" i="3"/>
  <c r="CQ202" i="3"/>
  <c r="CP202" i="3"/>
  <c r="CQ310" i="3"/>
  <c r="CP310" i="3"/>
  <c r="CP387" i="3"/>
  <c r="CQ387" i="3"/>
  <c r="CQ418" i="3"/>
  <c r="CP418" i="3"/>
  <c r="CQ480" i="3"/>
  <c r="CP480" i="3"/>
  <c r="CP489" i="3"/>
  <c r="CQ489" i="3"/>
  <c r="CP508" i="3"/>
  <c r="CQ508" i="3"/>
  <c r="CQ56" i="3"/>
  <c r="CP56" i="3"/>
  <c r="CP256" i="3"/>
  <c r="CQ256" i="3"/>
  <c r="CP411" i="3"/>
  <c r="CQ411" i="3"/>
  <c r="CP532" i="3"/>
  <c r="CQ532" i="3"/>
  <c r="CQ536" i="3"/>
  <c r="CP536" i="3"/>
  <c r="CQ52" i="3"/>
  <c r="CP52" i="3"/>
  <c r="CQ76" i="3"/>
  <c r="CP76" i="3"/>
  <c r="CQ136" i="3"/>
  <c r="CP136" i="3"/>
  <c r="CP251" i="3"/>
  <c r="CQ251" i="3"/>
  <c r="CP274" i="3"/>
  <c r="CQ274" i="3"/>
  <c r="CP430" i="3"/>
  <c r="CQ430" i="3"/>
  <c r="CQ533" i="3"/>
  <c r="CP533" i="3"/>
  <c r="CQ58" i="3"/>
  <c r="CP58" i="3"/>
  <c r="CQ88" i="3"/>
  <c r="CP88" i="3"/>
  <c r="CQ178" i="3"/>
  <c r="CP178" i="3"/>
  <c r="CP193" i="3"/>
  <c r="CQ193" i="3"/>
  <c r="CP250" i="3"/>
  <c r="CQ250" i="3"/>
  <c r="CP429" i="3"/>
  <c r="CQ429" i="3"/>
  <c r="CP437" i="3"/>
  <c r="CQ437" i="3"/>
  <c r="CP455" i="3"/>
  <c r="CQ455" i="3"/>
  <c r="CQ20" i="3"/>
  <c r="CP20" i="3"/>
  <c r="CQ140" i="3"/>
  <c r="CP140" i="3"/>
  <c r="CQ184" i="3"/>
  <c r="CP184" i="3"/>
  <c r="CQ254" i="3"/>
  <c r="CP254" i="3"/>
  <c r="CQ284" i="3"/>
  <c r="CP284" i="3"/>
  <c r="CQ472" i="3"/>
  <c r="CP472" i="3"/>
  <c r="CP226" i="3"/>
  <c r="CQ226" i="3"/>
  <c r="CQ230" i="3"/>
  <c r="CP230" i="3"/>
  <c r="CP239" i="3"/>
  <c r="CQ239" i="3"/>
  <c r="CJ514" i="3"/>
  <c r="D437" i="3"/>
  <c r="CK437" i="3" s="1"/>
  <c r="D471" i="3"/>
  <c r="CC471" i="3" s="1"/>
  <c r="F94" i="3"/>
  <c r="BM94" i="3" s="1"/>
  <c r="D132" i="3"/>
  <c r="CG132" i="3" s="1"/>
  <c r="K216" i="3"/>
  <c r="D442" i="3"/>
  <c r="BU442" i="3" s="1"/>
  <c r="BJ551" i="3"/>
  <c r="BJ204" i="3"/>
  <c r="BV21" i="3"/>
  <c r="BJ420" i="3"/>
  <c r="BJ59" i="3"/>
  <c r="D151" i="3"/>
  <c r="BS151" i="3" s="1"/>
  <c r="BJ251" i="3"/>
  <c r="CM67" i="4"/>
  <c r="CQ53" i="4"/>
  <c r="BW49" i="4"/>
  <c r="CE67" i="4"/>
  <c r="CF67" i="4" s="1"/>
  <c r="BJ399" i="3"/>
  <c r="BJ507" i="3"/>
  <c r="CL514" i="3"/>
  <c r="BJ555" i="3"/>
  <c r="BP554" i="3"/>
  <c r="BJ360" i="3"/>
  <c r="CB69" i="3"/>
  <c r="BJ263" i="3"/>
  <c r="N537" i="3"/>
  <c r="BJ543" i="3"/>
  <c r="D87" i="3"/>
  <c r="BY87" i="3" s="1"/>
  <c r="D90" i="3"/>
  <c r="Q90" i="3" s="1"/>
  <c r="BJ396" i="3"/>
  <c r="BJ589" i="3"/>
  <c r="BJ312" i="3"/>
  <c r="BJ538" i="3"/>
  <c r="BJ351" i="3"/>
  <c r="G216" i="3"/>
  <c r="BJ586" i="3"/>
  <c r="BJ460" i="3"/>
  <c r="BP69" i="3"/>
  <c r="BX545" i="3"/>
  <c r="BJ580" i="3"/>
  <c r="BJ237" i="3"/>
  <c r="BN305" i="3"/>
  <c r="D455" i="3"/>
  <c r="CI455" i="3" s="1"/>
  <c r="BJ576" i="3"/>
  <c r="BJ455" i="3"/>
  <c r="BY82" i="4"/>
  <c r="BZ82" i="4" s="1"/>
  <c r="CG120" i="4"/>
  <c r="CH120" i="4" s="1"/>
  <c r="CQ42" i="4"/>
  <c r="CR42" i="4" s="1"/>
  <c r="CQ83" i="4"/>
  <c r="BV79" i="4"/>
  <c r="CM120" i="4"/>
  <c r="CK72" i="4"/>
  <c r="CA120" i="4"/>
  <c r="CB120" i="4" s="1"/>
  <c r="CM102" i="4"/>
  <c r="CO67" i="4"/>
  <c r="CP67" i="4" s="1"/>
  <c r="CC67" i="4"/>
  <c r="BU23" i="4"/>
  <c r="BW120" i="4"/>
  <c r="BY69" i="4"/>
  <c r="BZ69" i="4" s="1"/>
  <c r="CA83" i="4"/>
  <c r="CO49" i="4"/>
  <c r="CQ57" i="4"/>
  <c r="CE53" i="4"/>
  <c r="BP18" i="4"/>
  <c r="CS18" i="4" s="1"/>
  <c r="BQ29" i="4"/>
  <c r="BP29" i="4"/>
  <c r="CG49" i="4"/>
  <c r="CQ102" i="4"/>
  <c r="BQ24" i="4"/>
  <c r="BQ26" i="4"/>
  <c r="BW67" i="4"/>
  <c r="CF29" i="4"/>
  <c r="CA22" i="4"/>
  <c r="CA49" i="4"/>
  <c r="CK120" i="4"/>
  <c r="CL120" i="4" s="1"/>
  <c r="CA57" i="4"/>
  <c r="BW26" i="4"/>
  <c r="BQ21" i="4"/>
  <c r="BP21" i="4"/>
  <c r="BQ25" i="4"/>
  <c r="CG27" i="4"/>
  <c r="CV18" i="4"/>
  <c r="CQ20" i="4"/>
  <c r="CM50" i="4"/>
  <c r="CN50" i="4" s="1"/>
  <c r="CK108" i="4"/>
  <c r="CL108" i="4" s="1"/>
  <c r="CO73" i="4"/>
  <c r="CP73" i="4" s="1"/>
  <c r="CC49" i="4"/>
  <c r="BY49" i="4"/>
  <c r="CO18" i="4"/>
  <c r="CS28" i="4"/>
  <c r="CT28" i="4"/>
  <c r="CG50" i="4"/>
  <c r="CH50" i="4" s="1"/>
  <c r="BQ20" i="4"/>
  <c r="BW25" i="4"/>
  <c r="BU20" i="4"/>
  <c r="BW102" i="4"/>
  <c r="CC69" i="4"/>
  <c r="CD69" i="4" s="1"/>
  <c r="CE27" i="4"/>
  <c r="BU88" i="4"/>
  <c r="BX73" i="4"/>
  <c r="BW71" i="4"/>
  <c r="CQ50" i="4"/>
  <c r="CR50" i="4" s="1"/>
  <c r="CQ49" i="4"/>
  <c r="BY102" i="4"/>
  <c r="CK50" i="4"/>
  <c r="CL50" i="4" s="1"/>
  <c r="CK49" i="4"/>
  <c r="BY60" i="4"/>
  <c r="CQ52" i="4"/>
  <c r="CR52" i="4" s="1"/>
  <c r="CO109" i="4"/>
  <c r="CP109" i="4" s="1"/>
  <c r="CQ68" i="4"/>
  <c r="CR68" i="4" s="1"/>
  <c r="CQ67" i="4"/>
  <c r="CM75" i="4"/>
  <c r="BW41" i="4"/>
  <c r="BX41" i="4" s="1"/>
  <c r="BW80" i="4"/>
  <c r="BW79" i="4" s="1"/>
  <c r="BX79" i="4" s="1"/>
  <c r="CM60" i="4"/>
  <c r="CE52" i="4"/>
  <c r="CF52" i="4" s="1"/>
  <c r="CE82" i="4"/>
  <c r="CF82" i="4" s="1"/>
  <c r="CK68" i="4"/>
  <c r="CL68" i="4" s="1"/>
  <c r="CK67" i="4"/>
  <c r="CG82" i="4"/>
  <c r="CH82" i="4" s="1"/>
  <c r="BU112" i="4"/>
  <c r="CM49" i="4"/>
  <c r="BW118" i="4"/>
  <c r="BX118" i="4" s="1"/>
  <c r="CI96" i="4"/>
  <c r="CQ82" i="4"/>
  <c r="CR82" i="4" s="1"/>
  <c r="CG69" i="4"/>
  <c r="CH69" i="4" s="1"/>
  <c r="CK52" i="4"/>
  <c r="CL52" i="4" s="1"/>
  <c r="CI118" i="4"/>
  <c r="CI117" i="4" s="1"/>
  <c r="CG67" i="4"/>
  <c r="CC66" i="4"/>
  <c r="CD66" i="4" s="1"/>
  <c r="CA61" i="4"/>
  <c r="CM73" i="4"/>
  <c r="CM72" i="4" s="1"/>
  <c r="CM34" i="4"/>
  <c r="CM33" i="4" s="1"/>
  <c r="CM31" i="4" s="1"/>
  <c r="CN31" i="4" s="1"/>
  <c r="BW52" i="4"/>
  <c r="BX52" i="4" s="1"/>
  <c r="CQ96" i="4"/>
  <c r="CC75" i="4"/>
  <c r="CC82" i="4"/>
  <c r="CD82" i="4" s="1"/>
  <c r="CC52" i="4"/>
  <c r="CD52" i="4" s="1"/>
  <c r="CA105" i="4"/>
  <c r="CA118" i="4"/>
  <c r="CA117" i="4" s="1"/>
  <c r="CE75" i="4"/>
  <c r="CM69" i="4"/>
  <c r="CN69" i="4" s="1"/>
  <c r="CA50" i="4"/>
  <c r="CB50" i="4" s="1"/>
  <c r="CA108" i="4"/>
  <c r="CB108" i="4" s="1"/>
  <c r="CK82" i="4"/>
  <c r="CL82" i="4" s="1"/>
  <c r="CC40" i="4"/>
  <c r="CC39" i="4" s="1"/>
  <c r="CD39" i="4" s="1"/>
  <c r="CG52" i="4"/>
  <c r="CH52" i="4" s="1"/>
  <c r="BW60" i="4"/>
  <c r="CC103" i="4"/>
  <c r="CD103" i="4" s="1"/>
  <c r="BW75" i="4"/>
  <c r="H231" i="3"/>
  <c r="H224" i="3" s="1"/>
  <c r="I231" i="3"/>
  <c r="I224" i="3" s="1"/>
  <c r="BU72" i="4"/>
  <c r="CA125" i="4"/>
  <c r="CB125" i="4" s="1"/>
  <c r="BW91" i="4"/>
  <c r="BX91" i="4" s="1"/>
  <c r="CM91" i="4"/>
  <c r="CO58" i="4"/>
  <c r="CP58" i="4" s="1"/>
  <c r="BW101" i="4"/>
  <c r="BX101" i="4" s="1"/>
  <c r="CM58" i="4"/>
  <c r="CN58" i="4" s="1"/>
  <c r="CI85" i="4"/>
  <c r="CC92" i="4"/>
  <c r="CD92" i="4" s="1"/>
  <c r="CO57" i="4"/>
  <c r="CE107" i="4"/>
  <c r="CF107" i="4" s="1"/>
  <c r="CQ94" i="4"/>
  <c r="CR94" i="4" s="1"/>
  <c r="CG58" i="4"/>
  <c r="CH58" i="4" s="1"/>
  <c r="CK43" i="4"/>
  <c r="CL43" i="4" s="1"/>
  <c r="CQ91" i="4"/>
  <c r="CR91" i="4" s="1"/>
  <c r="CE57" i="4"/>
  <c r="CF57" i="4" s="1"/>
  <c r="BT93" i="4"/>
  <c r="BV93" i="4"/>
  <c r="CJ93" i="4"/>
  <c r="BO93" i="4"/>
  <c r="BQ71" i="4"/>
  <c r="CG84" i="4"/>
  <c r="BO77" i="4"/>
  <c r="BX77" i="4"/>
  <c r="CB77" i="4"/>
  <c r="BV77" i="4"/>
  <c r="CF69" i="4"/>
  <c r="CR69" i="4"/>
  <c r="CB69" i="4"/>
  <c r="BT69" i="4"/>
  <c r="CJ69" i="4"/>
  <c r="BV69" i="4"/>
  <c r="BO69" i="4"/>
  <c r="CL69" i="4"/>
  <c r="CP69" i="4"/>
  <c r="BX69" i="4"/>
  <c r="BV52" i="4"/>
  <c r="CB52" i="4"/>
  <c r="CP52" i="4"/>
  <c r="BZ52" i="4"/>
  <c r="BT52" i="4"/>
  <c r="CJ52" i="4"/>
  <c r="CC100" i="4"/>
  <c r="CD100" i="4" s="1"/>
  <c r="BP61" i="4"/>
  <c r="CG80" i="4"/>
  <c r="BP56" i="4"/>
  <c r="CO76" i="4"/>
  <c r="CM43" i="4"/>
  <c r="CN43" i="4" s="1"/>
  <c r="CA93" i="4"/>
  <c r="CB93" i="4" s="1"/>
  <c r="CK101" i="4"/>
  <c r="CL101" i="4" s="1"/>
  <c r="CC43" i="4"/>
  <c r="CD43" i="4" s="1"/>
  <c r="CS45" i="4"/>
  <c r="CT45" i="4"/>
  <c r="BY74" i="4"/>
  <c r="BZ74" i="4" s="1"/>
  <c r="CC125" i="4"/>
  <c r="BV82" i="4"/>
  <c r="CP82" i="4"/>
  <c r="BX82" i="4"/>
  <c r="CB82" i="4"/>
  <c r="BO82" i="4"/>
  <c r="CN82" i="4"/>
  <c r="CJ82" i="4"/>
  <c r="CS83" i="4"/>
  <c r="CT83" i="4"/>
  <c r="BY35" i="4"/>
  <c r="CC44" i="4"/>
  <c r="CD44" i="4" s="1"/>
  <c r="BQ126" i="4"/>
  <c r="CG93" i="4"/>
  <c r="CH93" i="4" s="1"/>
  <c r="CT53" i="4"/>
  <c r="CS53" i="4"/>
  <c r="CO56" i="4"/>
  <c r="CP56" i="4" s="1"/>
  <c r="CE73" i="4"/>
  <c r="CF73" i="4" s="1"/>
  <c r="CN70" i="4"/>
  <c r="CB103" i="4"/>
  <c r="CF103" i="4"/>
  <c r="BZ103" i="4"/>
  <c r="CR103" i="4"/>
  <c r="CH103" i="4"/>
  <c r="BT103" i="4"/>
  <c r="CL103" i="4"/>
  <c r="CN103" i="4"/>
  <c r="CP103" i="4"/>
  <c r="BV103" i="4"/>
  <c r="CJ103" i="4"/>
  <c r="BO103" i="4"/>
  <c r="BW93" i="4"/>
  <c r="BX93" i="4" s="1"/>
  <c r="CQ77" i="4"/>
  <c r="CR77" i="4" s="1"/>
  <c r="CT41" i="4"/>
  <c r="CS41" i="4"/>
  <c r="BQ120" i="4"/>
  <c r="BP120" i="4"/>
  <c r="BO120" i="4"/>
  <c r="BZ98" i="4"/>
  <c r="CT103" i="4"/>
  <c r="CS103" i="4"/>
  <c r="BY76" i="4"/>
  <c r="CA74" i="4"/>
  <c r="CB74" i="4" s="1"/>
  <c r="CM80" i="4"/>
  <c r="CS116" i="4"/>
  <c r="CT116" i="4"/>
  <c r="CQ65" i="4"/>
  <c r="CT92" i="4"/>
  <c r="CS92" i="4"/>
  <c r="CF66" i="4"/>
  <c r="BO66" i="4"/>
  <c r="CB66" i="4"/>
  <c r="BX66" i="4"/>
  <c r="CN66" i="4"/>
  <c r="BT66" i="4"/>
  <c r="CH66" i="4"/>
  <c r="CP66" i="4"/>
  <c r="BV66" i="4"/>
  <c r="CJ66" i="4"/>
  <c r="BZ66" i="4"/>
  <c r="CR66" i="4"/>
  <c r="CN77" i="4"/>
  <c r="CC63" i="4"/>
  <c r="CQ92" i="4"/>
  <c r="CR92" i="4" s="1"/>
  <c r="BW92" i="4"/>
  <c r="BX92" i="4" s="1"/>
  <c r="CS35" i="4"/>
  <c r="CT35" i="4"/>
  <c r="BP118" i="4"/>
  <c r="BQ118" i="4"/>
  <c r="CT65" i="4"/>
  <c r="CS65" i="4"/>
  <c r="BW115" i="4"/>
  <c r="BW114" i="4" s="1"/>
  <c r="CG92" i="4"/>
  <c r="CH92" i="4" s="1"/>
  <c r="BT77" i="4"/>
  <c r="CA71" i="4"/>
  <c r="CO90" i="4"/>
  <c r="CP90" i="4" s="1"/>
  <c r="CG85" i="4"/>
  <c r="CM57" i="4"/>
  <c r="BP114" i="4"/>
  <c r="CT57" i="4"/>
  <c r="CS57" i="4"/>
  <c r="BY56" i="4"/>
  <c r="BZ56" i="4" s="1"/>
  <c r="BP105" i="4"/>
  <c r="CG65" i="4"/>
  <c r="CH65" i="4" s="1"/>
  <c r="CB98" i="4"/>
  <c r="BO98" i="4"/>
  <c r="CH98" i="4"/>
  <c r="BV98" i="4"/>
  <c r="CR98" i="4"/>
  <c r="CD98" i="4"/>
  <c r="BT98" i="4"/>
  <c r="CJ98" i="4"/>
  <c r="CF98" i="4"/>
  <c r="CO70" i="4"/>
  <c r="BV120" i="4"/>
  <c r="CN52" i="4"/>
  <c r="CQ107" i="4"/>
  <c r="CR107" i="4" s="1"/>
  <c r="BP63" i="4"/>
  <c r="CT93" i="4"/>
  <c r="CS93" i="4"/>
  <c r="BW65" i="4"/>
  <c r="CE59" i="4"/>
  <c r="CF59" i="4" s="1"/>
  <c r="BP42" i="4"/>
  <c r="CA56" i="4"/>
  <c r="CB56" i="4" s="1"/>
  <c r="CK93" i="4"/>
  <c r="CL93" i="4" s="1"/>
  <c r="CF121" i="4"/>
  <c r="CP121" i="4"/>
  <c r="CB121" i="4"/>
  <c r="CJ121" i="4"/>
  <c r="BO121" i="4"/>
  <c r="CL121" i="4"/>
  <c r="CN121" i="4"/>
  <c r="BV121" i="4"/>
  <c r="BZ121" i="4"/>
  <c r="CD121" i="4"/>
  <c r="BT121" i="4"/>
  <c r="CH121" i="4"/>
  <c r="BX121" i="4"/>
  <c r="CR121" i="4"/>
  <c r="CG31" i="4"/>
  <c r="CH31" i="4" s="1"/>
  <c r="CK84" i="4"/>
  <c r="CM109" i="4"/>
  <c r="CN109" i="4" s="1"/>
  <c r="CR60" i="4"/>
  <c r="BP36" i="4"/>
  <c r="BY57" i="4"/>
  <c r="CT70" i="4"/>
  <c r="CS70" i="4"/>
  <c r="BY108" i="4"/>
  <c r="BZ108" i="4" s="1"/>
  <c r="CS52" i="4"/>
  <c r="CT52" i="4"/>
  <c r="BP38" i="4"/>
  <c r="BT82" i="4"/>
  <c r="CQ59" i="4"/>
  <c r="CP111" i="4"/>
  <c r="BZ111" i="4"/>
  <c r="BT111" i="4"/>
  <c r="CH111" i="4"/>
  <c r="CD111" i="4"/>
  <c r="CN111" i="4"/>
  <c r="BO111" i="4"/>
  <c r="BV111" i="4"/>
  <c r="CB111" i="4"/>
  <c r="CR111" i="4"/>
  <c r="CJ111" i="4"/>
  <c r="CF111" i="4"/>
  <c r="CL111" i="4"/>
  <c r="BX111" i="4"/>
  <c r="BP95" i="4"/>
  <c r="BP74" i="4"/>
  <c r="CK92" i="4"/>
  <c r="CL92" i="4" s="1"/>
  <c r="CQ95" i="4"/>
  <c r="CR95" i="4" s="1"/>
  <c r="CK119" i="4"/>
  <c r="CL119" i="4" s="1"/>
  <c r="BW46" i="4"/>
  <c r="CM81" i="4"/>
  <c r="CA46" i="4"/>
  <c r="BP60" i="4"/>
  <c r="BW84" i="4"/>
  <c r="CA80" i="4"/>
  <c r="CA79" i="4" s="1"/>
  <c r="CB79" i="4" s="1"/>
  <c r="CM63" i="4"/>
  <c r="BY118" i="4"/>
  <c r="BY117" i="4" s="1"/>
  <c r="BV67" i="4"/>
  <c r="BY85" i="4"/>
  <c r="CD84" i="4"/>
  <c r="CI91" i="4"/>
  <c r="CC73" i="4"/>
  <c r="CK107" i="4"/>
  <c r="CL107" i="4" s="1"/>
  <c r="CE43" i="4"/>
  <c r="CF43" i="4" s="1"/>
  <c r="CK57" i="4"/>
  <c r="CC65" i="4"/>
  <c r="CD65" i="4" s="1"/>
  <c r="CT88" i="4"/>
  <c r="CS88" i="4"/>
  <c r="CT44" i="4"/>
  <c r="CS44" i="4"/>
  <c r="CE51" i="4"/>
  <c r="CO59" i="4"/>
  <c r="CO107" i="4"/>
  <c r="CP107" i="4" s="1"/>
  <c r="CE76" i="4"/>
  <c r="CE92" i="4"/>
  <c r="CF92" i="4" s="1"/>
  <c r="CC119" i="4"/>
  <c r="BP81" i="4"/>
  <c r="CA87" i="4"/>
  <c r="CB87" i="4" s="1"/>
  <c r="CQ58" i="4"/>
  <c r="CR58" i="4" s="1"/>
  <c r="CG70" i="4"/>
  <c r="CH70" i="4" s="1"/>
  <c r="CM84" i="4"/>
  <c r="BP108" i="4"/>
  <c r="BW72" i="4"/>
  <c r="BZ83" i="4"/>
  <c r="CC93" i="4"/>
  <c r="CD93" i="4" s="1"/>
  <c r="CK85" i="4"/>
  <c r="BQ72" i="4"/>
  <c r="CQ73" i="4"/>
  <c r="CR73" i="4" s="1"/>
  <c r="CP53" i="4"/>
  <c r="CE118" i="4"/>
  <c r="CF118" i="4" s="1"/>
  <c r="BW43" i="4"/>
  <c r="BX43" i="4" s="1"/>
  <c r="BX35" i="4"/>
  <c r="BQ124" i="4"/>
  <c r="BO124" i="4"/>
  <c r="BP124" i="4"/>
  <c r="CE65" i="4"/>
  <c r="CM94" i="4"/>
  <c r="CN94" i="4" s="1"/>
  <c r="BY59" i="4"/>
  <c r="CK76" i="4"/>
  <c r="CT96" i="4"/>
  <c r="CS96" i="4"/>
  <c r="CD110" i="4"/>
  <c r="CT117" i="4"/>
  <c r="CS117" i="4"/>
  <c r="BV35" i="4"/>
  <c r="CJ35" i="4"/>
  <c r="CB35" i="4"/>
  <c r="BO35" i="4"/>
  <c r="BY101" i="4"/>
  <c r="BZ101" i="4" s="1"/>
  <c r="CL116" i="4"/>
  <c r="CF91" i="4"/>
  <c r="CC77" i="4"/>
  <c r="CD77" i="4" s="1"/>
  <c r="CK74" i="4"/>
  <c r="CL74" i="4" s="1"/>
  <c r="BY95" i="4"/>
  <c r="BZ95" i="4" s="1"/>
  <c r="CE35" i="4"/>
  <c r="CQ51" i="4"/>
  <c r="BP80" i="4"/>
  <c r="CQ44" i="4"/>
  <c r="CR44" i="4" s="1"/>
  <c r="CG112" i="4"/>
  <c r="BZ116" i="4"/>
  <c r="CF84" i="4"/>
  <c r="CC56" i="4"/>
  <c r="CD56" i="4" s="1"/>
  <c r="CR116" i="4"/>
  <c r="CC85" i="4"/>
  <c r="CH35" i="4"/>
  <c r="CA101" i="4"/>
  <c r="CB101" i="4" s="1"/>
  <c r="CA43" i="4"/>
  <c r="CB43" i="4" s="1"/>
  <c r="CM65" i="4"/>
  <c r="BU118" i="4"/>
  <c r="CO77" i="4"/>
  <c r="CP77" i="4" s="1"/>
  <c r="CG59" i="4"/>
  <c r="CH59" i="4" s="1"/>
  <c r="CA59" i="4"/>
  <c r="CB59" i="4" s="1"/>
  <c r="CM117" i="4"/>
  <c r="CN117" i="4" s="1"/>
  <c r="BY96" i="4"/>
  <c r="BP100" i="4"/>
  <c r="CG91" i="4"/>
  <c r="CH91" i="4" s="1"/>
  <c r="BW56" i="4"/>
  <c r="BX56" i="4" s="1"/>
  <c r="BW85" i="4"/>
  <c r="CL51" i="4"/>
  <c r="CS69" i="4"/>
  <c r="CT69" i="4"/>
  <c r="CG117" i="4"/>
  <c r="CH117" i="4" s="1"/>
  <c r="CL54" i="4"/>
  <c r="CC104" i="4"/>
  <c r="CD104" i="4" s="1"/>
  <c r="CE70" i="4"/>
  <c r="CF70" i="4" s="1"/>
  <c r="CC35" i="4"/>
  <c r="CQ80" i="4"/>
  <c r="CQ79" i="4" s="1"/>
  <c r="CR79" i="4" s="1"/>
  <c r="CA44" i="4"/>
  <c r="CB44" i="4" s="1"/>
  <c r="CT31" i="4"/>
  <c r="CS31" i="4"/>
  <c r="CM93" i="4"/>
  <c r="CN93" i="4" s="1"/>
  <c r="CG107" i="4"/>
  <c r="CH107" i="4" s="1"/>
  <c r="CR112" i="4"/>
  <c r="BU49" i="4"/>
  <c r="CG57" i="4"/>
  <c r="CH57" i="4" s="1"/>
  <c r="CC109" i="4"/>
  <c r="CD109" i="4" s="1"/>
  <c r="CO51" i="4"/>
  <c r="CI77" i="4"/>
  <c r="CJ77" i="4" s="1"/>
  <c r="BY48" i="4"/>
  <c r="BZ48" i="4" s="1"/>
  <c r="CM96" i="4"/>
  <c r="CN96" i="4" s="1"/>
  <c r="CK100" i="4"/>
  <c r="CL100" i="4" s="1"/>
  <c r="CM74" i="4"/>
  <c r="CN74" i="4" s="1"/>
  <c r="CO92" i="4"/>
  <c r="CP92" i="4" s="1"/>
  <c r="CO91" i="4"/>
  <c r="CP91" i="4" s="1"/>
  <c r="CC91" i="4"/>
  <c r="CD91" i="4" s="1"/>
  <c r="CI125" i="4"/>
  <c r="CI123" i="4" s="1"/>
  <c r="CE101" i="4"/>
  <c r="CF101" i="4" s="1"/>
  <c r="CE104" i="4"/>
  <c r="CF104" i="4" s="1"/>
  <c r="BW70" i="4"/>
  <c r="BX70" i="4" s="1"/>
  <c r="CE80" i="4"/>
  <c r="CE79" i="4" s="1"/>
  <c r="CF79" i="4" s="1"/>
  <c r="CO35" i="4"/>
  <c r="CG44" i="4"/>
  <c r="CH44" i="4" s="1"/>
  <c r="CD116" i="4"/>
  <c r="CG56" i="4"/>
  <c r="CH56" i="4" s="1"/>
  <c r="CF39" i="4"/>
  <c r="BP85" i="4"/>
  <c r="BT39" i="4"/>
  <c r="BT35" i="4"/>
  <c r="CC101" i="4"/>
  <c r="CD101" i="4" s="1"/>
  <c r="CQ109" i="4"/>
  <c r="CR109" i="4" s="1"/>
  <c r="BX42" i="4"/>
  <c r="CL42" i="4"/>
  <c r="BT42" i="4"/>
  <c r="CP42" i="4"/>
  <c r="BV42" i="4"/>
  <c r="CT107" i="4"/>
  <c r="CS107" i="4"/>
  <c r="CA115" i="4"/>
  <c r="CA114" i="4" s="1"/>
  <c r="CC94" i="4"/>
  <c r="CD94" i="4" s="1"/>
  <c r="BP75" i="4"/>
  <c r="CO48" i="4"/>
  <c r="CP48" i="4" s="1"/>
  <c r="BY63" i="4"/>
  <c r="BQ102" i="4"/>
  <c r="CG81" i="4"/>
  <c r="BP50" i="4"/>
  <c r="CR76" i="4"/>
  <c r="CK95" i="4"/>
  <c r="CL95" i="4" s="1"/>
  <c r="CE48" i="4"/>
  <c r="CF48" i="4" s="1"/>
  <c r="BO58" i="4"/>
  <c r="CJ58" i="4"/>
  <c r="BX58" i="4"/>
  <c r="BV58" i="4"/>
  <c r="CL41" i="4"/>
  <c r="BZ41" i="4"/>
  <c r="BT41" i="4"/>
  <c r="CR41" i="4"/>
  <c r="CD41" i="4"/>
  <c r="CJ41" i="4"/>
  <c r="BO41" i="4"/>
  <c r="CH41" i="4"/>
  <c r="CQ43" i="4"/>
  <c r="CR43" i="4" s="1"/>
  <c r="CE58" i="4"/>
  <c r="CF58" i="4" s="1"/>
  <c r="CQ70" i="4"/>
  <c r="CR70" i="4" s="1"/>
  <c r="CB39" i="4"/>
  <c r="CA31" i="4"/>
  <c r="CB31" i="4" s="1"/>
  <c r="BP91" i="4"/>
  <c r="CP84" i="4"/>
  <c r="CG51" i="4"/>
  <c r="CH51" i="4" s="1"/>
  <c r="CO44" i="4"/>
  <c r="CP44" i="4" s="1"/>
  <c r="CM56" i="4"/>
  <c r="CN56" i="4" s="1"/>
  <c r="BY93" i="4"/>
  <c r="BZ93" i="4" s="1"/>
  <c r="CM85" i="4"/>
  <c r="CQ101" i="4"/>
  <c r="CR101" i="4" s="1"/>
  <c r="CM97" i="4"/>
  <c r="CN97" i="4" s="1"/>
  <c r="CN115" i="4"/>
  <c r="CB42" i="4"/>
  <c r="BT73" i="4"/>
  <c r="CL73" i="4"/>
  <c r="CB73" i="4"/>
  <c r="BO73" i="4"/>
  <c r="BP111" i="4"/>
  <c r="CA63" i="4"/>
  <c r="BO89" i="4"/>
  <c r="CJ42" i="4"/>
  <c r="BZ42" i="4"/>
  <c r="CH99" i="4"/>
  <c r="BT99" i="4"/>
  <c r="CJ99" i="4"/>
  <c r="BX99" i="4"/>
  <c r="BZ73" i="4"/>
  <c r="CK78" i="4"/>
  <c r="CL78" i="4" s="1"/>
  <c r="CO95" i="4"/>
  <c r="CP95" i="4" s="1"/>
  <c r="CA84" i="4"/>
  <c r="CB84" i="4" s="1"/>
  <c r="CC80" i="4"/>
  <c r="CC79" i="4" s="1"/>
  <c r="CD79" i="4" s="1"/>
  <c r="CG108" i="4"/>
  <c r="CH108" i="4" s="1"/>
  <c r="CF93" i="4"/>
  <c r="BP34" i="4"/>
  <c r="CQ93" i="4"/>
  <c r="CR93" i="4" s="1"/>
  <c r="CG101" i="4"/>
  <c r="CH101" i="4" s="1"/>
  <c r="CE109" i="4"/>
  <c r="CF109" i="4" s="1"/>
  <c r="BY107" i="4"/>
  <c r="BZ107" i="4" s="1"/>
  <c r="CG97" i="4"/>
  <c r="CH97" i="4" s="1"/>
  <c r="CK65" i="4"/>
  <c r="CN42" i="4"/>
  <c r="BY51" i="4"/>
  <c r="CT55" i="4"/>
  <c r="CS55" i="4"/>
  <c r="CM107" i="4"/>
  <c r="CN107" i="4" s="1"/>
  <c r="BT43" i="4"/>
  <c r="BO43" i="4"/>
  <c r="CA76" i="4"/>
  <c r="CO100" i="4"/>
  <c r="CP100" i="4" s="1"/>
  <c r="BP98" i="4"/>
  <c r="BY91" i="4"/>
  <c r="CS82" i="4"/>
  <c r="CT82" i="4"/>
  <c r="BY78" i="4"/>
  <c r="BZ78" i="4" s="1"/>
  <c r="CK63" i="4"/>
  <c r="CK81" i="4"/>
  <c r="CC76" i="4"/>
  <c r="CD76" i="4" s="1"/>
  <c r="BW100" i="4"/>
  <c r="BX100" i="4" s="1"/>
  <c r="CC48" i="4"/>
  <c r="CD48" i="4" s="1"/>
  <c r="BY92" i="4"/>
  <c r="BZ92" i="4" s="1"/>
  <c r="CO119" i="4"/>
  <c r="CO118" i="4" s="1"/>
  <c r="CO117" i="4" s="1"/>
  <c r="CP117" i="4" s="1"/>
  <c r="CG96" i="4"/>
  <c r="CH96" i="4" s="1"/>
  <c r="CT78" i="4"/>
  <c r="CS78" i="4"/>
  <c r="BO44" i="4"/>
  <c r="CF44" i="4"/>
  <c r="CN44" i="4"/>
  <c r="BV44" i="4"/>
  <c r="BX44" i="4"/>
  <c r="CJ44" i="4"/>
  <c r="CL61" i="4"/>
  <c r="CB96" i="4"/>
  <c r="CG95" i="4"/>
  <c r="CH95" i="4" s="1"/>
  <c r="BY46" i="4"/>
  <c r="CK58" i="4"/>
  <c r="CL58" i="4" s="1"/>
  <c r="BW104" i="4"/>
  <c r="BX104" i="4" s="1"/>
  <c r="BY70" i="4"/>
  <c r="BZ70" i="4" s="1"/>
  <c r="CQ35" i="4"/>
  <c r="BO99" i="4"/>
  <c r="BQ99" i="4"/>
  <c r="BP99" i="4"/>
  <c r="CO80" i="4"/>
  <c r="BT116" i="4"/>
  <c r="CK56" i="4"/>
  <c r="CL56" i="4" s="1"/>
  <c r="CJ116" i="4"/>
  <c r="CO93" i="4"/>
  <c r="CP93" i="4" s="1"/>
  <c r="CQ85" i="4"/>
  <c r="CB34" i="4"/>
  <c r="BX31" i="4"/>
  <c r="CN116" i="4"/>
  <c r="CC107" i="4"/>
  <c r="CD107" i="4" s="1"/>
  <c r="CM101" i="4"/>
  <c r="CN101" i="4" s="1"/>
  <c r="CC115" i="4"/>
  <c r="CC114" i="4" s="1"/>
  <c r="BP51" i="4"/>
  <c r="CJ55" i="4"/>
  <c r="BV55" i="4"/>
  <c r="CL55" i="4"/>
  <c r="CP55" i="4"/>
  <c r="CD55" i="4"/>
  <c r="CR55" i="4"/>
  <c r="CM59" i="4"/>
  <c r="CN59" i="4" s="1"/>
  <c r="BS30" i="4"/>
  <c r="CP105" i="4"/>
  <c r="CG48" i="4"/>
  <c r="CH48" i="4" s="1"/>
  <c r="BP94" i="4"/>
  <c r="CE100" i="4"/>
  <c r="CF100" i="4" s="1"/>
  <c r="CC74" i="4"/>
  <c r="CD74" i="4" s="1"/>
  <c r="BO119" i="4"/>
  <c r="BQ119" i="4"/>
  <c r="CC81" i="4"/>
  <c r="BP40" i="4"/>
  <c r="BT100" i="4"/>
  <c r="CR117" i="4"/>
  <c r="CL77" i="4"/>
  <c r="CO81" i="4"/>
  <c r="CE63" i="4"/>
  <c r="CN119" i="4"/>
  <c r="CQ74" i="4"/>
  <c r="CR74" i="4" s="1"/>
  <c r="CA91" i="4"/>
  <c r="CB91" i="4" s="1"/>
  <c r="CH55" i="4"/>
  <c r="CL86" i="4"/>
  <c r="BW95" i="4"/>
  <c r="BX95" i="4" s="1"/>
  <c r="CK96" i="4"/>
  <c r="CL96" i="4" s="1"/>
  <c r="CC95" i="4"/>
  <c r="CD95" i="4" s="1"/>
  <c r="CG63" i="4"/>
  <c r="BY81" i="4"/>
  <c r="BZ100" i="4"/>
  <c r="CK115" i="4"/>
  <c r="CK114" i="4" s="1"/>
  <c r="CK113" i="4" s="1"/>
  <c r="BQ123" i="4"/>
  <c r="BP123" i="4"/>
  <c r="CG94" i="4"/>
  <c r="CH94" i="4" s="1"/>
  <c r="BW59" i="4"/>
  <c r="BX59" i="4" s="1"/>
  <c r="CT43" i="4"/>
  <c r="CS43" i="4"/>
  <c r="BO101" i="4"/>
  <c r="CP101" i="4"/>
  <c r="CJ101" i="4"/>
  <c r="BW76" i="4"/>
  <c r="BX76" i="4" s="1"/>
  <c r="BW63" i="4"/>
  <c r="BX63" i="4" s="1"/>
  <c r="CM48" i="4"/>
  <c r="CN48" i="4" s="1"/>
  <c r="CT121" i="4"/>
  <c r="CS121" i="4"/>
  <c r="BY113" i="4"/>
  <c r="BW108" i="4"/>
  <c r="BX108" i="4" s="1"/>
  <c r="CE96" i="4"/>
  <c r="CF96" i="4" s="1"/>
  <c r="CQ100" i="4"/>
  <c r="CR100" i="4" s="1"/>
  <c r="CD59" i="4"/>
  <c r="CR99" i="4"/>
  <c r="BV50" i="4"/>
  <c r="CP50" i="4"/>
  <c r="BZ50" i="4"/>
  <c r="CD50" i="4"/>
  <c r="BP113" i="4"/>
  <c r="BX107" i="4"/>
  <c r="BO95" i="4"/>
  <c r="CJ95" i="4"/>
  <c r="CO65" i="4"/>
  <c r="CM98" i="4"/>
  <c r="CN98" i="4" s="1"/>
  <c r="CB64" i="4"/>
  <c r="BO50" i="4"/>
  <c r="CA81" i="4"/>
  <c r="CQ81" i="4"/>
  <c r="BT74" i="4"/>
  <c r="BU14" i="4"/>
  <c r="BV14" i="4" s="1"/>
  <c r="CH119" i="4"/>
  <c r="BP59" i="4"/>
  <c r="CA90" i="4"/>
  <c r="CB90" i="4" s="1"/>
  <c r="BP58" i="4"/>
  <c r="BY84" i="4"/>
  <c r="BZ84" i="4" s="1"/>
  <c r="BO118" i="4"/>
  <c r="CQ84" i="4"/>
  <c r="CR84" i="4" s="1"/>
  <c r="CT87" i="4"/>
  <c r="CS87" i="4"/>
  <c r="BP39" i="4"/>
  <c r="BY112" i="4"/>
  <c r="CE56" i="4"/>
  <c r="CF56" i="4" s="1"/>
  <c r="BP110" i="4"/>
  <c r="CA85" i="4"/>
  <c r="BQ67" i="4"/>
  <c r="BP67" i="4"/>
  <c r="BO67" i="4"/>
  <c r="CG73" i="4"/>
  <c r="CH73" i="4" s="1"/>
  <c r="CL124" i="4"/>
  <c r="BV124" i="4"/>
  <c r="CT77" i="4"/>
  <c r="CS77" i="4"/>
  <c r="CR56" i="4"/>
  <c r="CC57" i="4"/>
  <c r="CL35" i="4"/>
  <c r="CA65" i="4"/>
  <c r="CB65" i="4" s="1"/>
  <c r="CK94" i="4"/>
  <c r="CL94" i="4" s="1"/>
  <c r="BW51" i="4"/>
  <c r="CE77" i="4"/>
  <c r="CF77" i="4" s="1"/>
  <c r="BP106" i="4"/>
  <c r="CM76" i="4"/>
  <c r="CN76" i="4" s="1"/>
  <c r="CT32" i="4"/>
  <c r="CS32" i="4"/>
  <c r="CO63" i="4"/>
  <c r="CP63" i="4" s="1"/>
  <c r="BP73" i="4"/>
  <c r="CA92" i="4"/>
  <c r="CB92" i="4" s="1"/>
  <c r="CT54" i="4"/>
  <c r="CS54" i="4"/>
  <c r="BW96" i="4"/>
  <c r="BX96" i="4" s="1"/>
  <c r="CM100" i="4"/>
  <c r="CN100" i="4" s="1"/>
  <c r="CQ48" i="4"/>
  <c r="CR48" i="4" s="1"/>
  <c r="CK91" i="4"/>
  <c r="CL91" i="4" s="1"/>
  <c r="BY71" i="4"/>
  <c r="CS89" i="4"/>
  <c r="CT89" i="4"/>
  <c r="CL98" i="4"/>
  <c r="BZ119" i="4"/>
  <c r="CA95" i="4"/>
  <c r="CB95" i="4" s="1"/>
  <c r="BP46" i="4"/>
  <c r="BP66" i="4"/>
  <c r="BW57" i="4"/>
  <c r="BX57" i="4" s="1"/>
  <c r="BY65" i="4"/>
  <c r="BZ65" i="4" s="1"/>
  <c r="CQ63" i="4"/>
  <c r="CP86" i="4"/>
  <c r="CR86" i="4"/>
  <c r="CB86" i="4"/>
  <c r="CH86" i="4"/>
  <c r="BO86" i="4"/>
  <c r="CM51" i="4"/>
  <c r="CN51" i="4" s="1"/>
  <c r="BY77" i="4"/>
  <c r="BZ77" i="4" s="1"/>
  <c r="CD42" i="4"/>
  <c r="CP43" i="4"/>
  <c r="BZ44" i="4"/>
  <c r="CA48" i="4"/>
  <c r="CB48" i="4" s="1"/>
  <c r="BP86" i="4"/>
  <c r="CC96" i="4"/>
  <c r="CD96" i="4" s="1"/>
  <c r="CS76" i="4"/>
  <c r="CT76" i="4"/>
  <c r="CH77" i="4"/>
  <c r="BP48" i="4"/>
  <c r="CT109" i="4"/>
  <c r="CS109" i="4"/>
  <c r="CF50" i="4"/>
  <c r="CE95" i="4"/>
  <c r="CF95" i="4" s="1"/>
  <c r="BQ64" i="4"/>
  <c r="BP64" i="4"/>
  <c r="BP112" i="4"/>
  <c r="CK59" i="4"/>
  <c r="CL59" i="4" s="1"/>
  <c r="CA107" i="4"/>
  <c r="CB107" i="4" s="1"/>
  <c r="CK48" i="4"/>
  <c r="CL48" i="4" s="1"/>
  <c r="CG100" i="4"/>
  <c r="CH100" i="4" s="1"/>
  <c r="CL44" i="4"/>
  <c r="BT92" i="4"/>
  <c r="CJ92" i="4"/>
  <c r="BV92" i="4"/>
  <c r="BW81" i="4"/>
  <c r="CK125" i="4"/>
  <c r="CT97" i="4"/>
  <c r="CS97" i="4"/>
  <c r="CM95" i="4"/>
  <c r="CN95" i="4" s="1"/>
  <c r="CF86" i="4"/>
  <c r="CE81" i="4"/>
  <c r="CJ457" i="3"/>
  <c r="BJ412" i="3"/>
  <c r="BJ361" i="3"/>
  <c r="BJ202" i="3"/>
  <c r="BJ159" i="3"/>
  <c r="BJ97" i="3"/>
  <c r="BJ58" i="3"/>
  <c r="BX295" i="3"/>
  <c r="BJ504" i="3"/>
  <c r="BJ411" i="3"/>
  <c r="BJ311" i="3"/>
  <c r="BJ256" i="3"/>
  <c r="BJ196" i="3"/>
  <c r="BJ155" i="3"/>
  <c r="BJ88" i="3"/>
  <c r="F118" i="3"/>
  <c r="BM118" i="3" s="1"/>
  <c r="F138" i="3"/>
  <c r="BM138" i="3" s="1"/>
  <c r="CN457" i="3"/>
  <c r="CD504" i="3"/>
  <c r="BZ513" i="3"/>
  <c r="BZ512" i="3" s="1"/>
  <c r="CB537" i="3"/>
  <c r="BJ358" i="3"/>
  <c r="BJ254" i="3"/>
  <c r="BJ194" i="3"/>
  <c r="BJ146" i="3"/>
  <c r="BJ123" i="3"/>
  <c r="BJ87" i="3"/>
  <c r="BJ50" i="3"/>
  <c r="BZ297" i="3"/>
  <c r="BZ296" i="3" s="1"/>
  <c r="BT310" i="3"/>
  <c r="CL504" i="3"/>
  <c r="CD513" i="3"/>
  <c r="CD512" i="3" s="1"/>
  <c r="BJ98" i="3"/>
  <c r="D135" i="3"/>
  <c r="BJ258" i="3"/>
  <c r="CL513" i="3"/>
  <c r="CL512" i="3" s="1"/>
  <c r="BJ395" i="3"/>
  <c r="BJ349" i="3"/>
  <c r="BJ286" i="3"/>
  <c r="BJ250" i="3"/>
  <c r="BJ120" i="3"/>
  <c r="BJ47" i="3"/>
  <c r="CJ358" i="3"/>
  <c r="CJ357" i="3" s="1"/>
  <c r="BU559" i="3"/>
  <c r="BJ532" i="3"/>
  <c r="BJ484" i="3"/>
  <c r="BJ387" i="3"/>
  <c r="BJ348" i="3"/>
  <c r="BJ182" i="3"/>
  <c r="BJ119" i="3"/>
  <c r="BJ75" i="3"/>
  <c r="D62" i="3"/>
  <c r="BQ62" i="3" s="1"/>
  <c r="F122" i="3"/>
  <c r="D125" i="3"/>
  <c r="CM125" i="3" s="1"/>
  <c r="D146" i="3"/>
  <c r="D145" i="3" s="1"/>
  <c r="BQ145" i="3" s="1"/>
  <c r="CN358" i="3"/>
  <c r="CL506" i="3"/>
  <c r="BJ515" i="3"/>
  <c r="BM548" i="3"/>
  <c r="BJ480" i="3"/>
  <c r="BJ434" i="3"/>
  <c r="BJ386" i="3"/>
  <c r="BJ179" i="3"/>
  <c r="BJ112" i="3"/>
  <c r="BJ74" i="3"/>
  <c r="BJ39" i="3"/>
  <c r="BZ21" i="3"/>
  <c r="CA559" i="3"/>
  <c r="D569" i="3"/>
  <c r="BJ564" i="3"/>
  <c r="BJ527" i="3"/>
  <c r="BJ432" i="3"/>
  <c r="BJ384" i="3"/>
  <c r="BJ277" i="3"/>
  <c r="BJ238" i="3"/>
  <c r="BJ110" i="3"/>
  <c r="BJ72" i="3"/>
  <c r="BJ38" i="3"/>
  <c r="D60" i="3"/>
  <c r="Q60" i="3" s="1"/>
  <c r="D452" i="3"/>
  <c r="CC559" i="3"/>
  <c r="BJ519" i="3"/>
  <c r="BJ472" i="3"/>
  <c r="BJ430" i="3"/>
  <c r="BJ375" i="3"/>
  <c r="BJ169" i="3"/>
  <c r="BJ136" i="3"/>
  <c r="BJ34" i="3"/>
  <c r="G21" i="3"/>
  <c r="G17" i="3" s="1"/>
  <c r="BJ518" i="3"/>
  <c r="BJ471" i="3"/>
  <c r="BJ328" i="3"/>
  <c r="BJ268" i="3"/>
  <c r="BJ220" i="3"/>
  <c r="BJ168" i="3"/>
  <c r="BJ135" i="3"/>
  <c r="D53" i="3"/>
  <c r="CL41" i="3"/>
  <c r="CN421" i="3"/>
  <c r="D504" i="3"/>
  <c r="I506" i="3"/>
  <c r="BJ466" i="3"/>
  <c r="BJ421" i="3"/>
  <c r="BJ372" i="3"/>
  <c r="BJ207" i="3"/>
  <c r="BJ166" i="3"/>
  <c r="BJ134" i="3"/>
  <c r="BJ100" i="3"/>
  <c r="BJ61" i="3"/>
  <c r="BM102" i="3"/>
  <c r="BJ102" i="3"/>
  <c r="D85" i="3"/>
  <c r="Q85" i="3" s="1"/>
  <c r="BJ85" i="3"/>
  <c r="CB287" i="3"/>
  <c r="BJ287" i="3"/>
  <c r="CL337" i="3"/>
  <c r="CD337" i="3"/>
  <c r="BJ337" i="3"/>
  <c r="BM426" i="3"/>
  <c r="BJ426" i="3"/>
  <c r="D22" i="3"/>
  <c r="BY22" i="3" s="1"/>
  <c r="BJ22" i="3"/>
  <c r="BM43" i="3"/>
  <c r="BJ43" i="3"/>
  <c r="BM67" i="3"/>
  <c r="BJ67" i="3"/>
  <c r="D193" i="3"/>
  <c r="CE193" i="3" s="1"/>
  <c r="BJ193" i="3"/>
  <c r="BZ417" i="3"/>
  <c r="BJ417" i="3"/>
  <c r="BJ244" i="3"/>
  <c r="BJ218" i="3"/>
  <c r="BM35" i="3"/>
  <c r="BJ35" i="3"/>
  <c r="CH307" i="3"/>
  <c r="BJ307" i="3"/>
  <c r="BX310" i="3"/>
  <c r="CB310" i="3"/>
  <c r="BJ310" i="3"/>
  <c r="BZ324" i="3"/>
  <c r="CJ324" i="3"/>
  <c r="BJ324" i="3"/>
  <c r="CB346" i="3"/>
  <c r="BJ346" i="3"/>
  <c r="BM444" i="3"/>
  <c r="BJ444" i="3"/>
  <c r="D30" i="3"/>
  <c r="BU30" i="3" s="1"/>
  <c r="BJ30" i="3"/>
  <c r="D46" i="3"/>
  <c r="BS46" i="3" s="1"/>
  <c r="BJ46" i="3"/>
  <c r="BJ470" i="3"/>
  <c r="BJ184" i="3"/>
  <c r="D25" i="3"/>
  <c r="BY25" i="3" s="1"/>
  <c r="BJ25" i="3"/>
  <c r="BM156" i="3"/>
  <c r="BJ156" i="3"/>
  <c r="D165" i="3"/>
  <c r="CO165" i="3" s="1"/>
  <c r="BM201" i="3"/>
  <c r="BJ201" i="3"/>
  <c r="BM240" i="3"/>
  <c r="BJ240" i="3"/>
  <c r="D260" i="3"/>
  <c r="BS260" i="3" s="1"/>
  <c r="BJ260" i="3"/>
  <c r="BM300" i="3"/>
  <c r="BJ300" i="3"/>
  <c r="BT307" i="3"/>
  <c r="F408" i="3"/>
  <c r="BJ408" i="3" s="1"/>
  <c r="BJ409" i="3"/>
  <c r="D475" i="3"/>
  <c r="BQ475" i="3" s="1"/>
  <c r="BJ475" i="3"/>
  <c r="CN528" i="3"/>
  <c r="BJ528" i="3"/>
  <c r="CB528" i="3"/>
  <c r="CL588" i="3"/>
  <c r="BJ588" i="3"/>
  <c r="BJ99" i="3"/>
  <c r="BM79" i="3"/>
  <c r="BJ79" i="3"/>
  <c r="BM105" i="3"/>
  <c r="BJ105" i="3"/>
  <c r="D486" i="3"/>
  <c r="BJ486" i="3"/>
  <c r="BM549" i="3"/>
  <c r="BJ549" i="3"/>
  <c r="BJ315" i="3"/>
  <c r="D177" i="3"/>
  <c r="Q177" i="3" s="1"/>
  <c r="BJ177" i="3"/>
  <c r="D269" i="3"/>
  <c r="Q269" i="3" s="1"/>
  <c r="BJ269" i="3"/>
  <c r="BM191" i="3"/>
  <c r="BJ191" i="3"/>
  <c r="E356" i="3"/>
  <c r="BM582" i="3"/>
  <c r="BJ582" i="3"/>
  <c r="BJ424" i="3"/>
  <c r="BJ302" i="3"/>
  <c r="BJ172" i="3"/>
  <c r="BM137" i="3"/>
  <c r="BJ137" i="3"/>
  <c r="D175" i="3"/>
  <c r="CC175" i="3" s="1"/>
  <c r="BJ175" i="3"/>
  <c r="BJ225" i="3"/>
  <c r="F234" i="3"/>
  <c r="BJ234" i="3" s="1"/>
  <c r="BJ236" i="3"/>
  <c r="BM24" i="3"/>
  <c r="BJ24" i="3"/>
  <c r="D127" i="3"/>
  <c r="BQ127" i="3" s="1"/>
  <c r="BJ127" i="3"/>
  <c r="BM180" i="3"/>
  <c r="BJ180" i="3"/>
  <c r="D198" i="3"/>
  <c r="BS198" i="3" s="1"/>
  <c r="BJ198" i="3"/>
  <c r="BM283" i="3"/>
  <c r="BJ283" i="3"/>
  <c r="CL381" i="3"/>
  <c r="BJ381" i="3"/>
  <c r="BZ381" i="3"/>
  <c r="CL407" i="3"/>
  <c r="CL406" i="3" s="1"/>
  <c r="BJ407" i="3"/>
  <c r="BJ303" i="3"/>
  <c r="BM150" i="3"/>
  <c r="BJ150" i="3"/>
  <c r="D247" i="3"/>
  <c r="CA247" i="3" s="1"/>
  <c r="BJ247" i="3"/>
  <c r="D573" i="3"/>
  <c r="BQ573" i="3" s="1"/>
  <c r="BJ573" i="3"/>
  <c r="F129" i="3"/>
  <c r="BJ129" i="3" s="1"/>
  <c r="E208" i="3"/>
  <c r="E227" i="3"/>
  <c r="D392" i="3"/>
  <c r="BJ392" i="3"/>
  <c r="BT392" i="3"/>
  <c r="D456" i="3"/>
  <c r="CO456" i="3" s="1"/>
  <c r="BJ456" i="3"/>
  <c r="BM493" i="3"/>
  <c r="BJ493" i="3"/>
  <c r="E487" i="3"/>
  <c r="CN575" i="3"/>
  <c r="CN574" i="3" s="1"/>
  <c r="BJ575" i="3"/>
  <c r="D121" i="3"/>
  <c r="BL121" i="3" s="1"/>
  <c r="BJ121" i="3"/>
  <c r="BR231" i="3"/>
  <c r="BR224" i="3" s="1"/>
  <c r="BZ345" i="3"/>
  <c r="BJ345" i="3"/>
  <c r="CC453" i="3"/>
  <c r="BM491" i="3"/>
  <c r="BJ491" i="3"/>
  <c r="BJ52" i="3"/>
  <c r="D313" i="3"/>
  <c r="BJ313" i="3"/>
  <c r="E144" i="3"/>
  <c r="BM153" i="3"/>
  <c r="BJ153" i="3"/>
  <c r="BM405" i="3"/>
  <c r="BJ405" i="3"/>
  <c r="O95" i="3"/>
  <c r="F95" i="3"/>
  <c r="D95" i="3" s="1"/>
  <c r="BM101" i="3"/>
  <c r="BJ101" i="3"/>
  <c r="E221" i="3"/>
  <c r="E216" i="3" s="1"/>
  <c r="D228" i="3"/>
  <c r="BM228" i="3" s="1"/>
  <c r="BJ228" i="3"/>
  <c r="CB398" i="3"/>
  <c r="CH398" i="3"/>
  <c r="BJ170" i="3"/>
  <c r="BJ28" i="3"/>
  <c r="D81" i="3"/>
  <c r="Q81" i="3" s="1"/>
  <c r="BJ81" i="3"/>
  <c r="BJ19" i="3"/>
  <c r="F96" i="3"/>
  <c r="D96" i="3" s="1"/>
  <c r="BM211" i="3"/>
  <c r="BJ211" i="3"/>
  <c r="D333" i="3"/>
  <c r="CK333" i="3" s="1"/>
  <c r="BJ333" i="3"/>
  <c r="CJ336" i="3"/>
  <c r="BJ336" i="3"/>
  <c r="BT352" i="3"/>
  <c r="BV352" i="3"/>
  <c r="CB352" i="3"/>
  <c r="BN441" i="3"/>
  <c r="BJ255" i="3"/>
  <c r="BJ230" i="3"/>
  <c r="BJ76" i="3"/>
  <c r="BX457" i="3"/>
  <c r="O512" i="3"/>
  <c r="BJ577" i="3"/>
  <c r="BJ469" i="3"/>
  <c r="CA412" i="3"/>
  <c r="BJ478" i="3"/>
  <c r="BJ274" i="3"/>
  <c r="BJ178" i="3"/>
  <c r="BJ154" i="3"/>
  <c r="CB21" i="3"/>
  <c r="D72" i="3"/>
  <c r="CA72" i="3" s="1"/>
  <c r="BM318" i="3"/>
  <c r="D449" i="3"/>
  <c r="CK449" i="3" s="1"/>
  <c r="CF457" i="3"/>
  <c r="D477" i="3"/>
  <c r="CK477" i="3" s="1"/>
  <c r="CM478" i="3"/>
  <c r="BZ529" i="3"/>
  <c r="BJ585" i="3"/>
  <c r="BJ561" i="3"/>
  <c r="BJ525" i="3"/>
  <c r="BJ513" i="3"/>
  <c r="BJ489" i="3"/>
  <c r="BJ453" i="3"/>
  <c r="BJ429" i="3"/>
  <c r="BJ369" i="3"/>
  <c r="BJ297" i="3"/>
  <c r="BJ189" i="3"/>
  <c r="BJ45" i="3"/>
  <c r="BJ33" i="3"/>
  <c r="BJ418" i="3"/>
  <c r="D202" i="3"/>
  <c r="CO202" i="3" s="1"/>
  <c r="M224" i="3"/>
  <c r="BZ389" i="3"/>
  <c r="CO453" i="3"/>
  <c r="CH569" i="3"/>
  <c r="BJ572" i="3"/>
  <c r="BJ548" i="3"/>
  <c r="BJ536" i="3"/>
  <c r="BJ524" i="3"/>
  <c r="BJ452" i="3"/>
  <c r="BJ440" i="3"/>
  <c r="BJ380" i="3"/>
  <c r="BJ368" i="3"/>
  <c r="BJ284" i="3"/>
  <c r="BJ176" i="3"/>
  <c r="BJ152" i="3"/>
  <c r="BJ116" i="3"/>
  <c r="BJ104" i="3"/>
  <c r="BJ56" i="3"/>
  <c r="BN514" i="3"/>
  <c r="O205" i="3"/>
  <c r="CA277" i="3"/>
  <c r="F341" i="3"/>
  <c r="BJ341" i="3" s="1"/>
  <c r="CD395" i="3"/>
  <c r="CD394" i="3" s="1"/>
  <c r="CM401" i="3"/>
  <c r="P242" i="3"/>
  <c r="P15" i="3" s="1"/>
  <c r="K506" i="3"/>
  <c r="D511" i="3"/>
  <c r="BS511" i="3" s="1"/>
  <c r="CJ525" i="3"/>
  <c r="CK525" i="3" s="1"/>
  <c r="BZ537" i="3"/>
  <c r="BX551" i="3"/>
  <c r="BJ583" i="3"/>
  <c r="BJ559" i="3"/>
  <c r="BJ547" i="3"/>
  <c r="BJ535" i="3"/>
  <c r="BJ511" i="3"/>
  <c r="BJ427" i="3"/>
  <c r="BJ355" i="3"/>
  <c r="BJ343" i="3"/>
  <c r="BJ319" i="3"/>
  <c r="BJ295" i="3"/>
  <c r="BJ259" i="3"/>
  <c r="BJ235" i="3"/>
  <c r="BJ223" i="3"/>
  <c r="BJ151" i="3"/>
  <c r="BJ91" i="3"/>
  <c r="BJ31" i="3"/>
  <c r="CS21" i="3"/>
  <c r="BX69" i="3"/>
  <c r="BP157" i="3"/>
  <c r="BP147" i="3" s="1"/>
  <c r="F183" i="3"/>
  <c r="D183" i="3" s="1"/>
  <c r="D210" i="3"/>
  <c r="CM210" i="3" s="1"/>
  <c r="CH384" i="3"/>
  <c r="CH382" i="3" s="1"/>
  <c r="CH395" i="3"/>
  <c r="CH394" i="3" s="1"/>
  <c r="BT504" i="3"/>
  <c r="L506" i="3"/>
  <c r="BZ551" i="3"/>
  <c r="BZ550" i="3" s="1"/>
  <c r="BJ558" i="3"/>
  <c r="BJ522" i="3"/>
  <c r="BJ438" i="3"/>
  <c r="BJ414" i="3"/>
  <c r="BJ402" i="3"/>
  <c r="BJ390" i="3"/>
  <c r="BJ366" i="3"/>
  <c r="BJ342" i="3"/>
  <c r="BJ330" i="3"/>
  <c r="BJ318" i="3"/>
  <c r="BJ294" i="3"/>
  <c r="BJ186" i="3"/>
  <c r="BJ174" i="3"/>
  <c r="BJ162" i="3"/>
  <c r="BJ126" i="3"/>
  <c r="BJ78" i="3"/>
  <c r="BJ66" i="3"/>
  <c r="BJ18" i="3"/>
  <c r="BJ383" i="3"/>
  <c r="BJ359" i="3"/>
  <c r="F209" i="3"/>
  <c r="BJ209" i="3" s="1"/>
  <c r="CJ384" i="3"/>
  <c r="CJ382" i="3" s="1"/>
  <c r="CJ414" i="3"/>
  <c r="CJ481" i="3"/>
  <c r="BZ504" i="3"/>
  <c r="BY518" i="3"/>
  <c r="BJ581" i="3"/>
  <c r="BJ569" i="3"/>
  <c r="BJ533" i="3"/>
  <c r="BJ485" i="3"/>
  <c r="BJ461" i="3"/>
  <c r="BJ437" i="3"/>
  <c r="BJ401" i="3"/>
  <c r="BJ389" i="3"/>
  <c r="BJ377" i="3"/>
  <c r="BJ281" i="3"/>
  <c r="BJ149" i="3"/>
  <c r="BJ113" i="3"/>
  <c r="BJ29" i="3"/>
  <c r="BM75" i="3"/>
  <c r="O208" i="3"/>
  <c r="BN433" i="3"/>
  <c r="BN477" i="3"/>
  <c r="BP506" i="3"/>
  <c r="CN506" i="3"/>
  <c r="BM518" i="3"/>
  <c r="F584" i="3"/>
  <c r="BM584" i="3" s="1"/>
  <c r="BN41" i="3"/>
  <c r="E69" i="3"/>
  <c r="D255" i="3"/>
  <c r="CG255" i="3" s="1"/>
  <c r="CH297" i="3"/>
  <c r="CH296" i="3" s="1"/>
  <c r="CB318" i="3"/>
  <c r="CH352" i="3"/>
  <c r="BT389" i="3"/>
  <c r="D444" i="3"/>
  <c r="BY444" i="3" s="1"/>
  <c r="G458" i="3"/>
  <c r="O458" i="3" s="1"/>
  <c r="O457" i="3" s="1"/>
  <c r="G506" i="3"/>
  <c r="CD528" i="3"/>
  <c r="O560" i="3"/>
  <c r="D572" i="3"/>
  <c r="BS572" i="3" s="1"/>
  <c r="BM295" i="3"/>
  <c r="CB297" i="3"/>
  <c r="CB296" i="3" s="1"/>
  <c r="CL362" i="3"/>
  <c r="D24" i="3"/>
  <c r="CM24" i="3" s="1"/>
  <c r="CJ41" i="3"/>
  <c r="CF69" i="3"/>
  <c r="F89" i="3"/>
  <c r="BJ89" i="3" s="1"/>
  <c r="O112" i="3"/>
  <c r="D178" i="3"/>
  <c r="CO178" i="3" s="1"/>
  <c r="BV295" i="3"/>
  <c r="BM307" i="3"/>
  <c r="BV389" i="3"/>
  <c r="H458" i="3"/>
  <c r="H457" i="3" s="1"/>
  <c r="BM486" i="3"/>
  <c r="BV506" i="3"/>
  <c r="O506" i="3"/>
  <c r="BQ518" i="3"/>
  <c r="BM525" i="3"/>
  <c r="L537" i="3"/>
  <c r="F550" i="3"/>
  <c r="BJ550" i="3" s="1"/>
  <c r="L554" i="3"/>
  <c r="CD561" i="3"/>
  <c r="CD560" i="3" s="1"/>
  <c r="BZ295" i="3"/>
  <c r="CB389" i="3"/>
  <c r="BM434" i="3"/>
  <c r="O488" i="3"/>
  <c r="O487" i="3" s="1"/>
  <c r="CA518" i="3"/>
  <c r="N554" i="3"/>
  <c r="D45" i="3"/>
  <c r="BW45" i="3" s="1"/>
  <c r="BX41" i="3"/>
  <c r="BX17" i="3" s="1"/>
  <c r="D79" i="3"/>
  <c r="BS79" i="3" s="1"/>
  <c r="G80" i="3"/>
  <c r="G69" i="3" s="1"/>
  <c r="D113" i="3"/>
  <c r="D244" i="3"/>
  <c r="CM244" i="3" s="1"/>
  <c r="D274" i="3"/>
  <c r="CI274" i="3" s="1"/>
  <c r="CJ295" i="3"/>
  <c r="BV307" i="3"/>
  <c r="BT367" i="3"/>
  <c r="CB395" i="3"/>
  <c r="CB394" i="3" s="1"/>
  <c r="CL414" i="3"/>
  <c r="CC478" i="3"/>
  <c r="CB504" i="3"/>
  <c r="CK518" i="3"/>
  <c r="BX529" i="3"/>
  <c r="CD551" i="3"/>
  <c r="CD550" i="3" s="1"/>
  <c r="O554" i="3"/>
  <c r="BZ589" i="3"/>
  <c r="CA589" i="3" s="1"/>
  <c r="CJ262" i="3"/>
  <c r="BZ41" i="3"/>
  <c r="O130" i="3"/>
  <c r="CB381" i="3"/>
  <c r="BN457" i="3"/>
  <c r="I514" i="3"/>
  <c r="CN540" i="3"/>
  <c r="CN537" i="3" s="1"/>
  <c r="BV569" i="3"/>
  <c r="CD21" i="3"/>
  <c r="CD310" i="3"/>
  <c r="D324" i="3"/>
  <c r="BQ324" i="3" s="1"/>
  <c r="CD381" i="3"/>
  <c r="CL395" i="3"/>
  <c r="CL394" i="3" s="1"/>
  <c r="CN504" i="3"/>
  <c r="BT513" i="3"/>
  <c r="F517" i="3"/>
  <c r="BJ517" i="3" s="1"/>
  <c r="D528" i="3"/>
  <c r="BS528" i="3" s="1"/>
  <c r="BZ569" i="3"/>
  <c r="CN69" i="3"/>
  <c r="F296" i="3"/>
  <c r="BJ296" i="3" s="1"/>
  <c r="CF21" i="3"/>
  <c r="D43" i="3"/>
  <c r="CM43" i="3" s="1"/>
  <c r="BT297" i="3"/>
  <c r="BT296" i="3" s="1"/>
  <c r="D311" i="3"/>
  <c r="BS311" i="3" s="1"/>
  <c r="BT361" i="3"/>
  <c r="CN395" i="3"/>
  <c r="CN394" i="3" s="1"/>
  <c r="O408" i="3"/>
  <c r="BW412" i="3"/>
  <c r="BT457" i="3"/>
  <c r="BV513" i="3"/>
  <c r="BR554" i="3"/>
  <c r="CD569" i="3"/>
  <c r="Q583" i="3"/>
  <c r="H188" i="3"/>
  <c r="O209" i="3"/>
  <c r="I262" i="3"/>
  <c r="BV297" i="3"/>
  <c r="BV296" i="3" s="1"/>
  <c r="CI401" i="3"/>
  <c r="BY412" i="3"/>
  <c r="BV457" i="3"/>
  <c r="D561" i="3"/>
  <c r="BQ561" i="3" s="1"/>
  <c r="F498" i="3"/>
  <c r="BJ498" i="3" s="1"/>
  <c r="D499" i="3"/>
  <c r="BQ499" i="3" s="1"/>
  <c r="BM499" i="3"/>
  <c r="CC28" i="3"/>
  <c r="CM28" i="3"/>
  <c r="J16" i="3"/>
  <c r="L69" i="3"/>
  <c r="CJ69" i="3"/>
  <c r="BM278" i="3"/>
  <c r="F276" i="3"/>
  <c r="BQ516" i="3"/>
  <c r="BL516" i="3"/>
  <c r="BX339" i="3"/>
  <c r="BM339" i="3"/>
  <c r="CN339" i="3"/>
  <c r="CJ339" i="3"/>
  <c r="BV339" i="3"/>
  <c r="BT339" i="3"/>
  <c r="BX309" i="3"/>
  <c r="D309" i="3"/>
  <c r="BL309" i="3" s="1"/>
  <c r="CJ309" i="3"/>
  <c r="BZ309" i="3"/>
  <c r="CH309" i="3"/>
  <c r="CB309" i="3"/>
  <c r="BM309" i="3"/>
  <c r="BT309" i="3"/>
  <c r="BV309" i="3"/>
  <c r="BK237" i="3"/>
  <c r="BN237" i="3" s="1"/>
  <c r="BN238" i="3"/>
  <c r="BM65" i="3"/>
  <c r="D65" i="3"/>
  <c r="BW65" i="3" s="1"/>
  <c r="BM248" i="3"/>
  <c r="F246" i="3"/>
  <c r="BM246" i="3" s="1"/>
  <c r="D459" i="3"/>
  <c r="BQ459" i="3" s="1"/>
  <c r="BM459" i="3"/>
  <c r="D195" i="3"/>
  <c r="CC195" i="3" s="1"/>
  <c r="BM195" i="3"/>
  <c r="BV341" i="3"/>
  <c r="BY342" i="3"/>
  <c r="BX503" i="3"/>
  <c r="BX502" i="3" s="1"/>
  <c r="D503" i="3"/>
  <c r="CG503" i="3" s="1"/>
  <c r="CJ503" i="3"/>
  <c r="CJ502" i="3" s="1"/>
  <c r="CD503" i="3"/>
  <c r="CD502" i="3" s="1"/>
  <c r="BM503" i="3"/>
  <c r="D49" i="3"/>
  <c r="CC49" i="3" s="1"/>
  <c r="BM49" i="3"/>
  <c r="D261" i="3"/>
  <c r="BL261" i="3" s="1"/>
  <c r="BX261" i="3"/>
  <c r="CH261" i="3"/>
  <c r="CL261" i="3"/>
  <c r="BZ261" i="3"/>
  <c r="CJ261" i="3"/>
  <c r="CH327" i="3"/>
  <c r="D327" i="3"/>
  <c r="D393" i="3"/>
  <c r="BT393" i="3"/>
  <c r="CH393" i="3"/>
  <c r="D429" i="3"/>
  <c r="CC429" i="3" s="1"/>
  <c r="BL241" i="3"/>
  <c r="D240" i="3"/>
  <c r="BL240" i="3" s="1"/>
  <c r="BZ292" i="3"/>
  <c r="BZ291" i="3" s="1"/>
  <c r="CN292" i="3"/>
  <c r="CN291" i="3" s="1"/>
  <c r="BM292" i="3"/>
  <c r="CL573" i="3"/>
  <c r="BZ573" i="3"/>
  <c r="BT573" i="3"/>
  <c r="BM573" i="3"/>
  <c r="D107" i="3"/>
  <c r="CE107" i="3" s="1"/>
  <c r="BM107" i="3"/>
  <c r="CL325" i="3"/>
  <c r="BX325" i="3"/>
  <c r="CN325" i="3"/>
  <c r="CJ325" i="3"/>
  <c r="BM325" i="3"/>
  <c r="CH325" i="3"/>
  <c r="BT325" i="3"/>
  <c r="BV325" i="3"/>
  <c r="BM83" i="3"/>
  <c r="D83" i="3"/>
  <c r="CA83" i="3" s="1"/>
  <c r="BM124" i="3"/>
  <c r="D124" i="3"/>
  <c r="BW124" i="3" s="1"/>
  <c r="CJ349" i="3"/>
  <c r="CK349" i="3" s="1"/>
  <c r="CB349" i="3"/>
  <c r="CC349" i="3" s="1"/>
  <c r="CD349" i="3"/>
  <c r="CE349" i="3" s="1"/>
  <c r="BW432" i="3"/>
  <c r="BU432" i="3"/>
  <c r="CE508" i="3"/>
  <c r="CC508" i="3"/>
  <c r="BM566" i="3"/>
  <c r="D566" i="3"/>
  <c r="CG566" i="3" s="1"/>
  <c r="BX577" i="3"/>
  <c r="BX576" i="3" s="1"/>
  <c r="CN577" i="3"/>
  <c r="CN576" i="3" s="1"/>
  <c r="CL577" i="3"/>
  <c r="CL576" i="3" s="1"/>
  <c r="CH577" i="3"/>
  <c r="CH576" i="3" s="1"/>
  <c r="CD577" i="3"/>
  <c r="CD576" i="3" s="1"/>
  <c r="CB577" i="3"/>
  <c r="CB576" i="3" s="1"/>
  <c r="BZ577" i="3"/>
  <c r="BZ576" i="3" s="1"/>
  <c r="BV577" i="3"/>
  <c r="BV576" i="3" s="1"/>
  <c r="BT577" i="3"/>
  <c r="BT576" i="3" s="1"/>
  <c r="BZ557" i="3"/>
  <c r="BZ554" i="3" s="1"/>
  <c r="BN144" i="3"/>
  <c r="CB375" i="3"/>
  <c r="CC375" i="3" s="1"/>
  <c r="BT506" i="3"/>
  <c r="CC539" i="3"/>
  <c r="H554" i="3"/>
  <c r="CB557" i="3"/>
  <c r="CB554" i="3" s="1"/>
  <c r="D29" i="3"/>
  <c r="CA29" i="3" s="1"/>
  <c r="CA226" i="3"/>
  <c r="Q239" i="3"/>
  <c r="BN257" i="3"/>
  <c r="CH295" i="3"/>
  <c r="CJ297" i="3"/>
  <c r="CJ296" i="3" s="1"/>
  <c r="BX307" i="3"/>
  <c r="CH310" i="3"/>
  <c r="CH313" i="3"/>
  <c r="CJ375" i="3"/>
  <c r="CK375" i="3" s="1"/>
  <c r="BX399" i="3"/>
  <c r="D414" i="3"/>
  <c r="BL414" i="3" s="1"/>
  <c r="CD420" i="3"/>
  <c r="D426" i="3"/>
  <c r="BS426" i="3" s="1"/>
  <c r="D472" i="3"/>
  <c r="BY472" i="3" s="1"/>
  <c r="G487" i="3"/>
  <c r="BN517" i="3"/>
  <c r="BN529" i="3"/>
  <c r="CD539" i="3"/>
  <c r="CD538" i="3" s="1"/>
  <c r="CD537" i="3" s="1"/>
  <c r="O131" i="3"/>
  <c r="G157" i="3"/>
  <c r="G147" i="3" s="1"/>
  <c r="BX313" i="3"/>
  <c r="CJ313" i="3"/>
  <c r="CN375" i="3"/>
  <c r="CO375" i="3" s="1"/>
  <c r="BX380" i="3"/>
  <c r="BZ399" i="3"/>
  <c r="CL420" i="3"/>
  <c r="O468" i="3"/>
  <c r="CB514" i="3"/>
  <c r="O541" i="3"/>
  <c r="O540" i="3" s="1"/>
  <c r="O537" i="3" s="1"/>
  <c r="F579" i="3"/>
  <c r="BJ579" i="3" s="1"/>
  <c r="CB585" i="3"/>
  <c r="BN205" i="3"/>
  <c r="BT286" i="3"/>
  <c r="BM324" i="3"/>
  <c r="BU143" i="3"/>
  <c r="P157" i="3"/>
  <c r="K231" i="3"/>
  <c r="K224" i="3" s="1"/>
  <c r="BL277" i="3"/>
  <c r="D283" i="3"/>
  <c r="CN295" i="3"/>
  <c r="CN293" i="3" s="1"/>
  <c r="CD319" i="3"/>
  <c r="CL380" i="3"/>
  <c r="BW396" i="3"/>
  <c r="CH399" i="3"/>
  <c r="D421" i="3"/>
  <c r="BL421" i="3" s="1"/>
  <c r="F425" i="3"/>
  <c r="BJ425" i="3" s="1"/>
  <c r="BM460" i="3"/>
  <c r="D493" i="3"/>
  <c r="BU493" i="3" s="1"/>
  <c r="BN502" i="3"/>
  <c r="M514" i="3"/>
  <c r="BX514" i="3"/>
  <c r="CM518" i="3"/>
  <c r="BM547" i="3"/>
  <c r="F574" i="3"/>
  <c r="BM574" i="3" s="1"/>
  <c r="CD585" i="3"/>
  <c r="F249" i="3"/>
  <c r="BJ249" i="3" s="1"/>
  <c r="BV319" i="3"/>
  <c r="BW143" i="3"/>
  <c r="D156" i="3"/>
  <c r="BU156" i="3" s="1"/>
  <c r="BM182" i="3"/>
  <c r="BM277" i="3"/>
  <c r="CN319" i="3"/>
  <c r="D337" i="3"/>
  <c r="BV348" i="3"/>
  <c r="BM372" i="3"/>
  <c r="BM395" i="3"/>
  <c r="BL401" i="3"/>
  <c r="BV417" i="3"/>
  <c r="CI453" i="3"/>
  <c r="CB506" i="3"/>
  <c r="N514" i="3"/>
  <c r="CH514" i="3"/>
  <c r="BT525" i="3"/>
  <c r="BU525" i="3" s="1"/>
  <c r="F546" i="3"/>
  <c r="D551" i="3"/>
  <c r="D550" i="3" s="1"/>
  <c r="D564" i="3"/>
  <c r="CA564" i="3" s="1"/>
  <c r="O574" i="3"/>
  <c r="CB575" i="3"/>
  <c r="CB574" i="3" s="1"/>
  <c r="BM589" i="3"/>
  <c r="BS143" i="3"/>
  <c r="BM155" i="3"/>
  <c r="D31" i="3"/>
  <c r="BY143" i="3"/>
  <c r="BM168" i="3"/>
  <c r="BN214" i="3"/>
  <c r="G231" i="3"/>
  <c r="D303" i="3"/>
  <c r="BL303" i="3" s="1"/>
  <c r="BX324" i="3"/>
  <c r="BX348" i="3"/>
  <c r="CB367" i="3"/>
  <c r="F400" i="3"/>
  <c r="BJ400" i="3" s="1"/>
  <c r="BM401" i="3"/>
  <c r="BX417" i="3"/>
  <c r="BM421" i="3"/>
  <c r="CJ506" i="3"/>
  <c r="CD506" i="3"/>
  <c r="D513" i="3"/>
  <c r="Q513" i="3" s="1"/>
  <c r="O514" i="3"/>
  <c r="BV525" i="3"/>
  <c r="BW525" i="3" s="1"/>
  <c r="D532" i="3"/>
  <c r="CM532" i="3" s="1"/>
  <c r="BV561" i="3"/>
  <c r="CD575" i="3"/>
  <c r="CD574" i="3" s="1"/>
  <c r="O296" i="3"/>
  <c r="BM343" i="3"/>
  <c r="BM399" i="3"/>
  <c r="BL239" i="3"/>
  <c r="CM143" i="3"/>
  <c r="BY153" i="3"/>
  <c r="BK227" i="3"/>
  <c r="BN227" i="3" s="1"/>
  <c r="BP231" i="3"/>
  <c r="BP224" i="3" s="1"/>
  <c r="BS277" i="3"/>
  <c r="D295" i="3"/>
  <c r="CC295" i="3" s="1"/>
  <c r="BZ311" i="3"/>
  <c r="D318" i="3"/>
  <c r="CG318" i="3" s="1"/>
  <c r="CD324" i="3"/>
  <c r="BZ348" i="3"/>
  <c r="BX372" i="3"/>
  <c r="BY372" i="3" s="1"/>
  <c r="BT381" i="3"/>
  <c r="BX384" i="3"/>
  <c r="BV395" i="3"/>
  <c r="BV394" i="3" s="1"/>
  <c r="O431" i="3"/>
  <c r="BX525" i="3"/>
  <c r="BY525" i="3" s="1"/>
  <c r="BX528" i="3"/>
  <c r="BX561" i="3"/>
  <c r="BM569" i="3"/>
  <c r="CL572" i="3"/>
  <c r="CJ575" i="3"/>
  <c r="CJ574" i="3" s="1"/>
  <c r="BT586" i="3"/>
  <c r="O406" i="3"/>
  <c r="BM25" i="3"/>
  <c r="BM134" i="3"/>
  <c r="CO143" i="3"/>
  <c r="BY277" i="3"/>
  <c r="CH324" i="3"/>
  <c r="BV337" i="3"/>
  <c r="CN348" i="3"/>
  <c r="BX377" i="3"/>
  <c r="BY377" i="3" s="1"/>
  <c r="BV381" i="3"/>
  <c r="BV379" i="3" s="1"/>
  <c r="BZ384" i="3"/>
  <c r="BZ382" i="3" s="1"/>
  <c r="BM389" i="3"/>
  <c r="BZ395" i="3"/>
  <c r="BZ394" i="3" s="1"/>
  <c r="BQ401" i="3"/>
  <c r="CL421" i="3"/>
  <c r="BZ525" i="3"/>
  <c r="CA525" i="3" s="1"/>
  <c r="BZ528" i="3"/>
  <c r="BL556" i="3"/>
  <c r="BZ561" i="3"/>
  <c r="BZ560" i="3" s="1"/>
  <c r="CN572" i="3"/>
  <c r="CE154" i="3"/>
  <c r="CK154" i="3"/>
  <c r="BS154" i="3"/>
  <c r="CI154" i="3"/>
  <c r="CG154" i="3"/>
  <c r="BW154" i="3"/>
  <c r="BU154" i="3"/>
  <c r="BL154" i="3"/>
  <c r="CM154" i="3"/>
  <c r="Q154" i="3"/>
  <c r="CI168" i="3"/>
  <c r="CJ168" i="3"/>
  <c r="CK168" i="3" s="1"/>
  <c r="BR217" i="3"/>
  <c r="BR216" i="3" s="1"/>
  <c r="BN213" i="3"/>
  <c r="BK212" i="3"/>
  <c r="BN212" i="3" s="1"/>
  <c r="D222" i="3"/>
  <c r="D221" i="3" s="1"/>
  <c r="Q221" i="3" s="1"/>
  <c r="Q223" i="3"/>
  <c r="H71" i="3"/>
  <c r="F77" i="3"/>
  <c r="BM48" i="3"/>
  <c r="D48" i="3"/>
  <c r="CA48" i="3" s="1"/>
  <c r="F128" i="3"/>
  <c r="H80" i="3"/>
  <c r="BM133" i="3"/>
  <c r="D133" i="3"/>
  <c r="BU155" i="3"/>
  <c r="CK155" i="3"/>
  <c r="CG155" i="3"/>
  <c r="BY155" i="3"/>
  <c r="BW155" i="3"/>
  <c r="D167" i="3"/>
  <c r="CA167" i="3" s="1"/>
  <c r="BM167" i="3"/>
  <c r="CL21" i="3"/>
  <c r="BW75" i="3"/>
  <c r="CI75" i="3"/>
  <c r="BY75" i="3"/>
  <c r="BL75" i="3"/>
  <c r="CM123" i="3"/>
  <c r="CK123" i="3"/>
  <c r="CI123" i="3"/>
  <c r="BS220" i="3"/>
  <c r="D219" i="3"/>
  <c r="BL219" i="3" s="1"/>
  <c r="BL220" i="3"/>
  <c r="Q220" i="3"/>
  <c r="BM86" i="3"/>
  <c r="D86" i="3"/>
  <c r="BL86" i="3" s="1"/>
  <c r="CE34" i="3"/>
  <c r="CI34" i="3"/>
  <c r="BL34" i="3"/>
  <c r="E17" i="3"/>
  <c r="BM51" i="3"/>
  <c r="D51" i="3"/>
  <c r="Q155" i="3"/>
  <c r="BM57" i="3"/>
  <c r="D57" i="3"/>
  <c r="BY57" i="3" s="1"/>
  <c r="BY235" i="3"/>
  <c r="BW235" i="3"/>
  <c r="BQ235" i="3"/>
  <c r="BW112" i="3"/>
  <c r="CG112" i="3"/>
  <c r="CE112" i="3"/>
  <c r="BQ112" i="3"/>
  <c r="BY112" i="3"/>
  <c r="BU112" i="3"/>
  <c r="F115" i="3"/>
  <c r="O115" i="3"/>
  <c r="CO126" i="3"/>
  <c r="CM126" i="3"/>
  <c r="CK126" i="3"/>
  <c r="CA126" i="3"/>
  <c r="BQ126" i="3"/>
  <c r="BM192" i="3"/>
  <c r="D192" i="3"/>
  <c r="CM192" i="3" s="1"/>
  <c r="CO226" i="3"/>
  <c r="CN225" i="3"/>
  <c r="D27" i="3"/>
  <c r="CC27" i="3" s="1"/>
  <c r="BM27" i="3"/>
  <c r="BL168" i="3"/>
  <c r="CE168" i="3"/>
  <c r="BW168" i="3"/>
  <c r="BS168" i="3"/>
  <c r="BQ168" i="3"/>
  <c r="CO168" i="3"/>
  <c r="CF176" i="3"/>
  <c r="BN219" i="3"/>
  <c r="BS226" i="3"/>
  <c r="Q226" i="3"/>
  <c r="BQ226" i="3"/>
  <c r="D225" i="3"/>
  <c r="BQ225" i="3" s="1"/>
  <c r="BL226" i="3"/>
  <c r="BU226" i="3"/>
  <c r="BY226" i="3"/>
  <c r="BW226" i="3"/>
  <c r="BS375" i="3"/>
  <c r="CG375" i="3"/>
  <c r="BL375" i="3"/>
  <c r="Q375" i="3"/>
  <c r="BQ375" i="3"/>
  <c r="BN232" i="3"/>
  <c r="BK231" i="3"/>
  <c r="BN231" i="3" s="1"/>
  <c r="BY34" i="3"/>
  <c r="BW59" i="3"/>
  <c r="BY59" i="3"/>
  <c r="BL59" i="3"/>
  <c r="BM37" i="3"/>
  <c r="D37" i="3"/>
  <c r="BY37" i="3" s="1"/>
  <c r="BU186" i="3"/>
  <c r="BX262" i="3"/>
  <c r="BM364" i="3"/>
  <c r="F363" i="3"/>
  <c r="CC20" i="3"/>
  <c r="BY28" i="3"/>
  <c r="BM30" i="3"/>
  <c r="BT69" i="3"/>
  <c r="F73" i="3"/>
  <c r="K157" i="3"/>
  <c r="K147" i="3" s="1"/>
  <c r="CG168" i="3"/>
  <c r="H216" i="3"/>
  <c r="CD259" i="3"/>
  <c r="CD258" i="3" s="1"/>
  <c r="CL259" i="3"/>
  <c r="CL258" i="3" s="1"/>
  <c r="CB259" i="3"/>
  <c r="CB258" i="3" s="1"/>
  <c r="BZ259" i="3"/>
  <c r="BZ258" i="3" s="1"/>
  <c r="BM259" i="3"/>
  <c r="M262" i="3"/>
  <c r="CH280" i="3"/>
  <c r="CL280" i="3"/>
  <c r="CD280" i="3"/>
  <c r="CB280" i="3"/>
  <c r="BX280" i="3"/>
  <c r="D280" i="3"/>
  <c r="BL342" i="3"/>
  <c r="CO342" i="3"/>
  <c r="CK342" i="3"/>
  <c r="CG432" i="3"/>
  <c r="CC432" i="3"/>
  <c r="CA432" i="3"/>
  <c r="BY432" i="3"/>
  <c r="CB446" i="3"/>
  <c r="CB475" i="3"/>
  <c r="CF475" i="3"/>
  <c r="CD475" i="3"/>
  <c r="CD473" i="3" s="1"/>
  <c r="BX475" i="3"/>
  <c r="BV475" i="3"/>
  <c r="BT475" i="3"/>
  <c r="CL475" i="3"/>
  <c r="CL473" i="3" s="1"/>
  <c r="BM475" i="3"/>
  <c r="CJ475" i="3"/>
  <c r="CH475" i="3"/>
  <c r="CH473" i="3" s="1"/>
  <c r="CJ560" i="3"/>
  <c r="BV299" i="3"/>
  <c r="BV298" i="3" s="1"/>
  <c r="BX407" i="3"/>
  <c r="BX406" i="3" s="1"/>
  <c r="CJ407" i="3"/>
  <c r="CH407" i="3"/>
  <c r="BM407" i="3"/>
  <c r="CD407" i="3"/>
  <c r="F406" i="3"/>
  <c r="D407" i="3"/>
  <c r="BZ407" i="3"/>
  <c r="CN407" i="3"/>
  <c r="CN406" i="3" s="1"/>
  <c r="BV407" i="3"/>
  <c r="L262" i="3"/>
  <c r="CE355" i="3"/>
  <c r="CC355" i="3"/>
  <c r="CK20" i="3"/>
  <c r="BR17" i="3"/>
  <c r="BM22" i="3"/>
  <c r="CA28" i="3"/>
  <c r="BM46" i="3"/>
  <c r="BM59" i="3"/>
  <c r="BV69" i="3"/>
  <c r="K69" i="3"/>
  <c r="F108" i="3"/>
  <c r="BM126" i="3"/>
  <c r="BQ143" i="3"/>
  <c r="BW151" i="3"/>
  <c r="L157" i="3"/>
  <c r="L147" i="3" s="1"/>
  <c r="D176" i="3"/>
  <c r="CK176" i="3" s="1"/>
  <c r="BZ184" i="3"/>
  <c r="I216" i="3"/>
  <c r="O232" i="3"/>
  <c r="D301" i="3"/>
  <c r="BS301" i="3" s="1"/>
  <c r="F299" i="3"/>
  <c r="BM299" i="3" s="1"/>
  <c r="BM301" i="3"/>
  <c r="CF304" i="3"/>
  <c r="CB328" i="3"/>
  <c r="D328" i="3"/>
  <c r="CA328" i="3" s="1"/>
  <c r="CL328" i="3"/>
  <c r="BX328" i="3"/>
  <c r="BV328" i="3"/>
  <c r="BT328" i="3"/>
  <c r="BY355" i="3"/>
  <c r="CI386" i="3"/>
  <c r="CC386" i="3"/>
  <c r="Q386" i="3"/>
  <c r="CM386" i="3"/>
  <c r="CK386" i="3"/>
  <c r="BR410" i="3"/>
  <c r="BT411" i="3"/>
  <c r="BT410" i="3" s="1"/>
  <c r="CD505" i="3"/>
  <c r="BZ505" i="3"/>
  <c r="BX505" i="3"/>
  <c r="BV505" i="3"/>
  <c r="D505" i="3"/>
  <c r="BL505" i="3" s="1"/>
  <c r="CN505" i="3"/>
  <c r="CH505" i="3"/>
  <c r="D531" i="3"/>
  <c r="CM531" i="3" s="1"/>
  <c r="BM531" i="3"/>
  <c r="F530" i="3"/>
  <c r="BM530" i="3" s="1"/>
  <c r="D19" i="3"/>
  <c r="BS19" i="3" s="1"/>
  <c r="CM20" i="3"/>
  <c r="BM34" i="3"/>
  <c r="H21" i="3"/>
  <c r="O145" i="3"/>
  <c r="D184" i="3"/>
  <c r="F222" i="3"/>
  <c r="BJ222" i="3" s="1"/>
  <c r="BM223" i="3"/>
  <c r="D251" i="3"/>
  <c r="BT351" i="3"/>
  <c r="F350" i="3"/>
  <c r="CJ351" i="3"/>
  <c r="BV351" i="3"/>
  <c r="CN392" i="3"/>
  <c r="CL392" i="3"/>
  <c r="CJ392" i="3"/>
  <c r="F391" i="3"/>
  <c r="BM391" i="3" s="1"/>
  <c r="BX392" i="3"/>
  <c r="BV392" i="3"/>
  <c r="CA453" i="3"/>
  <c r="BZ451" i="3"/>
  <c r="O579" i="3"/>
  <c r="O578" i="3" s="1"/>
  <c r="G578" i="3"/>
  <c r="CA20" i="3"/>
  <c r="BT145" i="3"/>
  <c r="BT144" i="3" s="1"/>
  <c r="BZ446" i="3"/>
  <c r="BR69" i="3"/>
  <c r="CS80" i="3"/>
  <c r="BL153" i="3"/>
  <c r="BM154" i="3"/>
  <c r="BW165" i="3"/>
  <c r="O188" i="3"/>
  <c r="BM220" i="3"/>
  <c r="F306" i="3"/>
  <c r="BX308" i="3"/>
  <c r="BU396" i="3"/>
  <c r="BQ396" i="3"/>
  <c r="CE396" i="3"/>
  <c r="CC396" i="3"/>
  <c r="CN21" i="3"/>
  <c r="H41" i="3"/>
  <c r="BY120" i="3"/>
  <c r="CA143" i="3"/>
  <c r="A152" i="3"/>
  <c r="A153" i="3" s="1"/>
  <c r="CE153" i="3"/>
  <c r="BT220" i="3"/>
  <c r="BT219" i="3" s="1"/>
  <c r="BS239" i="3"/>
  <c r="CB260" i="3"/>
  <c r="BN273" i="3"/>
  <c r="D304" i="3"/>
  <c r="BW304" i="3" s="1"/>
  <c r="BM304" i="3"/>
  <c r="BZ308" i="3"/>
  <c r="CC342" i="3"/>
  <c r="CB351" i="3"/>
  <c r="BS383" i="3"/>
  <c r="CG386" i="3"/>
  <c r="CA396" i="3"/>
  <c r="D436" i="3"/>
  <c r="D435" i="3" s="1"/>
  <c r="F435" i="3"/>
  <c r="F433" i="3" s="1"/>
  <c r="BJ433" i="3" s="1"/>
  <c r="BM436" i="3"/>
  <c r="CI366" i="3"/>
  <c r="BS366" i="3"/>
  <c r="K17" i="3"/>
  <c r="O21" i="3"/>
  <c r="I17" i="3"/>
  <c r="CH69" i="3"/>
  <c r="O109" i="3"/>
  <c r="CA120" i="3"/>
  <c r="CC143" i="3"/>
  <c r="CF153" i="3"/>
  <c r="CF148" i="3" s="1"/>
  <c r="BN200" i="3"/>
  <c r="D204" i="3"/>
  <c r="BL204" i="3" s="1"/>
  <c r="L216" i="3"/>
  <c r="BU239" i="3"/>
  <c r="F243" i="3"/>
  <c r="BM243" i="3" s="1"/>
  <c r="D248" i="3"/>
  <c r="Q248" i="3" s="1"/>
  <c r="CH260" i="3"/>
  <c r="G262" i="3"/>
  <c r="F385" i="3"/>
  <c r="BJ385" i="3" s="1"/>
  <c r="D387" i="3"/>
  <c r="BY387" i="3" s="1"/>
  <c r="D390" i="3"/>
  <c r="CD390" i="3"/>
  <c r="CB390" i="3"/>
  <c r="CH457" i="3"/>
  <c r="CG535" i="3"/>
  <c r="CK535" i="3"/>
  <c r="CI535" i="3"/>
  <c r="CE535" i="3"/>
  <c r="BU535" i="3"/>
  <c r="BS535" i="3"/>
  <c r="Q535" i="3"/>
  <c r="D272" i="3"/>
  <c r="CC272" i="3" s="1"/>
  <c r="F271" i="3"/>
  <c r="BM271" i="3" s="1"/>
  <c r="BX301" i="3"/>
  <c r="BS20" i="3"/>
  <c r="L17" i="3"/>
  <c r="D39" i="3"/>
  <c r="CM39" i="3" s="1"/>
  <c r="CM120" i="3"/>
  <c r="BM132" i="3"/>
  <c r="CG143" i="3"/>
  <c r="D149" i="3"/>
  <c r="BS149" i="3" s="1"/>
  <c r="CI153" i="3"/>
  <c r="BM175" i="3"/>
  <c r="BS178" i="3"/>
  <c r="D201" i="3"/>
  <c r="Q201" i="3" s="1"/>
  <c r="CI239" i="3"/>
  <c r="BN363" i="3"/>
  <c r="BY366" i="3"/>
  <c r="CL375" i="3"/>
  <c r="CM375" i="3" s="1"/>
  <c r="BZ375" i="3"/>
  <c r="CA375" i="3" s="1"/>
  <c r="BX375" i="3"/>
  <c r="BY375" i="3" s="1"/>
  <c r="BV375" i="3"/>
  <c r="BW375" i="3" s="1"/>
  <c r="BT375" i="3"/>
  <c r="BU375" i="3" s="1"/>
  <c r="CH375" i="3"/>
  <c r="CI375" i="3" s="1"/>
  <c r="BM375" i="3"/>
  <c r="CD375" i="3"/>
  <c r="CE375" i="3" s="1"/>
  <c r="CB393" i="3"/>
  <c r="CD393" i="3"/>
  <c r="BZ393" i="3"/>
  <c r="BX393" i="3"/>
  <c r="BV393" i="3"/>
  <c r="CJ393" i="3"/>
  <c r="BX398" i="3"/>
  <c r="BV398" i="3"/>
  <c r="BT398" i="3"/>
  <c r="BT407" i="3"/>
  <c r="BT406" i="3" s="1"/>
  <c r="CF444" i="3"/>
  <c r="CH444" i="3" s="1"/>
  <c r="F446" i="3"/>
  <c r="BJ446" i="3" s="1"/>
  <c r="D447" i="3"/>
  <c r="BM447" i="3"/>
  <c r="BL527" i="3"/>
  <c r="CG527" i="3"/>
  <c r="CK330" i="3"/>
  <c r="CM330" i="3"/>
  <c r="CI330" i="3"/>
  <c r="BW330" i="3"/>
  <c r="BT418" i="3"/>
  <c r="CN418" i="3"/>
  <c r="CB418" i="3"/>
  <c r="BZ418" i="3"/>
  <c r="F416" i="3"/>
  <c r="BM535" i="3"/>
  <c r="F534" i="3"/>
  <c r="BM534" i="3" s="1"/>
  <c r="BW20" i="3"/>
  <c r="CD69" i="3"/>
  <c r="CO120" i="3"/>
  <c r="Q143" i="3"/>
  <c r="CI143" i="3"/>
  <c r="F148" i="3"/>
  <c r="BM148" i="3" s="1"/>
  <c r="Q151" i="3"/>
  <c r="CC168" i="3"/>
  <c r="CD195" i="3"/>
  <c r="L231" i="3"/>
  <c r="L224" i="3" s="1"/>
  <c r="CK239" i="3"/>
  <c r="CD261" i="3"/>
  <c r="BV261" i="3"/>
  <c r="BT261" i="3"/>
  <c r="CF261" i="3"/>
  <c r="CA366" i="3"/>
  <c r="CH378" i="3"/>
  <c r="CD378" i="3"/>
  <c r="CB378" i="3"/>
  <c r="BZ378" i="3"/>
  <c r="D378" i="3"/>
  <c r="CG378" i="3" s="1"/>
  <c r="BN391" i="3"/>
  <c r="CB407" i="3"/>
  <c r="BY20" i="3"/>
  <c r="D56" i="3"/>
  <c r="BS56" i="3" s="1"/>
  <c r="I69" i="3"/>
  <c r="D88" i="3"/>
  <c r="Q88" i="3" s="1"/>
  <c r="D137" i="3"/>
  <c r="BQ137" i="3" s="1"/>
  <c r="BL143" i="3"/>
  <c r="CK143" i="3"/>
  <c r="BL151" i="3"/>
  <c r="F219" i="3"/>
  <c r="O234" i="3"/>
  <c r="BM238" i="3"/>
  <c r="CO239" i="3"/>
  <c r="K262" i="3"/>
  <c r="D263" i="3"/>
  <c r="BW263" i="3" s="1"/>
  <c r="BL264" i="3"/>
  <c r="Q264" i="3"/>
  <c r="O271" i="3"/>
  <c r="F273" i="3"/>
  <c r="BM273" i="3" s="1"/>
  <c r="CL332" i="3"/>
  <c r="D364" i="3"/>
  <c r="BW364" i="3" s="1"/>
  <c r="BM378" i="3"/>
  <c r="BX414" i="3"/>
  <c r="CH414" i="3"/>
  <c r="BM414" i="3"/>
  <c r="CD414" i="3"/>
  <c r="BZ414" i="3"/>
  <c r="CN414" i="3"/>
  <c r="BV414" i="3"/>
  <c r="BT414" i="3"/>
  <c r="CG437" i="3"/>
  <c r="CA437" i="3"/>
  <c r="BU437" i="3"/>
  <c r="BL437" i="3"/>
  <c r="BK298" i="3"/>
  <c r="BN298" i="3" s="1"/>
  <c r="BZ310" i="3"/>
  <c r="BV311" i="3"/>
  <c r="BZ313" i="3"/>
  <c r="CL339" i="3"/>
  <c r="BT348" i="3"/>
  <c r="CD352" i="3"/>
  <c r="D359" i="3"/>
  <c r="BS359" i="3" s="1"/>
  <c r="BV377" i="3"/>
  <c r="BW377" i="3" s="1"/>
  <c r="BX381" i="3"/>
  <c r="D399" i="3"/>
  <c r="BM432" i="3"/>
  <c r="F431" i="3"/>
  <c r="BJ431" i="3" s="1"/>
  <c r="BM496" i="3"/>
  <c r="D496" i="3"/>
  <c r="CA496" i="3" s="1"/>
  <c r="BR514" i="3"/>
  <c r="BW516" i="3"/>
  <c r="CM516" i="3"/>
  <c r="CK516" i="3"/>
  <c r="CC516" i="3"/>
  <c r="D515" i="3"/>
  <c r="CE515" i="3" s="1"/>
  <c r="CA516" i="3"/>
  <c r="BY516" i="3"/>
  <c r="BU516" i="3"/>
  <c r="BS516" i="3"/>
  <c r="BM544" i="3"/>
  <c r="D544" i="3"/>
  <c r="BW544" i="3" s="1"/>
  <c r="CK547" i="3"/>
  <c r="Q547" i="3"/>
  <c r="CI547" i="3"/>
  <c r="CG547" i="3"/>
  <c r="CE547" i="3"/>
  <c r="BY547" i="3"/>
  <c r="BW547" i="3"/>
  <c r="BU547" i="3"/>
  <c r="D546" i="3"/>
  <c r="CC546" i="3" s="1"/>
  <c r="BS547" i="3"/>
  <c r="BQ547" i="3"/>
  <c r="BX367" i="3"/>
  <c r="CB399" i="3"/>
  <c r="CA460" i="3"/>
  <c r="CG460" i="3"/>
  <c r="BW460" i="3"/>
  <c r="D553" i="3"/>
  <c r="CG553" i="3" s="1"/>
  <c r="CH553" i="3"/>
  <c r="CD553" i="3"/>
  <c r="CD552" i="3" s="1"/>
  <c r="CB553" i="3"/>
  <c r="BM553" i="3"/>
  <c r="D567" i="3"/>
  <c r="CC567" i="3" s="1"/>
  <c r="F565" i="3"/>
  <c r="BM567" i="3"/>
  <c r="BM361" i="3"/>
  <c r="CD399" i="3"/>
  <c r="BZ500" i="3"/>
  <c r="D500" i="3"/>
  <c r="BX500" i="3"/>
  <c r="CN500" i="3"/>
  <c r="BV500" i="3"/>
  <c r="CL500" i="3"/>
  <c r="CJ500" i="3"/>
  <c r="BT500" i="3"/>
  <c r="CH500" i="3"/>
  <c r="BM500" i="3"/>
  <c r="CD500" i="3"/>
  <c r="BN512" i="3"/>
  <c r="BX527" i="3"/>
  <c r="BY527" i="3" s="1"/>
  <c r="CB527" i="3"/>
  <c r="F526" i="3"/>
  <c r="BJ526" i="3" s="1"/>
  <c r="BZ527" i="3"/>
  <c r="BV527" i="3"/>
  <c r="BW527" i="3" s="1"/>
  <c r="CN527" i="3"/>
  <c r="BT527" i="3"/>
  <c r="BU527" i="3" s="1"/>
  <c r="CL527" i="3"/>
  <c r="CM527" i="3" s="1"/>
  <c r="CJ527" i="3"/>
  <c r="CK527" i="3" s="1"/>
  <c r="BM527" i="3"/>
  <c r="CH527" i="3"/>
  <c r="CI527" i="3" s="1"/>
  <c r="N262" i="3"/>
  <c r="BR262" i="3"/>
  <c r="O291" i="3"/>
  <c r="BT292" i="3"/>
  <c r="BT291" i="3" s="1"/>
  <c r="CN297" i="3"/>
  <c r="O299" i="3"/>
  <c r="O298" i="3" s="1"/>
  <c r="CD307" i="3"/>
  <c r="D310" i="3"/>
  <c r="CJ310" i="3"/>
  <c r="CB312" i="3"/>
  <c r="CD318" i="3"/>
  <c r="BZ325" i="3"/>
  <c r="BZ339" i="3"/>
  <c r="D348" i="3"/>
  <c r="D347" i="3" s="1"/>
  <c r="CB348" i="3"/>
  <c r="BT359" i="3"/>
  <c r="BV361" i="3"/>
  <c r="CM366" i="3"/>
  <c r="CB372" i="3"/>
  <c r="CC372" i="3" s="1"/>
  <c r="D381" i="3"/>
  <c r="CH381" i="3"/>
  <c r="D384" i="3"/>
  <c r="Q384" i="3" s="1"/>
  <c r="CD389" i="3"/>
  <c r="CJ399" i="3"/>
  <c r="D402" i="3"/>
  <c r="CG402" i="3" s="1"/>
  <c r="D405" i="3"/>
  <c r="CG405" i="3" s="1"/>
  <c r="BS460" i="3"/>
  <c r="BM464" i="3"/>
  <c r="D464" i="3"/>
  <c r="CO471" i="3"/>
  <c r="BS471" i="3"/>
  <c r="CO516" i="3"/>
  <c r="CO547" i="3"/>
  <c r="BW589" i="3"/>
  <c r="BM287" i="3"/>
  <c r="BV292" i="3"/>
  <c r="D297" i="3"/>
  <c r="D302" i="3"/>
  <c r="Q302" i="3" s="1"/>
  <c r="BX304" i="3"/>
  <c r="CJ307" i="3"/>
  <c r="CL310" i="3"/>
  <c r="CD312" i="3"/>
  <c r="BT324" i="3"/>
  <c r="CL324" i="3"/>
  <c r="CB325" i="3"/>
  <c r="CB339" i="3"/>
  <c r="CD348" i="3"/>
  <c r="BX359" i="3"/>
  <c r="CB361" i="3"/>
  <c r="CN372" i="3"/>
  <c r="CO372" i="3" s="1"/>
  <c r="CJ381" i="3"/>
  <c r="CH389" i="3"/>
  <c r="CN399" i="3"/>
  <c r="BY460" i="3"/>
  <c r="F468" i="3"/>
  <c r="BJ468" i="3" s="1"/>
  <c r="BM483" i="3"/>
  <c r="D483" i="3"/>
  <c r="CA483" i="3" s="1"/>
  <c r="BQ486" i="3"/>
  <c r="CB500" i="3"/>
  <c r="CD527" i="3"/>
  <c r="CE527" i="3" s="1"/>
  <c r="CN550" i="3"/>
  <c r="Q580" i="3"/>
  <c r="CI580" i="3"/>
  <c r="BM263" i="3"/>
  <c r="CB292" i="3"/>
  <c r="CB291" i="3" s="1"/>
  <c r="D307" i="3"/>
  <c r="Q307" i="3" s="1"/>
  <c r="CL307" i="3"/>
  <c r="CN310" i="3"/>
  <c r="D325" i="3"/>
  <c r="CD325" i="3"/>
  <c r="D339" i="3"/>
  <c r="CD339" i="3"/>
  <c r="BM352" i="3"/>
  <c r="BZ359" i="3"/>
  <c r="CD361" i="3"/>
  <c r="CN381" i="3"/>
  <c r="CL389" i="3"/>
  <c r="CL388" i="3" s="1"/>
  <c r="BT399" i="3"/>
  <c r="BM412" i="3"/>
  <c r="D417" i="3"/>
  <c r="BQ417" i="3" s="1"/>
  <c r="CN417" i="3"/>
  <c r="CJ417" i="3"/>
  <c r="F428" i="3"/>
  <c r="BM428" i="3" s="1"/>
  <c r="CF500" i="3"/>
  <c r="BR506" i="3"/>
  <c r="CA508" i="3"/>
  <c r="BY508" i="3"/>
  <c r="BW508" i="3"/>
  <c r="BU508" i="3"/>
  <c r="BS508" i="3"/>
  <c r="BL508" i="3"/>
  <c r="BV287" i="3"/>
  <c r="CD292" i="3"/>
  <c r="CD291" i="3" s="1"/>
  <c r="BV324" i="3"/>
  <c r="BM348" i="3"/>
  <c r="CJ348" i="3"/>
  <c r="CK355" i="3"/>
  <c r="CH361" i="3"/>
  <c r="D369" i="3"/>
  <c r="CM369" i="3" s="1"/>
  <c r="BM381" i="3"/>
  <c r="BT384" i="3"/>
  <c r="CN389" i="3"/>
  <c r="BV399" i="3"/>
  <c r="BW453" i="3"/>
  <c r="BV451" i="3"/>
  <c r="O502" i="3"/>
  <c r="O501" i="3" s="1"/>
  <c r="CL262" i="3"/>
  <c r="CH292" i="3"/>
  <c r="CH291" i="3" s="1"/>
  <c r="CN307" i="3"/>
  <c r="CH339" i="3"/>
  <c r="CL348" i="3"/>
  <c r="CJ361" i="3"/>
  <c r="BT395" i="3"/>
  <c r="BT394" i="3" s="1"/>
  <c r="BM417" i="3"/>
  <c r="CA580" i="3"/>
  <c r="CH503" i="3"/>
  <c r="CH585" i="3"/>
  <c r="BN469" i="3"/>
  <c r="BV504" i="3"/>
  <c r="BX513" i="3"/>
  <c r="K514" i="3"/>
  <c r="G514" i="3"/>
  <c r="BW518" i="3"/>
  <c r="BT528" i="3"/>
  <c r="CM539" i="3"/>
  <c r="BT551" i="3"/>
  <c r="BT550" i="3" s="1"/>
  <c r="D555" i="3"/>
  <c r="D558" i="3"/>
  <c r="CA558" i="3" s="1"/>
  <c r="BT561" i="3"/>
  <c r="BT560" i="3" s="1"/>
  <c r="CB569" i="3"/>
  <c r="F571" i="3"/>
  <c r="BM571" i="3" s="1"/>
  <c r="CH575" i="3"/>
  <c r="CH574" i="3" s="1"/>
  <c r="D581" i="3"/>
  <c r="CG581" i="3" s="1"/>
  <c r="D585" i="3"/>
  <c r="BS585" i="3" s="1"/>
  <c r="CJ585" i="3"/>
  <c r="CN585" i="3"/>
  <c r="CN584" i="3" s="1"/>
  <c r="CD457" i="3"/>
  <c r="D470" i="3"/>
  <c r="D480" i="3"/>
  <c r="BQ480" i="3" s="1"/>
  <c r="D489" i="3"/>
  <c r="BQ489" i="3" s="1"/>
  <c r="H506" i="3"/>
  <c r="CB513" i="3"/>
  <c r="Q539" i="3"/>
  <c r="I540" i="3"/>
  <c r="I537" i="3" s="1"/>
  <c r="D543" i="3"/>
  <c r="CG543" i="3" s="1"/>
  <c r="D575" i="3"/>
  <c r="CL575" i="3"/>
  <c r="CL574" i="3" s="1"/>
  <c r="BL453" i="3"/>
  <c r="BX499" i="3"/>
  <c r="CL503" i="3"/>
  <c r="BL539" i="3"/>
  <c r="K537" i="3"/>
  <c r="D549" i="3"/>
  <c r="CA549" i="3" s="1"/>
  <c r="BM585" i="3"/>
  <c r="BY589" i="3"/>
  <c r="BM453" i="3"/>
  <c r="CB499" i="3"/>
  <c r="CF514" i="3"/>
  <c r="BM538" i="3"/>
  <c r="BV421" i="3"/>
  <c r="BQ478" i="3"/>
  <c r="D491" i="3"/>
  <c r="BS491" i="3" s="1"/>
  <c r="BT503" i="3"/>
  <c r="BT502" i="3" s="1"/>
  <c r="BZ506" i="3"/>
  <c r="M506" i="3"/>
  <c r="BM513" i="3"/>
  <c r="CO518" i="3"/>
  <c r="BZ524" i="3"/>
  <c r="CL525" i="3"/>
  <c r="CM525" i="3" s="1"/>
  <c r="O550" i="3"/>
  <c r="I554" i="3"/>
  <c r="CL559" i="3"/>
  <c r="CL557" i="3" s="1"/>
  <c r="CH561" i="3"/>
  <c r="CJ569" i="3"/>
  <c r="BT572" i="3"/>
  <c r="CB573" i="3"/>
  <c r="BM575" i="3"/>
  <c r="O576" i="3"/>
  <c r="BW583" i="3"/>
  <c r="BT585" i="3"/>
  <c r="BV586" i="3"/>
  <c r="CH588" i="3"/>
  <c r="CB589" i="3"/>
  <c r="CC589" i="3" s="1"/>
  <c r="BX421" i="3"/>
  <c r="BQ453" i="3"/>
  <c r="BS478" i="3"/>
  <c r="CD499" i="3"/>
  <c r="BV503" i="3"/>
  <c r="F512" i="3"/>
  <c r="BM512" i="3" s="1"/>
  <c r="BM515" i="3"/>
  <c r="CJ524" i="3"/>
  <c r="CN525" i="3"/>
  <c r="CN523" i="3" s="1"/>
  <c r="CH528" i="3"/>
  <c r="BP537" i="3"/>
  <c r="CH551" i="3"/>
  <c r="CM556" i="3"/>
  <c r="CL569" i="3"/>
  <c r="BV572" i="3"/>
  <c r="CH573" i="3"/>
  <c r="BY583" i="3"/>
  <c r="BV585" i="3"/>
  <c r="BZ586" i="3"/>
  <c r="CJ589" i="3"/>
  <c r="CK589" i="3" s="1"/>
  <c r="BZ421" i="3"/>
  <c r="BZ419" i="3" s="1"/>
  <c r="F451" i="3"/>
  <c r="BM451" i="3" s="1"/>
  <c r="BU478" i="3"/>
  <c r="CJ499" i="3"/>
  <c r="BM504" i="3"/>
  <c r="CH504" i="3"/>
  <c r="CH513" i="3"/>
  <c r="E514" i="3"/>
  <c r="BN515" i="3"/>
  <c r="CL528" i="3"/>
  <c r="G537" i="3"/>
  <c r="CL551" i="3"/>
  <c r="BT562" i="3"/>
  <c r="CN569" i="3"/>
  <c r="BZ572" i="3"/>
  <c r="CJ573" i="3"/>
  <c r="BT575" i="3"/>
  <c r="BM577" i="3"/>
  <c r="CA583" i="3"/>
  <c r="CL586" i="3"/>
  <c r="CL584" i="3" s="1"/>
  <c r="BZ492" i="3"/>
  <c r="CJ504" i="3"/>
  <c r="CJ513" i="3"/>
  <c r="BR529" i="3"/>
  <c r="H537" i="3"/>
  <c r="BM551" i="3"/>
  <c r="M554" i="3"/>
  <c r="BT569" i="3"/>
  <c r="BV575" i="3"/>
  <c r="BV574" i="3" s="1"/>
  <c r="CO583" i="3"/>
  <c r="BZ585" i="3"/>
  <c r="BP14" i="3"/>
  <c r="BQ14" i="3" s="1"/>
  <c r="CH21" i="3"/>
  <c r="D44" i="3"/>
  <c r="CC44" i="3" s="1"/>
  <c r="BM44" i="3"/>
  <c r="D68" i="3"/>
  <c r="BM68" i="3"/>
  <c r="CE20" i="3"/>
  <c r="BM23" i="3"/>
  <c r="BP17" i="3"/>
  <c r="BY119" i="3"/>
  <c r="BW119" i="3"/>
  <c r="BU119" i="3"/>
  <c r="BS119" i="3"/>
  <c r="CI119" i="3"/>
  <c r="BL119" i="3"/>
  <c r="CG119" i="3"/>
  <c r="Q119" i="3"/>
  <c r="CO119" i="3"/>
  <c r="CM119" i="3"/>
  <c r="CK119" i="3"/>
  <c r="CE119" i="3"/>
  <c r="CC119" i="3"/>
  <c r="CA119" i="3"/>
  <c r="BQ119" i="3"/>
  <c r="BM19" i="3"/>
  <c r="Q20" i="3"/>
  <c r="CG20" i="3"/>
  <c r="CJ21" i="3"/>
  <c r="CK28" i="3"/>
  <c r="CI28" i="3"/>
  <c r="BL28" i="3"/>
  <c r="CG28" i="3"/>
  <c r="Q28" i="3"/>
  <c r="CE28" i="3"/>
  <c r="BU28" i="3"/>
  <c r="CO28" i="3"/>
  <c r="D32" i="3"/>
  <c r="CM32" i="3" s="1"/>
  <c r="BM32" i="3"/>
  <c r="CA34" i="3"/>
  <c r="F36" i="3"/>
  <c r="BJ36" i="3" s="1"/>
  <c r="O41" i="3"/>
  <c r="BV41" i="3"/>
  <c r="BM55" i="3"/>
  <c r="D55" i="3"/>
  <c r="CE55" i="3" s="1"/>
  <c r="BN19" i="3"/>
  <c r="BL20" i="3"/>
  <c r="CI20" i="3"/>
  <c r="BM26" i="3"/>
  <c r="BM28" i="3"/>
  <c r="BQ20" i="3"/>
  <c r="CO20" i="3"/>
  <c r="BQ28" i="3"/>
  <c r="D63" i="3"/>
  <c r="Q63" i="3" s="1"/>
  <c r="D109" i="3"/>
  <c r="BM109" i="3"/>
  <c r="Q22" i="3"/>
  <c r="BN21" i="3"/>
  <c r="A23" i="3"/>
  <c r="BW34" i="3"/>
  <c r="BU34" i="3"/>
  <c r="BS34" i="3"/>
  <c r="CO34" i="3"/>
  <c r="BQ34" i="3"/>
  <c r="CM34" i="3"/>
  <c r="CK34" i="3"/>
  <c r="CG34" i="3"/>
  <c r="Q34" i="3"/>
  <c r="CC34" i="3"/>
  <c r="D23" i="3"/>
  <c r="BW28" i="3"/>
  <c r="D40" i="3"/>
  <c r="BM40" i="3"/>
  <c r="CH41" i="3"/>
  <c r="D26" i="3"/>
  <c r="D93" i="3"/>
  <c r="BM93" i="3"/>
  <c r="D103" i="3"/>
  <c r="BM103" i="3"/>
  <c r="BM187" i="3"/>
  <c r="D187" i="3"/>
  <c r="CL208" i="3"/>
  <c r="O229" i="3"/>
  <c r="G227" i="3"/>
  <c r="BW43" i="3"/>
  <c r="CA59" i="3"/>
  <c r="O71" i="3"/>
  <c r="CA75" i="3"/>
  <c r="O103" i="3"/>
  <c r="D114" i="3"/>
  <c r="CH164" i="3"/>
  <c r="BZ213" i="3"/>
  <c r="F41" i="3"/>
  <c r="BJ41" i="3" s="1"/>
  <c r="CB41" i="3"/>
  <c r="CN41" i="3"/>
  <c r="D47" i="3"/>
  <c r="D54" i="3"/>
  <c r="CG54" i="3" s="1"/>
  <c r="CC59" i="3"/>
  <c r="D64" i="3"/>
  <c r="CO64" i="3" s="1"/>
  <c r="CC75" i="3"/>
  <c r="D97" i="3"/>
  <c r="F106" i="3"/>
  <c r="BJ106" i="3" s="1"/>
  <c r="O114" i="3"/>
  <c r="BM119" i="3"/>
  <c r="BM127" i="3"/>
  <c r="CE59" i="3"/>
  <c r="BZ69" i="3"/>
  <c r="CL69" i="3"/>
  <c r="CE75" i="3"/>
  <c r="BM121" i="3"/>
  <c r="BW123" i="3"/>
  <c r="BU123" i="3"/>
  <c r="BS123" i="3"/>
  <c r="CO123" i="3"/>
  <c r="BQ123" i="3"/>
  <c r="CG123" i="3"/>
  <c r="Q123" i="3"/>
  <c r="CE123" i="3"/>
  <c r="BN131" i="3"/>
  <c r="BV145" i="3"/>
  <c r="BX146" i="3"/>
  <c r="BM171" i="3"/>
  <c r="D171" i="3"/>
  <c r="CE171" i="3" s="1"/>
  <c r="D185" i="3"/>
  <c r="CA185" i="3" s="1"/>
  <c r="BM185" i="3"/>
  <c r="E205" i="3"/>
  <c r="CD41" i="3"/>
  <c r="Q59" i="3"/>
  <c r="CG59" i="3"/>
  <c r="D67" i="3"/>
  <c r="CC67" i="3" s="1"/>
  <c r="Q75" i="3"/>
  <c r="CG75" i="3"/>
  <c r="BM82" i="3"/>
  <c r="BM84" i="3"/>
  <c r="F92" i="3"/>
  <c r="BJ92" i="3" s="1"/>
  <c r="D100" i="3"/>
  <c r="D102" i="3"/>
  <c r="BM114" i="3"/>
  <c r="D116" i="3"/>
  <c r="BM125" i="3"/>
  <c r="BY134" i="3"/>
  <c r="BW134" i="3"/>
  <c r="BU134" i="3"/>
  <c r="BS134" i="3"/>
  <c r="CM134" i="3"/>
  <c r="CI134" i="3"/>
  <c r="BL134" i="3"/>
  <c r="CG134" i="3"/>
  <c r="Q134" i="3"/>
  <c r="CE134" i="3"/>
  <c r="CC134" i="3"/>
  <c r="CD163" i="3"/>
  <c r="BM173" i="3"/>
  <c r="D173" i="3"/>
  <c r="BZ175" i="3"/>
  <c r="O148" i="3"/>
  <c r="O158" i="3"/>
  <c r="I157" i="3"/>
  <c r="CN198" i="3"/>
  <c r="BT41" i="3"/>
  <c r="BT17" i="3" s="1"/>
  <c r="CF41" i="3"/>
  <c r="CK59" i="3"/>
  <c r="BN71" i="3"/>
  <c r="CK75" i="3"/>
  <c r="A76" i="3"/>
  <c r="O92" i="3"/>
  <c r="BS112" i="3"/>
  <c r="CO112" i="3"/>
  <c r="CK112" i="3"/>
  <c r="CC112" i="3"/>
  <c r="CA112" i="3"/>
  <c r="CI112" i="3"/>
  <c r="CK120" i="3"/>
  <c r="CI120" i="3"/>
  <c r="BL120" i="3"/>
  <c r="CG120" i="3"/>
  <c r="Q120" i="3"/>
  <c r="CE120" i="3"/>
  <c r="BW120" i="3"/>
  <c r="BU120" i="3"/>
  <c r="CA121" i="3"/>
  <c r="BL123" i="3"/>
  <c r="CM166" i="3"/>
  <c r="BW166" i="3"/>
  <c r="BU166" i="3"/>
  <c r="BQ166" i="3"/>
  <c r="CG166" i="3"/>
  <c r="Q166" i="3"/>
  <c r="CE166" i="3"/>
  <c r="CC166" i="3"/>
  <c r="CA166" i="3"/>
  <c r="BY166" i="3"/>
  <c r="BL166" i="3"/>
  <c r="CO166" i="3"/>
  <c r="D33" i="3"/>
  <c r="D35" i="3"/>
  <c r="CM35" i="3" s="1"/>
  <c r="D38" i="3"/>
  <c r="D50" i="3"/>
  <c r="D52" i="3"/>
  <c r="BM54" i="3"/>
  <c r="D58" i="3"/>
  <c r="CM59" i="3"/>
  <c r="BM64" i="3"/>
  <c r="D74" i="3"/>
  <c r="CM75" i="3"/>
  <c r="D76" i="3"/>
  <c r="D105" i="3"/>
  <c r="F111" i="3"/>
  <c r="BJ111" i="3" s="1"/>
  <c r="BM112" i="3"/>
  <c r="CM112" i="3"/>
  <c r="BM120" i="3"/>
  <c r="BM123" i="3"/>
  <c r="CI126" i="3"/>
  <c r="BL126" i="3"/>
  <c r="CG126" i="3"/>
  <c r="Q126" i="3"/>
  <c r="CE126" i="3"/>
  <c r="CC126" i="3"/>
  <c r="BY126" i="3"/>
  <c r="BU126" i="3"/>
  <c r="BS126" i="3"/>
  <c r="BL165" i="3"/>
  <c r="BS165" i="3"/>
  <c r="O213" i="3"/>
  <c r="BQ59" i="3"/>
  <c r="CO59" i="3"/>
  <c r="BM62" i="3"/>
  <c r="BQ75" i="3"/>
  <c r="CO75" i="3"/>
  <c r="BS87" i="3"/>
  <c r="BS59" i="3"/>
  <c r="D61" i="3"/>
  <c r="CM61" i="3" s="1"/>
  <c r="BS75" i="3"/>
  <c r="D78" i="3"/>
  <c r="D91" i="3"/>
  <c r="Q112" i="3"/>
  <c r="BY123" i="3"/>
  <c r="CJ130" i="3"/>
  <c r="BQ134" i="3"/>
  <c r="CA210" i="3"/>
  <c r="BU59" i="3"/>
  <c r="BU75" i="3"/>
  <c r="D99" i="3"/>
  <c r="D101" i="3"/>
  <c r="BL112" i="3"/>
  <c r="BQ120" i="3"/>
  <c r="CA123" i="3"/>
  <c r="CA134" i="3"/>
  <c r="O144" i="3"/>
  <c r="BS166" i="3"/>
  <c r="F214" i="3"/>
  <c r="BM215" i="3"/>
  <c r="D215" i="3"/>
  <c r="CC215" i="3" s="1"/>
  <c r="D82" i="3"/>
  <c r="D84" i="3"/>
  <c r="D117" i="3"/>
  <c r="BM117" i="3"/>
  <c r="BS120" i="3"/>
  <c r="CC123" i="3"/>
  <c r="CK134" i="3"/>
  <c r="BQ186" i="3"/>
  <c r="CO186" i="3"/>
  <c r="Q186" i="3"/>
  <c r="BL186" i="3"/>
  <c r="CA153" i="3"/>
  <c r="BM166" i="3"/>
  <c r="BX186" i="3"/>
  <c r="BW186" i="3"/>
  <c r="F145" i="3"/>
  <c r="BJ145" i="3" s="1"/>
  <c r="CC153" i="3"/>
  <c r="CA155" i="3"/>
  <c r="D160" i="3"/>
  <c r="BM160" i="3"/>
  <c r="CA168" i="3"/>
  <c r="D170" i="3"/>
  <c r="CG170" i="3" s="1"/>
  <c r="CN176" i="3"/>
  <c r="BM218" i="3"/>
  <c r="BL218" i="3"/>
  <c r="CC155" i="3"/>
  <c r="CJ165" i="3"/>
  <c r="CK165" i="3" s="1"/>
  <c r="CL171" i="3"/>
  <c r="D181" i="3"/>
  <c r="BM181" i="3"/>
  <c r="BR199" i="3"/>
  <c r="O214" i="3"/>
  <c r="BM233" i="3"/>
  <c r="D233" i="3"/>
  <c r="CN233" i="3"/>
  <c r="A135" i="3"/>
  <c r="Q153" i="3"/>
  <c r="BQ154" i="3"/>
  <c r="CO154" i="3"/>
  <c r="CE155" i="3"/>
  <c r="BN158" i="3"/>
  <c r="CH175" i="3"/>
  <c r="CL191" i="3"/>
  <c r="F197" i="3"/>
  <c r="BV197" i="3"/>
  <c r="O221" i="3"/>
  <c r="BM225" i="3"/>
  <c r="BN225" i="3"/>
  <c r="BL155" i="3"/>
  <c r="CI155" i="3"/>
  <c r="BM163" i="3"/>
  <c r="D163" i="3"/>
  <c r="CO163" i="3" s="1"/>
  <c r="CJ178" i="3"/>
  <c r="BM186" i="3"/>
  <c r="CB187" i="3"/>
  <c r="BZ192" i="3"/>
  <c r="CD265" i="3"/>
  <c r="CN167" i="3"/>
  <c r="BV172" i="3"/>
  <c r="I199" i="3"/>
  <c r="O199" i="3" s="1"/>
  <c r="O200" i="3"/>
  <c r="F200" i="3"/>
  <c r="F199" i="3" s="1"/>
  <c r="BM199" i="3" s="1"/>
  <c r="BM203" i="3"/>
  <c r="D203" i="3"/>
  <c r="CK151" i="3"/>
  <c r="D152" i="3"/>
  <c r="BQ153" i="3"/>
  <c r="BY154" i="3"/>
  <c r="CM155" i="3"/>
  <c r="BK157" i="3"/>
  <c r="BR158" i="3"/>
  <c r="BM161" i="3"/>
  <c r="D161" i="3"/>
  <c r="CI161" i="3" s="1"/>
  <c r="CJ161" i="3"/>
  <c r="BM165" i="3"/>
  <c r="BZ172" i="3"/>
  <c r="BM210" i="3"/>
  <c r="O217" i="3"/>
  <c r="BZ237" i="3"/>
  <c r="BM245" i="3"/>
  <c r="D245" i="3"/>
  <c r="CM151" i="3"/>
  <c r="BS153" i="3"/>
  <c r="CK153" i="3"/>
  <c r="CA154" i="3"/>
  <c r="BQ155" i="3"/>
  <c r="CO155" i="3"/>
  <c r="E157" i="3"/>
  <c r="BX183" i="3"/>
  <c r="CD185" i="3"/>
  <c r="O212" i="3"/>
  <c r="D136" i="3"/>
  <c r="D150" i="3"/>
  <c r="CO151" i="3"/>
  <c r="BU153" i="3"/>
  <c r="CM153" i="3"/>
  <c r="CC154" i="3"/>
  <c r="BS155" i="3"/>
  <c r="BT158" i="3"/>
  <c r="D191" i="3"/>
  <c r="CK191" i="3" s="1"/>
  <c r="CB214" i="3"/>
  <c r="BW153" i="3"/>
  <c r="H158" i="3"/>
  <c r="CI166" i="3"/>
  <c r="D190" i="3"/>
  <c r="CG190" i="3" s="1"/>
  <c r="CN190" i="3"/>
  <c r="BM190" i="3"/>
  <c r="E213" i="3"/>
  <c r="F232" i="3"/>
  <c r="BJ232" i="3" s="1"/>
  <c r="BY198" i="3"/>
  <c r="BR257" i="3"/>
  <c r="A203" i="3"/>
  <c r="A204" i="3" s="1"/>
  <c r="A235" i="3"/>
  <c r="A236" i="3" s="1"/>
  <c r="D267" i="3"/>
  <c r="BM267" i="3"/>
  <c r="F266" i="3"/>
  <c r="BJ266" i="3" s="1"/>
  <c r="BU168" i="3"/>
  <c r="CD214" i="3"/>
  <c r="O219" i="3"/>
  <c r="BQ220" i="3"/>
  <c r="CB226" i="3"/>
  <c r="BZ225" i="3"/>
  <c r="F229" i="3"/>
  <c r="BJ229" i="3" s="1"/>
  <c r="D230" i="3"/>
  <c r="BM236" i="3"/>
  <c r="D236" i="3"/>
  <c r="D234" i="3" s="1"/>
  <c r="E257" i="3"/>
  <c r="BM258" i="3"/>
  <c r="D164" i="3"/>
  <c r="D172" i="3"/>
  <c r="D180" i="3"/>
  <c r="F206" i="3"/>
  <c r="BJ206" i="3" s="1"/>
  <c r="D207" i="3"/>
  <c r="D211" i="3"/>
  <c r="BT231" i="3"/>
  <c r="CB235" i="3"/>
  <c r="CA235" i="3"/>
  <c r="BZ234" i="3"/>
  <c r="CF237" i="3"/>
  <c r="BY168" i="3"/>
  <c r="E231" i="3"/>
  <c r="BM198" i="3"/>
  <c r="CL200" i="3"/>
  <c r="BR205" i="3"/>
  <c r="CD205" i="3"/>
  <c r="BX208" i="3"/>
  <c r="CJ208" i="3"/>
  <c r="BV209" i="3"/>
  <c r="BV232" i="3"/>
  <c r="BN266" i="3"/>
  <c r="O222" i="3"/>
  <c r="BX232" i="3"/>
  <c r="CL237" i="3"/>
  <c r="CF260" i="3"/>
  <c r="BT260" i="3"/>
  <c r="CD260" i="3"/>
  <c r="CN260" i="3"/>
  <c r="BM260" i="3"/>
  <c r="CL260" i="3"/>
  <c r="CJ260" i="3"/>
  <c r="BZ260" i="3"/>
  <c r="BX260" i="3"/>
  <c r="F257" i="3"/>
  <c r="BV260" i="3"/>
  <c r="BM290" i="3"/>
  <c r="D290" i="3"/>
  <c r="Q168" i="3"/>
  <c r="BS186" i="3"/>
  <c r="BZ233" i="3"/>
  <c r="CE235" i="3"/>
  <c r="BL235" i="3"/>
  <c r="Q235" i="3"/>
  <c r="BU235" i="3"/>
  <c r="BS235" i="3"/>
  <c r="CO235" i="3"/>
  <c r="CJ236" i="3"/>
  <c r="CH236" i="3"/>
  <c r="BM164" i="3"/>
  <c r="BM235" i="3"/>
  <c r="CF235" i="3"/>
  <c r="BN253" i="3"/>
  <c r="CG239" i="3"/>
  <c r="CJ252" i="3"/>
  <c r="BM275" i="3"/>
  <c r="CB286" i="3"/>
  <c r="BM286" i="3"/>
  <c r="CN286" i="3"/>
  <c r="CL286" i="3"/>
  <c r="BZ286" i="3"/>
  <c r="D286" i="3"/>
  <c r="BX286" i="3"/>
  <c r="BV286" i="3"/>
  <c r="F285" i="3"/>
  <c r="BM285" i="3" s="1"/>
  <c r="CD286" i="3"/>
  <c r="CB300" i="3"/>
  <c r="BZ262" i="3"/>
  <c r="CN262" i="3"/>
  <c r="D284" i="3"/>
  <c r="CO284" i="3" s="1"/>
  <c r="F282" i="3"/>
  <c r="BJ282" i="3" s="1"/>
  <c r="E298" i="3"/>
  <c r="BT298" i="3"/>
  <c r="CM239" i="3"/>
  <c r="BQ239" i="3"/>
  <c r="O253" i="3"/>
  <c r="O252" i="3" s="1"/>
  <c r="BX259" i="3"/>
  <c r="CB262" i="3"/>
  <c r="CF262" i="3"/>
  <c r="BT281" i="3"/>
  <c r="CN281" i="3"/>
  <c r="D281" i="3"/>
  <c r="BX281" i="3"/>
  <c r="CL281" i="3"/>
  <c r="BV281" i="3"/>
  <c r="CH281" i="3"/>
  <c r="CD281" i="3"/>
  <c r="BM281" i="3"/>
  <c r="CB281" i="3"/>
  <c r="BY239" i="3"/>
  <c r="O243" i="3"/>
  <c r="BP262" i="3"/>
  <c r="E262" i="3"/>
  <c r="CN282" i="3"/>
  <c r="CJ286" i="3"/>
  <c r="F288" i="3"/>
  <c r="BJ288" i="3" s="1"/>
  <c r="BM289" i="3"/>
  <c r="D289" i="3"/>
  <c r="D331" i="3"/>
  <c r="CG331" i="3" s="1"/>
  <c r="BM331" i="3"/>
  <c r="CA239" i="3"/>
  <c r="BM247" i="3"/>
  <c r="CF252" i="3"/>
  <c r="CN253" i="3"/>
  <c r="D256" i="3"/>
  <c r="O258" i="3"/>
  <c r="O257" i="3" s="1"/>
  <c r="D270" i="3"/>
  <c r="Q270" i="3" s="1"/>
  <c r="BZ281" i="3"/>
  <c r="D238" i="3"/>
  <c r="CC239" i="3"/>
  <c r="CJ259" i="3"/>
  <c r="D259" i="3"/>
  <c r="BV259" i="3"/>
  <c r="CH259" i="3"/>
  <c r="BT259" i="3"/>
  <c r="CN259" i="3"/>
  <c r="CH262" i="3"/>
  <c r="BT265" i="3"/>
  <c r="BM270" i="3"/>
  <c r="BW277" i="3"/>
  <c r="CI277" i="3"/>
  <c r="Q277" i="3"/>
  <c r="CG277" i="3"/>
  <c r="CE277" i="3"/>
  <c r="CC277" i="3"/>
  <c r="BU277" i="3"/>
  <c r="BQ277" i="3"/>
  <c r="CO277" i="3"/>
  <c r="CM277" i="3"/>
  <c r="BN291" i="3"/>
  <c r="CH294" i="3"/>
  <c r="BT294" i="3"/>
  <c r="CD294" i="3"/>
  <c r="CB294" i="3"/>
  <c r="BM294" i="3"/>
  <c r="BZ294" i="3"/>
  <c r="BX294" i="3"/>
  <c r="BV294" i="3"/>
  <c r="F293" i="3"/>
  <c r="BM293" i="3" s="1"/>
  <c r="CL294" i="3"/>
  <c r="CJ294" i="3"/>
  <c r="D294" i="3"/>
  <c r="BR305" i="3"/>
  <c r="CE239" i="3"/>
  <c r="A249" i="3"/>
  <c r="A252" i="3" s="1"/>
  <c r="A257" i="3" s="1"/>
  <c r="CH252" i="3"/>
  <c r="H262" i="3"/>
  <c r="O266" i="3"/>
  <c r="O265" i="3" s="1"/>
  <c r="O262" i="3" s="1"/>
  <c r="D268" i="3"/>
  <c r="Q268" i="3" s="1"/>
  <c r="D275" i="3"/>
  <c r="BM423" i="3"/>
  <c r="F422" i="3"/>
  <c r="BJ422" i="3" s="1"/>
  <c r="D423" i="3"/>
  <c r="E305" i="3"/>
  <c r="CJ340" i="3"/>
  <c r="CD340" i="3"/>
  <c r="CB340" i="3"/>
  <c r="F338" i="3"/>
  <c r="BJ338" i="3" s="1"/>
  <c r="D340" i="3"/>
  <c r="CH340" i="3"/>
  <c r="BM340" i="3"/>
  <c r="BV340" i="3"/>
  <c r="CN340" i="3"/>
  <c r="CL340" i="3"/>
  <c r="BX340" i="3"/>
  <c r="BT340" i="3"/>
  <c r="BZ280" i="3"/>
  <c r="CN280" i="3"/>
  <c r="BM316" i="3"/>
  <c r="D316" i="3"/>
  <c r="CJ367" i="3"/>
  <c r="CL368" i="3"/>
  <c r="F279" i="3"/>
  <c r="BJ279" i="3" s="1"/>
  <c r="BZ340" i="3"/>
  <c r="BM269" i="3"/>
  <c r="BN271" i="3"/>
  <c r="BM272" i="3"/>
  <c r="BM280" i="3"/>
  <c r="CN287" i="3"/>
  <c r="BZ287" i="3"/>
  <c r="BX287" i="3"/>
  <c r="D287" i="3"/>
  <c r="CD287" i="3"/>
  <c r="BR298" i="3"/>
  <c r="D300" i="3"/>
  <c r="CA300" i="3" s="1"/>
  <c r="BZ346" i="3"/>
  <c r="CN346" i="3"/>
  <c r="D346" i="3"/>
  <c r="CH346" i="3"/>
  <c r="BT346" i="3"/>
  <c r="BV346" i="3"/>
  <c r="CL346" i="3"/>
  <c r="CJ346" i="3"/>
  <c r="CD346" i="3"/>
  <c r="BX346" i="3"/>
  <c r="BM346" i="3"/>
  <c r="D254" i="3"/>
  <c r="BM261" i="3"/>
  <c r="CB261" i="3"/>
  <c r="CN261" i="3"/>
  <c r="CH287" i="3"/>
  <c r="O306" i="3"/>
  <c r="O305" i="3" s="1"/>
  <c r="CL276" i="3"/>
  <c r="BT280" i="3"/>
  <c r="BN296" i="3"/>
  <c r="CD308" i="3"/>
  <c r="CB308" i="3"/>
  <c r="BM308" i="3"/>
  <c r="BV308" i="3"/>
  <c r="CL308" i="3"/>
  <c r="BT308" i="3"/>
  <c r="CJ308" i="3"/>
  <c r="D308" i="3"/>
  <c r="CN308" i="3"/>
  <c r="CH308" i="3"/>
  <c r="D250" i="3"/>
  <c r="F253" i="3"/>
  <c r="BJ253" i="3" s="1"/>
  <c r="BV265" i="3"/>
  <c r="D278" i="3"/>
  <c r="D276" i="3" s="1"/>
  <c r="BV280" i="3"/>
  <c r="CJ280" i="3"/>
  <c r="BT287" i="3"/>
  <c r="CJ287" i="3"/>
  <c r="BX302" i="3"/>
  <c r="CL287" i="3"/>
  <c r="CN345" i="3"/>
  <c r="F344" i="3"/>
  <c r="BM344" i="3" s="1"/>
  <c r="BX345" i="3"/>
  <c r="BV345" i="3"/>
  <c r="BT345" i="3"/>
  <c r="CD345" i="3"/>
  <c r="CJ345" i="3"/>
  <c r="D345" i="3"/>
  <c r="CB345" i="3"/>
  <c r="CL345" i="3"/>
  <c r="CH345" i="3"/>
  <c r="BM345" i="3"/>
  <c r="BS372" i="3"/>
  <c r="CG372" i="3"/>
  <c r="BQ372" i="3"/>
  <c r="Q372" i="3"/>
  <c r="CL422" i="3"/>
  <c r="BT312" i="3"/>
  <c r="BZ312" i="3"/>
  <c r="D312" i="3"/>
  <c r="CM312" i="3" s="1"/>
  <c r="CN312" i="3"/>
  <c r="CH312" i="3"/>
  <c r="CH317" i="3"/>
  <c r="CN332" i="3"/>
  <c r="BL372" i="3"/>
  <c r="CL295" i="3"/>
  <c r="BX297" i="3"/>
  <c r="CJ312" i="3"/>
  <c r="CN318" i="3"/>
  <c r="CL318" i="3"/>
  <c r="BV318" i="3"/>
  <c r="BT318" i="3"/>
  <c r="CJ318" i="3"/>
  <c r="A309" i="3"/>
  <c r="CH311" i="3"/>
  <c r="BX311" i="3"/>
  <c r="CD311" i="3"/>
  <c r="CJ311" i="3"/>
  <c r="BM312" i="3"/>
  <c r="BT327" i="3"/>
  <c r="BM327" i="3"/>
  <c r="CN327" i="3"/>
  <c r="BZ327" i="3"/>
  <c r="CL327" i="3"/>
  <c r="CJ327" i="3"/>
  <c r="F326" i="3"/>
  <c r="CD327" i="3"/>
  <c r="CB327" i="3"/>
  <c r="BX327" i="3"/>
  <c r="CI355" i="3"/>
  <c r="CH353" i="3"/>
  <c r="BT371" i="3"/>
  <c r="CH371" i="3"/>
  <c r="CD371" i="3"/>
  <c r="BM371" i="3"/>
  <c r="CB371" i="3"/>
  <c r="F370" i="3"/>
  <c r="BJ370" i="3" s="1"/>
  <c r="D371" i="3"/>
  <c r="BZ371" i="3"/>
  <c r="CJ371" i="3"/>
  <c r="CL371" i="3"/>
  <c r="BX371" i="3"/>
  <c r="BZ374" i="3"/>
  <c r="CJ374" i="3"/>
  <c r="BV374" i="3"/>
  <c r="CH374" i="3"/>
  <c r="BT374" i="3"/>
  <c r="BX374" i="3"/>
  <c r="F373" i="3"/>
  <c r="BJ373" i="3" s="1"/>
  <c r="CL374" i="3"/>
  <c r="BM374" i="3"/>
  <c r="CN374" i="3"/>
  <c r="CD374" i="3"/>
  <c r="CB374" i="3"/>
  <c r="D374" i="3"/>
  <c r="BX415" i="3"/>
  <c r="D415" i="3"/>
  <c r="CJ415" i="3"/>
  <c r="BV415" i="3"/>
  <c r="F413" i="3"/>
  <c r="BM413" i="3" s="1"/>
  <c r="BT415" i="3"/>
  <c r="CN415" i="3"/>
  <c r="CL415" i="3"/>
  <c r="CH415" i="3"/>
  <c r="BM415" i="3"/>
  <c r="CD415" i="3"/>
  <c r="BZ415" i="3"/>
  <c r="CB415" i="3"/>
  <c r="D292" i="3"/>
  <c r="CJ292" i="3"/>
  <c r="BM297" i="3"/>
  <c r="I298" i="3"/>
  <c r="BM311" i="3"/>
  <c r="CL311" i="3"/>
  <c r="D321" i="3"/>
  <c r="F320" i="3"/>
  <c r="BJ320" i="3" s="1"/>
  <c r="BM321" i="3"/>
  <c r="CD336" i="3"/>
  <c r="CB336" i="3"/>
  <c r="CN336" i="3"/>
  <c r="BZ336" i="3"/>
  <c r="BX336" i="3"/>
  <c r="BV336" i="3"/>
  <c r="CL336" i="3"/>
  <c r="BT336" i="3"/>
  <c r="D336" i="3"/>
  <c r="CH336" i="3"/>
  <c r="F335" i="3"/>
  <c r="BJ335" i="3" s="1"/>
  <c r="BX292" i="3"/>
  <c r="CD295" i="3"/>
  <c r="CD297" i="3"/>
  <c r="CN311" i="3"/>
  <c r="BV312" i="3"/>
  <c r="CG330" i="3"/>
  <c r="Q330" i="3"/>
  <c r="BY330" i="3"/>
  <c r="BU330" i="3"/>
  <c r="CO330" i="3"/>
  <c r="BQ330" i="3"/>
  <c r="CC330" i="3"/>
  <c r="CE330" i="3"/>
  <c r="CA330" i="3"/>
  <c r="BS330" i="3"/>
  <c r="CF329" i="3"/>
  <c r="CB360" i="3"/>
  <c r="BM360" i="3"/>
  <c r="CN360" i="3"/>
  <c r="BZ360" i="3"/>
  <c r="CL360" i="3"/>
  <c r="CD360" i="3"/>
  <c r="D360" i="3"/>
  <c r="CK360" i="3" s="1"/>
  <c r="BX360" i="3"/>
  <c r="BV360" i="3"/>
  <c r="BT360" i="3"/>
  <c r="CH360" i="3"/>
  <c r="BV371" i="3"/>
  <c r="BN388" i="3"/>
  <c r="BY438" i="3"/>
  <c r="BW438" i="3"/>
  <c r="CE438" i="3"/>
  <c r="CC438" i="3"/>
  <c r="BU438" i="3"/>
  <c r="BQ438" i="3"/>
  <c r="CG438" i="3"/>
  <c r="CA438" i="3"/>
  <c r="BS438" i="3"/>
  <c r="CO438" i="3"/>
  <c r="CM438" i="3"/>
  <c r="CK438" i="3"/>
  <c r="CI438" i="3"/>
  <c r="BL438" i="3"/>
  <c r="Q438" i="3"/>
  <c r="BZ457" i="3"/>
  <c r="F291" i="3"/>
  <c r="BJ291" i="3" s="1"/>
  <c r="CL292" i="3"/>
  <c r="BN314" i="3"/>
  <c r="F317" i="3"/>
  <c r="BJ317" i="3" s="1"/>
  <c r="BX318" i="3"/>
  <c r="BM330" i="3"/>
  <c r="F329" i="3"/>
  <c r="BJ329" i="3" s="1"/>
  <c r="BZ342" i="3"/>
  <c r="BT295" i="3"/>
  <c r="BT311" i="3"/>
  <c r="BX312" i="3"/>
  <c r="BZ318" i="3"/>
  <c r="BZ319" i="3"/>
  <c r="BX319" i="3"/>
  <c r="D319" i="3"/>
  <c r="CI319" i="3" s="1"/>
  <c r="BT319" i="3"/>
  <c r="CL319" i="3"/>
  <c r="CJ319" i="3"/>
  <c r="BM319" i="3"/>
  <c r="CB319" i="3"/>
  <c r="BM322" i="3"/>
  <c r="D322" i="3"/>
  <c r="BV327" i="3"/>
  <c r="BM334" i="3"/>
  <c r="D334" i="3"/>
  <c r="F332" i="3"/>
  <c r="BJ332" i="3" s="1"/>
  <c r="BM336" i="3"/>
  <c r="BN357" i="3"/>
  <c r="CN371" i="3"/>
  <c r="BM409" i="3"/>
  <c r="D409" i="3"/>
  <c r="BZ481" i="3"/>
  <c r="D365" i="3"/>
  <c r="BM365" i="3"/>
  <c r="CD313" i="3"/>
  <c r="CB313" i="3"/>
  <c r="BM313" i="3"/>
  <c r="BT313" i="3"/>
  <c r="CN313" i="3"/>
  <c r="D315" i="3"/>
  <c r="F314" i="3"/>
  <c r="D404" i="3"/>
  <c r="F403" i="3"/>
  <c r="BJ403" i="3" s="1"/>
  <c r="BM404" i="3"/>
  <c r="BN410" i="3"/>
  <c r="CJ454" i="3"/>
  <c r="CG349" i="3"/>
  <c r="Q349" i="3"/>
  <c r="BL349" i="3"/>
  <c r="CN353" i="3"/>
  <c r="CO355" i="3"/>
  <c r="BT358" i="3"/>
  <c r="CD358" i="3"/>
  <c r="BV358" i="3"/>
  <c r="CL358" i="3"/>
  <c r="CH358" i="3"/>
  <c r="F357" i="3"/>
  <c r="BJ357" i="3" s="1"/>
  <c r="D358" i="3"/>
  <c r="BY358" i="3" s="1"/>
  <c r="CB358" i="3"/>
  <c r="BZ358" i="3"/>
  <c r="BM358" i="3"/>
  <c r="I476" i="3"/>
  <c r="O477" i="3"/>
  <c r="O476" i="3" s="1"/>
  <c r="CB476" i="3"/>
  <c r="CB337" i="3"/>
  <c r="BM337" i="3"/>
  <c r="CN337" i="3"/>
  <c r="BZ337" i="3"/>
  <c r="CJ337" i="3"/>
  <c r="CH337" i="3"/>
  <c r="BX337" i="3"/>
  <c r="CI342" i="3"/>
  <c r="BQ342" i="3"/>
  <c r="CM342" i="3"/>
  <c r="BS342" i="3"/>
  <c r="CG342" i="3"/>
  <c r="BU342" i="3"/>
  <c r="CE342" i="3"/>
  <c r="BT349" i="3"/>
  <c r="BM349" i="3"/>
  <c r="CL349" i="3"/>
  <c r="BX349" i="3"/>
  <c r="BY349" i="3" s="1"/>
  <c r="BZ349" i="3"/>
  <c r="CA349" i="3" s="1"/>
  <c r="CN349" i="3"/>
  <c r="BV349" i="3"/>
  <c r="CH349" i="3"/>
  <c r="BP356" i="3"/>
  <c r="CN309" i="3"/>
  <c r="CL309" i="3"/>
  <c r="CL313" i="3"/>
  <c r="BT337" i="3"/>
  <c r="BQ349" i="3"/>
  <c r="BS355" i="3"/>
  <c r="BQ355" i="3"/>
  <c r="CA355" i="3"/>
  <c r="BW355" i="3"/>
  <c r="CM355" i="3"/>
  <c r="BL355" i="3"/>
  <c r="BU355" i="3"/>
  <c r="Q355" i="3"/>
  <c r="CG355" i="3"/>
  <c r="E362" i="3"/>
  <c r="CG377" i="3"/>
  <c r="BQ377" i="3"/>
  <c r="BL377" i="3"/>
  <c r="Q377" i="3"/>
  <c r="BR468" i="3"/>
  <c r="CD309" i="3"/>
  <c r="BV313" i="3"/>
  <c r="Q342" i="3"/>
  <c r="BS349" i="3"/>
  <c r="CN362" i="3"/>
  <c r="CH377" i="3"/>
  <c r="BT377" i="3"/>
  <c r="F376" i="3"/>
  <c r="BJ376" i="3" s="1"/>
  <c r="CD377" i="3"/>
  <c r="BM377" i="3"/>
  <c r="CB377" i="3"/>
  <c r="CJ377" i="3"/>
  <c r="BZ377" i="3"/>
  <c r="CN377" i="3"/>
  <c r="CL377" i="3"/>
  <c r="BX394" i="3"/>
  <c r="CL428" i="3"/>
  <c r="CN328" i="3"/>
  <c r="BM342" i="3"/>
  <c r="BM354" i="3"/>
  <c r="D354" i="3"/>
  <c r="F353" i="3"/>
  <c r="BJ353" i="3" s="1"/>
  <c r="BV359" i="3"/>
  <c r="CJ468" i="3"/>
  <c r="CF454" i="3"/>
  <c r="BN338" i="3"/>
  <c r="BM355" i="3"/>
  <c r="BU366" i="3"/>
  <c r="BQ366" i="3"/>
  <c r="CK366" i="3"/>
  <c r="BL366" i="3"/>
  <c r="CG366" i="3"/>
  <c r="CE366" i="3"/>
  <c r="CC366" i="3"/>
  <c r="BW366" i="3"/>
  <c r="CN380" i="3"/>
  <c r="BZ380" i="3"/>
  <c r="CH380" i="3"/>
  <c r="F379" i="3"/>
  <c r="BM379" i="3" s="1"/>
  <c r="CD380" i="3"/>
  <c r="BM380" i="3"/>
  <c r="CJ380" i="3"/>
  <c r="D380" i="3"/>
  <c r="CB380" i="3"/>
  <c r="BX445" i="3"/>
  <c r="CD328" i="3"/>
  <c r="CN351" i="3"/>
  <c r="CL351" i="3"/>
  <c r="BX351" i="3"/>
  <c r="D351" i="3"/>
  <c r="CD351" i="3"/>
  <c r="O357" i="3"/>
  <c r="O356" i="3" s="1"/>
  <c r="G356" i="3"/>
  <c r="CD359" i="3"/>
  <c r="CB359" i="3"/>
  <c r="BM359" i="3"/>
  <c r="CN359" i="3"/>
  <c r="CH359" i="3"/>
  <c r="BM366" i="3"/>
  <c r="BW383" i="3"/>
  <c r="BU383" i="3"/>
  <c r="BQ383" i="3"/>
  <c r="CM383" i="3"/>
  <c r="CK383" i="3"/>
  <c r="BL383" i="3"/>
  <c r="CI383" i="3"/>
  <c r="Q383" i="3"/>
  <c r="CG383" i="3"/>
  <c r="CE383" i="3"/>
  <c r="CC383" i="3"/>
  <c r="BN397" i="3"/>
  <c r="BN448" i="3"/>
  <c r="BZ307" i="3"/>
  <c r="CH328" i="3"/>
  <c r="BN335" i="3"/>
  <c r="BW342" i="3"/>
  <c r="CN352" i="3"/>
  <c r="BZ352" i="3"/>
  <c r="BZ350" i="3" s="1"/>
  <c r="CL352" i="3"/>
  <c r="BX352" i="3"/>
  <c r="D352" i="3"/>
  <c r="CJ352" i="3"/>
  <c r="CL359" i="3"/>
  <c r="Q366" i="3"/>
  <c r="F382" i="3"/>
  <c r="BJ382" i="3" s="1"/>
  <c r="CN383" i="3"/>
  <c r="BM383" i="3"/>
  <c r="BX383" i="3"/>
  <c r="BV420" i="3"/>
  <c r="CH420" i="3"/>
  <c r="CJ420" i="3"/>
  <c r="BM420" i="3"/>
  <c r="BX420" i="3"/>
  <c r="F419" i="3"/>
  <c r="BJ419" i="3" s="1"/>
  <c r="BT420" i="3"/>
  <c r="D420" i="3"/>
  <c r="CA420" i="3" s="1"/>
  <c r="CN420" i="3"/>
  <c r="CB420" i="3"/>
  <c r="BV441" i="3"/>
  <c r="BX442" i="3"/>
  <c r="BN446" i="3"/>
  <c r="BL455" i="3"/>
  <c r="CK455" i="3"/>
  <c r="Q455" i="3"/>
  <c r="BM328" i="3"/>
  <c r="CJ328" i="3"/>
  <c r="BN344" i="3"/>
  <c r="BM351" i="3"/>
  <c r="CH351" i="3"/>
  <c r="BT380" i="3"/>
  <c r="I481" i="3"/>
  <c r="O482" i="3"/>
  <c r="O481" i="3" s="1"/>
  <c r="BZ372" i="3"/>
  <c r="CA372" i="3" s="1"/>
  <c r="CJ390" i="3"/>
  <c r="BV390" i="3"/>
  <c r="CH390" i="3"/>
  <c r="BZ390" i="3"/>
  <c r="BX390" i="3"/>
  <c r="CN390" i="3"/>
  <c r="BT390" i="3"/>
  <c r="BX400" i="3"/>
  <c r="BY401" i="3"/>
  <c r="BN416" i="3"/>
  <c r="BX468" i="3"/>
  <c r="F520" i="3"/>
  <c r="BJ520" i="3" s="1"/>
  <c r="BM521" i="3"/>
  <c r="D521" i="3"/>
  <c r="BV310" i="3"/>
  <c r="CN324" i="3"/>
  <c r="D343" i="3"/>
  <c r="O363" i="3"/>
  <c r="O362" i="3" s="1"/>
  <c r="BN373" i="3"/>
  <c r="BT378" i="3"/>
  <c r="CN378" i="3"/>
  <c r="BX378" i="3"/>
  <c r="CL378" i="3"/>
  <c r="BV378" i="3"/>
  <c r="CJ378" i="3"/>
  <c r="BM390" i="3"/>
  <c r="BN394" i="3"/>
  <c r="BM440" i="3"/>
  <c r="BL440" i="3"/>
  <c r="CJ372" i="3"/>
  <c r="CK372" i="3" s="1"/>
  <c r="BV372" i="3"/>
  <c r="BW372" i="3" s="1"/>
  <c r="CH372" i="3"/>
  <c r="CI372" i="3" s="1"/>
  <c r="BT372" i="3"/>
  <c r="BU372" i="3" s="1"/>
  <c r="CD372" i="3"/>
  <c r="CE372" i="3" s="1"/>
  <c r="BY386" i="3"/>
  <c r="BW386" i="3"/>
  <c r="BU386" i="3"/>
  <c r="CO386" i="3"/>
  <c r="BQ386" i="3"/>
  <c r="CA386" i="3"/>
  <c r="BS386" i="3"/>
  <c r="BL386" i="3"/>
  <c r="CN422" i="3"/>
  <c r="BM438" i="3"/>
  <c r="F323" i="3"/>
  <c r="BM323" i="3" s="1"/>
  <c r="CB324" i="3"/>
  <c r="F347" i="3"/>
  <c r="BJ347" i="3" s="1"/>
  <c r="CH367" i="3"/>
  <c r="CL372" i="3"/>
  <c r="CM372" i="3" s="1"/>
  <c r="BM386" i="3"/>
  <c r="BW401" i="3"/>
  <c r="BU401" i="3"/>
  <c r="CO401" i="3"/>
  <c r="BS401" i="3"/>
  <c r="CK401" i="3"/>
  <c r="CG401" i="3"/>
  <c r="CE401" i="3"/>
  <c r="CC401" i="3"/>
  <c r="CA401" i="3"/>
  <c r="BU412" i="3"/>
  <c r="CO412" i="3"/>
  <c r="BS412" i="3"/>
  <c r="CK412" i="3"/>
  <c r="CM412" i="3"/>
  <c r="BL412" i="3"/>
  <c r="CI412" i="3"/>
  <c r="Q412" i="3"/>
  <c r="CG412" i="3"/>
  <c r="CE412" i="3"/>
  <c r="CC412" i="3"/>
  <c r="CM485" i="3"/>
  <c r="CK485" i="3"/>
  <c r="CI485" i="3"/>
  <c r="BS485" i="3"/>
  <c r="CG485" i="3"/>
  <c r="Q485" i="3"/>
  <c r="CE485" i="3"/>
  <c r="CC485" i="3"/>
  <c r="CA485" i="3"/>
  <c r="BY485" i="3"/>
  <c r="BW485" i="3"/>
  <c r="BU485" i="3"/>
  <c r="BL485" i="3"/>
  <c r="CO485" i="3"/>
  <c r="BN495" i="3"/>
  <c r="BM443" i="3"/>
  <c r="D443" i="3"/>
  <c r="CE443" i="3" s="1"/>
  <c r="F441" i="3"/>
  <c r="BJ441" i="3" s="1"/>
  <c r="F454" i="3"/>
  <c r="D479" i="3"/>
  <c r="BM479" i="3"/>
  <c r="BP514" i="3"/>
  <c r="D467" i="3"/>
  <c r="BW467" i="3" s="1"/>
  <c r="F473" i="3"/>
  <c r="BM473" i="3" s="1"/>
  <c r="BM474" i="3"/>
  <c r="D474" i="3"/>
  <c r="CE474" i="3" s="1"/>
  <c r="BV514" i="3"/>
  <c r="CN384" i="3"/>
  <c r="CB384" i="3"/>
  <c r="BM384" i="3"/>
  <c r="CL384" i="3"/>
  <c r="BY396" i="3"/>
  <c r="CO396" i="3"/>
  <c r="BS396" i="3"/>
  <c r="CG396" i="3"/>
  <c r="BS432" i="3"/>
  <c r="CO432" i="3"/>
  <c r="BQ432" i="3"/>
  <c r="CK432" i="3"/>
  <c r="Q432" i="3"/>
  <c r="CM432" i="3"/>
  <c r="CI432" i="3"/>
  <c r="CE432" i="3"/>
  <c r="CI466" i="3"/>
  <c r="BL466" i="3"/>
  <c r="CG466" i="3"/>
  <c r="Q466" i="3"/>
  <c r="CA466" i="3"/>
  <c r="BY466" i="3"/>
  <c r="BU466" i="3"/>
  <c r="BS466" i="3"/>
  <c r="BQ466" i="3"/>
  <c r="CM466" i="3"/>
  <c r="CO466" i="3"/>
  <c r="CK466" i="3"/>
  <c r="CE466" i="3"/>
  <c r="BW466" i="3"/>
  <c r="BM467" i="3"/>
  <c r="D490" i="3"/>
  <c r="BM490" i="3"/>
  <c r="CG522" i="3"/>
  <c r="Q522" i="3"/>
  <c r="BW522" i="3"/>
  <c r="BU522" i="3"/>
  <c r="BS522" i="3"/>
  <c r="CE522" i="3"/>
  <c r="CC522" i="3"/>
  <c r="BQ522" i="3"/>
  <c r="BL522" i="3"/>
  <c r="CO522" i="3"/>
  <c r="CI522" i="3"/>
  <c r="CA522" i="3"/>
  <c r="CK522" i="3"/>
  <c r="BY522" i="3"/>
  <c r="D361" i="3"/>
  <c r="BX361" i="3"/>
  <c r="D368" i="3"/>
  <c r="CK368" i="3" s="1"/>
  <c r="F367" i="3"/>
  <c r="BM367" i="3" s="1"/>
  <c r="CD384" i="3"/>
  <c r="CD392" i="3"/>
  <c r="CB392" i="3"/>
  <c r="BM392" i="3"/>
  <c r="BZ392" i="3"/>
  <c r="CI396" i="3"/>
  <c r="CL417" i="3"/>
  <c r="CH417" i="3"/>
  <c r="BT417" i="3"/>
  <c r="CD417" i="3"/>
  <c r="CB417" i="3"/>
  <c r="BX418" i="3"/>
  <c r="D418" i="3"/>
  <c r="CL418" i="3"/>
  <c r="CJ418" i="3"/>
  <c r="BV418" i="3"/>
  <c r="CD418" i="3"/>
  <c r="D431" i="3"/>
  <c r="CK431" i="3" s="1"/>
  <c r="F465" i="3"/>
  <c r="CB468" i="3"/>
  <c r="CL476" i="3"/>
  <c r="CL481" i="3"/>
  <c r="BR482" i="3"/>
  <c r="BM522" i="3"/>
  <c r="CF540" i="3"/>
  <c r="CL361" i="3"/>
  <c r="Q396" i="3"/>
  <c r="CK396" i="3"/>
  <c r="CN398" i="3"/>
  <c r="BZ398" i="3"/>
  <c r="CL398" i="3"/>
  <c r="CJ398" i="3"/>
  <c r="D398" i="3"/>
  <c r="F397" i="3"/>
  <c r="BM397" i="3" s="1"/>
  <c r="CD398" i="3"/>
  <c r="CI402" i="3"/>
  <c r="CL425" i="3"/>
  <c r="CD433" i="3"/>
  <c r="CN442" i="3"/>
  <c r="BX454" i="3"/>
  <c r="D462" i="3"/>
  <c r="BM463" i="3"/>
  <c r="D463" i="3"/>
  <c r="CN481" i="3"/>
  <c r="F492" i="3"/>
  <c r="BJ492" i="3" s="1"/>
  <c r="D494" i="3"/>
  <c r="CO494" i="3" s="1"/>
  <c r="BM494" i="3"/>
  <c r="CF506" i="3"/>
  <c r="CJ353" i="3"/>
  <c r="BZ361" i="3"/>
  <c r="BN367" i="3"/>
  <c r="CF384" i="3"/>
  <c r="CH392" i="3"/>
  <c r="BL396" i="3"/>
  <c r="CM396" i="3"/>
  <c r="BV411" i="3"/>
  <c r="D411" i="3"/>
  <c r="F410" i="3"/>
  <c r="CH418" i="3"/>
  <c r="BL432" i="3"/>
  <c r="BP439" i="3"/>
  <c r="CM442" i="3"/>
  <c r="CG449" i="3"/>
  <c r="Q449" i="3"/>
  <c r="CC449" i="3"/>
  <c r="CA449" i="3"/>
  <c r="BW449" i="3"/>
  <c r="BU449" i="3"/>
  <c r="BS449" i="3"/>
  <c r="CO449" i="3"/>
  <c r="CD451" i="3"/>
  <c r="CE453" i="3"/>
  <c r="BZ454" i="3"/>
  <c r="BM466" i="3"/>
  <c r="BT476" i="3"/>
  <c r="CM522" i="3"/>
  <c r="CO366" i="3"/>
  <c r="BM396" i="3"/>
  <c r="BM398" i="3"/>
  <c r="CE437" i="3"/>
  <c r="CC437" i="3"/>
  <c r="BY437" i="3"/>
  <c r="BW437" i="3"/>
  <c r="BS437" i="3"/>
  <c r="Q437" i="3"/>
  <c r="CO437" i="3"/>
  <c r="CM437" i="3"/>
  <c r="CI437" i="3"/>
  <c r="BR439" i="3"/>
  <c r="CF443" i="3"/>
  <c r="CF451" i="3"/>
  <c r="CG453" i="3"/>
  <c r="D461" i="3"/>
  <c r="BM462" i="3"/>
  <c r="BM507" i="3"/>
  <c r="BX506" i="3"/>
  <c r="BN488" i="3"/>
  <c r="CJ540" i="3"/>
  <c r="F495" i="3"/>
  <c r="BM497" i="3"/>
  <c r="D497" i="3"/>
  <c r="CL393" i="3"/>
  <c r="BM456" i="3"/>
  <c r="CH468" i="3"/>
  <c r="BN501" i="3"/>
  <c r="BT529" i="3"/>
  <c r="CH537" i="3"/>
  <c r="CN393" i="3"/>
  <c r="BM449" i="3"/>
  <c r="BR457" i="3"/>
  <c r="BM470" i="3"/>
  <c r="BW478" i="3"/>
  <c r="CG478" i="3"/>
  <c r="CO478" i="3"/>
  <c r="BL478" i="3"/>
  <c r="CK478" i="3"/>
  <c r="CI478" i="3"/>
  <c r="CE478" i="3"/>
  <c r="BY478" i="3"/>
  <c r="F388" i="3"/>
  <c r="BJ388" i="3" s="1"/>
  <c r="D389" i="3"/>
  <c r="CJ389" i="3"/>
  <c r="BM393" i="3"/>
  <c r="F394" i="3"/>
  <c r="BM394" i="3" s="1"/>
  <c r="D395" i="3"/>
  <c r="CJ395" i="3"/>
  <c r="CH421" i="3"/>
  <c r="BT421" i="3"/>
  <c r="CD421" i="3"/>
  <c r="CB421" i="3"/>
  <c r="CN425" i="3"/>
  <c r="G433" i="3"/>
  <c r="O435" i="3"/>
  <c r="O433" i="3" s="1"/>
  <c r="BN439" i="3"/>
  <c r="O441" i="3"/>
  <c r="O439" i="3" s="1"/>
  <c r="O446" i="3"/>
  <c r="F448" i="3"/>
  <c r="D450" i="3"/>
  <c r="BM450" i="3"/>
  <c r="E457" i="3"/>
  <c r="CM471" i="3"/>
  <c r="D542" i="3"/>
  <c r="F541" i="3"/>
  <c r="BM542" i="3"/>
  <c r="BQ442" i="3"/>
  <c r="BN451" i="3"/>
  <c r="BT451" i="3"/>
  <c r="BU453" i="3"/>
  <c r="CL451" i="3"/>
  <c r="CM453" i="3"/>
  <c r="CF468" i="3"/>
  <c r="Q478" i="3"/>
  <c r="BN498" i="3"/>
  <c r="BU460" i="3"/>
  <c r="BV476" i="3"/>
  <c r="E506" i="3"/>
  <c r="BT514" i="3"/>
  <c r="CN517" i="3"/>
  <c r="CB524" i="3"/>
  <c r="BS527" i="3"/>
  <c r="BQ527" i="3"/>
  <c r="BV529" i="3"/>
  <c r="BU548" i="3"/>
  <c r="CE548" i="3"/>
  <c r="BQ548" i="3"/>
  <c r="CA548" i="3"/>
  <c r="CG548" i="3"/>
  <c r="BY548" i="3"/>
  <c r="BS548" i="3"/>
  <c r="BL548" i="3"/>
  <c r="Q548" i="3"/>
  <c r="CO548" i="3"/>
  <c r="CM548" i="3"/>
  <c r="CK548" i="3"/>
  <c r="CC548" i="3"/>
  <c r="CI548" i="3"/>
  <c r="BW548" i="3"/>
  <c r="O530" i="3"/>
  <c r="O529" i="3" s="1"/>
  <c r="G529" i="3"/>
  <c r="D445" i="3"/>
  <c r="CL454" i="3"/>
  <c r="CH506" i="3"/>
  <c r="H514" i="3"/>
  <c r="Q527" i="3"/>
  <c r="CB545" i="3"/>
  <c r="CO460" i="3"/>
  <c r="BQ460" i="3"/>
  <c r="CM460" i="3"/>
  <c r="CC460" i="3"/>
  <c r="BM478" i="3"/>
  <c r="F477" i="3"/>
  <c r="BJ477" i="3" s="1"/>
  <c r="BZ517" i="3"/>
  <c r="E540" i="3"/>
  <c r="CD545" i="3"/>
  <c r="BM445" i="3"/>
  <c r="CE460" i="3"/>
  <c r="BM469" i="3"/>
  <c r="E501" i="3"/>
  <c r="BN492" i="3"/>
  <c r="CN492" i="3"/>
  <c r="L514" i="3"/>
  <c r="CD517" i="3"/>
  <c r="BT524" i="3"/>
  <c r="CF524" i="3"/>
  <c r="CD524" i="3"/>
  <c r="CL524" i="3"/>
  <c r="BV524" i="3"/>
  <c r="BM524" i="3"/>
  <c r="BX524" i="3"/>
  <c r="CH524" i="3"/>
  <c r="D524" i="3"/>
  <c r="D424" i="3"/>
  <c r="CM424" i="3" s="1"/>
  <c r="D427" i="3"/>
  <c r="CM427" i="3" s="1"/>
  <c r="D430" i="3"/>
  <c r="BM442" i="3"/>
  <c r="CK453" i="3"/>
  <c r="BY453" i="3"/>
  <c r="Q460" i="3"/>
  <c r="CI460" i="3"/>
  <c r="F482" i="3"/>
  <c r="BJ482" i="3" s="1"/>
  <c r="BT554" i="3"/>
  <c r="BW559" i="3"/>
  <c r="BV557" i="3"/>
  <c r="Q453" i="3"/>
  <c r="BL460" i="3"/>
  <c r="CK460" i="3"/>
  <c r="BZ476" i="3"/>
  <c r="F523" i="3"/>
  <c r="BJ523" i="3" s="1"/>
  <c r="D536" i="3"/>
  <c r="BT540" i="3"/>
  <c r="CL545" i="3"/>
  <c r="E554" i="3"/>
  <c r="BZ475" i="3"/>
  <c r="CN475" i="3"/>
  <c r="CN473" i="3" s="1"/>
  <c r="D484" i="3"/>
  <c r="F488" i="3"/>
  <c r="BJ488" i="3" s="1"/>
  <c r="D510" i="3"/>
  <c r="F509" i="3"/>
  <c r="BM509" i="3" s="1"/>
  <c r="BM510" i="3"/>
  <c r="CG525" i="3"/>
  <c r="BS525" i="3"/>
  <c r="BQ525" i="3"/>
  <c r="BL525" i="3"/>
  <c r="Q525" i="3"/>
  <c r="BZ545" i="3"/>
  <c r="BX550" i="3"/>
  <c r="CL499" i="3"/>
  <c r="BZ499" i="3"/>
  <c r="CN499" i="3"/>
  <c r="BV499" i="3"/>
  <c r="CH499" i="3"/>
  <c r="CF499" i="3"/>
  <c r="CB529" i="3"/>
  <c r="CL540" i="3"/>
  <c r="BX570" i="3"/>
  <c r="D570" i="3"/>
  <c r="CJ570" i="3"/>
  <c r="CH570" i="3"/>
  <c r="CD570" i="3"/>
  <c r="BZ570" i="3"/>
  <c r="BM570" i="3"/>
  <c r="CB570" i="3"/>
  <c r="F568" i="3"/>
  <c r="BV570" i="3"/>
  <c r="CN570" i="3"/>
  <c r="CL570" i="3"/>
  <c r="BT570" i="3"/>
  <c r="BN526" i="3"/>
  <c r="CJ538" i="3"/>
  <c r="CK539" i="3"/>
  <c r="BN571" i="3"/>
  <c r="BM485" i="3"/>
  <c r="BT499" i="3"/>
  <c r="N506" i="3"/>
  <c r="CI518" i="3"/>
  <c r="BL518" i="3"/>
  <c r="CG518" i="3"/>
  <c r="CE518" i="3"/>
  <c r="CC518" i="3"/>
  <c r="BU518" i="3"/>
  <c r="BS518" i="3"/>
  <c r="BP529" i="3"/>
  <c r="BR562" i="3"/>
  <c r="BN568" i="3"/>
  <c r="BL503" i="3"/>
  <c r="CJ505" i="3"/>
  <c r="BM505" i="3"/>
  <c r="CB505" i="3"/>
  <c r="CD529" i="3"/>
  <c r="CE556" i="3"/>
  <c r="CD525" i="3"/>
  <c r="CE525" i="3" s="1"/>
  <c r="CF529" i="3"/>
  <c r="O546" i="3"/>
  <c r="O545" i="3" s="1"/>
  <c r="BV545" i="3"/>
  <c r="CK572" i="3"/>
  <c r="CM508" i="3"/>
  <c r="BQ508" i="3"/>
  <c r="CO508" i="3"/>
  <c r="CK508" i="3"/>
  <c r="CG508" i="3"/>
  <c r="CB525" i="3"/>
  <c r="CC525" i="3" s="1"/>
  <c r="CO535" i="3"/>
  <c r="BQ535" i="3"/>
  <c r="CA535" i="3"/>
  <c r="CM535" i="3"/>
  <c r="BL535" i="3"/>
  <c r="CC535" i="3"/>
  <c r="BY535" i="3"/>
  <c r="BW535" i="3"/>
  <c r="M537" i="3"/>
  <c r="K554" i="3"/>
  <c r="BT505" i="3"/>
  <c r="CL505" i="3"/>
  <c r="D507" i="3"/>
  <c r="CA507" i="3" s="1"/>
  <c r="Q508" i="3"/>
  <c r="CI508" i="3"/>
  <c r="CH525" i="3"/>
  <c r="CI525" i="3" s="1"/>
  <c r="CH529" i="3"/>
  <c r="CI539" i="3"/>
  <c r="CO539" i="3"/>
  <c r="D538" i="3"/>
  <c r="CI538" i="3" s="1"/>
  <c r="CA539" i="3"/>
  <c r="BT545" i="3"/>
  <c r="BN546" i="3"/>
  <c r="BN555" i="3"/>
  <c r="BM555" i="3"/>
  <c r="CG556" i="3"/>
  <c r="Q556" i="3"/>
  <c r="BS556" i="3"/>
  <c r="CC556" i="3"/>
  <c r="BW556" i="3"/>
  <c r="BQ556" i="3"/>
  <c r="CI556" i="3"/>
  <c r="CK556" i="3"/>
  <c r="CA556" i="3"/>
  <c r="BU556" i="3"/>
  <c r="BY556" i="3"/>
  <c r="D563" i="3"/>
  <c r="BS563" i="3" s="1"/>
  <c r="F562" i="3"/>
  <c r="BM562" i="3" s="1"/>
  <c r="BM563" i="3"/>
  <c r="BZ503" i="3"/>
  <c r="F502" i="3"/>
  <c r="BJ502" i="3" s="1"/>
  <c r="CN503" i="3"/>
  <c r="CE516" i="3"/>
  <c r="D533" i="3"/>
  <c r="CC533" i="3" s="1"/>
  <c r="CF554" i="3"/>
  <c r="Q559" i="3"/>
  <c r="BS559" i="3"/>
  <c r="BL559" i="3"/>
  <c r="CG559" i="3"/>
  <c r="BQ559" i="3"/>
  <c r="CG516" i="3"/>
  <c r="CN553" i="3"/>
  <c r="BZ553" i="3"/>
  <c r="BX553" i="3"/>
  <c r="F552" i="3"/>
  <c r="BV553" i="3"/>
  <c r="CL553" i="3"/>
  <c r="BT553" i="3"/>
  <c r="CJ553" i="3"/>
  <c r="CD559" i="3"/>
  <c r="BM559" i="3"/>
  <c r="CJ559" i="3"/>
  <c r="CH559" i="3"/>
  <c r="CB503" i="3"/>
  <c r="Q516" i="3"/>
  <c r="CI516" i="3"/>
  <c r="D519" i="3"/>
  <c r="BW519" i="3" s="1"/>
  <c r="CJ528" i="3"/>
  <c r="BV528" i="3"/>
  <c r="CH545" i="3"/>
  <c r="F557" i="3"/>
  <c r="F554" i="3" s="1"/>
  <c r="E578" i="3"/>
  <c r="BS580" i="3"/>
  <c r="CO580" i="3"/>
  <c r="BQ580" i="3"/>
  <c r="CK580" i="3"/>
  <c r="BW580" i="3"/>
  <c r="BU580" i="3"/>
  <c r="CE580" i="3"/>
  <c r="CC580" i="3"/>
  <c r="BY580" i="3"/>
  <c r="BL580" i="3"/>
  <c r="CM580" i="3"/>
  <c r="CG580" i="3"/>
  <c r="BS539" i="3"/>
  <c r="BT539" i="3"/>
  <c r="BR538" i="3"/>
  <c r="BN562" i="3"/>
  <c r="CF578" i="3"/>
  <c r="BN550" i="3"/>
  <c r="CH562" i="3"/>
  <c r="BR545" i="3"/>
  <c r="CL562" i="3"/>
  <c r="CC547" i="3"/>
  <c r="CM547" i="3"/>
  <c r="CA547" i="3"/>
  <c r="BV551" i="3"/>
  <c r="CJ551" i="3"/>
  <c r="CB551" i="3"/>
  <c r="D582" i="3"/>
  <c r="CD588" i="3"/>
  <c r="CB588" i="3"/>
  <c r="BM588" i="3"/>
  <c r="CJ588" i="3"/>
  <c r="D588" i="3"/>
  <c r="BY588" i="3" s="1"/>
  <c r="F587" i="3"/>
  <c r="BJ587" i="3" s="1"/>
  <c r="BZ588" i="3"/>
  <c r="CN588" i="3"/>
  <c r="BR578" i="3"/>
  <c r="BU583" i="3"/>
  <c r="BS583" i="3"/>
  <c r="CM583" i="3"/>
  <c r="CG583" i="3"/>
  <c r="CE583" i="3"/>
  <c r="CI583" i="3"/>
  <c r="CC583" i="3"/>
  <c r="BL583" i="3"/>
  <c r="BN560" i="3"/>
  <c r="BN565" i="3"/>
  <c r="BM583" i="3"/>
  <c r="BV562" i="3"/>
  <c r="BV587" i="3"/>
  <c r="BQ589" i="3"/>
  <c r="BL589" i="3"/>
  <c r="BS589" i="3"/>
  <c r="CG589" i="3"/>
  <c r="CB561" i="3"/>
  <c r="BM561" i="3"/>
  <c r="CN561" i="3"/>
  <c r="CL561" i="3"/>
  <c r="F560" i="3"/>
  <c r="BJ560" i="3" s="1"/>
  <c r="BN578" i="3"/>
  <c r="BQ583" i="3"/>
  <c r="BX587" i="3"/>
  <c r="CD589" i="3"/>
  <c r="CE589" i="3" s="1"/>
  <c r="CN589" i="3"/>
  <c r="CL589" i="3"/>
  <c r="CM589" i="3" s="1"/>
  <c r="CH589" i="3"/>
  <c r="O552" i="3"/>
  <c r="CO559" i="3"/>
  <c r="CN557" i="3"/>
  <c r="CD572" i="3"/>
  <c r="CB572" i="3"/>
  <c r="BM572" i="3"/>
  <c r="CH572" i="3"/>
  <c r="CD573" i="3"/>
  <c r="CN573" i="3"/>
  <c r="BX573" i="3"/>
  <c r="BN574" i="3"/>
  <c r="BT578" i="3"/>
  <c r="BM580" i="3"/>
  <c r="BX572" i="3"/>
  <c r="BV573" i="3"/>
  <c r="BN579" i="3"/>
  <c r="BU589" i="3"/>
  <c r="BX586" i="3"/>
  <c r="D586" i="3"/>
  <c r="CJ586" i="3"/>
  <c r="CH586" i="3"/>
  <c r="CB586" i="3"/>
  <c r="BM586" i="3"/>
  <c r="CD586" i="3"/>
  <c r="BN584" i="3"/>
  <c r="BX575" i="3"/>
  <c r="BZ575" i="3"/>
  <c r="BM576" i="3"/>
  <c r="D577" i="3"/>
  <c r="CJ577" i="3"/>
  <c r="BX585" i="3"/>
  <c r="CK402" i="3" l="1"/>
  <c r="CG151" i="3"/>
  <c r="D144" i="3"/>
  <c r="BQ144" i="3" s="1"/>
  <c r="BU247" i="3"/>
  <c r="BQ146" i="3"/>
  <c r="BL146" i="3"/>
  <c r="BW456" i="3"/>
  <c r="CI132" i="3"/>
  <c r="BY456" i="3"/>
  <c r="CA125" i="3"/>
  <c r="CM295" i="3"/>
  <c r="BU146" i="3"/>
  <c r="Q456" i="3"/>
  <c r="CO132" i="3"/>
  <c r="BL132" i="3"/>
  <c r="CA132" i="3"/>
  <c r="BS499" i="3"/>
  <c r="Q553" i="3"/>
  <c r="Q499" i="3"/>
  <c r="CA456" i="3"/>
  <c r="BS132" i="3"/>
  <c r="BQ132" i="3"/>
  <c r="CC132" i="3"/>
  <c r="BY132" i="3"/>
  <c r="CE132" i="3"/>
  <c r="BU132" i="3"/>
  <c r="BM550" i="3"/>
  <c r="Q145" i="3"/>
  <c r="BL499" i="3"/>
  <c r="CO566" i="3"/>
  <c r="BL471" i="3"/>
  <c r="CG456" i="3"/>
  <c r="CP570" i="3"/>
  <c r="CQ570" i="3"/>
  <c r="CC48" i="3"/>
  <c r="CQ138" i="3"/>
  <c r="CP138" i="3"/>
  <c r="CP365" i="3"/>
  <c r="CQ365" i="3"/>
  <c r="CP371" i="3"/>
  <c r="CQ371" i="3"/>
  <c r="CP119" i="3"/>
  <c r="CQ119" i="3"/>
  <c r="CP23" i="3"/>
  <c r="CQ23" i="3"/>
  <c r="CP65" i="3"/>
  <c r="CQ65" i="3"/>
  <c r="CQ548" i="3"/>
  <c r="CP548" i="3"/>
  <c r="CP281" i="3"/>
  <c r="CQ281" i="3"/>
  <c r="CP245" i="3"/>
  <c r="CQ245" i="3"/>
  <c r="CP114" i="3"/>
  <c r="CQ114" i="3"/>
  <c r="CP103" i="3"/>
  <c r="CQ103" i="3"/>
  <c r="CQ109" i="3"/>
  <c r="CP109" i="3"/>
  <c r="CP55" i="3"/>
  <c r="CQ55" i="3"/>
  <c r="CP551" i="3"/>
  <c r="CQ551" i="3"/>
  <c r="CP451" i="3"/>
  <c r="CQ451" i="3"/>
  <c r="CP352" i="3"/>
  <c r="CQ352" i="3"/>
  <c r="CQ148" i="3"/>
  <c r="CP148" i="3"/>
  <c r="CP395" i="3"/>
  <c r="CQ395" i="3"/>
  <c r="CQ574" i="3"/>
  <c r="CP574" i="3"/>
  <c r="CP566" i="3"/>
  <c r="CQ566" i="3"/>
  <c r="CQ518" i="3"/>
  <c r="CP518" i="3"/>
  <c r="CP283" i="3"/>
  <c r="CQ283" i="3"/>
  <c r="CP79" i="3"/>
  <c r="CQ79" i="3"/>
  <c r="CP466" i="3"/>
  <c r="CQ466" i="3"/>
  <c r="CP415" i="3"/>
  <c r="CQ415" i="3"/>
  <c r="CP121" i="3"/>
  <c r="CQ121" i="3"/>
  <c r="CP57" i="3"/>
  <c r="CQ57" i="3"/>
  <c r="CP340" i="3"/>
  <c r="CQ340" i="3"/>
  <c r="CP120" i="3"/>
  <c r="CQ120" i="3"/>
  <c r="CP187" i="3"/>
  <c r="CQ187" i="3"/>
  <c r="CP223" i="3"/>
  <c r="CQ223" i="3"/>
  <c r="CP192" i="3"/>
  <c r="CQ192" i="3"/>
  <c r="CQ450" i="3"/>
  <c r="CP450" i="3"/>
  <c r="CQ390" i="3"/>
  <c r="CP390" i="3"/>
  <c r="CP322" i="3"/>
  <c r="CQ322" i="3"/>
  <c r="CP346" i="3"/>
  <c r="CQ346" i="3"/>
  <c r="CQ166" i="3"/>
  <c r="CP166" i="3"/>
  <c r="CP576" i="3"/>
  <c r="CQ576" i="3"/>
  <c r="Q566" i="3"/>
  <c r="CQ396" i="3"/>
  <c r="CP396" i="3"/>
  <c r="CK378" i="3"/>
  <c r="CP521" i="3"/>
  <c r="CQ521" i="3"/>
  <c r="CQ420" i="3"/>
  <c r="CP420" i="3"/>
  <c r="CP359" i="3"/>
  <c r="CQ359" i="3"/>
  <c r="CP349" i="3"/>
  <c r="CQ349" i="3"/>
  <c r="CQ404" i="3"/>
  <c r="CP404" i="3"/>
  <c r="CP327" i="3"/>
  <c r="CQ327" i="3"/>
  <c r="CQ294" i="3"/>
  <c r="CP294" i="3"/>
  <c r="CO244" i="3"/>
  <c r="CQ112" i="3"/>
  <c r="CP112" i="3"/>
  <c r="CP185" i="3"/>
  <c r="CQ185" i="3"/>
  <c r="CQ68" i="3"/>
  <c r="CP68" i="3"/>
  <c r="CP453" i="3"/>
  <c r="CQ453" i="3"/>
  <c r="CQ464" i="3"/>
  <c r="CP464" i="3"/>
  <c r="CP273" i="3"/>
  <c r="CQ273" i="3"/>
  <c r="CQ154" i="3"/>
  <c r="CP154" i="3"/>
  <c r="CQ22" i="3"/>
  <c r="CP22" i="3"/>
  <c r="CP407" i="3"/>
  <c r="CQ407" i="3"/>
  <c r="CP569" i="3"/>
  <c r="CQ569" i="3"/>
  <c r="CQ372" i="3"/>
  <c r="CP372" i="3"/>
  <c r="CP547" i="3"/>
  <c r="CQ547" i="3"/>
  <c r="CQ318" i="3"/>
  <c r="CP318" i="3"/>
  <c r="CQ300" i="3"/>
  <c r="CP300" i="3"/>
  <c r="CP323" i="3"/>
  <c r="CQ323" i="3"/>
  <c r="CP321" i="3"/>
  <c r="CQ321" i="3"/>
  <c r="CQ344" i="3"/>
  <c r="CP344" i="3"/>
  <c r="CP165" i="3"/>
  <c r="CQ165" i="3"/>
  <c r="CP483" i="3"/>
  <c r="CQ483" i="3"/>
  <c r="CP361" i="3"/>
  <c r="CQ361" i="3"/>
  <c r="CP572" i="3"/>
  <c r="CQ572" i="3"/>
  <c r="CP559" i="3"/>
  <c r="CQ559" i="3"/>
  <c r="CP555" i="3"/>
  <c r="CQ555" i="3"/>
  <c r="CP297" i="3"/>
  <c r="CQ297" i="3"/>
  <c r="CQ46" i="3"/>
  <c r="CP46" i="3"/>
  <c r="CP589" i="3"/>
  <c r="CQ589" i="3"/>
  <c r="CP83" i="3"/>
  <c r="CQ83" i="3"/>
  <c r="CP469" i="3"/>
  <c r="CQ469" i="3"/>
  <c r="BL566" i="3"/>
  <c r="CQ456" i="3"/>
  <c r="CP456" i="3"/>
  <c r="CP397" i="3"/>
  <c r="CQ397" i="3"/>
  <c r="CP285" i="3"/>
  <c r="CQ285" i="3"/>
  <c r="CP505" i="3"/>
  <c r="CQ505" i="3"/>
  <c r="CP445" i="3"/>
  <c r="CQ445" i="3"/>
  <c r="BY471" i="3"/>
  <c r="CP463" i="3"/>
  <c r="CQ463" i="3"/>
  <c r="CQ354" i="3"/>
  <c r="CP354" i="3"/>
  <c r="CP319" i="3"/>
  <c r="CQ319" i="3"/>
  <c r="BU195" i="3"/>
  <c r="CP186" i="3"/>
  <c r="CQ186" i="3"/>
  <c r="CP215" i="3"/>
  <c r="CQ215" i="3"/>
  <c r="CP93" i="3"/>
  <c r="CQ93" i="3"/>
  <c r="CP571" i="3"/>
  <c r="CQ571" i="3"/>
  <c r="CQ348" i="3"/>
  <c r="CP348" i="3"/>
  <c r="CQ428" i="3"/>
  <c r="CP428" i="3"/>
  <c r="CP287" i="3"/>
  <c r="CQ287" i="3"/>
  <c r="CP132" i="3"/>
  <c r="CQ132" i="3"/>
  <c r="CP243" i="3"/>
  <c r="CQ243" i="3"/>
  <c r="CP391" i="3"/>
  <c r="CQ391" i="3"/>
  <c r="CP37" i="3"/>
  <c r="CQ37" i="3"/>
  <c r="CP133" i="3"/>
  <c r="CQ133" i="3"/>
  <c r="CP292" i="3"/>
  <c r="CQ292" i="3"/>
  <c r="CP499" i="3"/>
  <c r="CQ499" i="3"/>
  <c r="CP211" i="3"/>
  <c r="CQ211" i="3"/>
  <c r="CP493" i="3"/>
  <c r="CQ493" i="3"/>
  <c r="D94" i="3"/>
  <c r="CK94" i="3" s="1"/>
  <c r="CQ190" i="3"/>
  <c r="CP190" i="3"/>
  <c r="CP181" i="3"/>
  <c r="CQ181" i="3"/>
  <c r="CQ82" i="3"/>
  <c r="CP82" i="3"/>
  <c r="CQ240" i="3"/>
  <c r="CP240" i="3"/>
  <c r="CP586" i="3"/>
  <c r="CQ586" i="3"/>
  <c r="CP584" i="3"/>
  <c r="CQ584" i="3"/>
  <c r="CP191" i="3"/>
  <c r="CQ191" i="3"/>
  <c r="CQ398" i="3"/>
  <c r="CP398" i="3"/>
  <c r="CP443" i="3"/>
  <c r="CQ443" i="3"/>
  <c r="CQ386" i="3"/>
  <c r="CP386" i="3"/>
  <c r="CP328" i="3"/>
  <c r="CQ328" i="3"/>
  <c r="CP377" i="3"/>
  <c r="CQ377" i="3"/>
  <c r="CP331" i="3"/>
  <c r="CQ331" i="3"/>
  <c r="CK244" i="3"/>
  <c r="CQ218" i="3"/>
  <c r="CP218" i="3"/>
  <c r="CP561" i="3"/>
  <c r="CQ561" i="3"/>
  <c r="CP550" i="3"/>
  <c r="CQ550" i="3"/>
  <c r="CQ510" i="3"/>
  <c r="CP510" i="3"/>
  <c r="CP442" i="3"/>
  <c r="CQ442" i="3"/>
  <c r="CI471" i="3"/>
  <c r="CP394" i="3"/>
  <c r="CQ394" i="3"/>
  <c r="CP497" i="3"/>
  <c r="CQ497" i="3"/>
  <c r="CQ474" i="3"/>
  <c r="CP474" i="3"/>
  <c r="CQ342" i="3"/>
  <c r="CP342" i="3"/>
  <c r="CP337" i="3"/>
  <c r="CQ337" i="3"/>
  <c r="CP409" i="3"/>
  <c r="CQ409" i="3"/>
  <c r="CQ330" i="3"/>
  <c r="CP330" i="3"/>
  <c r="CQ312" i="3"/>
  <c r="CP312" i="3"/>
  <c r="CP316" i="3"/>
  <c r="CQ316" i="3"/>
  <c r="CP289" i="3"/>
  <c r="CQ289" i="3"/>
  <c r="CQ164" i="3"/>
  <c r="CP164" i="3"/>
  <c r="CP198" i="3"/>
  <c r="CQ198" i="3"/>
  <c r="CP210" i="3"/>
  <c r="CQ210" i="3"/>
  <c r="CQ44" i="3"/>
  <c r="CP44" i="3"/>
  <c r="CP515" i="3"/>
  <c r="CQ515" i="3"/>
  <c r="CP513" i="3"/>
  <c r="CQ513" i="3"/>
  <c r="CP585" i="3"/>
  <c r="CQ585" i="3"/>
  <c r="CP304" i="3"/>
  <c r="CQ304" i="3"/>
  <c r="BU24" i="3"/>
  <c r="CP325" i="3"/>
  <c r="CQ325" i="3"/>
  <c r="CP339" i="3"/>
  <c r="CQ339" i="3"/>
  <c r="CP525" i="3"/>
  <c r="CQ525" i="3"/>
  <c r="CP101" i="3"/>
  <c r="CQ101" i="3"/>
  <c r="CP491" i="3"/>
  <c r="CQ491" i="3"/>
  <c r="CP137" i="3"/>
  <c r="CQ137" i="3"/>
  <c r="CP467" i="3"/>
  <c r="CQ467" i="3"/>
  <c r="CP583" i="3"/>
  <c r="CQ583" i="3"/>
  <c r="CQ542" i="3"/>
  <c r="CP542" i="3"/>
  <c r="CQ260" i="3"/>
  <c r="CP260" i="3"/>
  <c r="D526" i="3"/>
  <c r="CG526" i="3" s="1"/>
  <c r="CQ360" i="3"/>
  <c r="CP360" i="3"/>
  <c r="CQ308" i="3"/>
  <c r="CP308" i="3"/>
  <c r="CP580" i="3"/>
  <c r="CQ580" i="3"/>
  <c r="CP588" i="3"/>
  <c r="CQ588" i="3"/>
  <c r="CP509" i="3"/>
  <c r="CQ509" i="3"/>
  <c r="CK471" i="3"/>
  <c r="CP393" i="3"/>
  <c r="CQ393" i="3"/>
  <c r="CQ470" i="3"/>
  <c r="CP470" i="3"/>
  <c r="CQ490" i="3"/>
  <c r="CP490" i="3"/>
  <c r="CP473" i="3"/>
  <c r="CQ473" i="3"/>
  <c r="CQ380" i="3"/>
  <c r="CP380" i="3"/>
  <c r="CQ290" i="3"/>
  <c r="CP290" i="3"/>
  <c r="CQ160" i="3"/>
  <c r="CP160" i="3"/>
  <c r="CP84" i="3"/>
  <c r="CQ84" i="3"/>
  <c r="CP171" i="3"/>
  <c r="CQ171" i="3"/>
  <c r="CQ512" i="3"/>
  <c r="CP512" i="3"/>
  <c r="CP575" i="3"/>
  <c r="CQ575" i="3"/>
  <c r="CQ34" i="3"/>
  <c r="CP34" i="3"/>
  <c r="CQ86" i="3"/>
  <c r="CP86" i="3"/>
  <c r="CP195" i="3"/>
  <c r="CQ195" i="3"/>
  <c r="CP309" i="3"/>
  <c r="CQ309" i="3"/>
  <c r="BJ94" i="3"/>
  <c r="CP150" i="3"/>
  <c r="CQ150" i="3"/>
  <c r="CP180" i="3"/>
  <c r="CQ180" i="3"/>
  <c r="CP67" i="3"/>
  <c r="CQ67" i="3"/>
  <c r="CQ270" i="3"/>
  <c r="CP270" i="3"/>
  <c r="CP163" i="3"/>
  <c r="CQ163" i="3"/>
  <c r="CP277" i="3"/>
  <c r="CQ277" i="3"/>
  <c r="CQ438" i="3"/>
  <c r="CP438" i="3"/>
  <c r="CP383" i="3"/>
  <c r="CQ383" i="3"/>
  <c r="CP355" i="3"/>
  <c r="CQ355" i="3"/>
  <c r="CP280" i="3"/>
  <c r="CQ280" i="3"/>
  <c r="CQ500" i="3"/>
  <c r="CP500" i="3"/>
  <c r="CP436" i="3"/>
  <c r="CQ436" i="3"/>
  <c r="CP75" i="3"/>
  <c r="CQ75" i="3"/>
  <c r="CP43" i="3"/>
  <c r="CQ43" i="3"/>
  <c r="CP478" i="3"/>
  <c r="CQ478" i="3"/>
  <c r="BQ471" i="3"/>
  <c r="CP479" i="3"/>
  <c r="CQ479" i="3"/>
  <c r="CQ374" i="3"/>
  <c r="CP374" i="3"/>
  <c r="CQ272" i="3"/>
  <c r="CP272" i="3"/>
  <c r="CP286" i="3"/>
  <c r="CQ286" i="3"/>
  <c r="CP267" i="3"/>
  <c r="CQ267" i="3"/>
  <c r="CQ62" i="3"/>
  <c r="CP62" i="3"/>
  <c r="CQ64" i="3"/>
  <c r="CP64" i="3"/>
  <c r="CQ26" i="3"/>
  <c r="CP26" i="3"/>
  <c r="CP417" i="3"/>
  <c r="CQ417" i="3"/>
  <c r="BU471" i="3"/>
  <c r="CP544" i="3"/>
  <c r="CQ544" i="3"/>
  <c r="CP496" i="3"/>
  <c r="CQ496" i="3"/>
  <c r="CQ414" i="3"/>
  <c r="CP414" i="3"/>
  <c r="CP535" i="3"/>
  <c r="CQ535" i="3"/>
  <c r="CP447" i="3"/>
  <c r="CQ447" i="3"/>
  <c r="BS195" i="3"/>
  <c r="CQ134" i="3"/>
  <c r="CP134" i="3"/>
  <c r="CP460" i="3"/>
  <c r="CQ460" i="3"/>
  <c r="CP49" i="3"/>
  <c r="CQ49" i="3"/>
  <c r="CQ486" i="3"/>
  <c r="CP486" i="3"/>
  <c r="CP405" i="3"/>
  <c r="CQ405" i="3"/>
  <c r="CP201" i="3"/>
  <c r="CQ201" i="3"/>
  <c r="CP102" i="3"/>
  <c r="CQ102" i="3"/>
  <c r="CQ40" i="3"/>
  <c r="CP40" i="3"/>
  <c r="CQ19" i="3"/>
  <c r="CP19" i="3"/>
  <c r="CQ30" i="3"/>
  <c r="CP30" i="3"/>
  <c r="CP48" i="3"/>
  <c r="CQ48" i="3"/>
  <c r="CP168" i="3"/>
  <c r="CQ168" i="3"/>
  <c r="CP459" i="3"/>
  <c r="CQ459" i="3"/>
  <c r="CP549" i="3"/>
  <c r="CQ549" i="3"/>
  <c r="CP345" i="3"/>
  <c r="CQ345" i="3"/>
  <c r="CQ530" i="3"/>
  <c r="CP530" i="3"/>
  <c r="CE471" i="3"/>
  <c r="CP507" i="3"/>
  <c r="CQ507" i="3"/>
  <c r="CP358" i="3"/>
  <c r="CQ358" i="3"/>
  <c r="CP313" i="3"/>
  <c r="CQ313" i="3"/>
  <c r="CP161" i="3"/>
  <c r="CQ161" i="3"/>
  <c r="CK29" i="3"/>
  <c r="CP577" i="3"/>
  <c r="CQ577" i="3"/>
  <c r="BW471" i="3"/>
  <c r="CP271" i="3"/>
  <c r="CQ271" i="3"/>
  <c r="CP531" i="3"/>
  <c r="CQ531" i="3"/>
  <c r="CP301" i="3"/>
  <c r="CQ301" i="3"/>
  <c r="CP259" i="3"/>
  <c r="CQ259" i="3"/>
  <c r="CP25" i="3"/>
  <c r="CQ25" i="3"/>
  <c r="CP421" i="3"/>
  <c r="CQ421" i="3"/>
  <c r="CQ324" i="3"/>
  <c r="CP324" i="3"/>
  <c r="CP107" i="3"/>
  <c r="CQ107" i="3"/>
  <c r="CQ246" i="3"/>
  <c r="CP246" i="3"/>
  <c r="CQ278" i="3"/>
  <c r="CP278" i="3"/>
  <c r="CQ434" i="3"/>
  <c r="CP434" i="3"/>
  <c r="CP295" i="3"/>
  <c r="CQ295" i="3"/>
  <c r="CP24" i="3"/>
  <c r="CQ24" i="3"/>
  <c r="CP582" i="3"/>
  <c r="CQ582" i="3"/>
  <c r="CQ444" i="3"/>
  <c r="CP444" i="3"/>
  <c r="CP35" i="3"/>
  <c r="CQ35" i="3"/>
  <c r="CP203" i="3"/>
  <c r="CQ203" i="3"/>
  <c r="CP449" i="3"/>
  <c r="CQ449" i="3"/>
  <c r="CQ392" i="3"/>
  <c r="CP392" i="3"/>
  <c r="CP379" i="3"/>
  <c r="CQ379" i="3"/>
  <c r="CP412" i="3"/>
  <c r="CQ412" i="3"/>
  <c r="CP527" i="3"/>
  <c r="CQ527" i="3"/>
  <c r="CP567" i="3"/>
  <c r="CQ567" i="3"/>
  <c r="CQ534" i="3"/>
  <c r="CP534" i="3"/>
  <c r="CQ182" i="3"/>
  <c r="CP182" i="3"/>
  <c r="CQ563" i="3"/>
  <c r="CP563" i="3"/>
  <c r="CQ462" i="3"/>
  <c r="CP462" i="3"/>
  <c r="CP351" i="3"/>
  <c r="CQ351" i="3"/>
  <c r="CP334" i="3"/>
  <c r="CQ334" i="3"/>
  <c r="CP311" i="3"/>
  <c r="CQ311" i="3"/>
  <c r="CP269" i="3"/>
  <c r="CQ269" i="3"/>
  <c r="CP423" i="3"/>
  <c r="CQ423" i="3"/>
  <c r="CP293" i="3"/>
  <c r="CQ293" i="3"/>
  <c r="CP275" i="3"/>
  <c r="CQ275" i="3"/>
  <c r="CP117" i="3"/>
  <c r="CQ117" i="3"/>
  <c r="CP173" i="3"/>
  <c r="CQ173" i="3"/>
  <c r="CQ504" i="3"/>
  <c r="CP504" i="3"/>
  <c r="CP381" i="3"/>
  <c r="CQ381" i="3"/>
  <c r="CP263" i="3"/>
  <c r="CQ263" i="3"/>
  <c r="CA471" i="3"/>
  <c r="CP553" i="3"/>
  <c r="CQ553" i="3"/>
  <c r="CQ432" i="3"/>
  <c r="CP432" i="3"/>
  <c r="CP299" i="3"/>
  <c r="CQ299" i="3"/>
  <c r="CP475" i="3"/>
  <c r="CQ475" i="3"/>
  <c r="CP399" i="3"/>
  <c r="CQ399" i="3"/>
  <c r="CP155" i="3"/>
  <c r="CQ155" i="3"/>
  <c r="CQ124" i="3"/>
  <c r="CP124" i="3"/>
  <c r="CP503" i="3"/>
  <c r="CQ503" i="3"/>
  <c r="CQ248" i="3"/>
  <c r="CP248" i="3"/>
  <c r="CP153" i="3"/>
  <c r="CQ153" i="3"/>
  <c r="CQ32" i="3"/>
  <c r="CP32" i="3"/>
  <c r="CQ94" i="3"/>
  <c r="CP94" i="3"/>
  <c r="CP485" i="3"/>
  <c r="CQ485" i="3"/>
  <c r="CQ336" i="3"/>
  <c r="CP336" i="3"/>
  <c r="CQ258" i="3"/>
  <c r="CP258" i="3"/>
  <c r="CP199" i="3"/>
  <c r="CQ199" i="3"/>
  <c r="CQ28" i="3"/>
  <c r="CP28" i="3"/>
  <c r="CP126" i="3"/>
  <c r="CQ126" i="3"/>
  <c r="CP27" i="3"/>
  <c r="CQ27" i="3"/>
  <c r="CP167" i="3"/>
  <c r="CQ167" i="3"/>
  <c r="CQ118" i="3"/>
  <c r="CP118" i="3"/>
  <c r="CK566" i="3"/>
  <c r="Q471" i="3"/>
  <c r="CQ494" i="3"/>
  <c r="CP494" i="3"/>
  <c r="CP562" i="3"/>
  <c r="CQ562" i="3"/>
  <c r="CQ524" i="3"/>
  <c r="CP524" i="3"/>
  <c r="CG471" i="3"/>
  <c r="CQ522" i="3"/>
  <c r="CP522" i="3"/>
  <c r="CP367" i="3"/>
  <c r="CQ367" i="3"/>
  <c r="CQ384" i="3"/>
  <c r="CP384" i="3"/>
  <c r="CQ440" i="3"/>
  <c r="CP440" i="3"/>
  <c r="CQ366" i="3"/>
  <c r="CP366" i="3"/>
  <c r="CP413" i="3"/>
  <c r="CQ413" i="3"/>
  <c r="CP261" i="3"/>
  <c r="CQ261" i="3"/>
  <c r="CP247" i="3"/>
  <c r="CQ247" i="3"/>
  <c r="CP123" i="3"/>
  <c r="CQ123" i="3"/>
  <c r="CP54" i="3"/>
  <c r="CQ54" i="3"/>
  <c r="CP125" i="3"/>
  <c r="CQ125" i="3"/>
  <c r="CQ127" i="3"/>
  <c r="CP127" i="3"/>
  <c r="CP538" i="3"/>
  <c r="CQ538" i="3"/>
  <c r="BQ437" i="3"/>
  <c r="CQ378" i="3"/>
  <c r="CP378" i="3"/>
  <c r="CP375" i="3"/>
  <c r="CQ375" i="3"/>
  <c r="CP175" i="3"/>
  <c r="CQ175" i="3"/>
  <c r="CQ220" i="3"/>
  <c r="CP220" i="3"/>
  <c r="CP59" i="3"/>
  <c r="CQ59" i="3"/>
  <c r="CQ364" i="3"/>
  <c r="CP364" i="3"/>
  <c r="CP51" i="3"/>
  <c r="CQ51" i="3"/>
  <c r="CP389" i="3"/>
  <c r="CQ389" i="3"/>
  <c r="CP343" i="3"/>
  <c r="CQ343" i="3"/>
  <c r="CP401" i="3"/>
  <c r="CQ401" i="3"/>
  <c r="CP573" i="3"/>
  <c r="CQ573" i="3"/>
  <c r="CP307" i="3"/>
  <c r="CQ307" i="3"/>
  <c r="CP105" i="3"/>
  <c r="CQ105" i="3"/>
  <c r="CP156" i="3"/>
  <c r="CQ156" i="3"/>
  <c r="CQ426" i="3"/>
  <c r="CP426" i="3"/>
  <c r="CQ238" i="3"/>
  <c r="CP238" i="3"/>
  <c r="CQ236" i="3"/>
  <c r="CP236" i="3"/>
  <c r="CP228" i="3"/>
  <c r="CQ228" i="3"/>
  <c r="CP225" i="3"/>
  <c r="CQ225" i="3"/>
  <c r="CQ235" i="3"/>
  <c r="CP235" i="3"/>
  <c r="CP233" i="3"/>
  <c r="CQ233" i="3"/>
  <c r="CM337" i="3"/>
  <c r="BS532" i="3"/>
  <c r="BL531" i="3"/>
  <c r="BU532" i="3"/>
  <c r="CO402" i="3"/>
  <c r="BL210" i="3"/>
  <c r="CC532" i="3"/>
  <c r="CM387" i="3"/>
  <c r="CI532" i="3"/>
  <c r="Q348" i="3"/>
  <c r="Q532" i="3"/>
  <c r="BQ436" i="3"/>
  <c r="BW247" i="3"/>
  <c r="BL175" i="3"/>
  <c r="CE532" i="3"/>
  <c r="CG532" i="3"/>
  <c r="CA436" i="3"/>
  <c r="CM378" i="3"/>
  <c r="BW575" i="3"/>
  <c r="BL295" i="3"/>
  <c r="CK198" i="3"/>
  <c r="CI528" i="3"/>
  <c r="BS295" i="3"/>
  <c r="CC198" i="3"/>
  <c r="BW564" i="3"/>
  <c r="CG295" i="3"/>
  <c r="BY156" i="3"/>
  <c r="CO22" i="3"/>
  <c r="CK132" i="3"/>
  <c r="CA202" i="3"/>
  <c r="BU165" i="3"/>
  <c r="BM341" i="3"/>
  <c r="CG198" i="3"/>
  <c r="Q198" i="3"/>
  <c r="Q165" i="3"/>
  <c r="CK210" i="3"/>
  <c r="BU22" i="3"/>
  <c r="Q132" i="3"/>
  <c r="CC247" i="3"/>
  <c r="CM201" i="3"/>
  <c r="CE165" i="3"/>
  <c r="CM22" i="3"/>
  <c r="BW132" i="3"/>
  <c r="BL348" i="3"/>
  <c r="CK405" i="3"/>
  <c r="CK456" i="3"/>
  <c r="BQ198" i="3"/>
  <c r="CM132" i="3"/>
  <c r="CM198" i="3"/>
  <c r="BQ29" i="3"/>
  <c r="BS22" i="3"/>
  <c r="CI327" i="3"/>
  <c r="CM405" i="3"/>
  <c r="BS202" i="3"/>
  <c r="BQ175" i="3"/>
  <c r="Q46" i="3"/>
  <c r="BS29" i="3"/>
  <c r="BZ323" i="3"/>
  <c r="BS475" i="3"/>
  <c r="CO405" i="3"/>
  <c r="CI456" i="3"/>
  <c r="BS364" i="3"/>
  <c r="CK247" i="3"/>
  <c r="CA393" i="3"/>
  <c r="BS247" i="3"/>
  <c r="BY151" i="3"/>
  <c r="CO255" i="3"/>
  <c r="BW87" i="3"/>
  <c r="BL561" i="3"/>
  <c r="BQ405" i="3"/>
  <c r="BY380" i="3"/>
  <c r="CI348" i="3"/>
  <c r="BU255" i="3"/>
  <c r="BQ151" i="3"/>
  <c r="CA151" i="3"/>
  <c r="BS146" i="3"/>
  <c r="BW255" i="3"/>
  <c r="BU151" i="3"/>
  <c r="Q442" i="3"/>
  <c r="BW442" i="3"/>
  <c r="CA255" i="3"/>
  <c r="CC127" i="3"/>
  <c r="BL127" i="3"/>
  <c r="BL145" i="3"/>
  <c r="CO24" i="3"/>
  <c r="CE247" i="3"/>
  <c r="CE57" i="3"/>
  <c r="CM393" i="3"/>
  <c r="Q405" i="3"/>
  <c r="BU303" i="3"/>
  <c r="CE255" i="3"/>
  <c r="CE175" i="3"/>
  <c r="CG49" i="3"/>
  <c r="Q57" i="3"/>
  <c r="BY310" i="3"/>
  <c r="BL405" i="3"/>
  <c r="BQ202" i="3"/>
  <c r="CE156" i="3"/>
  <c r="CC151" i="3"/>
  <c r="BQ156" i="3"/>
  <c r="BL83" i="3"/>
  <c r="CG57" i="3"/>
  <c r="BU65" i="3"/>
  <c r="CM348" i="3"/>
  <c r="BX526" i="3"/>
  <c r="BY526" i="3" s="1"/>
  <c r="CO79" i="3"/>
  <c r="CM79" i="3"/>
  <c r="CI79" i="3"/>
  <c r="BL417" i="3"/>
  <c r="CO303" i="3"/>
  <c r="BQ79" i="3"/>
  <c r="CM333" i="3"/>
  <c r="BV350" i="3"/>
  <c r="BS442" i="3"/>
  <c r="BW532" i="3"/>
  <c r="Q417" i="3"/>
  <c r="BS333" i="3"/>
  <c r="D332" i="3"/>
  <c r="Q332" i="3" s="1"/>
  <c r="CC303" i="3"/>
  <c r="CG204" i="3"/>
  <c r="BY532" i="3"/>
  <c r="CE426" i="3"/>
  <c r="Q402" i="3"/>
  <c r="D400" i="3"/>
  <c r="BS400" i="3" s="1"/>
  <c r="CA333" i="3"/>
  <c r="CG303" i="3"/>
  <c r="CC348" i="3"/>
  <c r="BQ333" i="3"/>
  <c r="CA532" i="3"/>
  <c r="CO426" i="3"/>
  <c r="CM426" i="3"/>
  <c r="BL426" i="3"/>
  <c r="CO333" i="3"/>
  <c r="BQ303" i="3"/>
  <c r="CI333" i="3"/>
  <c r="BW561" i="3"/>
  <c r="CK426" i="3"/>
  <c r="CE333" i="3"/>
  <c r="CE79" i="3"/>
  <c r="BY333" i="3"/>
  <c r="CK532" i="3"/>
  <c r="CC79" i="3"/>
  <c r="CG153" i="3"/>
  <c r="CM503" i="3"/>
  <c r="CD317" i="3"/>
  <c r="BL228" i="3"/>
  <c r="BL532" i="3"/>
  <c r="CG417" i="3"/>
  <c r="BU364" i="3"/>
  <c r="BQ201" i="3"/>
  <c r="CC201" i="3"/>
  <c r="BY79" i="3"/>
  <c r="CO127" i="3"/>
  <c r="BU57" i="3"/>
  <c r="BS303" i="3"/>
  <c r="BL442" i="3"/>
  <c r="CE151" i="3"/>
  <c r="BL402" i="3"/>
  <c r="BS127" i="3"/>
  <c r="CE62" i="3"/>
  <c r="CI151" i="3"/>
  <c r="BL244" i="3"/>
  <c r="CC585" i="3"/>
  <c r="BQ553" i="3"/>
  <c r="BY378" i="3"/>
  <c r="BM425" i="3"/>
  <c r="Q244" i="3"/>
  <c r="CG87" i="3"/>
  <c r="BW127" i="3"/>
  <c r="CA505" i="3"/>
  <c r="CA127" i="3"/>
  <c r="BL62" i="3"/>
  <c r="BU127" i="3"/>
  <c r="CH338" i="3"/>
  <c r="BS553" i="3"/>
  <c r="CE244" i="3"/>
  <c r="BS244" i="3"/>
  <c r="CO192" i="3"/>
  <c r="BU87" i="3"/>
  <c r="Q87" i="3"/>
  <c r="CI553" i="3"/>
  <c r="CI244" i="3"/>
  <c r="Q572" i="3"/>
  <c r="CE328" i="3"/>
  <c r="BS39" i="3"/>
  <c r="CM87" i="3"/>
  <c r="CK87" i="3"/>
  <c r="CC43" i="3"/>
  <c r="CE87" i="3"/>
  <c r="CG121" i="3"/>
  <c r="BW30" i="3"/>
  <c r="CM575" i="3"/>
  <c r="CC581" i="3"/>
  <c r="BU549" i="3"/>
  <c r="CG572" i="3"/>
  <c r="BQ261" i="3"/>
  <c r="CA244" i="3"/>
  <c r="BQ43" i="3"/>
  <c r="CO87" i="3"/>
  <c r="CI87" i="3"/>
  <c r="CD17" i="3"/>
  <c r="CE127" i="3"/>
  <c r="CC87" i="3"/>
  <c r="BW572" i="3"/>
  <c r="CI546" i="3"/>
  <c r="CL571" i="3"/>
  <c r="CI352" i="3"/>
  <c r="Q581" i="3"/>
  <c r="BL572" i="3"/>
  <c r="BQ244" i="3"/>
  <c r="BQ87" i="3"/>
  <c r="BL87" i="3"/>
  <c r="CA62" i="3"/>
  <c r="Q127" i="3"/>
  <c r="CA87" i="3"/>
  <c r="CO572" i="3"/>
  <c r="BU244" i="3"/>
  <c r="BU577" i="3"/>
  <c r="Q575" i="3"/>
  <c r="BQ572" i="3"/>
  <c r="BW244" i="3"/>
  <c r="CG127" i="3"/>
  <c r="CO62" i="3"/>
  <c r="BU333" i="3"/>
  <c r="BS546" i="3"/>
  <c r="BS567" i="3"/>
  <c r="CM127" i="3"/>
  <c r="BW477" i="3"/>
  <c r="BY244" i="3"/>
  <c r="CA39" i="3"/>
  <c r="CK127" i="3"/>
  <c r="BW62" i="3"/>
  <c r="CE414" i="3"/>
  <c r="CE43" i="3"/>
  <c r="CO392" i="3"/>
  <c r="BL575" i="3"/>
  <c r="BQ546" i="3"/>
  <c r="BY543" i="3"/>
  <c r="CK328" i="3"/>
  <c r="CG328" i="3"/>
  <c r="CC244" i="3"/>
  <c r="CI127" i="3"/>
  <c r="BY127" i="3"/>
  <c r="CE204" i="3"/>
  <c r="CB118" i="4"/>
  <c r="BS456" i="3"/>
  <c r="CM455" i="3"/>
  <c r="BU295" i="3"/>
  <c r="BS309" i="3"/>
  <c r="CA303" i="3"/>
  <c r="BM408" i="3"/>
  <c r="BY247" i="3"/>
  <c r="CI198" i="3"/>
  <c r="CK274" i="3"/>
  <c r="CA198" i="3"/>
  <c r="CO210" i="3"/>
  <c r="CI561" i="3"/>
  <c r="BY303" i="3"/>
  <c r="CM202" i="3"/>
  <c r="Q561" i="3"/>
  <c r="CL379" i="3"/>
  <c r="CI549" i="3"/>
  <c r="CM459" i="3"/>
  <c r="CE389" i="3"/>
  <c r="BS387" i="3"/>
  <c r="BS210" i="3"/>
  <c r="CO549" i="3"/>
  <c r="BL459" i="3"/>
  <c r="BV560" i="3"/>
  <c r="D454" i="3"/>
  <c r="BU454" i="3" s="1"/>
  <c r="BW107" i="3"/>
  <c r="BM129" i="3"/>
  <c r="BY421" i="3"/>
  <c r="BU573" i="3"/>
  <c r="BY171" i="3"/>
  <c r="CM549" i="3"/>
  <c r="Q318" i="3"/>
  <c r="CC255" i="3"/>
  <c r="CC528" i="3"/>
  <c r="CA546" i="3"/>
  <c r="CG421" i="3"/>
  <c r="BL456" i="3"/>
  <c r="BY455" i="3"/>
  <c r="CN347" i="3"/>
  <c r="CO347" i="3" s="1"/>
  <c r="CI303" i="3"/>
  <c r="Q247" i="3"/>
  <c r="BL255" i="3"/>
  <c r="BM249" i="3"/>
  <c r="BL202" i="3"/>
  <c r="BL72" i="3"/>
  <c r="CC83" i="3"/>
  <c r="Q528" i="3"/>
  <c r="CG528" i="3"/>
  <c r="CE456" i="3"/>
  <c r="BU444" i="3"/>
  <c r="BU459" i="3"/>
  <c r="CE202" i="3"/>
  <c r="CK124" i="3"/>
  <c r="Q573" i="3"/>
  <c r="CA551" i="3"/>
  <c r="BW546" i="3"/>
  <c r="CM528" i="3"/>
  <c r="D428" i="3"/>
  <c r="BY428" i="3" s="1"/>
  <c r="CG459" i="3"/>
  <c r="CE459" i="3"/>
  <c r="CI421" i="3"/>
  <c r="CE429" i="3"/>
  <c r="CA455" i="3"/>
  <c r="CI255" i="3"/>
  <c r="BL247" i="3"/>
  <c r="CI201" i="3"/>
  <c r="CC107" i="3"/>
  <c r="CG79" i="3"/>
  <c r="BW146" i="3"/>
  <c r="BS65" i="3"/>
  <c r="CM493" i="3"/>
  <c r="BU528" i="3"/>
  <c r="BL444" i="3"/>
  <c r="BW303" i="3"/>
  <c r="BY393" i="3"/>
  <c r="BT350" i="3"/>
  <c r="CC280" i="3"/>
  <c r="BU421" i="3"/>
  <c r="BQ429" i="3"/>
  <c r="BS455" i="3"/>
  <c r="CO247" i="3"/>
  <c r="D209" i="3"/>
  <c r="CC209" i="3" s="1"/>
  <c r="Q387" i="3"/>
  <c r="Q328" i="3"/>
  <c r="BU313" i="3"/>
  <c r="CE295" i="3"/>
  <c r="Q255" i="3"/>
  <c r="BL201" i="3"/>
  <c r="BL528" i="3"/>
  <c r="BZ523" i="3"/>
  <c r="CN416" i="3"/>
  <c r="CB388" i="3"/>
  <c r="CE528" i="3"/>
  <c r="CB397" i="3"/>
  <c r="CO421" i="3"/>
  <c r="CO387" i="3"/>
  <c r="CE72" i="3"/>
  <c r="BY561" i="3"/>
  <c r="BL573" i="3"/>
  <c r="Q459" i="3"/>
  <c r="CA444" i="3"/>
  <c r="CC421" i="3"/>
  <c r="CM429" i="3"/>
  <c r="CC456" i="3"/>
  <c r="BQ455" i="3"/>
  <c r="CE303" i="3"/>
  <c r="CC202" i="3"/>
  <c r="BL124" i="3"/>
  <c r="F514" i="3"/>
  <c r="BM514" i="3" s="1"/>
  <c r="BY202" i="3"/>
  <c r="BT391" i="3"/>
  <c r="BU456" i="3"/>
  <c r="BQ421" i="3"/>
  <c r="CG455" i="3"/>
  <c r="BM385" i="3"/>
  <c r="BY295" i="3"/>
  <c r="BS72" i="3"/>
  <c r="CI107" i="3"/>
  <c r="BQ247" i="3"/>
  <c r="CB584" i="3"/>
  <c r="CE561" i="3"/>
  <c r="BW459" i="3"/>
  <c r="BM468" i="3"/>
  <c r="D385" i="3"/>
  <c r="BW385" i="3" s="1"/>
  <c r="CE455" i="3"/>
  <c r="CE387" i="3"/>
  <c r="BQ255" i="3"/>
  <c r="CN571" i="3"/>
  <c r="BM517" i="3"/>
  <c r="CK543" i="3"/>
  <c r="BY459" i="3"/>
  <c r="CM456" i="3"/>
  <c r="CC455" i="3"/>
  <c r="CG387" i="3"/>
  <c r="BL328" i="3"/>
  <c r="CK312" i="3"/>
  <c r="CA345" i="3"/>
  <c r="BZ344" i="3"/>
  <c r="BM400" i="3"/>
  <c r="BY255" i="3"/>
  <c r="CM255" i="3"/>
  <c r="CE198" i="3"/>
  <c r="CG202" i="3"/>
  <c r="BS156" i="3"/>
  <c r="BU49" i="3"/>
  <c r="CG333" i="3"/>
  <c r="CC333" i="3"/>
  <c r="BW202" i="3"/>
  <c r="CG247" i="3"/>
  <c r="F131" i="3"/>
  <c r="BM131" i="3" s="1"/>
  <c r="CK561" i="3"/>
  <c r="BT584" i="3"/>
  <c r="BY551" i="3"/>
  <c r="BY313" i="3"/>
  <c r="CG561" i="3"/>
  <c r="CC505" i="3"/>
  <c r="CK459" i="3"/>
  <c r="Q421" i="3"/>
  <c r="BQ549" i="3"/>
  <c r="BU455" i="3"/>
  <c r="BL272" i="3"/>
  <c r="CG549" i="3"/>
  <c r="BW455" i="3"/>
  <c r="CM247" i="3"/>
  <c r="BW421" i="3"/>
  <c r="Q429" i="3"/>
  <c r="BQ456" i="3"/>
  <c r="CO455" i="3"/>
  <c r="BU260" i="3"/>
  <c r="CI202" i="3"/>
  <c r="D129" i="3"/>
  <c r="BW129" i="3" s="1"/>
  <c r="BW198" i="3"/>
  <c r="CE573" i="3"/>
  <c r="BS561" i="3"/>
  <c r="Q551" i="3"/>
  <c r="CE553" i="3"/>
  <c r="BJ554" i="3"/>
  <c r="CE546" i="3"/>
  <c r="BL387" i="3"/>
  <c r="BQ328" i="3"/>
  <c r="CC313" i="3"/>
  <c r="Q295" i="3"/>
  <c r="CI247" i="3"/>
  <c r="BS255" i="3"/>
  <c r="CK202" i="3"/>
  <c r="BL198" i="3"/>
  <c r="Q202" i="3"/>
  <c r="Q146" i="3"/>
  <c r="CC72" i="3"/>
  <c r="BS145" i="3"/>
  <c r="BU198" i="3"/>
  <c r="CK421" i="3"/>
  <c r="CM135" i="3"/>
  <c r="CK135" i="3"/>
  <c r="BL135" i="3"/>
  <c r="CI135" i="3"/>
  <c r="CG135" i="3"/>
  <c r="BW135" i="3"/>
  <c r="CO135" i="3"/>
  <c r="Q51" i="3"/>
  <c r="CC51" i="3"/>
  <c r="CK51" i="3"/>
  <c r="CM51" i="3"/>
  <c r="BQ51" i="3"/>
  <c r="CO51" i="3"/>
  <c r="BU51" i="3"/>
  <c r="CA283" i="3"/>
  <c r="CE283" i="3"/>
  <c r="CO452" i="3"/>
  <c r="CK452" i="3"/>
  <c r="BL452" i="3"/>
  <c r="CA452" i="3"/>
  <c r="BU452" i="3"/>
  <c r="CI452" i="3"/>
  <c r="BY452" i="3"/>
  <c r="BS452" i="3"/>
  <c r="BW452" i="3"/>
  <c r="BQ452" i="3"/>
  <c r="CE452" i="3"/>
  <c r="BY569" i="3"/>
  <c r="BS569" i="3"/>
  <c r="CE555" i="3"/>
  <c r="CG555" i="3"/>
  <c r="CO555" i="3"/>
  <c r="CA555" i="3"/>
  <c r="Q555" i="3"/>
  <c r="BU555" i="3"/>
  <c r="BS555" i="3"/>
  <c r="CM555" i="3"/>
  <c r="CM390" i="3"/>
  <c r="BQ390" i="3"/>
  <c r="CG504" i="3"/>
  <c r="CE504" i="3"/>
  <c r="BM560" i="3"/>
  <c r="BL504" i="3"/>
  <c r="BN218" i="3"/>
  <c r="BP218" i="3" s="1"/>
  <c r="BQ218" i="3" s="1"/>
  <c r="BR218" i="3" s="1"/>
  <c r="BS218" i="3" s="1"/>
  <c r="BT218" i="3" s="1"/>
  <c r="BU218" i="3" s="1"/>
  <c r="BV218" i="3" s="1"/>
  <c r="BW218" i="3" s="1"/>
  <c r="BX218" i="3" s="1"/>
  <c r="BY218" i="3" s="1"/>
  <c r="BZ218" i="3" s="1"/>
  <c r="CA218" i="3" s="1"/>
  <c r="CB218" i="3" s="1"/>
  <c r="CC218" i="3" s="1"/>
  <c r="CD218" i="3" s="1"/>
  <c r="CE218" i="3" s="1"/>
  <c r="CF218" i="3" s="1"/>
  <c r="CG218" i="3" s="1"/>
  <c r="CH218" i="3" s="1"/>
  <c r="CI218" i="3" s="1"/>
  <c r="CJ218" i="3" s="1"/>
  <c r="CK218" i="3" s="1"/>
  <c r="CL218" i="3" s="1"/>
  <c r="CM218" i="3" s="1"/>
  <c r="CN218" i="3" s="1"/>
  <c r="CO218" i="3" s="1"/>
  <c r="BS51" i="3"/>
  <c r="BU135" i="3"/>
  <c r="CM452" i="3"/>
  <c r="CE133" i="3"/>
  <c r="BU133" i="3"/>
  <c r="CI133" i="3"/>
  <c r="CC452" i="3"/>
  <c r="CG113" i="3"/>
  <c r="BL113" i="3"/>
  <c r="BW113" i="3"/>
  <c r="CC178" i="3"/>
  <c r="CI178" i="3"/>
  <c r="CC121" i="3"/>
  <c r="Q121" i="3"/>
  <c r="CM121" i="3"/>
  <c r="CK121" i="3"/>
  <c r="CO121" i="3"/>
  <c r="BQ121" i="3"/>
  <c r="BU121" i="3"/>
  <c r="BJ122" i="3"/>
  <c r="D122" i="3"/>
  <c r="Q122" i="3" s="1"/>
  <c r="BM122" i="3"/>
  <c r="CK555" i="3"/>
  <c r="CM515" i="3"/>
  <c r="Q477" i="3"/>
  <c r="BU283" i="3"/>
  <c r="Q260" i="3"/>
  <c r="BS113" i="3"/>
  <c r="CG210" i="3"/>
  <c r="BY135" i="3"/>
  <c r="CI113" i="3"/>
  <c r="BS121" i="3"/>
  <c r="CE499" i="3"/>
  <c r="Q452" i="3"/>
  <c r="BS219" i="3"/>
  <c r="BY339" i="3"/>
  <c r="CE569" i="3"/>
  <c r="BW569" i="3"/>
  <c r="CO486" i="3"/>
  <c r="BL486" i="3"/>
  <c r="CM165" i="3"/>
  <c r="BY165" i="3"/>
  <c r="CI165" i="3"/>
  <c r="CC165" i="3"/>
  <c r="BQ165" i="3"/>
  <c r="CG165" i="3"/>
  <c r="CA165" i="3"/>
  <c r="CA22" i="3"/>
  <c r="CE22" i="3"/>
  <c r="CC22" i="3"/>
  <c r="CI22" i="3"/>
  <c r="BL22" i="3"/>
  <c r="BQ22" i="3"/>
  <c r="CK22" i="3"/>
  <c r="BW22" i="3"/>
  <c r="CG22" i="3"/>
  <c r="BS62" i="3"/>
  <c r="CM62" i="3"/>
  <c r="CC62" i="3"/>
  <c r="BY62" i="3"/>
  <c r="CG62" i="3"/>
  <c r="BU62" i="3"/>
  <c r="Q62" i="3"/>
  <c r="CK62" i="3"/>
  <c r="CI62" i="3"/>
  <c r="D118" i="3"/>
  <c r="BJ118" i="3"/>
  <c r="BW325" i="3"/>
  <c r="BU251" i="3"/>
  <c r="CA251" i="3"/>
  <c r="BW251" i="3"/>
  <c r="CG452" i="3"/>
  <c r="BW31" i="3"/>
  <c r="BL31" i="3"/>
  <c r="CG51" i="3"/>
  <c r="BQ555" i="3"/>
  <c r="BY555" i="3"/>
  <c r="BL337" i="3"/>
  <c r="BY272" i="3"/>
  <c r="CK260" i="3"/>
  <c r="BQ219" i="3"/>
  <c r="D138" i="3"/>
  <c r="CE138" i="3" s="1"/>
  <c r="BL260" i="3"/>
  <c r="BU113" i="3"/>
  <c r="CC135" i="3"/>
  <c r="CG125" i="3"/>
  <c r="CM113" i="3"/>
  <c r="BW121" i="3"/>
  <c r="CE31" i="3"/>
  <c r="BQ569" i="3"/>
  <c r="CI493" i="3"/>
  <c r="D574" i="3"/>
  <c r="CM574" i="3" s="1"/>
  <c r="BQ575" i="3"/>
  <c r="BS575" i="3"/>
  <c r="CG575" i="3"/>
  <c r="D451" i="3"/>
  <c r="CE451" i="3" s="1"/>
  <c r="BQ513" i="3"/>
  <c r="BJ406" i="3"/>
  <c r="BM406" i="3"/>
  <c r="BJ416" i="3"/>
  <c r="BM416" i="3"/>
  <c r="BS477" i="3"/>
  <c r="CE477" i="3"/>
  <c r="CA477" i="3"/>
  <c r="CO477" i="3"/>
  <c r="CG477" i="3"/>
  <c r="CI477" i="3"/>
  <c r="BL555" i="3"/>
  <c r="BU477" i="3"/>
  <c r="BX299" i="3"/>
  <c r="BX298" i="3" s="1"/>
  <c r="CA272" i="3"/>
  <c r="CI555" i="3"/>
  <c r="CE539" i="3"/>
  <c r="CI558" i="3"/>
  <c r="BW555" i="3"/>
  <c r="BY477" i="3"/>
  <c r="CM477" i="3"/>
  <c r="CK352" i="3"/>
  <c r="CM309" i="3"/>
  <c r="CC337" i="3"/>
  <c r="BS261" i="3"/>
  <c r="BL251" i="3"/>
  <c r="D217" i="3"/>
  <c r="BL217" i="3" s="1"/>
  <c r="BQ260" i="3"/>
  <c r="BQ135" i="3"/>
  <c r="Q135" i="3"/>
  <c r="BY133" i="3"/>
  <c r="BW125" i="3"/>
  <c r="BQ113" i="3"/>
  <c r="BY121" i="3"/>
  <c r="CG30" i="3"/>
  <c r="CO569" i="3"/>
  <c r="CG569" i="3"/>
  <c r="Q569" i="3"/>
  <c r="BS513" i="3"/>
  <c r="CH397" i="3"/>
  <c r="BQ444" i="3"/>
  <c r="BS444" i="3"/>
  <c r="CC444" i="3"/>
  <c r="Q444" i="3"/>
  <c r="BW444" i="3"/>
  <c r="CE444" i="3"/>
  <c r="CK72" i="3"/>
  <c r="CO72" i="3"/>
  <c r="CM72" i="3"/>
  <c r="Q72" i="3"/>
  <c r="CG72" i="3"/>
  <c r="BW72" i="3"/>
  <c r="CI72" i="3"/>
  <c r="CG313" i="3"/>
  <c r="BQ313" i="3"/>
  <c r="Q313" i="3"/>
  <c r="BS313" i="3"/>
  <c r="BL313" i="3"/>
  <c r="BQ477" i="3"/>
  <c r="BL477" i="3"/>
  <c r="CM480" i="3"/>
  <c r="CI251" i="3"/>
  <c r="Q219" i="3"/>
  <c r="CE135" i="3"/>
  <c r="CG133" i="3"/>
  <c r="CN17" i="3"/>
  <c r="BL569" i="3"/>
  <c r="BL513" i="3"/>
  <c r="CC553" i="3"/>
  <c r="CB552" i="3"/>
  <c r="F305" i="3"/>
  <c r="BJ305" i="3" s="1"/>
  <c r="BM306" i="3"/>
  <c r="CE210" i="3"/>
  <c r="BY210" i="3"/>
  <c r="BW210" i="3"/>
  <c r="Q210" i="3"/>
  <c r="CC210" i="3"/>
  <c r="BU210" i="3"/>
  <c r="CI210" i="3"/>
  <c r="BQ210" i="3"/>
  <c r="CC477" i="3"/>
  <c r="Q480" i="3"/>
  <c r="BQ251" i="3"/>
  <c r="CA135" i="3"/>
  <c r="CE121" i="3"/>
  <c r="BL133" i="3"/>
  <c r="CM551" i="3"/>
  <c r="CL550" i="3"/>
  <c r="CM550" i="3" s="1"/>
  <c r="Q364" i="3"/>
  <c r="BQ364" i="3"/>
  <c r="BL364" i="3"/>
  <c r="CI364" i="3"/>
  <c r="CG280" i="3"/>
  <c r="Q280" i="3"/>
  <c r="BS280" i="3"/>
  <c r="CK83" i="3"/>
  <c r="Q83" i="3"/>
  <c r="BW83" i="3"/>
  <c r="CG83" i="3"/>
  <c r="CE83" i="3"/>
  <c r="BU83" i="3"/>
  <c r="BY83" i="3"/>
  <c r="BN69" i="3"/>
  <c r="CS69" i="3"/>
  <c r="Q309" i="3"/>
  <c r="CG309" i="3"/>
  <c r="BQ309" i="3"/>
  <c r="BS135" i="3"/>
  <c r="CE51" i="3"/>
  <c r="Q470" i="3"/>
  <c r="BS470" i="3"/>
  <c r="BS272" i="3"/>
  <c r="Q272" i="3"/>
  <c r="Q156" i="3"/>
  <c r="CM156" i="3"/>
  <c r="CM569" i="3"/>
  <c r="CG444" i="3"/>
  <c r="CE260" i="3"/>
  <c r="CO156" i="3"/>
  <c r="CA133" i="3"/>
  <c r="BV323" i="3"/>
  <c r="CC464" i="3"/>
  <c r="CE464" i="3"/>
  <c r="BW39" i="3"/>
  <c r="BL39" i="3"/>
  <c r="BQ39" i="3"/>
  <c r="CA19" i="3"/>
  <c r="CO19" i="3"/>
  <c r="BL19" i="3"/>
  <c r="CC19" i="3"/>
  <c r="BY280" i="3"/>
  <c r="BM546" i="3"/>
  <c r="F545" i="3"/>
  <c r="BJ545" i="3" s="1"/>
  <c r="BJ546" i="3"/>
  <c r="BW566" i="3"/>
  <c r="CE566" i="3"/>
  <c r="BS566" i="3"/>
  <c r="CC566" i="3"/>
  <c r="BY566" i="3"/>
  <c r="CM566" i="3"/>
  <c r="CI566" i="3"/>
  <c r="BS393" i="3"/>
  <c r="BL393" i="3"/>
  <c r="CE65" i="3"/>
  <c r="CI65" i="3"/>
  <c r="BQ65" i="3"/>
  <c r="BL65" i="3"/>
  <c r="CO65" i="3"/>
  <c r="CC65" i="3"/>
  <c r="BY65" i="3"/>
  <c r="O216" i="3"/>
  <c r="BU475" i="3"/>
  <c r="CA309" i="3"/>
  <c r="BW513" i="3"/>
  <c r="CA569" i="3"/>
  <c r="D391" i="3"/>
  <c r="CG391" i="3" s="1"/>
  <c r="BU567" i="3"/>
  <c r="BN440" i="3"/>
  <c r="BP440" i="3" s="1"/>
  <c r="BQ440" i="3" s="1"/>
  <c r="BR440" i="3" s="1"/>
  <c r="BS440" i="3" s="1"/>
  <c r="BT440" i="3" s="1"/>
  <c r="BU440" i="3" s="1"/>
  <c r="BV440" i="3" s="1"/>
  <c r="BW440" i="3" s="1"/>
  <c r="BX440" i="3" s="1"/>
  <c r="BY440" i="3" s="1"/>
  <c r="BZ440" i="3" s="1"/>
  <c r="CA440" i="3" s="1"/>
  <c r="CB440" i="3" s="1"/>
  <c r="CC440" i="3" s="1"/>
  <c r="CD440" i="3" s="1"/>
  <c r="CE440" i="3" s="1"/>
  <c r="CF440" i="3" s="1"/>
  <c r="CG440" i="3" s="1"/>
  <c r="CH440" i="3" s="1"/>
  <c r="CI440" i="3" s="1"/>
  <c r="CJ440" i="3" s="1"/>
  <c r="CK440" i="3" s="1"/>
  <c r="CL440" i="3" s="1"/>
  <c r="CM440" i="3" s="1"/>
  <c r="CN440" i="3" s="1"/>
  <c r="CO440" i="3" s="1"/>
  <c r="CE313" i="3"/>
  <c r="CC261" i="3"/>
  <c r="Q79" i="3"/>
  <c r="CA57" i="3"/>
  <c r="CK513" i="3"/>
  <c r="CO429" i="3"/>
  <c r="CO528" i="3"/>
  <c r="CM504" i="3"/>
  <c r="CK390" i="3"/>
  <c r="BM446" i="3"/>
  <c r="CI124" i="3"/>
  <c r="CI57" i="3"/>
  <c r="BN434" i="3"/>
  <c r="BP434" i="3" s="1"/>
  <c r="BQ434" i="3" s="1"/>
  <c r="BR434" i="3" s="1"/>
  <c r="BS434" i="3" s="1"/>
  <c r="BT434" i="3" s="1"/>
  <c r="BU434" i="3" s="1"/>
  <c r="BV434" i="3" s="1"/>
  <c r="BW434" i="3" s="1"/>
  <c r="BX434" i="3" s="1"/>
  <c r="BY434" i="3" s="1"/>
  <c r="BZ434" i="3" s="1"/>
  <c r="CA434" i="3" s="1"/>
  <c r="CB434" i="3" s="1"/>
  <c r="CC434" i="3" s="1"/>
  <c r="CD434" i="3" s="1"/>
  <c r="CE434" i="3" s="1"/>
  <c r="CF434" i="3" s="1"/>
  <c r="CG434" i="3" s="1"/>
  <c r="CH434" i="3" s="1"/>
  <c r="CI434" i="3" s="1"/>
  <c r="CJ434" i="3" s="1"/>
  <c r="CK434" i="3" s="1"/>
  <c r="CL434" i="3" s="1"/>
  <c r="CM434" i="3" s="1"/>
  <c r="CN434" i="3" s="1"/>
  <c r="CO434" i="3" s="1"/>
  <c r="BW260" i="3"/>
  <c r="CA395" i="3"/>
  <c r="BL449" i="3"/>
  <c r="BL429" i="3"/>
  <c r="BU387" i="3"/>
  <c r="BW313" i="3"/>
  <c r="CE215" i="3"/>
  <c r="CO185" i="3"/>
  <c r="CI86" i="3"/>
  <c r="CE46" i="3"/>
  <c r="CA46" i="3"/>
  <c r="BL79" i="3"/>
  <c r="BQ94" i="3"/>
  <c r="CM57" i="3"/>
  <c r="BU569" i="3"/>
  <c r="CJ523" i="3"/>
  <c r="CO505" i="3"/>
  <c r="CL17" i="3"/>
  <c r="BY528" i="3"/>
  <c r="CA261" i="3"/>
  <c r="CK57" i="3"/>
  <c r="CI449" i="3"/>
  <c r="CI429" i="3"/>
  <c r="CA387" i="3"/>
  <c r="CE309" i="3"/>
  <c r="BY260" i="3"/>
  <c r="BY149" i="3"/>
  <c r="CA79" i="3"/>
  <c r="BQ57" i="3"/>
  <c r="CC569" i="3"/>
  <c r="CA528" i="3"/>
  <c r="BX323" i="3"/>
  <c r="BQ24" i="3"/>
  <c r="CM261" i="3"/>
  <c r="BL333" i="3"/>
  <c r="BZ416" i="3"/>
  <c r="BV512" i="3"/>
  <c r="BS549" i="3"/>
  <c r="BS459" i="3"/>
  <c r="CK429" i="3"/>
  <c r="CG429" i="3"/>
  <c r="CC387" i="3"/>
  <c r="CM313" i="3"/>
  <c r="CB338" i="3"/>
  <c r="D279" i="3"/>
  <c r="CG279" i="3" s="1"/>
  <c r="CA260" i="3"/>
  <c r="CG201" i="3"/>
  <c r="CK79" i="3"/>
  <c r="BW79" i="3"/>
  <c r="CO57" i="3"/>
  <c r="BU575" i="3"/>
  <c r="CI513" i="3"/>
  <c r="BU202" i="3"/>
  <c r="CR19" i="4"/>
  <c r="BX19" i="4"/>
  <c r="CN19" i="4"/>
  <c r="CC58" i="4"/>
  <c r="CD58" i="4" s="1"/>
  <c r="BP20" i="4"/>
  <c r="CS20" i="4" s="1"/>
  <c r="BZ29" i="4"/>
  <c r="BP25" i="4"/>
  <c r="CT25" i="4" s="1"/>
  <c r="BT29" i="4"/>
  <c r="CT18" i="4"/>
  <c r="CE72" i="4"/>
  <c r="BP23" i="4"/>
  <c r="CO72" i="4"/>
  <c r="CT29" i="4"/>
  <c r="CS29" i="4"/>
  <c r="BW78" i="4"/>
  <c r="BX78" i="4" s="1"/>
  <c r="BT19" i="4"/>
  <c r="CG20" i="4"/>
  <c r="BY25" i="4"/>
  <c r="CJ118" i="4"/>
  <c r="BW88" i="4"/>
  <c r="BX88" i="4" s="1"/>
  <c r="CE20" i="4"/>
  <c r="CJ19" i="4"/>
  <c r="BV19" i="4"/>
  <c r="CP19" i="4"/>
  <c r="CF19" i="4"/>
  <c r="CB19" i="4"/>
  <c r="CD19" i="4"/>
  <c r="CH19" i="4"/>
  <c r="CL19" i="4"/>
  <c r="CC102" i="4"/>
  <c r="BX25" i="4"/>
  <c r="CC22" i="4"/>
  <c r="BZ19" i="4"/>
  <c r="BY26" i="4"/>
  <c r="BP27" i="4"/>
  <c r="CM108" i="4"/>
  <c r="CN108" i="4" s="1"/>
  <c r="CE78" i="4"/>
  <c r="CF78" i="4" s="1"/>
  <c r="CD27" i="4"/>
  <c r="CN27" i="4"/>
  <c r="CF27" i="4"/>
  <c r="CP27" i="4"/>
  <c r="CL27" i="4"/>
  <c r="CH27" i="4"/>
  <c r="BZ27" i="4"/>
  <c r="CJ27" i="4"/>
  <c r="BT27" i="4"/>
  <c r="CB27" i="4"/>
  <c r="BX27" i="4"/>
  <c r="CR27" i="4"/>
  <c r="BV27" i="4"/>
  <c r="BQ23" i="4"/>
  <c r="BP19" i="4"/>
  <c r="CH29" i="4"/>
  <c r="BV29" i="4"/>
  <c r="CP29" i="4"/>
  <c r="CD29" i="4"/>
  <c r="CB29" i="4"/>
  <c r="CL29" i="4"/>
  <c r="BX29" i="4"/>
  <c r="CJ29" i="4"/>
  <c r="CN29" i="4"/>
  <c r="BW23" i="4"/>
  <c r="CC47" i="4"/>
  <c r="CC46" i="4" s="1"/>
  <c r="CD46" i="4" s="1"/>
  <c r="CE117" i="4"/>
  <c r="CF117" i="4" s="1"/>
  <c r="CO108" i="4"/>
  <c r="CP108" i="4" s="1"/>
  <c r="BW117" i="4"/>
  <c r="BX117" i="4" s="1"/>
  <c r="CQ108" i="4"/>
  <c r="CR108" i="4" s="1"/>
  <c r="CS21" i="4"/>
  <c r="CT21" i="4"/>
  <c r="CR29" i="4"/>
  <c r="BZ35" i="4"/>
  <c r="BY34" i="4"/>
  <c r="BY33" i="4" s="1"/>
  <c r="BY31" i="4" s="1"/>
  <c r="BZ31" i="4" s="1"/>
  <c r="CN34" i="4"/>
  <c r="CQ72" i="4"/>
  <c r="BW48" i="4"/>
  <c r="BX48" i="4" s="1"/>
  <c r="CC108" i="4"/>
  <c r="CD108" i="4" s="1"/>
  <c r="CA78" i="4"/>
  <c r="CB78" i="4" s="1"/>
  <c r="CN73" i="4"/>
  <c r="CP35" i="4"/>
  <c r="CO34" i="4"/>
  <c r="CO33" i="4" s="1"/>
  <c r="CO31" i="4" s="1"/>
  <c r="CP31" i="4" s="1"/>
  <c r="CD119" i="4"/>
  <c r="CC118" i="4"/>
  <c r="CC117" i="4" s="1"/>
  <c r="CD117" i="4" s="1"/>
  <c r="CN80" i="4"/>
  <c r="CM79" i="4"/>
  <c r="BS89" i="4"/>
  <c r="BT89" i="4" s="1"/>
  <c r="BV118" i="4"/>
  <c r="BU117" i="4"/>
  <c r="BV117" i="4" s="1"/>
  <c r="CQ78" i="4"/>
  <c r="CR78" i="4" s="1"/>
  <c r="CD73" i="4"/>
  <c r="CC72" i="4"/>
  <c r="CD35" i="4"/>
  <c r="CC34" i="4"/>
  <c r="CC33" i="4" s="1"/>
  <c r="CC31" i="4" s="1"/>
  <c r="CD31" i="4" s="1"/>
  <c r="CR35" i="4"/>
  <c r="CQ34" i="4"/>
  <c r="CQ33" i="4" s="1"/>
  <c r="CQ31" i="4" s="1"/>
  <c r="CR31" i="4" s="1"/>
  <c r="CH80" i="4"/>
  <c r="CG79" i="4"/>
  <c r="CP80" i="4"/>
  <c r="CO79" i="4"/>
  <c r="CK118" i="4"/>
  <c r="CK117" i="4" s="1"/>
  <c r="CL117" i="4" s="1"/>
  <c r="CF35" i="4"/>
  <c r="CE34" i="4"/>
  <c r="CE33" i="4" s="1"/>
  <c r="CE31" i="4" s="1"/>
  <c r="CF31" i="4" s="1"/>
  <c r="CC78" i="4"/>
  <c r="CD78" i="4" s="1"/>
  <c r="CE108" i="4"/>
  <c r="CF108" i="4" s="1"/>
  <c r="BM234" i="3"/>
  <c r="BN228" i="3"/>
  <c r="BP228" i="3" s="1"/>
  <c r="BQ228" i="3" s="1"/>
  <c r="BR228" i="3" s="1"/>
  <c r="BS228" i="3" s="1"/>
  <c r="BT228" i="3" s="1"/>
  <c r="BU228" i="3" s="1"/>
  <c r="BV228" i="3" s="1"/>
  <c r="BW228" i="3" s="1"/>
  <c r="BX228" i="3" s="1"/>
  <c r="BY228" i="3" s="1"/>
  <c r="BZ228" i="3" s="1"/>
  <c r="CA228" i="3" s="1"/>
  <c r="CB228" i="3" s="1"/>
  <c r="CC228" i="3" s="1"/>
  <c r="CD228" i="3" s="1"/>
  <c r="CE228" i="3" s="1"/>
  <c r="CF228" i="3" s="1"/>
  <c r="CG228" i="3" s="1"/>
  <c r="CH228" i="3" s="1"/>
  <c r="CI228" i="3" s="1"/>
  <c r="CJ228" i="3" s="1"/>
  <c r="CK228" i="3" s="1"/>
  <c r="CL228" i="3" s="1"/>
  <c r="CM228" i="3" s="1"/>
  <c r="CN228" i="3" s="1"/>
  <c r="CO228" i="3" s="1"/>
  <c r="CC105" i="4"/>
  <c r="CD105" i="4" s="1"/>
  <c r="CS114" i="4"/>
  <c r="CT114" i="4"/>
  <c r="CL125" i="4"/>
  <c r="CT112" i="4"/>
  <c r="CS112" i="4"/>
  <c r="CL115" i="4"/>
  <c r="CL81" i="4"/>
  <c r="BP102" i="4"/>
  <c r="CE125" i="4"/>
  <c r="CE123" i="4" s="1"/>
  <c r="CF123" i="4" s="1"/>
  <c r="BZ75" i="4"/>
  <c r="CJ75" i="4"/>
  <c r="CB75" i="4"/>
  <c r="CR75" i="4"/>
  <c r="BX75" i="4"/>
  <c r="CP75" i="4"/>
  <c r="CD75" i="4"/>
  <c r="BO75" i="4"/>
  <c r="BV75" i="4"/>
  <c r="CH75" i="4"/>
  <c r="CL75" i="4"/>
  <c r="CF75" i="4"/>
  <c r="CN75" i="4"/>
  <c r="BT75" i="4"/>
  <c r="BZ85" i="4"/>
  <c r="BV45" i="4"/>
  <c r="CJ45" i="4"/>
  <c r="CR45" i="4"/>
  <c r="CP45" i="4"/>
  <c r="CF45" i="4"/>
  <c r="CH45" i="4"/>
  <c r="CD45" i="4"/>
  <c r="BO45" i="4"/>
  <c r="BX45" i="4"/>
  <c r="CB45" i="4"/>
  <c r="CL45" i="4"/>
  <c r="BT45" i="4"/>
  <c r="BZ45" i="4"/>
  <c r="CN45" i="4"/>
  <c r="BZ76" i="4"/>
  <c r="CT56" i="4"/>
  <c r="CS56" i="4"/>
  <c r="CF60" i="4"/>
  <c r="BT60" i="4"/>
  <c r="CL60" i="4"/>
  <c r="CH60" i="4"/>
  <c r="CD60" i="4"/>
  <c r="CJ60" i="4"/>
  <c r="CP60" i="4"/>
  <c r="BV60" i="4"/>
  <c r="CN60" i="4"/>
  <c r="BZ60" i="4"/>
  <c r="CB60" i="4"/>
  <c r="BX60" i="4"/>
  <c r="BO60" i="4"/>
  <c r="CD120" i="4"/>
  <c r="CJ120" i="4"/>
  <c r="BX120" i="4"/>
  <c r="CR120" i="4"/>
  <c r="CF120" i="4"/>
  <c r="BT120" i="4"/>
  <c r="CP120" i="4"/>
  <c r="BZ120" i="4"/>
  <c r="CS59" i="4"/>
  <c r="CT59" i="4"/>
  <c r="CO98" i="4"/>
  <c r="CP98" i="4" s="1"/>
  <c r="CR85" i="4"/>
  <c r="CT98" i="4"/>
  <c r="CS98" i="4"/>
  <c r="CF80" i="4"/>
  <c r="BT119" i="4"/>
  <c r="CR119" i="4"/>
  <c r="CF119" i="4"/>
  <c r="BX119" i="4"/>
  <c r="BX85" i="4"/>
  <c r="CR51" i="4"/>
  <c r="CF112" i="4"/>
  <c r="BT112" i="4"/>
  <c r="BX112" i="4"/>
  <c r="CP112" i="4"/>
  <c r="CH112" i="4"/>
  <c r="CD112" i="4"/>
  <c r="BZ112" i="4"/>
  <c r="CN112" i="4"/>
  <c r="BV112" i="4"/>
  <c r="BO112" i="4"/>
  <c r="CL112" i="4"/>
  <c r="CF76" i="4"/>
  <c r="CL57" i="4"/>
  <c r="CH39" i="4"/>
  <c r="BV39" i="4"/>
  <c r="BX39" i="4"/>
  <c r="BZ39" i="4"/>
  <c r="CP39" i="4"/>
  <c r="CR39" i="4"/>
  <c r="CJ39" i="4"/>
  <c r="CL39" i="4"/>
  <c r="BO39" i="4"/>
  <c r="CN39" i="4"/>
  <c r="CB80" i="4"/>
  <c r="BU30" i="4"/>
  <c r="CJ56" i="4"/>
  <c r="BO56" i="4"/>
  <c r="BT56" i="4"/>
  <c r="BV56" i="4"/>
  <c r="CL34" i="4"/>
  <c r="BV34" i="4"/>
  <c r="BO34" i="4"/>
  <c r="CJ34" i="4"/>
  <c r="BT34" i="4"/>
  <c r="CH34" i="4"/>
  <c r="BX34" i="4"/>
  <c r="BO115" i="4"/>
  <c r="CJ115" i="4"/>
  <c r="BV115" i="4"/>
  <c r="BT115" i="4"/>
  <c r="CD64" i="4"/>
  <c r="CN64" i="4"/>
  <c r="BT64" i="4"/>
  <c r="CP64" i="4"/>
  <c r="CJ64" i="4"/>
  <c r="BZ64" i="4"/>
  <c r="CF64" i="4"/>
  <c r="CR64" i="4"/>
  <c r="BX64" i="4"/>
  <c r="BV64" i="4"/>
  <c r="CL64" i="4"/>
  <c r="CQ113" i="4"/>
  <c r="CT67" i="4"/>
  <c r="CS67" i="4"/>
  <c r="CL85" i="4"/>
  <c r="CT63" i="4"/>
  <c r="CS63" i="4"/>
  <c r="CT61" i="4"/>
  <c r="CS61" i="4"/>
  <c r="CT40" i="4"/>
  <c r="CS40" i="4"/>
  <c r="CS94" i="4"/>
  <c r="CT94" i="4"/>
  <c r="BO64" i="4"/>
  <c r="CJ57" i="4"/>
  <c r="BT57" i="4"/>
  <c r="CR57" i="4"/>
  <c r="BO57" i="4"/>
  <c r="BV57" i="4"/>
  <c r="BO65" i="4"/>
  <c r="BV65" i="4"/>
  <c r="CJ65" i="4"/>
  <c r="BT65" i="4"/>
  <c r="BZ36" i="4"/>
  <c r="CF36" i="4"/>
  <c r="CN36" i="4"/>
  <c r="BT36" i="4"/>
  <c r="CJ36" i="4"/>
  <c r="CH36" i="4"/>
  <c r="CB36" i="4"/>
  <c r="BV36" i="4"/>
  <c r="CP36" i="4"/>
  <c r="CL36" i="4"/>
  <c r="CD36" i="4"/>
  <c r="BO36" i="4"/>
  <c r="BX36" i="4"/>
  <c r="BP72" i="4"/>
  <c r="CT95" i="4"/>
  <c r="CS95" i="4"/>
  <c r="BQ30" i="4"/>
  <c r="CM125" i="4"/>
  <c r="CM123" i="4" s="1"/>
  <c r="CJ80" i="4"/>
  <c r="BO80" i="4"/>
  <c r="BV80" i="4"/>
  <c r="BT80" i="4"/>
  <c r="CL80" i="4"/>
  <c r="BX80" i="4"/>
  <c r="BT84" i="4"/>
  <c r="BV84" i="4"/>
  <c r="BO84" i="4"/>
  <c r="CJ84" i="4"/>
  <c r="BX81" i="4"/>
  <c r="BP125" i="4"/>
  <c r="CT64" i="4"/>
  <c r="CS64" i="4"/>
  <c r="CS86" i="4"/>
  <c r="CT86" i="4"/>
  <c r="CQ125" i="4"/>
  <c r="CQ123" i="4" s="1"/>
  <c r="CR123" i="4" s="1"/>
  <c r="CS73" i="4"/>
  <c r="CT73" i="4"/>
  <c r="BY72" i="4"/>
  <c r="CT58" i="4"/>
  <c r="CS58" i="4"/>
  <c r="CB81" i="4"/>
  <c r="BO125" i="4"/>
  <c r="BV125" i="4"/>
  <c r="BO40" i="4"/>
  <c r="CP40" i="4"/>
  <c r="BZ40" i="4"/>
  <c r="CH40" i="4"/>
  <c r="CJ40" i="4"/>
  <c r="CN40" i="4"/>
  <c r="CB40" i="4"/>
  <c r="BV40" i="4"/>
  <c r="BT40" i="4"/>
  <c r="CL40" i="4"/>
  <c r="CF40" i="4"/>
  <c r="BX40" i="4"/>
  <c r="CD40" i="4"/>
  <c r="CR40" i="4"/>
  <c r="CT51" i="4"/>
  <c r="CS51" i="4"/>
  <c r="BZ51" i="4"/>
  <c r="CL65" i="4"/>
  <c r="CD80" i="4"/>
  <c r="CT111" i="4"/>
  <c r="CS111" i="4"/>
  <c r="CL105" i="4"/>
  <c r="BV105" i="4"/>
  <c r="CJ105" i="4"/>
  <c r="CH105" i="4"/>
  <c r="BX105" i="4"/>
  <c r="CN105" i="4"/>
  <c r="BZ105" i="4"/>
  <c r="CR105" i="4"/>
  <c r="CF105" i="4"/>
  <c r="BO105" i="4"/>
  <c r="BT105" i="4"/>
  <c r="CB115" i="4"/>
  <c r="BT78" i="4"/>
  <c r="BV78" i="4"/>
  <c r="BO78" i="4"/>
  <c r="CJ78" i="4"/>
  <c r="CT100" i="4"/>
  <c r="CS100" i="4"/>
  <c r="CG72" i="4"/>
  <c r="CF65" i="4"/>
  <c r="BX84" i="4"/>
  <c r="CR59" i="4"/>
  <c r="BZ57" i="4"/>
  <c r="CB105" i="4"/>
  <c r="BX115" i="4"/>
  <c r="BT70" i="4"/>
  <c r="CB70" i="4"/>
  <c r="CJ70" i="4"/>
  <c r="BV70" i="4"/>
  <c r="CD70" i="4"/>
  <c r="BO70" i="4"/>
  <c r="CC113" i="4"/>
  <c r="CD113" i="4" s="1"/>
  <c r="CT120" i="4"/>
  <c r="CS120" i="4"/>
  <c r="CJ53" i="4"/>
  <c r="BT53" i="4"/>
  <c r="CD53" i="4"/>
  <c r="BO53" i="4"/>
  <c r="CF53" i="4"/>
  <c r="BX53" i="4"/>
  <c r="CH53" i="4"/>
  <c r="CL53" i="4"/>
  <c r="BV53" i="4"/>
  <c r="CR53" i="4"/>
  <c r="CN53" i="4"/>
  <c r="CB53" i="4"/>
  <c r="BZ53" i="4"/>
  <c r="CF38" i="4"/>
  <c r="CH38" i="4"/>
  <c r="CJ38" i="4"/>
  <c r="BT38" i="4"/>
  <c r="CL38" i="4"/>
  <c r="BV38" i="4"/>
  <c r="BO38" i="4"/>
  <c r="CR38" i="4"/>
  <c r="CP38" i="4"/>
  <c r="BX38" i="4"/>
  <c r="CN38" i="4"/>
  <c r="CB38" i="4"/>
  <c r="BZ38" i="4"/>
  <c r="CD38" i="4"/>
  <c r="CH84" i="4"/>
  <c r="CO123" i="4"/>
  <c r="CP123" i="4" s="1"/>
  <c r="BO85" i="4"/>
  <c r="BV85" i="4"/>
  <c r="CF85" i="4"/>
  <c r="BT85" i="4"/>
  <c r="CT74" i="4"/>
  <c r="CS74" i="4"/>
  <c r="CB63" i="4"/>
  <c r="CB85" i="4"/>
  <c r="BX54" i="4"/>
  <c r="CJ54" i="4"/>
  <c r="CD54" i="4"/>
  <c r="CF54" i="4"/>
  <c r="BZ54" i="4"/>
  <c r="BO54" i="4"/>
  <c r="CP54" i="4"/>
  <c r="BT54" i="4"/>
  <c r="CN54" i="4"/>
  <c r="BV54" i="4"/>
  <c r="CB54" i="4"/>
  <c r="CR54" i="4"/>
  <c r="CH54" i="4"/>
  <c r="CT81" i="4"/>
  <c r="CS81" i="4"/>
  <c r="CT106" i="4"/>
  <c r="CS106" i="4"/>
  <c r="BP33" i="4"/>
  <c r="CE47" i="4"/>
  <c r="CE46" i="4" s="1"/>
  <c r="CF46" i="4" s="1"/>
  <c r="CS105" i="4"/>
  <c r="CT105" i="4"/>
  <c r="CH118" i="4"/>
  <c r="CP118" i="4"/>
  <c r="BT118" i="4"/>
  <c r="CR118" i="4"/>
  <c r="CR81" i="4"/>
  <c r="CB57" i="4"/>
  <c r="CO116" i="4"/>
  <c r="BZ118" i="4"/>
  <c r="CR36" i="4"/>
  <c r="CD57" i="4"/>
  <c r="CH62" i="4"/>
  <c r="BT62" i="4"/>
  <c r="CN62" i="4"/>
  <c r="BO62" i="4"/>
  <c r="CR62" i="4"/>
  <c r="CB62" i="4"/>
  <c r="CF62" i="4"/>
  <c r="CJ62" i="4"/>
  <c r="BX62" i="4"/>
  <c r="BV62" i="4"/>
  <c r="CL62" i="4"/>
  <c r="CD62" i="4"/>
  <c r="BZ62" i="4"/>
  <c r="CP62" i="4"/>
  <c r="BZ81" i="4"/>
  <c r="CH63" i="4"/>
  <c r="CP81" i="4"/>
  <c r="CJ119" i="4"/>
  <c r="CT99" i="4"/>
  <c r="CS99" i="4"/>
  <c r="BT61" i="4"/>
  <c r="BX61" i="4"/>
  <c r="BV61" i="4"/>
  <c r="CH61" i="4"/>
  <c r="CN61" i="4"/>
  <c r="BO61" i="4"/>
  <c r="CF61" i="4"/>
  <c r="CB61" i="4"/>
  <c r="BZ61" i="4"/>
  <c r="CR61" i="4"/>
  <c r="CD61" i="4"/>
  <c r="CP61" i="4"/>
  <c r="CJ61" i="4"/>
  <c r="CB76" i="4"/>
  <c r="CS34" i="4"/>
  <c r="CT34" i="4"/>
  <c r="BV119" i="4"/>
  <c r="CN110" i="4"/>
  <c r="CB110" i="4"/>
  <c r="BO110" i="4"/>
  <c r="CL110" i="4"/>
  <c r="BV110" i="4"/>
  <c r="CR110" i="4"/>
  <c r="BX110" i="4"/>
  <c r="CP110" i="4"/>
  <c r="CH110" i="4"/>
  <c r="CJ110" i="4"/>
  <c r="CF110" i="4"/>
  <c r="BZ110" i="4"/>
  <c r="BT110" i="4"/>
  <c r="BZ63" i="4"/>
  <c r="BT96" i="4"/>
  <c r="BV96" i="4"/>
  <c r="CJ96" i="4"/>
  <c r="CP96" i="4"/>
  <c r="CR96" i="4"/>
  <c r="BO96" i="4"/>
  <c r="BZ96" i="4"/>
  <c r="CP57" i="4"/>
  <c r="CL76" i="4"/>
  <c r="CT108" i="4"/>
  <c r="CS108" i="4"/>
  <c r="CP59" i="4"/>
  <c r="BZ80" i="4"/>
  <c r="BX46" i="4"/>
  <c r="BX65" i="4"/>
  <c r="CB119" i="4"/>
  <c r="CR65" i="4"/>
  <c r="BQ16" i="4"/>
  <c r="CN106" i="4"/>
  <c r="CB106" i="4"/>
  <c r="BO106" i="4"/>
  <c r="BT106" i="4"/>
  <c r="CD106" i="4"/>
  <c r="CF106" i="4"/>
  <c r="CP106" i="4"/>
  <c r="BV106" i="4"/>
  <c r="CH106" i="4"/>
  <c r="BZ106" i="4"/>
  <c r="CR106" i="4"/>
  <c r="CJ106" i="4"/>
  <c r="BX106" i="4"/>
  <c r="CL106" i="4"/>
  <c r="CH81" i="4"/>
  <c r="BT51" i="4"/>
  <c r="BO51" i="4"/>
  <c r="BV51" i="4"/>
  <c r="CD51" i="4"/>
  <c r="CJ51" i="4"/>
  <c r="CT80" i="4"/>
  <c r="CS80" i="4"/>
  <c r="CT66" i="4"/>
  <c r="CS66" i="4"/>
  <c r="CS123" i="4"/>
  <c r="CT123" i="4"/>
  <c r="CL63" i="4"/>
  <c r="CD63" i="4"/>
  <c r="CS118" i="4"/>
  <c r="CT118" i="4"/>
  <c r="CD125" i="4"/>
  <c r="CH64" i="4"/>
  <c r="CD115" i="4"/>
  <c r="CA112" i="4"/>
  <c r="CB112" i="4" s="1"/>
  <c r="BV108" i="4"/>
  <c r="BT108" i="4"/>
  <c r="CJ108" i="4"/>
  <c r="BO108" i="4"/>
  <c r="CC71" i="4"/>
  <c r="CP65" i="4"/>
  <c r="CB117" i="4"/>
  <c r="BW125" i="4"/>
  <c r="BW123" i="4" s="1"/>
  <c r="CN63" i="4"/>
  <c r="BT48" i="4"/>
  <c r="BO48" i="4"/>
  <c r="CJ48" i="4"/>
  <c r="BV48" i="4"/>
  <c r="CD81" i="4"/>
  <c r="CC123" i="4"/>
  <c r="CD123" i="4" s="1"/>
  <c r="CF116" i="4"/>
  <c r="BO116" i="4"/>
  <c r="CB116" i="4"/>
  <c r="BV116" i="4"/>
  <c r="CT85" i="4"/>
  <c r="CS85" i="4"/>
  <c r="CJ125" i="4"/>
  <c r="CP51" i="4"/>
  <c r="CR80" i="4"/>
  <c r="CN65" i="4"/>
  <c r="CI112" i="4"/>
  <c r="CJ112" i="4" s="1"/>
  <c r="CP125" i="4"/>
  <c r="BT122" i="4"/>
  <c r="BO122" i="4"/>
  <c r="BV122" i="4"/>
  <c r="CM113" i="4"/>
  <c r="CN113" i="4" s="1"/>
  <c r="CT38" i="4"/>
  <c r="CS38" i="4"/>
  <c r="CL84" i="4"/>
  <c r="CP70" i="4"/>
  <c r="CN57" i="4"/>
  <c r="BX116" i="4"/>
  <c r="BY125" i="4"/>
  <c r="BY123" i="4" s="1"/>
  <c r="BY122" i="4" s="1"/>
  <c r="BZ122" i="4" s="1"/>
  <c r="CD85" i="4"/>
  <c r="CR63" i="4"/>
  <c r="CF51" i="4"/>
  <c r="CB46" i="4"/>
  <c r="BO88" i="4"/>
  <c r="BT88" i="4"/>
  <c r="BV88" i="4"/>
  <c r="CB51" i="4"/>
  <c r="CL70" i="4"/>
  <c r="CP76" i="4"/>
  <c r="BP71" i="4"/>
  <c r="CT46" i="4"/>
  <c r="CS46" i="4"/>
  <c r="CA113" i="4"/>
  <c r="CT36" i="4"/>
  <c r="CS36" i="4"/>
  <c r="BO63" i="4"/>
  <c r="BV63" i="4"/>
  <c r="BT63" i="4"/>
  <c r="CJ63" i="4"/>
  <c r="CS110" i="4"/>
  <c r="CT110" i="4"/>
  <c r="BO81" i="4"/>
  <c r="CJ81" i="4"/>
  <c r="BT81" i="4"/>
  <c r="BV81" i="4"/>
  <c r="CT50" i="4"/>
  <c r="CS50" i="4"/>
  <c r="CT75" i="4"/>
  <c r="CS75" i="4"/>
  <c r="CG125" i="4"/>
  <c r="CG123" i="4" s="1"/>
  <c r="CH123" i="4" s="1"/>
  <c r="CS42" i="4"/>
  <c r="CT42" i="4"/>
  <c r="BV76" i="4"/>
  <c r="BO76" i="4"/>
  <c r="BT76" i="4"/>
  <c r="CJ76" i="4"/>
  <c r="CR115" i="4"/>
  <c r="BP119" i="4"/>
  <c r="CF115" i="4"/>
  <c r="CK123" i="4"/>
  <c r="CT48" i="4"/>
  <c r="CS48" i="4"/>
  <c r="BX51" i="4"/>
  <c r="CT39" i="4"/>
  <c r="CS39" i="4"/>
  <c r="BW113" i="4"/>
  <c r="BV46" i="4"/>
  <c r="BT46" i="4"/>
  <c r="BO46" i="4"/>
  <c r="CE113" i="4"/>
  <c r="BS15" i="4"/>
  <c r="CN85" i="4"/>
  <c r="CS91" i="4"/>
  <c r="CT91" i="4"/>
  <c r="CJ117" i="4"/>
  <c r="BO117" i="4"/>
  <c r="BT117" i="4"/>
  <c r="CF81" i="4"/>
  <c r="BV91" i="4"/>
  <c r="BO91" i="4"/>
  <c r="BT91" i="4"/>
  <c r="CA123" i="4"/>
  <c r="CA122" i="4" s="1"/>
  <c r="CB122" i="4" s="1"/>
  <c r="BY14" i="4"/>
  <c r="BZ14" i="4" s="1"/>
  <c r="CA14" i="4" s="1"/>
  <c r="CT113" i="4"/>
  <c r="CS113" i="4"/>
  <c r="BZ115" i="4"/>
  <c r="BT125" i="4"/>
  <c r="BZ71" i="4"/>
  <c r="BZ46" i="4"/>
  <c r="CP119" i="4"/>
  <c r="BZ91" i="4"/>
  <c r="CP85" i="4"/>
  <c r="BZ117" i="4"/>
  <c r="CN91" i="4"/>
  <c r="BT59" i="4"/>
  <c r="CJ59" i="4"/>
  <c r="BV59" i="4"/>
  <c r="BO59" i="4"/>
  <c r="CN118" i="4"/>
  <c r="CN120" i="4"/>
  <c r="CJ85" i="4"/>
  <c r="CG116" i="4"/>
  <c r="BO47" i="4"/>
  <c r="BZ47" i="4"/>
  <c r="BT47" i="4"/>
  <c r="BX47" i="4"/>
  <c r="BV47" i="4"/>
  <c r="CB47" i="4"/>
  <c r="CB83" i="4"/>
  <c r="BV83" i="4"/>
  <c r="BO83" i="4"/>
  <c r="CH83" i="4"/>
  <c r="CN83" i="4"/>
  <c r="CR83" i="4"/>
  <c r="BX83" i="4"/>
  <c r="BT83" i="4"/>
  <c r="CL83" i="4"/>
  <c r="CP83" i="4"/>
  <c r="CF83" i="4"/>
  <c r="CJ83" i="4"/>
  <c r="CD83" i="4"/>
  <c r="BZ59" i="4"/>
  <c r="CT124" i="4"/>
  <c r="CS124" i="4"/>
  <c r="CN84" i="4"/>
  <c r="CJ67" i="4"/>
  <c r="CR67" i="4"/>
  <c r="CB67" i="4"/>
  <c r="CH67" i="4"/>
  <c r="CL67" i="4"/>
  <c r="BX67" i="4"/>
  <c r="CN67" i="4"/>
  <c r="BT67" i="4"/>
  <c r="BZ67" i="4"/>
  <c r="CD67" i="4"/>
  <c r="CJ91" i="4"/>
  <c r="CT60" i="4"/>
  <c r="CS60" i="4"/>
  <c r="CN81" i="4"/>
  <c r="CH76" i="4"/>
  <c r="CH85" i="4"/>
  <c r="CF63" i="4"/>
  <c r="BQ515" i="3"/>
  <c r="CG337" i="3"/>
  <c r="CE311" i="3"/>
  <c r="CK178" i="3"/>
  <c r="CK125" i="3"/>
  <c r="BL30" i="3"/>
  <c r="Q30" i="3"/>
  <c r="BY30" i="3"/>
  <c r="CI504" i="3"/>
  <c r="BW585" i="3"/>
  <c r="BS486" i="3"/>
  <c r="BS107" i="3"/>
  <c r="Q178" i="3"/>
  <c r="CM30" i="3"/>
  <c r="CK325" i="3"/>
  <c r="BQ543" i="3"/>
  <c r="CI475" i="3"/>
  <c r="BQ337" i="3"/>
  <c r="F158" i="3"/>
  <c r="BJ158" i="3" s="1"/>
  <c r="BY125" i="3"/>
  <c r="CC133" i="3"/>
  <c r="BQ125" i="3"/>
  <c r="CK204" i="3"/>
  <c r="BQ30" i="3"/>
  <c r="BS30" i="3"/>
  <c r="CA30" i="3"/>
  <c r="BW486" i="3"/>
  <c r="BU381" i="3"/>
  <c r="BU429" i="3"/>
  <c r="BL24" i="3"/>
  <c r="BJ584" i="3"/>
  <c r="CE575" i="3"/>
  <c r="CO515" i="3"/>
  <c r="CC515" i="3"/>
  <c r="CA504" i="3"/>
  <c r="CI543" i="3"/>
  <c r="CO543" i="3"/>
  <c r="CA515" i="3"/>
  <c r="Q475" i="3"/>
  <c r="F578" i="3"/>
  <c r="BM578" i="3" s="1"/>
  <c r="BU561" i="3"/>
  <c r="Q504" i="3"/>
  <c r="CM559" i="3"/>
  <c r="BU491" i="3"/>
  <c r="BW549" i="3"/>
  <c r="CC543" i="3"/>
  <c r="CE543" i="3"/>
  <c r="BL515" i="3"/>
  <c r="BL475" i="3"/>
  <c r="BS454" i="3"/>
  <c r="BS417" i="3"/>
  <c r="D476" i="3"/>
  <c r="CI476" i="3" s="1"/>
  <c r="D376" i="3"/>
  <c r="Q376" i="3" s="1"/>
  <c r="BS337" i="3"/>
  <c r="BY364" i="3"/>
  <c r="CM311" i="3"/>
  <c r="CI311" i="3"/>
  <c r="CO251" i="3"/>
  <c r="CA156" i="3"/>
  <c r="BW133" i="3"/>
  <c r="Q133" i="3"/>
  <c r="CO125" i="3"/>
  <c r="CI121" i="3"/>
  <c r="CI30" i="3"/>
  <c r="CC30" i="3"/>
  <c r="BY486" i="3"/>
  <c r="CN526" i="3"/>
  <c r="BW192" i="3"/>
  <c r="CA24" i="3"/>
  <c r="CA295" i="3"/>
  <c r="BU543" i="3"/>
  <c r="CI544" i="3"/>
  <c r="BY515" i="3"/>
  <c r="BU337" i="3"/>
  <c r="Q337" i="3"/>
  <c r="CC125" i="3"/>
  <c r="CI88" i="3"/>
  <c r="CA107" i="3"/>
  <c r="CM49" i="3"/>
  <c r="BS125" i="3"/>
  <c r="CA49" i="3"/>
  <c r="O80" i="3"/>
  <c r="CC24" i="3"/>
  <c r="CE30" i="3"/>
  <c r="CK493" i="3"/>
  <c r="CA486" i="3"/>
  <c r="CE378" i="3"/>
  <c r="BU178" i="3"/>
  <c r="BY49" i="3"/>
  <c r="BW543" i="3"/>
  <c r="BY544" i="3"/>
  <c r="CK515" i="3"/>
  <c r="BU301" i="3"/>
  <c r="BQ311" i="3"/>
  <c r="BW178" i="3"/>
  <c r="BL88" i="3"/>
  <c r="BY107" i="3"/>
  <c r="BU125" i="3"/>
  <c r="CI24" i="3"/>
  <c r="CE24" i="3"/>
  <c r="CK504" i="3"/>
  <c r="CM486" i="3"/>
  <c r="BU486" i="3"/>
  <c r="CI486" i="3"/>
  <c r="CK107" i="3"/>
  <c r="CI378" i="3"/>
  <c r="BW337" i="3"/>
  <c r="Q24" i="3"/>
  <c r="BM579" i="3"/>
  <c r="CL587" i="3"/>
  <c r="BL543" i="3"/>
  <c r="Q515" i="3"/>
  <c r="BM498" i="3"/>
  <c r="CD498" i="3"/>
  <c r="BU378" i="3"/>
  <c r="BS384" i="3"/>
  <c r="BQ378" i="3"/>
  <c r="CI337" i="3"/>
  <c r="CK480" i="3"/>
  <c r="CA364" i="3"/>
  <c r="CA178" i="3"/>
  <c r="CK48" i="3"/>
  <c r="BU124" i="3"/>
  <c r="CO49" i="3"/>
  <c r="Q49" i="3"/>
  <c r="CO113" i="3"/>
  <c r="CG37" i="3"/>
  <c r="CG24" i="3"/>
  <c r="Q493" i="3"/>
  <c r="CA459" i="3"/>
  <c r="CG486" i="3"/>
  <c r="CG261" i="3"/>
  <c r="BU107" i="3"/>
  <c r="BQ178" i="3"/>
  <c r="BQ107" i="3"/>
  <c r="CO30" i="3"/>
  <c r="BW475" i="3"/>
  <c r="BU504" i="3"/>
  <c r="BJ299" i="3"/>
  <c r="BY337" i="3"/>
  <c r="CA543" i="3"/>
  <c r="CG515" i="3"/>
  <c r="BL384" i="3"/>
  <c r="Q378" i="3"/>
  <c r="CK337" i="3"/>
  <c r="BS480" i="3"/>
  <c r="CC364" i="3"/>
  <c r="BU292" i="3"/>
  <c r="CG251" i="3"/>
  <c r="Q107" i="3"/>
  <c r="BY48" i="3"/>
  <c r="BY124" i="3"/>
  <c r="BQ49" i="3"/>
  <c r="BY113" i="3"/>
  <c r="CM107" i="3"/>
  <c r="CK486" i="3"/>
  <c r="CI459" i="3"/>
  <c r="CO348" i="3"/>
  <c r="BU261" i="3"/>
  <c r="Q261" i="3"/>
  <c r="CM178" i="3"/>
  <c r="BS504" i="3"/>
  <c r="BQ504" i="3"/>
  <c r="BJ246" i="3"/>
  <c r="BQ384" i="3"/>
  <c r="BM587" i="3"/>
  <c r="Q489" i="3"/>
  <c r="Q549" i="3"/>
  <c r="CM543" i="3"/>
  <c r="CI515" i="3"/>
  <c r="CK436" i="3"/>
  <c r="CE369" i="3"/>
  <c r="BL378" i="3"/>
  <c r="BW480" i="3"/>
  <c r="CG364" i="3"/>
  <c r="CC251" i="3"/>
  <c r="CG156" i="3"/>
  <c r="CC185" i="3"/>
  <c r="CK171" i="3"/>
  <c r="CC124" i="3"/>
  <c r="BS49" i="3"/>
  <c r="BW48" i="3"/>
  <c r="CC88" i="3"/>
  <c r="CO204" i="3"/>
  <c r="CA88" i="3"/>
  <c r="CC113" i="3"/>
  <c r="CK24" i="3"/>
  <c r="BM431" i="3"/>
  <c r="CO307" i="3"/>
  <c r="CO459" i="3"/>
  <c r="BW414" i="3"/>
  <c r="BW261" i="3"/>
  <c r="CI49" i="3"/>
  <c r="CE475" i="3"/>
  <c r="BL46" i="3"/>
  <c r="CL419" i="3"/>
  <c r="D382" i="3"/>
  <c r="CK382" i="3" s="1"/>
  <c r="BW24" i="3"/>
  <c r="BT574" i="3"/>
  <c r="CC496" i="3"/>
  <c r="CK489" i="3"/>
  <c r="CE486" i="3"/>
  <c r="Q486" i="3"/>
  <c r="BM526" i="3"/>
  <c r="CG489" i="3"/>
  <c r="BY549" i="3"/>
  <c r="BS543" i="3"/>
  <c r="BS515" i="3"/>
  <c r="CM436" i="3"/>
  <c r="CC378" i="3"/>
  <c r="BS378" i="3"/>
  <c r="CE480" i="3"/>
  <c r="CK364" i="3"/>
  <c r="CA325" i="3"/>
  <c r="Q251" i="3"/>
  <c r="CG244" i="3"/>
  <c r="D243" i="3"/>
  <c r="CE243" i="3" s="1"/>
  <c r="CK133" i="3"/>
  <c r="Q124" i="3"/>
  <c r="CG88" i="3"/>
  <c r="CK49" i="3"/>
  <c r="CM133" i="3"/>
  <c r="CE125" i="3"/>
  <c r="CE113" i="3"/>
  <c r="CE49" i="3"/>
  <c r="CK30" i="3"/>
  <c r="BY504" i="3"/>
  <c r="CE493" i="3"/>
  <c r="CC504" i="3"/>
  <c r="BW504" i="3"/>
  <c r="CC459" i="3"/>
  <c r="CL323" i="3"/>
  <c r="CO414" i="3"/>
  <c r="CE261" i="3"/>
  <c r="CG475" i="3"/>
  <c r="CG178" i="3"/>
  <c r="BU48" i="3"/>
  <c r="CK46" i="3"/>
  <c r="CE178" i="3"/>
  <c r="CO504" i="3"/>
  <c r="CI569" i="3"/>
  <c r="BJ138" i="3"/>
  <c r="BJ306" i="3"/>
  <c r="BW351" i="3"/>
  <c r="CA384" i="3"/>
  <c r="Q311" i="3"/>
  <c r="CO575" i="3"/>
  <c r="CC486" i="3"/>
  <c r="CI489" i="3"/>
  <c r="BL549" i="3"/>
  <c r="Q543" i="3"/>
  <c r="BW515" i="3"/>
  <c r="CK384" i="3"/>
  <c r="BY480" i="3"/>
  <c r="D363" i="3"/>
  <c r="CA363" i="3" s="1"/>
  <c r="BM282" i="3"/>
  <c r="CM251" i="3"/>
  <c r="CC156" i="3"/>
  <c r="CI125" i="3"/>
  <c r="CG124" i="3"/>
  <c r="BL125" i="3"/>
  <c r="Q113" i="3"/>
  <c r="CO133" i="3"/>
  <c r="CK113" i="3"/>
  <c r="Q125" i="3"/>
  <c r="CO48" i="3"/>
  <c r="BS24" i="3"/>
  <c r="BY493" i="3"/>
  <c r="BY178" i="3"/>
  <c r="BY24" i="3"/>
  <c r="CA113" i="3"/>
  <c r="CM513" i="3"/>
  <c r="BU79" i="3"/>
  <c r="BZ17" i="3"/>
  <c r="CO193" i="3"/>
  <c r="BW95" i="3"/>
  <c r="BY95" i="3"/>
  <c r="CC95" i="3"/>
  <c r="CO95" i="3"/>
  <c r="CA95" i="3"/>
  <c r="CE95" i="3"/>
  <c r="CK95" i="3"/>
  <c r="Q95" i="3"/>
  <c r="CM95" i="3"/>
  <c r="BU95" i="3"/>
  <c r="BL95" i="3"/>
  <c r="CI95" i="3"/>
  <c r="BQ95" i="3"/>
  <c r="CC558" i="3"/>
  <c r="BY274" i="3"/>
  <c r="CE25" i="3"/>
  <c r="BW511" i="3"/>
  <c r="BY392" i="3"/>
  <c r="CA263" i="3"/>
  <c r="CA25" i="3"/>
  <c r="BJ344" i="3"/>
  <c r="BJ428" i="3"/>
  <c r="CI470" i="3"/>
  <c r="BM552" i="3"/>
  <c r="BJ552" i="3"/>
  <c r="Q558" i="3"/>
  <c r="CH552" i="3"/>
  <c r="D469" i="3"/>
  <c r="CA469" i="3" s="1"/>
  <c r="BQ392" i="3"/>
  <c r="BM296" i="3"/>
  <c r="BW346" i="3"/>
  <c r="CI263" i="3"/>
  <c r="CA274" i="3"/>
  <c r="BY175" i="3"/>
  <c r="CA37" i="3"/>
  <c r="BS25" i="3"/>
  <c r="CK573" i="3"/>
  <c r="CI297" i="3"/>
  <c r="BU511" i="3"/>
  <c r="CA399" i="3"/>
  <c r="BM73" i="3"/>
  <c r="BJ73" i="3"/>
  <c r="CK193" i="3"/>
  <c r="BQ46" i="3"/>
  <c r="CG393" i="3"/>
  <c r="D115" i="3"/>
  <c r="BU115" i="3" s="1"/>
  <c r="BJ115" i="3"/>
  <c r="BM77" i="3"/>
  <c r="BJ77" i="3"/>
  <c r="CM407" i="3"/>
  <c r="CA311" i="3"/>
  <c r="CD501" i="3"/>
  <c r="CC309" i="3"/>
  <c r="BM96" i="3"/>
  <c r="BJ96" i="3"/>
  <c r="BJ413" i="3"/>
  <c r="BJ512" i="3"/>
  <c r="Q392" i="3"/>
  <c r="BW567" i="3"/>
  <c r="BU302" i="3"/>
  <c r="BY573" i="3"/>
  <c r="BY567" i="3"/>
  <c r="BS573" i="3"/>
  <c r="CG558" i="3"/>
  <c r="CE483" i="3"/>
  <c r="BM448" i="3"/>
  <c r="BJ448" i="3"/>
  <c r="BL470" i="3"/>
  <c r="BL392" i="3"/>
  <c r="CO527" i="3"/>
  <c r="BY348" i="3"/>
  <c r="BM326" i="3"/>
  <c r="BJ326" i="3"/>
  <c r="CK308" i="3"/>
  <c r="CE274" i="3"/>
  <c r="CA175" i="3"/>
  <c r="CC149" i="3"/>
  <c r="CM46" i="3"/>
  <c r="CC37" i="3"/>
  <c r="CG31" i="3"/>
  <c r="BU25" i="3"/>
  <c r="CC311" i="3"/>
  <c r="CK348" i="3"/>
  <c r="BZ526" i="3"/>
  <c r="BX379" i="3"/>
  <c r="CI193" i="3"/>
  <c r="BW46" i="3"/>
  <c r="Q393" i="3"/>
  <c r="BU72" i="3"/>
  <c r="CA573" i="3"/>
  <c r="Q333" i="3"/>
  <c r="BJ271" i="3"/>
  <c r="BW392" i="3"/>
  <c r="CG573" i="3"/>
  <c r="BS558" i="3"/>
  <c r="CI570" i="3"/>
  <c r="CK470" i="3"/>
  <c r="BM314" i="3"/>
  <c r="BJ314" i="3"/>
  <c r="BL274" i="3"/>
  <c r="CE37" i="3"/>
  <c r="BQ31" i="3"/>
  <c r="CI573" i="3"/>
  <c r="BW393" i="3"/>
  <c r="CB350" i="3"/>
  <c r="CM392" i="3"/>
  <c r="F529" i="3"/>
  <c r="BJ530" i="3"/>
  <c r="CI393" i="3"/>
  <c r="CI46" i="3"/>
  <c r="BQ393" i="3"/>
  <c r="CM573" i="3"/>
  <c r="BJ557" i="3"/>
  <c r="BJ323" i="3"/>
  <c r="BJ394" i="3"/>
  <c r="CI511" i="3"/>
  <c r="BQ558" i="3"/>
  <c r="Q193" i="3"/>
  <c r="CM274" i="3"/>
  <c r="CM193" i="3"/>
  <c r="BJ257" i="3"/>
  <c r="BU175" i="3"/>
  <c r="BS175" i="3"/>
  <c r="CK37" i="3"/>
  <c r="F217" i="3"/>
  <c r="BJ219" i="3"/>
  <c r="CO46" i="3"/>
  <c r="Q25" i="3"/>
  <c r="BQ193" i="3"/>
  <c r="BQ449" i="3"/>
  <c r="CG175" i="3"/>
  <c r="BM183" i="3"/>
  <c r="BJ183" i="3"/>
  <c r="BJ199" i="3"/>
  <c r="BJ391" i="3"/>
  <c r="BJ397" i="3"/>
  <c r="BJ379" i="3"/>
  <c r="BQ470" i="3"/>
  <c r="F458" i="3"/>
  <c r="BJ458" i="3" s="1"/>
  <c r="BJ465" i="3"/>
  <c r="D571" i="3"/>
  <c r="CG571" i="3" s="1"/>
  <c r="CO274" i="3"/>
  <c r="CA193" i="3"/>
  <c r="BU193" i="3"/>
  <c r="CC170" i="3"/>
  <c r="CO137" i="3"/>
  <c r="BW175" i="3"/>
  <c r="F208" i="3"/>
  <c r="BM208" i="3" s="1"/>
  <c r="CO31" i="3"/>
  <c r="CM37" i="3"/>
  <c r="BL25" i="3"/>
  <c r="CA511" i="3"/>
  <c r="CC511" i="3"/>
  <c r="CM399" i="3"/>
  <c r="BU348" i="3"/>
  <c r="BU46" i="3"/>
  <c r="BS193" i="3"/>
  <c r="CK255" i="3"/>
  <c r="CI31" i="3"/>
  <c r="CO513" i="3"/>
  <c r="CO325" i="3"/>
  <c r="BY449" i="3"/>
  <c r="BJ200" i="3"/>
  <c r="BJ571" i="3"/>
  <c r="BJ574" i="3"/>
  <c r="CM470" i="3"/>
  <c r="CM558" i="3"/>
  <c r="BM541" i="3"/>
  <c r="BJ541" i="3"/>
  <c r="CM491" i="3"/>
  <c r="CO470" i="3"/>
  <c r="CG311" i="3"/>
  <c r="BU274" i="3"/>
  <c r="BQ274" i="3"/>
  <c r="Q175" i="3"/>
  <c r="F188" i="3"/>
  <c r="BJ197" i="3"/>
  <c r="CC46" i="3"/>
  <c r="BY46" i="3"/>
  <c r="BM209" i="3"/>
  <c r="BQ37" i="3"/>
  <c r="CC573" i="3"/>
  <c r="BW399" i="3"/>
  <c r="BY511" i="3"/>
  <c r="CK511" i="3"/>
  <c r="CC393" i="3"/>
  <c r="BM350" i="3"/>
  <c r="BJ350" i="3"/>
  <c r="CI25" i="3"/>
  <c r="BY407" i="3"/>
  <c r="CG46" i="3"/>
  <c r="BU392" i="3"/>
  <c r="CC25" i="3"/>
  <c r="BW193" i="3"/>
  <c r="CK313" i="3"/>
  <c r="CE449" i="3"/>
  <c r="BJ273" i="3"/>
  <c r="BJ534" i="3"/>
  <c r="BW472" i="3"/>
  <c r="BL558" i="3"/>
  <c r="D565" i="3"/>
  <c r="BU565" i="3" s="1"/>
  <c r="BV473" i="3"/>
  <c r="BY558" i="3"/>
  <c r="BW558" i="3"/>
  <c r="CH512" i="3"/>
  <c r="BU566" i="3"/>
  <c r="BU470" i="3"/>
  <c r="BL311" i="3"/>
  <c r="BX338" i="3"/>
  <c r="BW274" i="3"/>
  <c r="BS274" i="3"/>
  <c r="BM237" i="3"/>
  <c r="CO37" i="3"/>
  <c r="CM511" i="3"/>
  <c r="CD388" i="3"/>
  <c r="CO511" i="3"/>
  <c r="CA313" i="3"/>
  <c r="BY72" i="3"/>
  <c r="BQ72" i="3"/>
  <c r="BM363" i="3"/>
  <c r="BJ363" i="3"/>
  <c r="CG25" i="3"/>
  <c r="BS392" i="3"/>
  <c r="BQ25" i="3"/>
  <c r="CC193" i="3"/>
  <c r="BY399" i="3"/>
  <c r="CM449" i="3"/>
  <c r="BJ243" i="3"/>
  <c r="BM95" i="3"/>
  <c r="BJ95" i="3"/>
  <c r="BM410" i="3"/>
  <c r="BJ410" i="3"/>
  <c r="BU558" i="3"/>
  <c r="CE511" i="3"/>
  <c r="CA491" i="3"/>
  <c r="CO558" i="3"/>
  <c r="BQ491" i="3"/>
  <c r="CM454" i="3"/>
  <c r="CA566" i="3"/>
  <c r="CA470" i="3"/>
  <c r="CA454" i="3"/>
  <c r="CG392" i="3"/>
  <c r="BM454" i="3"/>
  <c r="BJ454" i="3"/>
  <c r="BS390" i="3"/>
  <c r="BU311" i="3"/>
  <c r="CC297" i="3"/>
  <c r="CA369" i="3"/>
  <c r="CC274" i="3"/>
  <c r="BL156" i="3"/>
  <c r="BM214" i="3"/>
  <c r="BJ214" i="3"/>
  <c r="BL37" i="3"/>
  <c r="BU37" i="3"/>
  <c r="O17" i="3"/>
  <c r="CI313" i="3"/>
  <c r="BL511" i="3"/>
  <c r="BW311" i="3"/>
  <c r="CI260" i="3"/>
  <c r="CC260" i="3"/>
  <c r="CM65" i="3"/>
  <c r="BM108" i="3"/>
  <c r="BJ108" i="3"/>
  <c r="CG193" i="3"/>
  <c r="CO25" i="3"/>
  <c r="BL193" i="3"/>
  <c r="BL178" i="3"/>
  <c r="BM276" i="3"/>
  <c r="BJ276" i="3"/>
  <c r="BU513" i="3"/>
  <c r="BJ451" i="3"/>
  <c r="BJ285" i="3"/>
  <c r="BJ293" i="3"/>
  <c r="BJ509" i="3"/>
  <c r="BJ562" i="3"/>
  <c r="BM495" i="3"/>
  <c r="BJ495" i="3"/>
  <c r="Q511" i="3"/>
  <c r="Q567" i="3"/>
  <c r="CG511" i="3"/>
  <c r="BW573" i="3"/>
  <c r="CC555" i="3"/>
  <c r="D557" i="3"/>
  <c r="CC557" i="3" s="1"/>
  <c r="BM568" i="3"/>
  <c r="BJ568" i="3"/>
  <c r="CO491" i="3"/>
  <c r="CO483" i="3"/>
  <c r="BQ566" i="3"/>
  <c r="CI467" i="3"/>
  <c r="CG470" i="3"/>
  <c r="CM361" i="3"/>
  <c r="CA480" i="3"/>
  <c r="CK336" i="3"/>
  <c r="CK311" i="3"/>
  <c r="CI318" i="3"/>
  <c r="CG274" i="3"/>
  <c r="E224" i="3"/>
  <c r="Q222" i="3"/>
  <c r="CH526" i="3"/>
  <c r="BU399" i="3"/>
  <c r="CK307" i="3"/>
  <c r="BQ511" i="3"/>
  <c r="CF539" i="3"/>
  <c r="CG539" i="3" s="1"/>
  <c r="BM435" i="3"/>
  <c r="BJ435" i="3"/>
  <c r="BS421" i="3"/>
  <c r="BU393" i="3"/>
  <c r="D128" i="3"/>
  <c r="CK128" i="3" s="1"/>
  <c r="BJ128" i="3"/>
  <c r="BW25" i="3"/>
  <c r="CM572" i="3"/>
  <c r="CA348" i="3"/>
  <c r="BQ528" i="3"/>
  <c r="BW333" i="3"/>
  <c r="CM414" i="3"/>
  <c r="BJ367" i="3"/>
  <c r="BJ473" i="3"/>
  <c r="CC443" i="3"/>
  <c r="BX391" i="3"/>
  <c r="CH306" i="3"/>
  <c r="CH305" i="3" s="1"/>
  <c r="CE287" i="3"/>
  <c r="Q274" i="3"/>
  <c r="BY193" i="3"/>
  <c r="BS31" i="3"/>
  <c r="BM565" i="3"/>
  <c r="BJ565" i="3"/>
  <c r="CA378" i="3"/>
  <c r="CA65" i="3"/>
  <c r="CK25" i="3"/>
  <c r="CM25" i="3"/>
  <c r="BT512" i="3"/>
  <c r="BU309" i="3"/>
  <c r="BJ148" i="3"/>
  <c r="CM248" i="3"/>
  <c r="BU45" i="3"/>
  <c r="CC56" i="3"/>
  <c r="CG45" i="3"/>
  <c r="BU149" i="3"/>
  <c r="BU145" i="3"/>
  <c r="BU204" i="3"/>
  <c r="BL27" i="3"/>
  <c r="CO310" i="3"/>
  <c r="CE318" i="3"/>
  <c r="BQ503" i="3"/>
  <c r="CM19" i="3"/>
  <c r="BY29" i="3"/>
  <c r="BU426" i="3"/>
  <c r="BY384" i="3"/>
  <c r="CE337" i="3"/>
  <c r="CI368" i="3"/>
  <c r="CI564" i="3"/>
  <c r="CJ571" i="3"/>
  <c r="CF473" i="3"/>
  <c r="CO369" i="3"/>
  <c r="CM472" i="3"/>
  <c r="CA472" i="3"/>
  <c r="Q301" i="3"/>
  <c r="BS307" i="3"/>
  <c r="BU307" i="3"/>
  <c r="BL297" i="3"/>
  <c r="BU272" i="3"/>
  <c r="CE489" i="3"/>
  <c r="BY503" i="3"/>
  <c r="CG472" i="3"/>
  <c r="CI426" i="3"/>
  <c r="CC436" i="3"/>
  <c r="BS472" i="3"/>
  <c r="BL480" i="3"/>
  <c r="CK283" i="3"/>
  <c r="BW272" i="3"/>
  <c r="Q45" i="3"/>
  <c r="BW149" i="3"/>
  <c r="BY204" i="3"/>
  <c r="CC29" i="3"/>
  <c r="CE67" i="3"/>
  <c r="CE399" i="3"/>
  <c r="BU515" i="3"/>
  <c r="CC399" i="3"/>
  <c r="CI505" i="3"/>
  <c r="BW426" i="3"/>
  <c r="O231" i="3"/>
  <c r="BY45" i="3"/>
  <c r="CJ323" i="3"/>
  <c r="CI575" i="3"/>
  <c r="CK505" i="3"/>
  <c r="BL489" i="3"/>
  <c r="CC472" i="3"/>
  <c r="CC480" i="3"/>
  <c r="BQ301" i="3"/>
  <c r="BQ318" i="3"/>
  <c r="BY308" i="3"/>
  <c r="CK346" i="3"/>
  <c r="Q327" i="3"/>
  <c r="CO272" i="3"/>
  <c r="BL369" i="3"/>
  <c r="CG272" i="3"/>
  <c r="BY283" i="3"/>
  <c r="CE149" i="3"/>
  <c r="CI204" i="3"/>
  <c r="CA45" i="3"/>
  <c r="CC31" i="3"/>
  <c r="CM29" i="3"/>
  <c r="CJ498" i="3"/>
  <c r="CI339" i="3"/>
  <c r="CE307" i="3"/>
  <c r="CA414" i="3"/>
  <c r="CK324" i="3"/>
  <c r="BU31" i="3"/>
  <c r="CI45" i="3"/>
  <c r="CJ391" i="3"/>
  <c r="CK19" i="3"/>
  <c r="CA561" i="3"/>
  <c r="CC414" i="3"/>
  <c r="CK261" i="3"/>
  <c r="BM89" i="3"/>
  <c r="D89" i="3"/>
  <c r="CK575" i="3"/>
  <c r="CM564" i="3"/>
  <c r="Q503" i="3"/>
  <c r="CL502" i="3"/>
  <c r="BY436" i="3"/>
  <c r="CI472" i="3"/>
  <c r="G457" i="3"/>
  <c r="G242" i="3" s="1"/>
  <c r="BL318" i="3"/>
  <c r="CM297" i="3"/>
  <c r="BS327" i="3"/>
  <c r="Q369" i="3"/>
  <c r="BQ283" i="3"/>
  <c r="CL168" i="3"/>
  <c r="CM168" i="3" s="1"/>
  <c r="BL56" i="3"/>
  <c r="BQ45" i="3"/>
  <c r="CI149" i="3"/>
  <c r="BU29" i="3"/>
  <c r="CD347" i="3"/>
  <c r="CE347" i="3" s="1"/>
  <c r="CO297" i="3"/>
  <c r="Q414" i="3"/>
  <c r="CG324" i="3"/>
  <c r="CH323" i="3"/>
  <c r="BS43" i="3"/>
  <c r="BU43" i="3"/>
  <c r="CK564" i="3"/>
  <c r="BL327" i="3"/>
  <c r="CK43" i="3"/>
  <c r="CM45" i="3"/>
  <c r="CK45" i="3"/>
  <c r="CK190" i="3"/>
  <c r="CK149" i="3"/>
  <c r="CE45" i="3"/>
  <c r="CO29" i="3"/>
  <c r="CG414" i="3"/>
  <c r="BS283" i="3"/>
  <c r="CO45" i="3"/>
  <c r="CI29" i="3"/>
  <c r="BL45" i="3"/>
  <c r="BS324" i="3"/>
  <c r="CM124" i="3"/>
  <c r="H69" i="3"/>
  <c r="CI261" i="3"/>
  <c r="CG505" i="3"/>
  <c r="CE436" i="3"/>
  <c r="BL472" i="3"/>
  <c r="CA324" i="3"/>
  <c r="CA310" i="3"/>
  <c r="D326" i="3"/>
  <c r="BL326" i="3" s="1"/>
  <c r="BW307" i="3"/>
  <c r="CC283" i="3"/>
  <c r="BQ564" i="3"/>
  <c r="BX560" i="3"/>
  <c r="BU505" i="3"/>
  <c r="BS505" i="3"/>
  <c r="CA464" i="3"/>
  <c r="BL436" i="3"/>
  <c r="CG436" i="3"/>
  <c r="CK472" i="3"/>
  <c r="D323" i="3"/>
  <c r="CA337" i="3"/>
  <c r="CG480" i="3"/>
  <c r="BY307" i="3"/>
  <c r="BQ327" i="3"/>
  <c r="CK272" i="3"/>
  <c r="CE272" i="3"/>
  <c r="Q283" i="3"/>
  <c r="CA259" i="3"/>
  <c r="BQ149" i="3"/>
  <c r="CI43" i="3"/>
  <c r="CG43" i="3"/>
  <c r="CM149" i="3"/>
  <c r="CA43" i="3"/>
  <c r="CC45" i="3"/>
  <c r="BW29" i="3"/>
  <c r="CK27" i="3"/>
  <c r="BW324" i="3"/>
  <c r="CB347" i="3"/>
  <c r="BQ124" i="3"/>
  <c r="CK295" i="3"/>
  <c r="D560" i="3"/>
  <c r="BY261" i="3"/>
  <c r="CE472" i="3"/>
  <c r="CG56" i="3"/>
  <c r="CI272" i="3"/>
  <c r="CG283" i="3"/>
  <c r="CG236" i="3"/>
  <c r="H157" i="3"/>
  <c r="H147" i="3" s="1"/>
  <c r="BM128" i="3"/>
  <c r="BS45" i="3"/>
  <c r="BL43" i="3"/>
  <c r="Q43" i="3"/>
  <c r="BY43" i="3"/>
  <c r="CA31" i="3"/>
  <c r="CM31" i="3"/>
  <c r="BY27" i="3"/>
  <c r="BU551" i="3"/>
  <c r="CC426" i="3"/>
  <c r="Q472" i="3"/>
  <c r="CA67" i="3"/>
  <c r="BQ505" i="3"/>
  <c r="Q436" i="3"/>
  <c r="CM505" i="3"/>
  <c r="BS564" i="3"/>
  <c r="Q505" i="3"/>
  <c r="BS436" i="3"/>
  <c r="CO472" i="3"/>
  <c r="BL324" i="3"/>
  <c r="CM324" i="3"/>
  <c r="BL307" i="3"/>
  <c r="CG327" i="3"/>
  <c r="CE564" i="3"/>
  <c r="CO489" i="3"/>
  <c r="L242" i="3"/>
  <c r="L15" i="3" s="1"/>
  <c r="CE503" i="3"/>
  <c r="CG426" i="3"/>
  <c r="BW436" i="3"/>
  <c r="BQ472" i="3"/>
  <c r="Q324" i="3"/>
  <c r="CI480" i="3"/>
  <c r="BS318" i="3"/>
  <c r="CI307" i="3"/>
  <c r="BY324" i="3"/>
  <c r="CC318" i="3"/>
  <c r="CM272" i="3"/>
  <c r="BL283" i="3"/>
  <c r="CI236" i="3"/>
  <c r="CC248" i="3"/>
  <c r="BM115" i="3"/>
  <c r="BQ204" i="3"/>
  <c r="CE27" i="3"/>
  <c r="CG67" i="3"/>
  <c r="BY564" i="3"/>
  <c r="CE325" i="3"/>
  <c r="BY19" i="3"/>
  <c r="CM27" i="3"/>
  <c r="BQ426" i="3"/>
  <c r="BQ19" i="3"/>
  <c r="CI399" i="3"/>
  <c r="CO43" i="3"/>
  <c r="CG369" i="3"/>
  <c r="CG149" i="3"/>
  <c r="BY505" i="3"/>
  <c r="BU472" i="3"/>
  <c r="BW395" i="3"/>
  <c r="CK351" i="3"/>
  <c r="CG307" i="3"/>
  <c r="CK297" i="3"/>
  <c r="D246" i="3"/>
  <c r="BU246" i="3" s="1"/>
  <c r="CG248" i="3"/>
  <c r="CA149" i="3"/>
  <c r="CE56" i="3"/>
  <c r="CA204" i="3"/>
  <c r="D502" i="3"/>
  <c r="CK502" i="3" s="1"/>
  <c r="CE324" i="3"/>
  <c r="BW588" i="3"/>
  <c r="CM588" i="3"/>
  <c r="CI331" i="3"/>
  <c r="BU319" i="3"/>
  <c r="CO54" i="3"/>
  <c r="CE381" i="3"/>
  <c r="CH279" i="3"/>
  <c r="Q564" i="3"/>
  <c r="BL564" i="3"/>
  <c r="CG564" i="3"/>
  <c r="CK570" i="3"/>
  <c r="BY319" i="3"/>
  <c r="D329" i="3"/>
  <c r="CA329" i="3" s="1"/>
  <c r="BY340" i="3"/>
  <c r="BM200" i="3"/>
  <c r="F80" i="3"/>
  <c r="CC39" i="3"/>
  <c r="BS204" i="3"/>
  <c r="CM204" i="3"/>
  <c r="CM67" i="3"/>
  <c r="CE44" i="3"/>
  <c r="CC564" i="3"/>
  <c r="CI381" i="3"/>
  <c r="CK310" i="3"/>
  <c r="BS503" i="3"/>
  <c r="CE48" i="3"/>
  <c r="Q195" i="3"/>
  <c r="BU328" i="3"/>
  <c r="CO407" i="3"/>
  <c r="BL551" i="3"/>
  <c r="BS551" i="3"/>
  <c r="BQ551" i="3"/>
  <c r="BY331" i="3"/>
  <c r="CG454" i="3"/>
  <c r="CO319" i="3"/>
  <c r="CC163" i="3"/>
  <c r="CG44" i="3"/>
  <c r="CK585" i="3"/>
  <c r="BY304" i="3"/>
  <c r="BT397" i="3"/>
  <c r="BW328" i="3"/>
  <c r="CI309" i="3"/>
  <c r="CC402" i="3"/>
  <c r="BY328" i="3"/>
  <c r="BW384" i="3"/>
  <c r="CC493" i="3"/>
  <c r="BQ493" i="3"/>
  <c r="CO493" i="3"/>
  <c r="BW493" i="3"/>
  <c r="BS493" i="3"/>
  <c r="BY464" i="3"/>
  <c r="D425" i="3"/>
  <c r="BU425" i="3" s="1"/>
  <c r="CM402" i="3"/>
  <c r="BS381" i="3"/>
  <c r="BW417" i="3"/>
  <c r="CI387" i="3"/>
  <c r="BS328" i="3"/>
  <c r="CO480" i="3"/>
  <c r="CE251" i="3"/>
  <c r="CO295" i="3"/>
  <c r="CI283" i="3"/>
  <c r="BY195" i="3"/>
  <c r="BW195" i="3"/>
  <c r="Q167" i="3"/>
  <c r="Q56" i="3"/>
  <c r="CI48" i="3"/>
  <c r="BQ133" i="3"/>
  <c r="Q149" i="3"/>
  <c r="BW204" i="3"/>
  <c r="CA51" i="3"/>
  <c r="BS57" i="3"/>
  <c r="BS37" i="3"/>
  <c r="O69" i="3"/>
  <c r="CK65" i="3"/>
  <c r="CA421" i="3"/>
  <c r="CE513" i="3"/>
  <c r="CE551" i="3"/>
  <c r="CK503" i="3"/>
  <c r="CM421" i="3"/>
  <c r="D512" i="3"/>
  <c r="CM512" i="3" s="1"/>
  <c r="CI414" i="3"/>
  <c r="BX397" i="3"/>
  <c r="CG48" i="3"/>
  <c r="CG65" i="3"/>
  <c r="BW19" i="3"/>
  <c r="CI295" i="3"/>
  <c r="CK414" i="3"/>
  <c r="CG107" i="3"/>
  <c r="BL107" i="3"/>
  <c r="CO107" i="3"/>
  <c r="CK309" i="3"/>
  <c r="CJ568" i="3"/>
  <c r="BW292" i="3"/>
  <c r="CI384" i="3"/>
  <c r="CO532" i="3"/>
  <c r="BQ532" i="3"/>
  <c r="CM83" i="3"/>
  <c r="CO83" i="3"/>
  <c r="BQ83" i="3"/>
  <c r="BY429" i="3"/>
  <c r="BW429" i="3"/>
  <c r="CA195" i="3"/>
  <c r="BL195" i="3"/>
  <c r="K242" i="3"/>
  <c r="CM395" i="3"/>
  <c r="CJ347" i="3"/>
  <c r="CK347" i="3" s="1"/>
  <c r="BY417" i="3"/>
  <c r="BQ387" i="3"/>
  <c r="Q304" i="3"/>
  <c r="BU480" i="3"/>
  <c r="BL263" i="3"/>
  <c r="BQ295" i="3"/>
  <c r="BW283" i="3"/>
  <c r="CO201" i="3"/>
  <c r="BS124" i="3"/>
  <c r="CI83" i="3"/>
  <c r="CA56" i="3"/>
  <c r="BS133" i="3"/>
  <c r="BL149" i="3"/>
  <c r="CC204" i="3"/>
  <c r="Q31" i="3"/>
  <c r="CC57" i="3"/>
  <c r="BW57" i="3"/>
  <c r="BW37" i="3"/>
  <c r="Q65" i="3"/>
  <c r="CI37" i="3"/>
  <c r="CA493" i="3"/>
  <c r="CG513" i="3"/>
  <c r="CK339" i="3"/>
  <c r="CO551" i="3"/>
  <c r="CI324" i="3"/>
  <c r="CK393" i="3"/>
  <c r="CK31" i="3"/>
  <c r="CA513" i="3"/>
  <c r="CC328" i="3"/>
  <c r="CA124" i="3"/>
  <c r="CA426" i="3"/>
  <c r="BY426" i="3"/>
  <c r="BW49" i="3"/>
  <c r="BL49" i="3"/>
  <c r="BY309" i="3"/>
  <c r="CO44" i="3"/>
  <c r="CK417" i="3"/>
  <c r="CM303" i="3"/>
  <c r="CK303" i="3"/>
  <c r="Q303" i="3"/>
  <c r="BV571" i="3"/>
  <c r="CC570" i="3"/>
  <c r="CE533" i="3"/>
  <c r="CI360" i="3"/>
  <c r="CN296" i="3"/>
  <c r="Q204" i="3"/>
  <c r="CO417" i="3"/>
  <c r="CC325" i="3"/>
  <c r="BS429" i="3"/>
  <c r="CO124" i="3"/>
  <c r="BW295" i="3"/>
  <c r="CI156" i="3"/>
  <c r="CK156" i="3"/>
  <c r="BW156" i="3"/>
  <c r="BS414" i="3"/>
  <c r="BQ414" i="3"/>
  <c r="Q29" i="3"/>
  <c r="CG29" i="3"/>
  <c r="CE29" i="3"/>
  <c r="BL29" i="3"/>
  <c r="BU564" i="3"/>
  <c r="CK319" i="3"/>
  <c r="BU360" i="3"/>
  <c r="D282" i="3"/>
  <c r="CE282" i="3" s="1"/>
  <c r="K16" i="3"/>
  <c r="CI359" i="3"/>
  <c r="CM319" i="3"/>
  <c r="CA340" i="3"/>
  <c r="CM283" i="3"/>
  <c r="CO283" i="3"/>
  <c r="BQ195" i="3"/>
  <c r="CI56" i="3"/>
  <c r="CO149" i="3"/>
  <c r="CE124" i="3"/>
  <c r="BS95" i="3"/>
  <c r="CG95" i="3"/>
  <c r="BS83" i="3"/>
  <c r="BL57" i="3"/>
  <c r="BY31" i="3"/>
  <c r="Q37" i="3"/>
  <c r="BL493" i="3"/>
  <c r="CG551" i="3"/>
  <c r="CG493" i="3"/>
  <c r="CI585" i="3"/>
  <c r="CM307" i="3"/>
  <c r="CO399" i="3"/>
  <c r="CK399" i="3"/>
  <c r="CC310" i="3"/>
  <c r="CE352" i="3"/>
  <c r="BU414" i="3"/>
  <c r="BL391" i="3"/>
  <c r="CE393" i="3"/>
  <c r="CA429" i="3"/>
  <c r="Q426" i="3"/>
  <c r="CM280" i="3"/>
  <c r="CO564" i="3"/>
  <c r="BW309" i="3"/>
  <c r="BQ400" i="3"/>
  <c r="BS500" i="3"/>
  <c r="BQ500" i="3"/>
  <c r="BL500" i="3"/>
  <c r="Q500" i="3"/>
  <c r="D498" i="3"/>
  <c r="CO500" i="3"/>
  <c r="CF195" i="3"/>
  <c r="CE195" i="3"/>
  <c r="BQ234" i="3"/>
  <c r="BW234" i="3"/>
  <c r="BT571" i="3"/>
  <c r="BU572" i="3"/>
  <c r="BY359" i="3"/>
  <c r="BX357" i="3"/>
  <c r="CI400" i="3"/>
  <c r="CG500" i="3"/>
  <c r="CD338" i="3"/>
  <c r="CE339" i="3"/>
  <c r="BY414" i="3"/>
  <c r="BX413" i="3"/>
  <c r="CA572" i="3"/>
  <c r="BZ571" i="3"/>
  <c r="CD406" i="3"/>
  <c r="CE407" i="3"/>
  <c r="CG238" i="3"/>
  <c r="CA238" i="3"/>
  <c r="CK475" i="3"/>
  <c r="CJ473" i="3"/>
  <c r="BU407" i="3"/>
  <c r="CA176" i="3"/>
  <c r="BU176" i="3"/>
  <c r="BS176" i="3"/>
  <c r="BL176" i="3"/>
  <c r="BQ176" i="3"/>
  <c r="BY176" i="3"/>
  <c r="CI176" i="3"/>
  <c r="Q176" i="3"/>
  <c r="CC176" i="3"/>
  <c r="CE176" i="3"/>
  <c r="CM176" i="3"/>
  <c r="BW176" i="3"/>
  <c r="CA276" i="3"/>
  <c r="CO276" i="3"/>
  <c r="BY531" i="3"/>
  <c r="BU531" i="3"/>
  <c r="BS531" i="3"/>
  <c r="CK531" i="3"/>
  <c r="BQ531" i="3"/>
  <c r="CG531" i="3"/>
  <c r="D530" i="3"/>
  <c r="BU530" i="3" s="1"/>
  <c r="CE531" i="3"/>
  <c r="CC531" i="3"/>
  <c r="CA531" i="3"/>
  <c r="CO531" i="3"/>
  <c r="BW531" i="3"/>
  <c r="CI531" i="3"/>
  <c r="Q531" i="3"/>
  <c r="CG304" i="3"/>
  <c r="CH304" i="3"/>
  <c r="CJ304" i="3" s="1"/>
  <c r="CC507" i="3"/>
  <c r="BQ507" i="3"/>
  <c r="BU586" i="3"/>
  <c r="CO586" i="3"/>
  <c r="BU238" i="3"/>
  <c r="F221" i="3"/>
  <c r="BJ221" i="3" s="1"/>
  <c r="BM222" i="3"/>
  <c r="BS302" i="3"/>
  <c r="BQ302" i="3"/>
  <c r="BW184" i="3"/>
  <c r="BS184" i="3"/>
  <c r="BQ184" i="3"/>
  <c r="Q184" i="3"/>
  <c r="BL184" i="3"/>
  <c r="BU184" i="3"/>
  <c r="BY184" i="3"/>
  <c r="CE420" i="3"/>
  <c r="CC415" i="3"/>
  <c r="CI248" i="3"/>
  <c r="BL225" i="3"/>
  <c r="CO581" i="3"/>
  <c r="CK581" i="3"/>
  <c r="CE581" i="3"/>
  <c r="CA581" i="3"/>
  <c r="BU581" i="3"/>
  <c r="CM581" i="3"/>
  <c r="CH406" i="3"/>
  <c r="CI407" i="3"/>
  <c r="CH560" i="3"/>
  <c r="CA527" i="3"/>
  <c r="CB413" i="3"/>
  <c r="CC359" i="3"/>
  <c r="CC339" i="3"/>
  <c r="CM310" i="3"/>
  <c r="CA415" i="3"/>
  <c r="BU346" i="3"/>
  <c r="CM278" i="3"/>
  <c r="BQ369" i="3"/>
  <c r="D296" i="3"/>
  <c r="Q296" i="3" s="1"/>
  <c r="BU248" i="3"/>
  <c r="BU192" i="3"/>
  <c r="BU225" i="3"/>
  <c r="CA27" i="3"/>
  <c r="BY499" i="3"/>
  <c r="BX498" i="3"/>
  <c r="CC513" i="3"/>
  <c r="CB512" i="3"/>
  <c r="BU384" i="3"/>
  <c r="BT382" i="3"/>
  <c r="CG325" i="3"/>
  <c r="BL325" i="3"/>
  <c r="BQ325" i="3"/>
  <c r="BU464" i="3"/>
  <c r="BL464" i="3"/>
  <c r="Q464" i="3"/>
  <c r="CO464" i="3"/>
  <c r="CM464" i="3"/>
  <c r="CK464" i="3"/>
  <c r="CI464" i="3"/>
  <c r="BW464" i="3"/>
  <c r="BS464" i="3"/>
  <c r="BQ464" i="3"/>
  <c r="CG464" i="3"/>
  <c r="CE500" i="3"/>
  <c r="BQ567" i="3"/>
  <c r="CM567" i="3"/>
  <c r="CK567" i="3"/>
  <c r="CI567" i="3"/>
  <c r="CG567" i="3"/>
  <c r="CE567" i="3"/>
  <c r="CA567" i="3"/>
  <c r="CO567" i="3"/>
  <c r="BL567" i="3"/>
  <c r="Q263" i="3"/>
  <c r="CE263" i="3"/>
  <c r="BU263" i="3"/>
  <c r="CG263" i="3"/>
  <c r="CM263" i="3"/>
  <c r="BS263" i="3"/>
  <c r="BS137" i="3"/>
  <c r="CM137" i="3"/>
  <c r="CI137" i="3"/>
  <c r="BW137" i="3"/>
  <c r="CG137" i="3"/>
  <c r="CE137" i="3"/>
  <c r="BY137" i="3"/>
  <c r="BL137" i="3"/>
  <c r="Q137" i="3"/>
  <c r="BU137" i="3"/>
  <c r="CK407" i="3"/>
  <c r="CJ406" i="3"/>
  <c r="A154" i="3"/>
  <c r="A155" i="3" s="1"/>
  <c r="A156" i="3" s="1"/>
  <c r="CK86" i="3"/>
  <c r="BW86" i="3"/>
  <c r="BU86" i="3"/>
  <c r="BS86" i="3"/>
  <c r="BQ86" i="3"/>
  <c r="BY86" i="3"/>
  <c r="CO86" i="3"/>
  <c r="CM86" i="3"/>
  <c r="CE86" i="3"/>
  <c r="BL381" i="3"/>
  <c r="CA381" i="3"/>
  <c r="Q225" i="3"/>
  <c r="CK544" i="3"/>
  <c r="CA544" i="3"/>
  <c r="BL581" i="3"/>
  <c r="BT526" i="3"/>
  <c r="CJ512" i="3"/>
  <c r="CI581" i="3"/>
  <c r="BQ581" i="3"/>
  <c r="CO544" i="3"/>
  <c r="BY400" i="3"/>
  <c r="CE359" i="3"/>
  <c r="F362" i="3"/>
  <c r="BJ362" i="3" s="1"/>
  <c r="CE415" i="3"/>
  <c r="CI346" i="3"/>
  <c r="CI310" i="3"/>
  <c r="BS369" i="3"/>
  <c r="Q297" i="3"/>
  <c r="BW248" i="3"/>
  <c r="CK167" i="3"/>
  <c r="CI167" i="3"/>
  <c r="BN224" i="3"/>
  <c r="BS225" i="3"/>
  <c r="CC55" i="3"/>
  <c r="CA585" i="3"/>
  <c r="CH502" i="3"/>
  <c r="CI503" i="3"/>
  <c r="CC500" i="3"/>
  <c r="CM339" i="3"/>
  <c r="BS201" i="3"/>
  <c r="CE201" i="3"/>
  <c r="BY201" i="3"/>
  <c r="BW201" i="3"/>
  <c r="BU201" i="3"/>
  <c r="CO39" i="3"/>
  <c r="CE39" i="3"/>
  <c r="BU39" i="3"/>
  <c r="CE390" i="3"/>
  <c r="BW505" i="3"/>
  <c r="F71" i="3"/>
  <c r="D73" i="3"/>
  <c r="CM325" i="3"/>
  <c r="CI483" i="3"/>
  <c r="BQ483" i="3"/>
  <c r="BL483" i="3"/>
  <c r="BS192" i="3"/>
  <c r="BQ192" i="3"/>
  <c r="CK192" i="3"/>
  <c r="CM585" i="3"/>
  <c r="BV397" i="3"/>
  <c r="BW381" i="3"/>
  <c r="BQ297" i="3"/>
  <c r="Q192" i="3"/>
  <c r="CO55" i="3"/>
  <c r="BY513" i="3"/>
  <c r="BX512" i="3"/>
  <c r="CI500" i="3"/>
  <c r="CG546" i="3"/>
  <c r="BU546" i="3"/>
  <c r="CK546" i="3"/>
  <c r="Q546" i="3"/>
  <c r="CB406" i="3"/>
  <c r="CC407" i="3"/>
  <c r="BS304" i="3"/>
  <c r="CA304" i="3"/>
  <c r="BL304" i="3"/>
  <c r="BU304" i="3"/>
  <c r="BQ304" i="3"/>
  <c r="BW297" i="3"/>
  <c r="BY475" i="3"/>
  <c r="BX473" i="3"/>
  <c r="CC304" i="3"/>
  <c r="BS27" i="3"/>
  <c r="BQ27" i="3"/>
  <c r="Q27" i="3"/>
  <c r="CI27" i="3"/>
  <c r="CG27" i="3"/>
  <c r="BU27" i="3"/>
  <c r="BW27" i="3"/>
  <c r="CK569" i="3"/>
  <c r="CK483" i="3"/>
  <c r="CC544" i="3"/>
  <c r="CC369" i="3"/>
  <c r="BQ381" i="3"/>
  <c r="BW533" i="3"/>
  <c r="CK381" i="3"/>
  <c r="CM359" i="3"/>
  <c r="Q359" i="3"/>
  <c r="CJ335" i="3"/>
  <c r="BX376" i="3"/>
  <c r="BQ310" i="3"/>
  <c r="BS297" i="3"/>
  <c r="BQ263" i="3"/>
  <c r="CO263" i="3"/>
  <c r="BU297" i="3"/>
  <c r="CE248" i="3"/>
  <c r="BL192" i="3"/>
  <c r="BU167" i="3"/>
  <c r="CK137" i="3"/>
  <c r="BY192" i="3"/>
  <c r="CK39" i="3"/>
  <c r="BY39" i="3"/>
  <c r="CI55" i="3"/>
  <c r="CO67" i="3"/>
  <c r="BW55" i="3"/>
  <c r="CL526" i="3"/>
  <c r="CM526" i="3" s="1"/>
  <c r="BV584" i="3"/>
  <c r="CK549" i="3"/>
  <c r="CE549" i="3"/>
  <c r="BU489" i="3"/>
  <c r="BS489" i="3"/>
  <c r="D488" i="3"/>
  <c r="D487" i="3" s="1"/>
  <c r="BL487" i="3" s="1"/>
  <c r="CC489" i="3"/>
  <c r="CA489" i="3"/>
  <c r="CM489" i="3"/>
  <c r="BY489" i="3"/>
  <c r="BW489" i="3"/>
  <c r="CC307" i="3"/>
  <c r="BQ307" i="3"/>
  <c r="BU500" i="3"/>
  <c r="CE496" i="3"/>
  <c r="BS496" i="3"/>
  <c r="BQ496" i="3"/>
  <c r="CO496" i="3"/>
  <c r="BL496" i="3"/>
  <c r="CM496" i="3"/>
  <c r="Q496" i="3"/>
  <c r="CK496" i="3"/>
  <c r="CG496" i="3"/>
  <c r="BY496" i="3"/>
  <c r="CI496" i="3"/>
  <c r="BW496" i="3"/>
  <c r="BU496" i="3"/>
  <c r="CK88" i="3"/>
  <c r="CO88" i="3"/>
  <c r="CM88" i="3"/>
  <c r="CE88" i="3"/>
  <c r="BY88" i="3"/>
  <c r="BW88" i="3"/>
  <c r="BS88" i="3"/>
  <c r="BQ88" i="3"/>
  <c r="BU88" i="3"/>
  <c r="CK387" i="3"/>
  <c r="BW387" i="3"/>
  <c r="CK359" i="3"/>
  <c r="BM219" i="3"/>
  <c r="CO225" i="3"/>
  <c r="CA500" i="3"/>
  <c r="CC381" i="3"/>
  <c r="BS167" i="3"/>
  <c r="BW503" i="3"/>
  <c r="BV502" i="3"/>
  <c r="BU359" i="3"/>
  <c r="CG390" i="3"/>
  <c r="Q390" i="3"/>
  <c r="CM546" i="3"/>
  <c r="BU483" i="3"/>
  <c r="CE585" i="3"/>
  <c r="BZ413" i="3"/>
  <c r="Q381" i="3"/>
  <c r="CK392" i="3"/>
  <c r="BL359" i="3"/>
  <c r="BW359" i="3"/>
  <c r="CK454" i="3"/>
  <c r="BS310" i="3"/>
  <c r="CK369" i="3"/>
  <c r="CG297" i="3"/>
  <c r="CC263" i="3"/>
  <c r="CA297" i="3"/>
  <c r="CK248" i="3"/>
  <c r="CA201" i="3"/>
  <c r="BW167" i="3"/>
  <c r="CM167" i="3"/>
  <c r="CG39" i="3"/>
  <c r="BS61" i="3"/>
  <c r="BL491" i="3"/>
  <c r="Q491" i="3"/>
  <c r="CK491" i="3"/>
  <c r="CI491" i="3"/>
  <c r="CG491" i="3"/>
  <c r="CC491" i="3"/>
  <c r="BY491" i="3"/>
  <c r="BW491" i="3"/>
  <c r="CE491" i="3"/>
  <c r="BU324" i="3"/>
  <c r="BT323" i="3"/>
  <c r="CI405" i="3"/>
  <c r="BU405" i="3"/>
  <c r="BS405" i="3"/>
  <c r="CE405" i="3"/>
  <c r="CC405" i="3"/>
  <c r="CA405" i="3"/>
  <c r="BW405" i="3"/>
  <c r="BY405" i="3"/>
  <c r="CG348" i="3"/>
  <c r="BW348" i="3"/>
  <c r="BS348" i="3"/>
  <c r="BQ348" i="3"/>
  <c r="CB526" i="3"/>
  <c r="CC527" i="3"/>
  <c r="CK500" i="3"/>
  <c r="CI325" i="3"/>
  <c r="H17" i="3"/>
  <c r="CE505" i="3"/>
  <c r="BW407" i="3"/>
  <c r="BV406" i="3"/>
  <c r="BW301" i="3"/>
  <c r="CE304" i="3"/>
  <c r="BY263" i="3"/>
  <c r="Q339" i="3"/>
  <c r="CG339" i="3"/>
  <c r="BS339" i="3"/>
  <c r="BQ339" i="3"/>
  <c r="BL339" i="3"/>
  <c r="BY415" i="3"/>
  <c r="CG483" i="3"/>
  <c r="BW310" i="3"/>
  <c r="D306" i="3"/>
  <c r="BL306" i="3" s="1"/>
  <c r="BU585" i="3"/>
  <c r="BL585" i="3"/>
  <c r="CA538" i="3"/>
  <c r="CM544" i="3"/>
  <c r="BQ544" i="3"/>
  <c r="BW483" i="3"/>
  <c r="CG544" i="3"/>
  <c r="CD526" i="3"/>
  <c r="CE526" i="3" s="1"/>
  <c r="BU503" i="3"/>
  <c r="BY454" i="3"/>
  <c r="BQ359" i="3"/>
  <c r="BS325" i="3"/>
  <c r="CE364" i="3"/>
  <c r="CI292" i="3"/>
  <c r="CI280" i="3"/>
  <c r="BL310" i="3"/>
  <c r="BW369" i="3"/>
  <c r="CA225" i="3"/>
  <c r="BQ248" i="3"/>
  <c r="CC137" i="3"/>
  <c r="CA137" i="3"/>
  <c r="Q39" i="3"/>
  <c r="CI551" i="3"/>
  <c r="CH550" i="3"/>
  <c r="CI550" i="3" s="1"/>
  <c r="CC470" i="3"/>
  <c r="BY470" i="3"/>
  <c r="BW470" i="3"/>
  <c r="CE470" i="3"/>
  <c r="CK558" i="3"/>
  <c r="CE558" i="3"/>
  <c r="CO381" i="3"/>
  <c r="CE402" i="3"/>
  <c r="BS402" i="3"/>
  <c r="BQ402" i="3"/>
  <c r="CA402" i="3"/>
  <c r="BY402" i="3"/>
  <c r="BU402" i="3"/>
  <c r="BW402" i="3"/>
  <c r="CM500" i="3"/>
  <c r="BL553" i="3"/>
  <c r="D552" i="3"/>
  <c r="CE552" i="3" s="1"/>
  <c r="BW302" i="3"/>
  <c r="BY447" i="3"/>
  <c r="BW447" i="3"/>
  <c r="BU447" i="3"/>
  <c r="CO447" i="3"/>
  <c r="BS447" i="3"/>
  <c r="CM447" i="3"/>
  <c r="BQ447" i="3"/>
  <c r="CK447" i="3"/>
  <c r="CE447" i="3"/>
  <c r="Q447" i="3"/>
  <c r="CI447" i="3"/>
  <c r="CG447" i="3"/>
  <c r="BL447" i="3"/>
  <c r="D446" i="3"/>
  <c r="CC446" i="3" s="1"/>
  <c r="BU339" i="3"/>
  <c r="BU436" i="3"/>
  <c r="CI436" i="3"/>
  <c r="CO436" i="3"/>
  <c r="CA447" i="3"/>
  <c r="CC475" i="3"/>
  <c r="CB473" i="3"/>
  <c r="BQ280" i="3"/>
  <c r="BL280" i="3"/>
  <c r="BW51" i="3"/>
  <c r="CI51" i="3"/>
  <c r="BY51" i="3"/>
  <c r="BL51" i="3"/>
  <c r="BY167" i="3"/>
  <c r="CE167" i="3"/>
  <c r="BQ167" i="3"/>
  <c r="BL167" i="3"/>
  <c r="CG167" i="3"/>
  <c r="Q585" i="3"/>
  <c r="BS581" i="3"/>
  <c r="BQ585" i="3"/>
  <c r="D579" i="3"/>
  <c r="D578" i="3" s="1"/>
  <c r="BU578" i="3" s="1"/>
  <c r="D545" i="3"/>
  <c r="CA545" i="3" s="1"/>
  <c r="CH568" i="3"/>
  <c r="CE538" i="3"/>
  <c r="CM483" i="3"/>
  <c r="BY483" i="3"/>
  <c r="BS544" i="3"/>
  <c r="CA361" i="3"/>
  <c r="CA390" i="3"/>
  <c r="Q325" i="3"/>
  <c r="CE348" i="3"/>
  <c r="CM364" i="3"/>
  <c r="BL301" i="3"/>
  <c r="BU310" i="3"/>
  <c r="CI369" i="3"/>
  <c r="CA163" i="3"/>
  <c r="CO248" i="3"/>
  <c r="BW225" i="3"/>
  <c r="CC167" i="3"/>
  <c r="D77" i="3"/>
  <c r="BQ77" i="3" s="1"/>
  <c r="BY546" i="3"/>
  <c r="CM381" i="3"/>
  <c r="BW500" i="3"/>
  <c r="CO339" i="3"/>
  <c r="CK56" i="3"/>
  <c r="CO56" i="3"/>
  <c r="BY56" i="3"/>
  <c r="CM56" i="3"/>
  <c r="BU56" i="3"/>
  <c r="BQ56" i="3"/>
  <c r="BW56" i="3"/>
  <c r="BY301" i="3"/>
  <c r="BZ301" i="3"/>
  <c r="CC575" i="3"/>
  <c r="BU325" i="3"/>
  <c r="CE19" i="3"/>
  <c r="Q19" i="3"/>
  <c r="BU19" i="3"/>
  <c r="CG19" i="3"/>
  <c r="CI19" i="3"/>
  <c r="CM328" i="3"/>
  <c r="BZ406" i="3"/>
  <c r="CA407" i="3"/>
  <c r="BT473" i="3"/>
  <c r="CG176" i="3"/>
  <c r="CO27" i="3"/>
  <c r="BL302" i="3"/>
  <c r="CN568" i="3"/>
  <c r="CO585" i="3"/>
  <c r="CG359" i="3"/>
  <c r="CG310" i="3"/>
  <c r="F298" i="3"/>
  <c r="BM298" i="3" s="1"/>
  <c r="CE544" i="3"/>
  <c r="CG585" i="3"/>
  <c r="BW581" i="3"/>
  <c r="D584" i="3"/>
  <c r="BS533" i="3"/>
  <c r="CK499" i="3"/>
  <c r="CC483" i="3"/>
  <c r="BU544" i="3"/>
  <c r="D441" i="3"/>
  <c r="BW441" i="3" s="1"/>
  <c r="CO525" i="3"/>
  <c r="BW398" i="3"/>
  <c r="BS483" i="3"/>
  <c r="CJ416" i="3"/>
  <c r="CI395" i="3"/>
  <c r="BY361" i="3"/>
  <c r="CI390" i="3"/>
  <c r="BY369" i="3"/>
  <c r="CC351" i="3"/>
  <c r="BL390" i="3"/>
  <c r="CO364" i="3"/>
  <c r="CC360" i="3"/>
  <c r="BZ338" i="3"/>
  <c r="I242" i="3"/>
  <c r="BY346" i="3"/>
  <c r="BV291" i="3"/>
  <c r="CI340" i="3"/>
  <c r="BU369" i="3"/>
  <c r="BW281" i="3"/>
  <c r="BL248" i="3"/>
  <c r="BS248" i="3"/>
  <c r="BY225" i="3"/>
  <c r="CG86" i="3"/>
  <c r="CA86" i="3"/>
  <c r="CB498" i="3"/>
  <c r="CC499" i="3"/>
  <c r="CA359" i="3"/>
  <c r="Q399" i="3"/>
  <c r="BS399" i="3"/>
  <c r="BQ399" i="3"/>
  <c r="BL399" i="3"/>
  <c r="CG399" i="3"/>
  <c r="CK263" i="3"/>
  <c r="BW339" i="3"/>
  <c r="CD323" i="3"/>
  <c r="BV391" i="3"/>
  <c r="CK251" i="3"/>
  <c r="BY251" i="3"/>
  <c r="BS251" i="3"/>
  <c r="CA184" i="3"/>
  <c r="CB184" i="3"/>
  <c r="BQ407" i="3"/>
  <c r="CG407" i="3"/>
  <c r="BL407" i="3"/>
  <c r="Q407" i="3"/>
  <c r="BS407" i="3"/>
  <c r="D406" i="3"/>
  <c r="CM406" i="3" s="1"/>
  <c r="CE292" i="3"/>
  <c r="Q310" i="3"/>
  <c r="CE310" i="3"/>
  <c r="CG381" i="3"/>
  <c r="Q544" i="3"/>
  <c r="BY248" i="3"/>
  <c r="CE586" i="3"/>
  <c r="BY581" i="3"/>
  <c r="BL546" i="3"/>
  <c r="CM475" i="3"/>
  <c r="Q483" i="3"/>
  <c r="BL544" i="3"/>
  <c r="CC390" i="3"/>
  <c r="CC319" i="3"/>
  <c r="CA339" i="3"/>
  <c r="CA417" i="3"/>
  <c r="H242" i="3"/>
  <c r="CM281" i="3"/>
  <c r="CK201" i="3"/>
  <c r="CA248" i="3"/>
  <c r="Q86" i="3"/>
  <c r="CC86" i="3"/>
  <c r="CI39" i="3"/>
  <c r="D108" i="3"/>
  <c r="Q108" i="3" s="1"/>
  <c r="BZ584" i="3"/>
  <c r="CC549" i="3"/>
  <c r="BY500" i="3"/>
  <c r="BY381" i="3"/>
  <c r="CO546" i="3"/>
  <c r="BQ272" i="3"/>
  <c r="D271" i="3"/>
  <c r="BU220" i="3"/>
  <c r="BV220" i="3"/>
  <c r="CC447" i="3"/>
  <c r="CE280" i="3"/>
  <c r="BY325" i="3"/>
  <c r="Q48" i="3"/>
  <c r="CM48" i="3"/>
  <c r="BS48" i="3"/>
  <c r="BQ48" i="3"/>
  <c r="BL48" i="3"/>
  <c r="BY332" i="3"/>
  <c r="CG332" i="3"/>
  <c r="BW332" i="3"/>
  <c r="CI332" i="3"/>
  <c r="CM332" i="3"/>
  <c r="CK332" i="3"/>
  <c r="BL332" i="3"/>
  <c r="BL286" i="3"/>
  <c r="BS286" i="3"/>
  <c r="CG286" i="3"/>
  <c r="D285" i="3"/>
  <c r="Q286" i="3"/>
  <c r="BQ286" i="3"/>
  <c r="BU286" i="3"/>
  <c r="F487" i="3"/>
  <c r="BM487" i="3" s="1"/>
  <c r="BM488" i="3"/>
  <c r="BS524" i="3"/>
  <c r="BQ524" i="3"/>
  <c r="D523" i="3"/>
  <c r="CO523" i="3" s="1"/>
  <c r="BL524" i="3"/>
  <c r="Q524" i="3"/>
  <c r="CK524" i="3"/>
  <c r="CA524" i="3"/>
  <c r="CG389" i="3"/>
  <c r="CC389" i="3"/>
  <c r="BL389" i="3"/>
  <c r="Q389" i="3"/>
  <c r="CA389" i="3"/>
  <c r="D388" i="3"/>
  <c r="CM388" i="3" s="1"/>
  <c r="BY389" i="3"/>
  <c r="BU389" i="3"/>
  <c r="BQ389" i="3"/>
  <c r="BS389" i="3"/>
  <c r="CO389" i="3"/>
  <c r="CM389" i="3"/>
  <c r="CI389" i="3"/>
  <c r="BU420" i="3"/>
  <c r="BT419" i="3"/>
  <c r="CI74" i="3"/>
  <c r="BL74" i="3"/>
  <c r="CG74" i="3"/>
  <c r="Q74" i="3"/>
  <c r="CE74" i="3"/>
  <c r="CC74" i="3"/>
  <c r="CA74" i="3"/>
  <c r="BY74" i="3"/>
  <c r="BW74" i="3"/>
  <c r="BU74" i="3"/>
  <c r="BS74" i="3"/>
  <c r="CO74" i="3"/>
  <c r="BQ74" i="3"/>
  <c r="CM74" i="3"/>
  <c r="CK74" i="3"/>
  <c r="CI589" i="3"/>
  <c r="CH587" i="3"/>
  <c r="BW528" i="3"/>
  <c r="BV526" i="3"/>
  <c r="BW526" i="3" s="1"/>
  <c r="BV552" i="3"/>
  <c r="BW553" i="3"/>
  <c r="BZ502" i="3"/>
  <c r="CA503" i="3"/>
  <c r="D517" i="3"/>
  <c r="CE517" i="3" s="1"/>
  <c r="BW570" i="3"/>
  <c r="BV568" i="3"/>
  <c r="CI536" i="3"/>
  <c r="BL536" i="3"/>
  <c r="BY536" i="3"/>
  <c r="CG536" i="3"/>
  <c r="CE536" i="3"/>
  <c r="CC536" i="3"/>
  <c r="BW536" i="3"/>
  <c r="BU536" i="3"/>
  <c r="BS536" i="3"/>
  <c r="CA536" i="3"/>
  <c r="BQ536" i="3"/>
  <c r="CO536" i="3"/>
  <c r="CM536" i="3"/>
  <c r="CK536" i="3"/>
  <c r="Q536" i="3"/>
  <c r="D534" i="3"/>
  <c r="BV554" i="3"/>
  <c r="CH523" i="3"/>
  <c r="CI524" i="3"/>
  <c r="CO393" i="3"/>
  <c r="BU431" i="3"/>
  <c r="CN397" i="3"/>
  <c r="CO398" i="3"/>
  <c r="BZ388" i="3"/>
  <c r="CA490" i="3"/>
  <c r="BY490" i="3"/>
  <c r="BW490" i="3"/>
  <c r="BQ490" i="3"/>
  <c r="CM490" i="3"/>
  <c r="Q490" i="3"/>
  <c r="CE490" i="3"/>
  <c r="BU490" i="3"/>
  <c r="BS490" i="3"/>
  <c r="CO490" i="3"/>
  <c r="CK490" i="3"/>
  <c r="CI490" i="3"/>
  <c r="CG490" i="3"/>
  <c r="CC490" i="3"/>
  <c r="BL490" i="3"/>
  <c r="CN391" i="3"/>
  <c r="BM419" i="3"/>
  <c r="BM376" i="3"/>
  <c r="CM349" i="3"/>
  <c r="CL347" i="3"/>
  <c r="CM347" i="3" s="1"/>
  <c r="BM433" i="3"/>
  <c r="BU327" i="3"/>
  <c r="BT326" i="3"/>
  <c r="BU287" i="3"/>
  <c r="BT285" i="3"/>
  <c r="CE308" i="3"/>
  <c r="CD306" i="3"/>
  <c r="BX258" i="3"/>
  <c r="BY259" i="3"/>
  <c r="CE234" i="3"/>
  <c r="BS234" i="3"/>
  <c r="Q234" i="3"/>
  <c r="BU234" i="3"/>
  <c r="BY234" i="3"/>
  <c r="BL234" i="3"/>
  <c r="CJ550" i="3"/>
  <c r="CK550" i="3" s="1"/>
  <c r="CK551" i="3"/>
  <c r="CE392" i="3"/>
  <c r="CD391" i="3"/>
  <c r="BM403" i="3"/>
  <c r="CA510" i="3"/>
  <c r="CM510" i="3"/>
  <c r="CK510" i="3"/>
  <c r="BL510" i="3"/>
  <c r="CI510" i="3"/>
  <c r="Q510" i="3"/>
  <c r="CC510" i="3"/>
  <c r="BY510" i="3"/>
  <c r="BS510" i="3"/>
  <c r="D509" i="3"/>
  <c r="D506" i="3" s="1"/>
  <c r="CG506" i="3" s="1"/>
  <c r="CO510" i="3"/>
  <c r="BQ510" i="3"/>
  <c r="CE510" i="3"/>
  <c r="BW510" i="3"/>
  <c r="BU510" i="3"/>
  <c r="CG510" i="3"/>
  <c r="CM463" i="3"/>
  <c r="CK463" i="3"/>
  <c r="CG463" i="3"/>
  <c r="CE463" i="3"/>
  <c r="CA463" i="3"/>
  <c r="BY463" i="3"/>
  <c r="BW463" i="3"/>
  <c r="BQ463" i="3"/>
  <c r="Q463" i="3"/>
  <c r="CI463" i="3"/>
  <c r="CC463" i="3"/>
  <c r="CO463" i="3"/>
  <c r="BU463" i="3"/>
  <c r="BL463" i="3"/>
  <c r="BS463" i="3"/>
  <c r="BM317" i="3"/>
  <c r="CK415" i="3"/>
  <c r="CJ413" i="3"/>
  <c r="BW389" i="3"/>
  <c r="BY281" i="3"/>
  <c r="BX279" i="3"/>
  <c r="CK528" i="3"/>
  <c r="CJ526" i="3"/>
  <c r="CJ537" i="3"/>
  <c r="CK538" i="3"/>
  <c r="CE550" i="3"/>
  <c r="CF498" i="3"/>
  <c r="CG499" i="3"/>
  <c r="BX523" i="3"/>
  <c r="BY524" i="3"/>
  <c r="CO507" i="3"/>
  <c r="CK467" i="3"/>
  <c r="BS467" i="3"/>
  <c r="BQ467" i="3"/>
  <c r="BL467" i="3"/>
  <c r="BU467" i="3"/>
  <c r="CC467" i="3"/>
  <c r="BY467" i="3"/>
  <c r="Q467" i="3"/>
  <c r="CA467" i="3"/>
  <c r="CO467" i="3"/>
  <c r="CG467" i="3"/>
  <c r="CM467" i="3"/>
  <c r="CE467" i="3"/>
  <c r="CM479" i="3"/>
  <c r="CA479" i="3"/>
  <c r="CO479" i="3"/>
  <c r="BU479" i="3"/>
  <c r="BS479" i="3"/>
  <c r="BL479" i="3"/>
  <c r="CK479" i="3"/>
  <c r="Q479" i="3"/>
  <c r="CE479" i="3"/>
  <c r="CG479" i="3"/>
  <c r="CI479" i="3"/>
  <c r="CC479" i="3"/>
  <c r="BY479" i="3"/>
  <c r="BW479" i="3"/>
  <c r="BQ479" i="3"/>
  <c r="CO390" i="3"/>
  <c r="BX419" i="3"/>
  <c r="BY420" i="3"/>
  <c r="CO352" i="3"/>
  <c r="CM371" i="3"/>
  <c r="CL370" i="3"/>
  <c r="CJ356" i="3"/>
  <c r="BL287" i="3"/>
  <c r="Q287" i="3"/>
  <c r="BS287" i="3"/>
  <c r="BQ287" i="3"/>
  <c r="CG287" i="3"/>
  <c r="CC287" i="3"/>
  <c r="BW287" i="3"/>
  <c r="CB213" i="3"/>
  <c r="CO102" i="3"/>
  <c r="BQ102" i="3"/>
  <c r="CM102" i="3"/>
  <c r="CK102" i="3"/>
  <c r="CI102" i="3"/>
  <c r="BL102" i="3"/>
  <c r="CG102" i="3"/>
  <c r="Q102" i="3"/>
  <c r="CE102" i="3"/>
  <c r="CC102" i="3"/>
  <c r="CA102" i="3"/>
  <c r="BY102" i="3"/>
  <c r="BW102" i="3"/>
  <c r="BU102" i="3"/>
  <c r="BS102" i="3"/>
  <c r="CA582" i="3"/>
  <c r="BY582" i="3"/>
  <c r="BU582" i="3"/>
  <c r="CG582" i="3"/>
  <c r="CE582" i="3"/>
  <c r="BS582" i="3"/>
  <c r="BQ582" i="3"/>
  <c r="CK582" i="3"/>
  <c r="CI582" i="3"/>
  <c r="CC582" i="3"/>
  <c r="BW582" i="3"/>
  <c r="Q582" i="3"/>
  <c r="CM582" i="3"/>
  <c r="CO582" i="3"/>
  <c r="BL582" i="3"/>
  <c r="CG38" i="3"/>
  <c r="Q38" i="3"/>
  <c r="CE38" i="3"/>
  <c r="CC38" i="3"/>
  <c r="CA38" i="3"/>
  <c r="BY38" i="3"/>
  <c r="BW38" i="3"/>
  <c r="BS38" i="3"/>
  <c r="BQ38" i="3"/>
  <c r="CM38" i="3"/>
  <c r="CK38" i="3"/>
  <c r="BL38" i="3"/>
  <c r="CI38" i="3"/>
  <c r="BU38" i="3"/>
  <c r="CO38" i="3"/>
  <c r="CG209" i="3"/>
  <c r="BN481" i="3"/>
  <c r="CA398" i="3"/>
  <c r="BZ397" i="3"/>
  <c r="BW404" i="3"/>
  <c r="D403" i="3"/>
  <c r="BU404" i="3"/>
  <c r="BS404" i="3"/>
  <c r="CM404" i="3"/>
  <c r="CG404" i="3"/>
  <c r="CE404" i="3"/>
  <c r="CC404" i="3"/>
  <c r="CA404" i="3"/>
  <c r="BY404" i="3"/>
  <c r="CI404" i="3"/>
  <c r="BQ404" i="3"/>
  <c r="Q404" i="3"/>
  <c r="CO404" i="3"/>
  <c r="BL404" i="3"/>
  <c r="CK404" i="3"/>
  <c r="CB306" i="3"/>
  <c r="CC308" i="3"/>
  <c r="BT224" i="3"/>
  <c r="CI52" i="3"/>
  <c r="BL52" i="3"/>
  <c r="CG52" i="3"/>
  <c r="Q52" i="3"/>
  <c r="CE52" i="3"/>
  <c r="CC52" i="3"/>
  <c r="CA52" i="3"/>
  <c r="BY52" i="3"/>
  <c r="BW52" i="3"/>
  <c r="BU52" i="3"/>
  <c r="BS52" i="3"/>
  <c r="CO52" i="3"/>
  <c r="BQ52" i="3"/>
  <c r="CM52" i="3"/>
  <c r="CK52" i="3"/>
  <c r="BY585" i="3"/>
  <c r="BX584" i="3"/>
  <c r="CK577" i="3"/>
  <c r="CJ576" i="3"/>
  <c r="BS588" i="3"/>
  <c r="BQ588" i="3"/>
  <c r="D587" i="3"/>
  <c r="BY587" i="3" s="1"/>
  <c r="BU588" i="3"/>
  <c r="Q588" i="3"/>
  <c r="CG588" i="3"/>
  <c r="BL588" i="3"/>
  <c r="CI559" i="3"/>
  <c r="CH557" i="3"/>
  <c r="BY577" i="3"/>
  <c r="CH498" i="3"/>
  <c r="CI499" i="3"/>
  <c r="CK507" i="3"/>
  <c r="BZ514" i="3"/>
  <c r="BL445" i="3"/>
  <c r="Q445" i="3"/>
  <c r="BS445" i="3"/>
  <c r="BQ445" i="3"/>
  <c r="CL445" i="3"/>
  <c r="BU445" i="3"/>
  <c r="BW445" i="3"/>
  <c r="CM542" i="3"/>
  <c r="BQ542" i="3"/>
  <c r="BY542" i="3"/>
  <c r="CK542" i="3"/>
  <c r="BL542" i="3"/>
  <c r="D541" i="3"/>
  <c r="CC542" i="3"/>
  <c r="CE542" i="3"/>
  <c r="CA542" i="3"/>
  <c r="BW542" i="3"/>
  <c r="CO542" i="3"/>
  <c r="CI542" i="3"/>
  <c r="BU542" i="3"/>
  <c r="BS542" i="3"/>
  <c r="CG542" i="3"/>
  <c r="Q542" i="3"/>
  <c r="CC450" i="3"/>
  <c r="CA450" i="3"/>
  <c r="CG450" i="3"/>
  <c r="CE450" i="3"/>
  <c r="BW450" i="3"/>
  <c r="BU450" i="3"/>
  <c r="BS450" i="3"/>
  <c r="Q450" i="3"/>
  <c r="CO450" i="3"/>
  <c r="CM450" i="3"/>
  <c r="CI450" i="3"/>
  <c r="BY450" i="3"/>
  <c r="D448" i="3"/>
  <c r="CK450" i="3"/>
  <c r="BQ450" i="3"/>
  <c r="BL450" i="3"/>
  <c r="CM418" i="3"/>
  <c r="CC343" i="3"/>
  <c r="CK343" i="3"/>
  <c r="BL343" i="3"/>
  <c r="CG343" i="3"/>
  <c r="BY343" i="3"/>
  <c r="CI343" i="3"/>
  <c r="CE343" i="3"/>
  <c r="CA343" i="3"/>
  <c r="BW343" i="3"/>
  <c r="BS343" i="3"/>
  <c r="Q343" i="3"/>
  <c r="BU343" i="3"/>
  <c r="BQ343" i="3"/>
  <c r="CM343" i="3"/>
  <c r="BY390" i="3"/>
  <c r="BX388" i="3"/>
  <c r="CO383" i="3"/>
  <c r="CN382" i="3"/>
  <c r="CN350" i="3"/>
  <c r="CO351" i="3"/>
  <c r="CA380" i="3"/>
  <c r="BZ379" i="3"/>
  <c r="BM353" i="3"/>
  <c r="CE358" i="3"/>
  <c r="CD357" i="3"/>
  <c r="BX347" i="3"/>
  <c r="BY347" i="3" s="1"/>
  <c r="CO322" i="3"/>
  <c r="BQ322" i="3"/>
  <c r="CK322" i="3"/>
  <c r="BW322" i="3"/>
  <c r="CG322" i="3"/>
  <c r="CE322" i="3"/>
  <c r="CC322" i="3"/>
  <c r="BY322" i="3"/>
  <c r="CI322" i="3"/>
  <c r="BU322" i="3"/>
  <c r="BS322" i="3"/>
  <c r="CM322" i="3"/>
  <c r="CA322" i="3"/>
  <c r="BL322" i="3"/>
  <c r="Q322" i="3"/>
  <c r="CA342" i="3"/>
  <c r="BZ341" i="3"/>
  <c r="CK371" i="3"/>
  <c r="CJ370" i="3"/>
  <c r="CG259" i="3"/>
  <c r="BL259" i="3"/>
  <c r="BQ259" i="3"/>
  <c r="CM259" i="3"/>
  <c r="Q259" i="3"/>
  <c r="D258" i="3"/>
  <c r="CA258" i="3" s="1"/>
  <c r="BS259" i="3"/>
  <c r="CC259" i="3"/>
  <c r="CE259" i="3"/>
  <c r="CI286" i="3"/>
  <c r="A136" i="3"/>
  <c r="A137" i="3" s="1"/>
  <c r="BZ212" i="3"/>
  <c r="CK40" i="3"/>
  <c r="BY40" i="3"/>
  <c r="BW40" i="3"/>
  <c r="CI40" i="3"/>
  <c r="BU40" i="3"/>
  <c r="BS40" i="3"/>
  <c r="BQ40" i="3"/>
  <c r="BL40" i="3"/>
  <c r="Q40" i="3"/>
  <c r="CM40" i="3"/>
  <c r="CA40" i="3"/>
  <c r="CG40" i="3"/>
  <c r="CC40" i="3"/>
  <c r="CO40" i="3"/>
  <c r="CE40" i="3"/>
  <c r="CN502" i="3"/>
  <c r="CO503" i="3"/>
  <c r="CK389" i="3"/>
  <c r="CJ388" i="3"/>
  <c r="BY445" i="3"/>
  <c r="BZ445" i="3"/>
  <c r="Q230" i="3"/>
  <c r="D229" i="3"/>
  <c r="CG431" i="3"/>
  <c r="CM260" i="3"/>
  <c r="CL257" i="3"/>
  <c r="BY553" i="3"/>
  <c r="BX552" i="3"/>
  <c r="CA570" i="3"/>
  <c r="BZ568" i="3"/>
  <c r="CN498" i="3"/>
  <c r="CO499" i="3"/>
  <c r="CM577" i="3"/>
  <c r="CD584" i="3"/>
  <c r="BN506" i="3"/>
  <c r="CO442" i="3"/>
  <c r="D433" i="3"/>
  <c r="CE433" i="3" s="1"/>
  <c r="CG435" i="3"/>
  <c r="BQ435" i="3"/>
  <c r="BL435" i="3"/>
  <c r="CO435" i="3"/>
  <c r="BW435" i="3"/>
  <c r="Q435" i="3"/>
  <c r="Q433" i="3" s="1"/>
  <c r="BY435" i="3"/>
  <c r="CI435" i="3"/>
  <c r="BU435" i="3"/>
  <c r="CK435" i="3"/>
  <c r="CM435" i="3"/>
  <c r="BS435" i="3"/>
  <c r="CC435" i="3"/>
  <c r="CA435" i="3"/>
  <c r="CE435" i="3"/>
  <c r="BY418" i="3"/>
  <c r="BX416" i="3"/>
  <c r="CL376" i="3"/>
  <c r="CM377" i="3"/>
  <c r="CO337" i="3"/>
  <c r="CO311" i="3"/>
  <c r="CB335" i="3"/>
  <c r="CC336" i="3"/>
  <c r="CK345" i="3"/>
  <c r="CJ344" i="3"/>
  <c r="CE312" i="3"/>
  <c r="BX293" i="3"/>
  <c r="BY294" i="3"/>
  <c r="A262" i="3"/>
  <c r="CI211" i="3"/>
  <c r="BL211" i="3"/>
  <c r="CG211" i="3"/>
  <c r="CE211" i="3"/>
  <c r="Q211" i="3"/>
  <c r="CC211" i="3"/>
  <c r="CA211" i="3"/>
  <c r="BY211" i="3"/>
  <c r="BU211" i="3"/>
  <c r="BS211" i="3"/>
  <c r="BQ211" i="3"/>
  <c r="CM211" i="3"/>
  <c r="CK211" i="3"/>
  <c r="BW211" i="3"/>
  <c r="BL183" i="3"/>
  <c r="Q183" i="3"/>
  <c r="BU183" i="3"/>
  <c r="BS183" i="3"/>
  <c r="BQ183" i="3"/>
  <c r="BW183" i="3"/>
  <c r="BM232" i="3"/>
  <c r="F231" i="3"/>
  <c r="BM231" i="3" s="1"/>
  <c r="CB172" i="3"/>
  <c r="CA172" i="3"/>
  <c r="F501" i="3"/>
  <c r="BJ501" i="3" s="1"/>
  <c r="BM502" i="3"/>
  <c r="CG418" i="3"/>
  <c r="BS418" i="3"/>
  <c r="BL418" i="3"/>
  <c r="Q418" i="3"/>
  <c r="BQ418" i="3"/>
  <c r="D416" i="3"/>
  <c r="CA418" i="3"/>
  <c r="BU418" i="3"/>
  <c r="CC418" i="3"/>
  <c r="CO336" i="3"/>
  <c r="CN335" i="3"/>
  <c r="BM279" i="3"/>
  <c r="CD226" i="3"/>
  <c r="CC226" i="3"/>
  <c r="CB225" i="3"/>
  <c r="CC225" i="3" s="1"/>
  <c r="CM203" i="3"/>
  <c r="BQ203" i="3"/>
  <c r="CK203" i="3"/>
  <c r="CI203" i="3"/>
  <c r="CG203" i="3"/>
  <c r="BL203" i="3"/>
  <c r="CE203" i="3"/>
  <c r="Q203" i="3"/>
  <c r="CC203" i="3"/>
  <c r="BY203" i="3"/>
  <c r="BW203" i="3"/>
  <c r="BU203" i="3"/>
  <c r="BS203" i="3"/>
  <c r="CO203" i="3"/>
  <c r="CA203" i="3"/>
  <c r="D200" i="3"/>
  <c r="CM200" i="3" s="1"/>
  <c r="CB192" i="3"/>
  <c r="CA192" i="3"/>
  <c r="CB571" i="3"/>
  <c r="CC572" i="3"/>
  <c r="CK586" i="3"/>
  <c r="CJ584" i="3"/>
  <c r="CE572" i="3"/>
  <c r="CD571" i="3"/>
  <c r="CM561" i="3"/>
  <c r="CL560" i="3"/>
  <c r="CC588" i="3"/>
  <c r="CB587" i="3"/>
  <c r="CI588" i="3"/>
  <c r="BN554" i="3"/>
  <c r="BM554" i="3"/>
  <c r="CE524" i="3"/>
  <c r="CD523" i="3"/>
  <c r="F506" i="3"/>
  <c r="BM506" i="3" s="1"/>
  <c r="F439" i="3"/>
  <c r="BJ439" i="3" s="1"/>
  <c r="CJ444" i="3"/>
  <c r="CI444" i="3"/>
  <c r="BV419" i="3"/>
  <c r="BW420" i="3"/>
  <c r="CN376" i="3"/>
  <c r="CO377" i="3"/>
  <c r="D341" i="3"/>
  <c r="BM347" i="3"/>
  <c r="BM329" i="3"/>
  <c r="BY311" i="3"/>
  <c r="BX306" i="3"/>
  <c r="CI287" i="3"/>
  <c r="CH285" i="3"/>
  <c r="CK275" i="3"/>
  <c r="BQ275" i="3"/>
  <c r="CO275" i="3"/>
  <c r="CM275" i="3"/>
  <c r="BL275" i="3"/>
  <c r="CI275" i="3"/>
  <c r="Q275" i="3"/>
  <c r="CC275" i="3"/>
  <c r="BY275" i="3"/>
  <c r="BW275" i="3"/>
  <c r="BU275" i="3"/>
  <c r="CG275" i="3"/>
  <c r="CA275" i="3"/>
  <c r="BS275" i="3"/>
  <c r="CE275" i="3"/>
  <c r="D273" i="3"/>
  <c r="CM256" i="3"/>
  <c r="CK256" i="3"/>
  <c r="CI256" i="3"/>
  <c r="BL256" i="3"/>
  <c r="CG256" i="3"/>
  <c r="Q256" i="3"/>
  <c r="CA256" i="3"/>
  <c r="BW256" i="3"/>
  <c r="CE256" i="3"/>
  <c r="BY256" i="3"/>
  <c r="BU256" i="3"/>
  <c r="BS256" i="3"/>
  <c r="BQ256" i="3"/>
  <c r="CO256" i="3"/>
  <c r="CC256" i="3"/>
  <c r="CC281" i="3"/>
  <c r="CB279" i="3"/>
  <c r="CC279" i="3" s="1"/>
  <c r="BN252" i="3"/>
  <c r="BS290" i="3"/>
  <c r="CO290" i="3"/>
  <c r="BQ290" i="3"/>
  <c r="CM290" i="3"/>
  <c r="CK290" i="3"/>
  <c r="CA290" i="3"/>
  <c r="BY290" i="3"/>
  <c r="BW290" i="3"/>
  <c r="BU290" i="3"/>
  <c r="Q290" i="3"/>
  <c r="CI290" i="3"/>
  <c r="CG290" i="3"/>
  <c r="CE290" i="3"/>
  <c r="CC290" i="3"/>
  <c r="BL290" i="3"/>
  <c r="CA115" i="3"/>
  <c r="BW115" i="3"/>
  <c r="BS115" i="3"/>
  <c r="BW145" i="3"/>
  <c r="BV144" i="3"/>
  <c r="BW144" i="3" s="1"/>
  <c r="A24" i="3"/>
  <c r="A25" i="3" s="1"/>
  <c r="BV539" i="3"/>
  <c r="BT538" i="3"/>
  <c r="BU539" i="3"/>
  <c r="CD514" i="3"/>
  <c r="CG550" i="3"/>
  <c r="Q550" i="3"/>
  <c r="BL550" i="3"/>
  <c r="BQ550" i="3"/>
  <c r="CL552" i="3"/>
  <c r="CM553" i="3"/>
  <c r="CJ587" i="3"/>
  <c r="CK588" i="3"/>
  <c r="BQ526" i="3"/>
  <c r="Q586" i="3"/>
  <c r="CG586" i="3"/>
  <c r="BQ586" i="3"/>
  <c r="BS586" i="3"/>
  <c r="BL586" i="3"/>
  <c r="CM586" i="3"/>
  <c r="CA586" i="3"/>
  <c r="BW586" i="3"/>
  <c r="CO561" i="3"/>
  <c r="CN560" i="3"/>
  <c r="CE588" i="3"/>
  <c r="CD587" i="3"/>
  <c r="CI519" i="3"/>
  <c r="CE424" i="3"/>
  <c r="CC424" i="3"/>
  <c r="BY424" i="3"/>
  <c r="CK424" i="3"/>
  <c r="CI424" i="3"/>
  <c r="CG424" i="3"/>
  <c r="BW424" i="3"/>
  <c r="BQ424" i="3"/>
  <c r="BL424" i="3"/>
  <c r="Q424" i="3"/>
  <c r="BU424" i="3"/>
  <c r="BS424" i="3"/>
  <c r="CA424" i="3"/>
  <c r="CO424" i="3"/>
  <c r="CG524" i="3"/>
  <c r="CF523" i="3"/>
  <c r="CD397" i="3"/>
  <c r="CE398" i="3"/>
  <c r="BL474" i="3"/>
  <c r="Q474" i="3"/>
  <c r="BQ474" i="3"/>
  <c r="D473" i="3"/>
  <c r="BW473" i="3" s="1"/>
  <c r="BS474" i="3"/>
  <c r="CI474" i="3"/>
  <c r="CC474" i="3"/>
  <c r="CK474" i="3"/>
  <c r="CO474" i="3"/>
  <c r="BY474" i="3"/>
  <c r="CM474" i="3"/>
  <c r="CG474" i="3"/>
  <c r="BU474" i="3"/>
  <c r="BW474" i="3"/>
  <c r="CI328" i="3"/>
  <c r="CH326" i="3"/>
  <c r="BZ376" i="3"/>
  <c r="CA377" i="3"/>
  <c r="CE315" i="3"/>
  <c r="CA315" i="3"/>
  <c r="BW315" i="3"/>
  <c r="CK315" i="3"/>
  <c r="Q315" i="3"/>
  <c r="BS315" i="3"/>
  <c r="BQ315" i="3"/>
  <c r="D314" i="3"/>
  <c r="CM315" i="3"/>
  <c r="CO315" i="3"/>
  <c r="CI315" i="3"/>
  <c r="CG315" i="3"/>
  <c r="CC315" i="3"/>
  <c r="BU315" i="3"/>
  <c r="BL315" i="3"/>
  <c r="BY315" i="3"/>
  <c r="CO343" i="3"/>
  <c r="CO415" i="3"/>
  <c r="CN413" i="3"/>
  <c r="BT317" i="3"/>
  <c r="BU318" i="3"/>
  <c r="BV262" i="3"/>
  <c r="CM368" i="3"/>
  <c r="CL367" i="3"/>
  <c r="BT262" i="3"/>
  <c r="BN265" i="3"/>
  <c r="BS233" i="3"/>
  <c r="BQ233" i="3"/>
  <c r="D232" i="3"/>
  <c r="BY232" i="3" s="1"/>
  <c r="BU233" i="3"/>
  <c r="BL233" i="3"/>
  <c r="Q233" i="3"/>
  <c r="CM233" i="3"/>
  <c r="BW233" i="3"/>
  <c r="BY233" i="3"/>
  <c r="O227" i="3"/>
  <c r="G224" i="3"/>
  <c r="G16" i="3" s="1"/>
  <c r="CG334" i="3"/>
  <c r="Q334" i="3"/>
  <c r="BQ334" i="3"/>
  <c r="CM334" i="3"/>
  <c r="CE334" i="3"/>
  <c r="CI334" i="3"/>
  <c r="CC334" i="3"/>
  <c r="CA334" i="3"/>
  <c r="BY334" i="3"/>
  <c r="BL334" i="3"/>
  <c r="BW334" i="3"/>
  <c r="BU334" i="3"/>
  <c r="BS334" i="3"/>
  <c r="CK334" i="3"/>
  <c r="CO334" i="3"/>
  <c r="BZ587" i="3"/>
  <c r="CA588" i="3"/>
  <c r="CB502" i="3"/>
  <c r="CC503" i="3"/>
  <c r="BN545" i="3"/>
  <c r="BY570" i="3"/>
  <c r="BX568" i="3"/>
  <c r="CJ557" i="3"/>
  <c r="CK559" i="3"/>
  <c r="CO524" i="3"/>
  <c r="BW378" i="3"/>
  <c r="BV376" i="3"/>
  <c r="CO359" i="3"/>
  <c r="CN357" i="3"/>
  <c r="CN379" i="3"/>
  <c r="CO380" i="3"/>
  <c r="BY354" i="3"/>
  <c r="BW354" i="3"/>
  <c r="D353" i="3"/>
  <c r="BU354" i="3"/>
  <c r="BS354" i="3"/>
  <c r="CO354" i="3"/>
  <c r="Q354" i="3"/>
  <c r="CI354" i="3"/>
  <c r="CG354" i="3"/>
  <c r="CE354" i="3"/>
  <c r="CC354" i="3"/>
  <c r="CA354" i="3"/>
  <c r="CM354" i="3"/>
  <c r="CK354" i="3"/>
  <c r="BL354" i="3"/>
  <c r="BQ354" i="3"/>
  <c r="BT357" i="3"/>
  <c r="BU358" i="3"/>
  <c r="BY575" i="3"/>
  <c r="BX574" i="3"/>
  <c r="BU550" i="3"/>
  <c r="CO550" i="3"/>
  <c r="BS550" i="3"/>
  <c r="F481" i="3"/>
  <c r="BM482" i="3"/>
  <c r="CG384" i="3"/>
  <c r="CF382" i="3"/>
  <c r="BM492" i="3"/>
  <c r="CA428" i="3"/>
  <c r="CB382" i="3"/>
  <c r="CC384" i="3"/>
  <c r="CA474" i="3"/>
  <c r="BZ357" i="3"/>
  <c r="CA358" i="3"/>
  <c r="CK327" i="3"/>
  <c r="CJ326" i="3"/>
  <c r="BS312" i="3"/>
  <c r="Q312" i="3"/>
  <c r="BQ312" i="3"/>
  <c r="BL312" i="3"/>
  <c r="CG312" i="3"/>
  <c r="CC312" i="3"/>
  <c r="BU308" i="3"/>
  <c r="BT306" i="3"/>
  <c r="F265" i="3"/>
  <c r="BM266" i="3"/>
  <c r="CO176" i="3"/>
  <c r="BN130" i="3"/>
  <c r="CC101" i="3"/>
  <c r="CA101" i="3"/>
  <c r="BY101" i="3"/>
  <c r="BW101" i="3"/>
  <c r="BU101" i="3"/>
  <c r="BS101" i="3"/>
  <c r="CO101" i="3"/>
  <c r="BQ101" i="3"/>
  <c r="CM101" i="3"/>
  <c r="CK101" i="3"/>
  <c r="CI101" i="3"/>
  <c r="BL101" i="3"/>
  <c r="CG101" i="3"/>
  <c r="Q101" i="3"/>
  <c r="CE101" i="3"/>
  <c r="CM398" i="3"/>
  <c r="CL397" i="3"/>
  <c r="CM417" i="3"/>
  <c r="CL416" i="3"/>
  <c r="BU336" i="3"/>
  <c r="BT335" i="3"/>
  <c r="D293" i="3"/>
  <c r="CO293" i="3" s="1"/>
  <c r="CG294" i="3"/>
  <c r="BS294" i="3"/>
  <c r="BQ294" i="3"/>
  <c r="Q294" i="3"/>
  <c r="BL294" i="3"/>
  <c r="CO294" i="3"/>
  <c r="D576" i="3"/>
  <c r="CM576" i="3" s="1"/>
  <c r="CC577" i="3"/>
  <c r="Q577" i="3"/>
  <c r="CG577" i="3"/>
  <c r="CO577" i="3"/>
  <c r="BS577" i="3"/>
  <c r="BQ577" i="3"/>
  <c r="CI577" i="3"/>
  <c r="BL577" i="3"/>
  <c r="BW577" i="3"/>
  <c r="CE577" i="3"/>
  <c r="CO589" i="3"/>
  <c r="CK519" i="3"/>
  <c r="CG519" i="3"/>
  <c r="BQ519" i="3"/>
  <c r="BL519" i="3"/>
  <c r="Q519" i="3"/>
  <c r="BS519" i="3"/>
  <c r="CM519" i="3"/>
  <c r="BU519" i="3"/>
  <c r="CA519" i="3"/>
  <c r="CC519" i="3"/>
  <c r="CO519" i="3"/>
  <c r="BY519" i="3"/>
  <c r="BW499" i="3"/>
  <c r="BV498" i="3"/>
  <c r="BX571" i="3"/>
  <c r="BY572" i="3"/>
  <c r="CN554" i="3"/>
  <c r="CB560" i="3"/>
  <c r="CC561" i="3"/>
  <c r="BY563" i="3"/>
  <c r="BW563" i="3"/>
  <c r="CA563" i="3"/>
  <c r="D562" i="3"/>
  <c r="BS562" i="3" s="1"/>
  <c r="CE563" i="3"/>
  <c r="BL563" i="3"/>
  <c r="CO563" i="3"/>
  <c r="Q563" i="3"/>
  <c r="BU563" i="3"/>
  <c r="CM563" i="3"/>
  <c r="CI563" i="3"/>
  <c r="CC563" i="3"/>
  <c r="BQ563" i="3"/>
  <c r="CG563" i="3"/>
  <c r="CK563" i="3"/>
  <c r="CM507" i="3"/>
  <c r="CE507" i="3"/>
  <c r="BS507" i="3"/>
  <c r="BU507" i="3"/>
  <c r="BY507" i="3"/>
  <c r="BL507" i="3"/>
  <c r="CG507" i="3"/>
  <c r="Q507" i="3"/>
  <c r="CI507" i="3"/>
  <c r="BW507" i="3"/>
  <c r="BY550" i="3"/>
  <c r="BY497" i="3"/>
  <c r="BW497" i="3"/>
  <c r="BU497" i="3"/>
  <c r="D495" i="3"/>
  <c r="CI497" i="3"/>
  <c r="Q497" i="3"/>
  <c r="CE497" i="3"/>
  <c r="BS497" i="3"/>
  <c r="BQ497" i="3"/>
  <c r="CM497" i="3"/>
  <c r="CK497" i="3"/>
  <c r="CG497" i="3"/>
  <c r="CC497" i="3"/>
  <c r="CA497" i="3"/>
  <c r="CO497" i="3"/>
  <c r="BL497" i="3"/>
  <c r="BN487" i="3"/>
  <c r="BM382" i="3"/>
  <c r="BL361" i="3"/>
  <c r="Q361" i="3"/>
  <c r="BW361" i="3"/>
  <c r="BS361" i="3"/>
  <c r="CG361" i="3"/>
  <c r="BU361" i="3"/>
  <c r="BQ361" i="3"/>
  <c r="CI361" i="3"/>
  <c r="CC361" i="3"/>
  <c r="CO361" i="3"/>
  <c r="CE361" i="3"/>
  <c r="CK361" i="3"/>
  <c r="CO384" i="3"/>
  <c r="CC358" i="3"/>
  <c r="CB357" i="3"/>
  <c r="CJ350" i="3"/>
  <c r="BY292" i="3"/>
  <c r="BX291" i="3"/>
  <c r="CN388" i="3"/>
  <c r="CE371" i="3"/>
  <c r="CD370" i="3"/>
  <c r="CK340" i="3"/>
  <c r="CJ338" i="3"/>
  <c r="CD257" i="3"/>
  <c r="BL172" i="3"/>
  <c r="Q172" i="3"/>
  <c r="BQ172" i="3"/>
  <c r="BY172" i="3"/>
  <c r="BS172" i="3"/>
  <c r="CO211" i="3"/>
  <c r="CL161" i="3"/>
  <c r="CK161" i="3"/>
  <c r="CA181" i="3"/>
  <c r="BY181" i="3"/>
  <c r="BW181" i="3"/>
  <c r="BU181" i="3"/>
  <c r="BS181" i="3"/>
  <c r="CO181" i="3"/>
  <c r="BQ181" i="3"/>
  <c r="CK181" i="3"/>
  <c r="CI181" i="3"/>
  <c r="BL181" i="3"/>
  <c r="CG181" i="3"/>
  <c r="CM181" i="3"/>
  <c r="CE181" i="3"/>
  <c r="CC181" i="3"/>
  <c r="Q181" i="3"/>
  <c r="CC99" i="3"/>
  <c r="CA99" i="3"/>
  <c r="BY99" i="3"/>
  <c r="BW99" i="3"/>
  <c r="BU99" i="3"/>
  <c r="BS99" i="3"/>
  <c r="CO99" i="3"/>
  <c r="BQ99" i="3"/>
  <c r="CM99" i="3"/>
  <c r="CK99" i="3"/>
  <c r="CI99" i="3"/>
  <c r="BL99" i="3"/>
  <c r="CG99" i="3"/>
  <c r="Q99" i="3"/>
  <c r="CE99" i="3"/>
  <c r="A77" i="3"/>
  <c r="BT552" i="3"/>
  <c r="BU553" i="3"/>
  <c r="CM431" i="3"/>
  <c r="BY431" i="3"/>
  <c r="Q431" i="3"/>
  <c r="BW431" i="3"/>
  <c r="CI431" i="3"/>
  <c r="BQ431" i="3"/>
  <c r="CO431" i="3"/>
  <c r="BL431" i="3"/>
  <c r="CC431" i="3"/>
  <c r="CA431" i="3"/>
  <c r="CE431" i="3"/>
  <c r="BQ382" i="3"/>
  <c r="BW382" i="3"/>
  <c r="BM291" i="3"/>
  <c r="CO573" i="3"/>
  <c r="BV550" i="3"/>
  <c r="BW550" i="3" s="1"/>
  <c r="BW551" i="3"/>
  <c r="CO570" i="3"/>
  <c r="CA577" i="3"/>
  <c r="CA550" i="3"/>
  <c r="CB568" i="3"/>
  <c r="BU570" i="3"/>
  <c r="BT568" i="3"/>
  <c r="BM523" i="3"/>
  <c r="CE519" i="3"/>
  <c r="F476" i="3"/>
  <c r="BJ476" i="3" s="1"/>
  <c r="BM477" i="3"/>
  <c r="CL537" i="3"/>
  <c r="BS431" i="3"/>
  <c r="BM441" i="3"/>
  <c r="CL391" i="3"/>
  <c r="CD379" i="3"/>
  <c r="CE380" i="3"/>
  <c r="CO418" i="3"/>
  <c r="CG358" i="3"/>
  <c r="BS358" i="3"/>
  <c r="BQ358" i="3"/>
  <c r="Q358" i="3"/>
  <c r="BL358" i="3"/>
  <c r="D357" i="3"/>
  <c r="CK357" i="3" s="1"/>
  <c r="CK358" i="3"/>
  <c r="CO358" i="3"/>
  <c r="BV306" i="3"/>
  <c r="BU294" i="3"/>
  <c r="BT293" i="3"/>
  <c r="CO259" i="3"/>
  <c r="CN258" i="3"/>
  <c r="BY286" i="3"/>
  <c r="BX285" i="3"/>
  <c r="BL164" i="3"/>
  <c r="CE164" i="3"/>
  <c r="CC164" i="3"/>
  <c r="CA164" i="3"/>
  <c r="BW164" i="3"/>
  <c r="Q164" i="3"/>
  <c r="CO164" i="3"/>
  <c r="BY164" i="3"/>
  <c r="BU164" i="3"/>
  <c r="BS164" i="3"/>
  <c r="BQ164" i="3"/>
  <c r="CG164" i="3"/>
  <c r="BZ257" i="3"/>
  <c r="Q161" i="3"/>
  <c r="CE161" i="3"/>
  <c r="CC161" i="3"/>
  <c r="BY161" i="3"/>
  <c r="BL161" i="3"/>
  <c r="CG161" i="3"/>
  <c r="BW161" i="3"/>
  <c r="BU161" i="3"/>
  <c r="BS161" i="3"/>
  <c r="BQ161" i="3"/>
  <c r="CA161" i="3"/>
  <c r="CA138" i="3"/>
  <c r="BY138" i="3"/>
  <c r="BW138" i="3"/>
  <c r="BU138" i="3"/>
  <c r="CO138" i="3"/>
  <c r="BQ138" i="3"/>
  <c r="CM138" i="3"/>
  <c r="CK138" i="3"/>
  <c r="CI138" i="3"/>
  <c r="BL138" i="3"/>
  <c r="Q138" i="3"/>
  <c r="BU172" i="3"/>
  <c r="CG96" i="3"/>
  <c r="Q96" i="3"/>
  <c r="CE96" i="3"/>
  <c r="CC96" i="3"/>
  <c r="CA96" i="3"/>
  <c r="BY96" i="3"/>
  <c r="BW96" i="3"/>
  <c r="BU96" i="3"/>
  <c r="BS96" i="3"/>
  <c r="CO96" i="3"/>
  <c r="BQ96" i="3"/>
  <c r="CM96" i="3"/>
  <c r="CK96" i="3"/>
  <c r="CI96" i="3"/>
  <c r="BL96" i="3"/>
  <c r="BL187" i="3"/>
  <c r="Q187" i="3"/>
  <c r="BY187" i="3"/>
  <c r="BU187" i="3"/>
  <c r="BS187" i="3"/>
  <c r="BQ187" i="3"/>
  <c r="BW187" i="3"/>
  <c r="CA187" i="3"/>
  <c r="BM465" i="3"/>
  <c r="D465" i="3"/>
  <c r="CB416" i="3"/>
  <c r="CC417" i="3"/>
  <c r="CC398" i="3"/>
  <c r="Q400" i="3"/>
  <c r="CG400" i="3"/>
  <c r="CC400" i="3"/>
  <c r="BL400" i="3"/>
  <c r="CO400" i="3"/>
  <c r="BU400" i="3"/>
  <c r="CK400" i="3"/>
  <c r="CM400" i="3"/>
  <c r="CM521" i="3"/>
  <c r="BY521" i="3"/>
  <c r="D520" i="3"/>
  <c r="BW521" i="3"/>
  <c r="BU521" i="3"/>
  <c r="BQ521" i="3"/>
  <c r="CO521" i="3"/>
  <c r="Q521" i="3"/>
  <c r="CG521" i="3"/>
  <c r="CE521" i="3"/>
  <c r="CC521" i="3"/>
  <c r="CA521" i="3"/>
  <c r="BS521" i="3"/>
  <c r="CK521" i="3"/>
  <c r="CI521" i="3"/>
  <c r="BL521" i="3"/>
  <c r="BL352" i="3"/>
  <c r="Q352" i="3"/>
  <c r="BQ352" i="3"/>
  <c r="CG352" i="3"/>
  <c r="BS352" i="3"/>
  <c r="CC352" i="3"/>
  <c r="CD350" i="3"/>
  <c r="CE351" i="3"/>
  <c r="CB379" i="3"/>
  <c r="CC380" i="3"/>
  <c r="CK425" i="3"/>
  <c r="BY395" i="3"/>
  <c r="CJ376" i="3"/>
  <c r="CK377" i="3"/>
  <c r="CO309" i="3"/>
  <c r="CA400" i="3"/>
  <c r="CH347" i="3"/>
  <c r="CI347" i="3" s="1"/>
  <c r="CI349" i="3"/>
  <c r="F356" i="3"/>
  <c r="BM356" i="3" s="1"/>
  <c r="BS347" i="3"/>
  <c r="CN370" i="3"/>
  <c r="CO371" i="3"/>
  <c r="Q319" i="3"/>
  <c r="BL319" i="3"/>
  <c r="BS319" i="3"/>
  <c r="BQ319" i="3"/>
  <c r="CG319" i="3"/>
  <c r="CE319" i="3"/>
  <c r="BM388" i="3"/>
  <c r="CM360" i="3"/>
  <c r="BW329" i="3"/>
  <c r="CM336" i="3"/>
  <c r="CL335" i="3"/>
  <c r="BU415" i="3"/>
  <c r="BT413" i="3"/>
  <c r="Q374" i="3"/>
  <c r="CG374" i="3"/>
  <c r="BS374" i="3"/>
  <c r="BQ374" i="3"/>
  <c r="BL374" i="3"/>
  <c r="D373" i="3"/>
  <c r="BW374" i="3"/>
  <c r="BV373" i="3"/>
  <c r="CI371" i="3"/>
  <c r="CH370" i="3"/>
  <c r="CL326" i="3"/>
  <c r="CM327" i="3"/>
  <c r="BW318" i="3"/>
  <c r="BV317" i="3"/>
  <c r="CA312" i="3"/>
  <c r="CI345" i="3"/>
  <c r="CH344" i="3"/>
  <c r="CO345" i="3"/>
  <c r="CN344" i="3"/>
  <c r="CL306" i="3"/>
  <c r="CM308" i="3"/>
  <c r="BM370" i="3"/>
  <c r="BL340" i="3"/>
  <c r="BQ340" i="3"/>
  <c r="D338" i="3"/>
  <c r="CG340" i="3"/>
  <c r="Q340" i="3"/>
  <c r="BS340" i="3"/>
  <c r="CB257" i="3"/>
  <c r="BZ293" i="3"/>
  <c r="CA294" i="3"/>
  <c r="BU259" i="3"/>
  <c r="BT258" i="3"/>
  <c r="BP242" i="3"/>
  <c r="CG281" i="3"/>
  <c r="BQ281" i="3"/>
  <c r="BL281" i="3"/>
  <c r="Q281" i="3"/>
  <c r="BS281" i="3"/>
  <c r="BS276" i="3"/>
  <c r="CD285" i="3"/>
  <c r="CE286" i="3"/>
  <c r="CK281" i="3"/>
  <c r="BM253" i="3"/>
  <c r="BW209" i="3"/>
  <c r="BV208" i="3"/>
  <c r="CK207" i="3"/>
  <c r="CI207" i="3"/>
  <c r="BL207" i="3"/>
  <c r="CG207" i="3"/>
  <c r="Q207" i="3"/>
  <c r="CE207" i="3"/>
  <c r="CC207" i="3"/>
  <c r="CA207" i="3"/>
  <c r="BW207" i="3"/>
  <c r="D206" i="3"/>
  <c r="BU207" i="3"/>
  <c r="BS207" i="3"/>
  <c r="CO207" i="3"/>
  <c r="CM207" i="3"/>
  <c r="BY207" i="3"/>
  <c r="BQ207" i="3"/>
  <c r="CK180" i="3"/>
  <c r="CI180" i="3"/>
  <c r="BL180" i="3"/>
  <c r="CG180" i="3"/>
  <c r="Q180" i="3"/>
  <c r="CE180" i="3"/>
  <c r="CC180" i="3"/>
  <c r="CA180" i="3"/>
  <c r="BW180" i="3"/>
  <c r="BU180" i="3"/>
  <c r="CO180" i="3"/>
  <c r="CM180" i="3"/>
  <c r="BY180" i="3"/>
  <c r="BS180" i="3"/>
  <c r="BQ180" i="3"/>
  <c r="F227" i="3"/>
  <c r="BJ227" i="3" s="1"/>
  <c r="BW172" i="3"/>
  <c r="BV158" i="3"/>
  <c r="CJ175" i="3"/>
  <c r="CI175" i="3"/>
  <c r="CI58" i="3"/>
  <c r="BL58" i="3"/>
  <c r="CG58" i="3"/>
  <c r="Q58" i="3"/>
  <c r="CE58" i="3"/>
  <c r="CC58" i="3"/>
  <c r="CA58" i="3"/>
  <c r="BY58" i="3"/>
  <c r="BW58" i="3"/>
  <c r="BU58" i="3"/>
  <c r="BS58" i="3"/>
  <c r="CO58" i="3"/>
  <c r="BQ58" i="3"/>
  <c r="CM58" i="3"/>
  <c r="CK58" i="3"/>
  <c r="CE163" i="3"/>
  <c r="CF163" i="3"/>
  <c r="CM116" i="3"/>
  <c r="CK116" i="3"/>
  <c r="CI116" i="3"/>
  <c r="CG116" i="3"/>
  <c r="Q116" i="3"/>
  <c r="BY116" i="3"/>
  <c r="BW116" i="3"/>
  <c r="BU116" i="3"/>
  <c r="BS116" i="3"/>
  <c r="BQ116" i="3"/>
  <c r="BL116" i="3"/>
  <c r="CO116" i="3"/>
  <c r="CE116" i="3"/>
  <c r="CC116" i="3"/>
  <c r="CA116" i="3"/>
  <c r="BM92" i="3"/>
  <c r="D92" i="3"/>
  <c r="CO26" i="3"/>
  <c r="BU26" i="3"/>
  <c r="BS26" i="3"/>
  <c r="CE26" i="3"/>
  <c r="CC26" i="3"/>
  <c r="CA26" i="3"/>
  <c r="BQ26" i="3"/>
  <c r="BY26" i="3"/>
  <c r="BW26" i="3"/>
  <c r="BL26" i="3"/>
  <c r="CG26" i="3"/>
  <c r="CK26" i="3"/>
  <c r="CI26" i="3"/>
  <c r="Q26" i="3"/>
  <c r="CC61" i="3"/>
  <c r="CB523" i="3"/>
  <c r="CC524" i="3"/>
  <c r="CE421" i="3"/>
  <c r="CD419" i="3"/>
  <c r="CH443" i="3"/>
  <c r="CG443" i="3"/>
  <c r="CO469" i="3"/>
  <c r="CI392" i="3"/>
  <c r="CH391" i="3"/>
  <c r="BR481" i="3"/>
  <c r="CE417" i="3"/>
  <c r="CD416" i="3"/>
  <c r="CE384" i="3"/>
  <c r="CD382" i="3"/>
  <c r="CE382" i="3" s="1"/>
  <c r="BW390" i="3"/>
  <c r="BV388" i="3"/>
  <c r="BX441" i="3"/>
  <c r="BZ442" i="3"/>
  <c r="BY442" i="3"/>
  <c r="BY352" i="3"/>
  <c r="CA307" i="3"/>
  <c r="BZ306" i="3"/>
  <c r="BL351" i="3"/>
  <c r="Q351" i="3"/>
  <c r="D350" i="3"/>
  <c r="CG351" i="3"/>
  <c r="BQ351" i="3"/>
  <c r="BU351" i="3"/>
  <c r="BS351" i="3"/>
  <c r="BL380" i="3"/>
  <c r="Q380" i="3"/>
  <c r="BS380" i="3"/>
  <c r="CG380" i="3"/>
  <c r="BQ380" i="3"/>
  <c r="D379" i="3"/>
  <c r="BW379" i="3" s="1"/>
  <c r="BW352" i="3"/>
  <c r="CB376" i="3"/>
  <c r="CC377" i="3"/>
  <c r="BW349" i="3"/>
  <c r="BV347" i="3"/>
  <c r="BW347" i="3" s="1"/>
  <c r="CH357" i="3"/>
  <c r="CI358" i="3"/>
  <c r="BY409" i="3"/>
  <c r="BW409" i="3"/>
  <c r="BU409" i="3"/>
  <c r="CO409" i="3"/>
  <c r="BQ409" i="3"/>
  <c r="BL409" i="3"/>
  <c r="Q409" i="3"/>
  <c r="CM409" i="3"/>
  <c r="CE409" i="3"/>
  <c r="CC409" i="3"/>
  <c r="CA409" i="3"/>
  <c r="D408" i="3"/>
  <c r="CK409" i="3"/>
  <c r="CG409" i="3"/>
  <c r="CI409" i="3"/>
  <c r="BS409" i="3"/>
  <c r="CA360" i="3"/>
  <c r="CJ306" i="3"/>
  <c r="BW336" i="3"/>
  <c r="BV335" i="3"/>
  <c r="CB373" i="3"/>
  <c r="CC374" i="3"/>
  <c r="CK374" i="3"/>
  <c r="CJ373" i="3"/>
  <c r="BZ326" i="3"/>
  <c r="CA327" i="3"/>
  <c r="CM380" i="3"/>
  <c r="CM318" i="3"/>
  <c r="CL317" i="3"/>
  <c r="CM345" i="3"/>
  <c r="CL344" i="3"/>
  <c r="CM287" i="3"/>
  <c r="CJ279" i="3"/>
  <c r="CK280" i="3"/>
  <c r="BW308" i="3"/>
  <c r="BU280" i="3"/>
  <c r="BT279" i="3"/>
  <c r="BU279" i="3" s="1"/>
  <c r="Q346" i="3"/>
  <c r="BS346" i="3"/>
  <c r="BQ346" i="3"/>
  <c r="BL346" i="3"/>
  <c r="CG346" i="3"/>
  <c r="BW319" i="3"/>
  <c r="CL279" i="3"/>
  <c r="CO281" i="3"/>
  <c r="CK236" i="3"/>
  <c r="CL236" i="3"/>
  <c r="CA234" i="3"/>
  <c r="F205" i="3"/>
  <c r="BJ205" i="3" s="1"/>
  <c r="CO190" i="3"/>
  <c r="BT157" i="3"/>
  <c r="CC187" i="3"/>
  <c r="CD187" i="3"/>
  <c r="CA160" i="3"/>
  <c r="BY160" i="3"/>
  <c r="BU160" i="3"/>
  <c r="BS160" i="3"/>
  <c r="CO160" i="3"/>
  <c r="BQ160" i="3"/>
  <c r="CK160" i="3"/>
  <c r="CI160" i="3"/>
  <c r="CG160" i="3"/>
  <c r="CE160" i="3"/>
  <c r="CC160" i="3"/>
  <c r="BW160" i="3"/>
  <c r="Q160" i="3"/>
  <c r="CM160" i="3"/>
  <c r="BL160" i="3"/>
  <c r="CA117" i="3"/>
  <c r="BY117" i="3"/>
  <c r="BW117" i="3"/>
  <c r="BU117" i="3"/>
  <c r="CK117" i="3"/>
  <c r="CI117" i="3"/>
  <c r="BL117" i="3"/>
  <c r="CO117" i="3"/>
  <c r="CM117" i="3"/>
  <c r="CG117" i="3"/>
  <c r="CE117" i="3"/>
  <c r="CC117" i="3"/>
  <c r="BS117" i="3"/>
  <c r="BQ117" i="3"/>
  <c r="Q117" i="3"/>
  <c r="CG76" i="3"/>
  <c r="CE76" i="3"/>
  <c r="Q76" i="3"/>
  <c r="CC76" i="3"/>
  <c r="CA76" i="3"/>
  <c r="BY76" i="3"/>
  <c r="BW76" i="3"/>
  <c r="BU76" i="3"/>
  <c r="BS76" i="3"/>
  <c r="CO76" i="3"/>
  <c r="BQ76" i="3"/>
  <c r="CM76" i="3"/>
  <c r="CK76" i="3"/>
  <c r="CI76" i="3"/>
  <c r="BL76" i="3"/>
  <c r="I147" i="3"/>
  <c r="I16" i="3" s="1"/>
  <c r="O157" i="3"/>
  <c r="BM106" i="3"/>
  <c r="D106" i="3"/>
  <c r="CB17" i="3"/>
  <c r="BM36" i="3"/>
  <c r="D36" i="3"/>
  <c r="CJ17" i="3"/>
  <c r="BM557" i="3"/>
  <c r="CE559" i="3"/>
  <c r="CD557" i="3"/>
  <c r="BZ552" i="3"/>
  <c r="CA553" i="3"/>
  <c r="CM533" i="3"/>
  <c r="Q533" i="3"/>
  <c r="BY533" i="3"/>
  <c r="CO533" i="3"/>
  <c r="CK533" i="3"/>
  <c r="CI533" i="3"/>
  <c r="BQ533" i="3"/>
  <c r="BU533" i="3"/>
  <c r="BL533" i="3"/>
  <c r="CG533" i="3"/>
  <c r="BL538" i="3"/>
  <c r="Q538" i="3"/>
  <c r="BQ538" i="3"/>
  <c r="CO538" i="3"/>
  <c r="CC538" i="3"/>
  <c r="BU499" i="3"/>
  <c r="BT498" i="3"/>
  <c r="CE570" i="3"/>
  <c r="CD568" i="3"/>
  <c r="CA499" i="3"/>
  <c r="BZ498" i="3"/>
  <c r="CO475" i="3"/>
  <c r="CE430" i="3"/>
  <c r="CC430" i="3"/>
  <c r="BY430" i="3"/>
  <c r="BU430" i="3"/>
  <c r="BS430" i="3"/>
  <c r="BQ430" i="3"/>
  <c r="CO430" i="3"/>
  <c r="CK430" i="3"/>
  <c r="CI430" i="3"/>
  <c r="CG430" i="3"/>
  <c r="CA430" i="3"/>
  <c r="BW430" i="3"/>
  <c r="BL430" i="3"/>
  <c r="Q430" i="3"/>
  <c r="BV523" i="3"/>
  <c r="BW524" i="3"/>
  <c r="BT501" i="3"/>
  <c r="F540" i="3"/>
  <c r="BM540" i="3" s="1"/>
  <c r="CC411" i="3"/>
  <c r="BL411" i="3"/>
  <c r="CA411" i="3"/>
  <c r="Q411" i="3"/>
  <c r="BY411" i="3"/>
  <c r="CK411" i="3"/>
  <c r="CI411" i="3"/>
  <c r="CG411" i="3"/>
  <c r="CE411" i="3"/>
  <c r="BQ411" i="3"/>
  <c r="CM411" i="3"/>
  <c r="CO411" i="3"/>
  <c r="D410" i="3"/>
  <c r="BU411" i="3"/>
  <c r="BS411" i="3"/>
  <c r="CM425" i="3"/>
  <c r="BU417" i="3"/>
  <c r="BT416" i="3"/>
  <c r="CM384" i="3"/>
  <c r="CL382" i="3"/>
  <c r="CE400" i="3"/>
  <c r="CH388" i="3"/>
  <c r="BM520" i="3"/>
  <c r="BV439" i="3"/>
  <c r="CJ419" i="3"/>
  <c r="CK420" i="3"/>
  <c r="BX382" i="3"/>
  <c r="BY383" i="3"/>
  <c r="CM352" i="3"/>
  <c r="BY351" i="3"/>
  <c r="BX350" i="3"/>
  <c r="CK380" i="3"/>
  <c r="CJ379" i="3"/>
  <c r="CO349" i="3"/>
  <c r="CM358" i="3"/>
  <c r="CL357" i="3"/>
  <c r="BQ347" i="3"/>
  <c r="CC329" i="3"/>
  <c r="CA319" i="3"/>
  <c r="CM385" i="3"/>
  <c r="CO360" i="3"/>
  <c r="CE297" i="3"/>
  <c r="CD296" i="3"/>
  <c r="BY336" i="3"/>
  <c r="BX335" i="3"/>
  <c r="BW321" i="3"/>
  <c r="D320" i="3"/>
  <c r="BS321" i="3"/>
  <c r="BQ321" i="3"/>
  <c r="CE321" i="3"/>
  <c r="CO321" i="3"/>
  <c r="Q321" i="3"/>
  <c r="CI321" i="3"/>
  <c r="BL321" i="3"/>
  <c r="CM321" i="3"/>
  <c r="CG321" i="3"/>
  <c r="CC321" i="3"/>
  <c r="BU321" i="3"/>
  <c r="CK321" i="3"/>
  <c r="CA321" i="3"/>
  <c r="BY321" i="3"/>
  <c r="CK292" i="3"/>
  <c r="CJ291" i="3"/>
  <c r="CD373" i="3"/>
  <c r="CE374" i="3"/>
  <c r="BZ373" i="3"/>
  <c r="CA374" i="3"/>
  <c r="BU371" i="3"/>
  <c r="BT370" i="3"/>
  <c r="CN326" i="3"/>
  <c r="CO327" i="3"/>
  <c r="CN317" i="3"/>
  <c r="CO318" i="3"/>
  <c r="BU312" i="3"/>
  <c r="CB344" i="3"/>
  <c r="CC345" i="3"/>
  <c r="BY302" i="3"/>
  <c r="BZ302" i="3"/>
  <c r="BW280" i="3"/>
  <c r="BV279" i="3"/>
  <c r="BU352" i="3"/>
  <c r="CO346" i="3"/>
  <c r="CC340" i="3"/>
  <c r="CB293" i="3"/>
  <c r="CC294" i="3"/>
  <c r="CI259" i="3"/>
  <c r="CH258" i="3"/>
  <c r="BU281" i="3"/>
  <c r="Q267" i="3"/>
  <c r="D266" i="3"/>
  <c r="E212" i="3"/>
  <c r="CC136" i="3"/>
  <c r="CA136" i="3"/>
  <c r="BY136" i="3"/>
  <c r="BW136" i="3"/>
  <c r="BS136" i="3"/>
  <c r="CM136" i="3"/>
  <c r="CK136" i="3"/>
  <c r="CI136" i="3"/>
  <c r="BL136" i="3"/>
  <c r="CG136" i="3"/>
  <c r="Q136" i="3"/>
  <c r="CO136" i="3"/>
  <c r="CE136" i="3"/>
  <c r="BU136" i="3"/>
  <c r="BQ136" i="3"/>
  <c r="CG152" i="3"/>
  <c r="Q152" i="3"/>
  <c r="CE152" i="3"/>
  <c r="CC152" i="3"/>
  <c r="CA152" i="3"/>
  <c r="BY152" i="3"/>
  <c r="BW152" i="3"/>
  <c r="BS152" i="3"/>
  <c r="CO152" i="3"/>
  <c r="BQ152" i="3"/>
  <c r="CM152" i="3"/>
  <c r="CK152" i="3"/>
  <c r="BL152" i="3"/>
  <c r="CI152" i="3"/>
  <c r="BU152" i="3"/>
  <c r="D158" i="3"/>
  <c r="BS158" i="3" s="1"/>
  <c r="CE78" i="3"/>
  <c r="CC78" i="3"/>
  <c r="CA78" i="3"/>
  <c r="BY78" i="3"/>
  <c r="BW78" i="3"/>
  <c r="BU78" i="3"/>
  <c r="BS78" i="3"/>
  <c r="CO78" i="3"/>
  <c r="BQ78" i="3"/>
  <c r="CM78" i="3"/>
  <c r="CK78" i="3"/>
  <c r="CI78" i="3"/>
  <c r="BL78" i="3"/>
  <c r="CG78" i="3"/>
  <c r="Q78" i="3"/>
  <c r="BL144" i="3"/>
  <c r="Q144" i="3"/>
  <c r="BU144" i="3"/>
  <c r="BS144" i="3"/>
  <c r="BY185" i="3"/>
  <c r="BW185" i="3"/>
  <c r="BU185" i="3"/>
  <c r="BS185" i="3"/>
  <c r="BQ185" i="3"/>
  <c r="BL185" i="3"/>
  <c r="Q185" i="3"/>
  <c r="CM185" i="3"/>
  <c r="BU54" i="3"/>
  <c r="CK54" i="3"/>
  <c r="BS54" i="3"/>
  <c r="BQ54" i="3"/>
  <c r="CI54" i="3"/>
  <c r="BL54" i="3"/>
  <c r="Q54" i="3"/>
  <c r="CE54" i="3"/>
  <c r="CC54" i="3"/>
  <c r="CA54" i="3"/>
  <c r="BY54" i="3"/>
  <c r="CM54" i="3"/>
  <c r="BW54" i="3"/>
  <c r="BM41" i="3"/>
  <c r="CO114" i="3"/>
  <c r="BQ114" i="3"/>
  <c r="CM114" i="3"/>
  <c r="CI114" i="3"/>
  <c r="BL114" i="3"/>
  <c r="CA114" i="3"/>
  <c r="BY114" i="3"/>
  <c r="CG114" i="3"/>
  <c r="CE114" i="3"/>
  <c r="CC114" i="3"/>
  <c r="BW114" i="3"/>
  <c r="BU114" i="3"/>
  <c r="BS114" i="3"/>
  <c r="Q114" i="3"/>
  <c r="CK114" i="3"/>
  <c r="CA61" i="3"/>
  <c r="F21" i="3"/>
  <c r="BJ21" i="3" s="1"/>
  <c r="CC586" i="3"/>
  <c r="CH571" i="3"/>
  <c r="CI572" i="3"/>
  <c r="CA575" i="3"/>
  <c r="BZ574" i="3"/>
  <c r="CH584" i="3"/>
  <c r="CI586" i="3"/>
  <c r="CO588" i="3"/>
  <c r="CN587" i="3"/>
  <c r="CB550" i="3"/>
  <c r="CC550" i="3" s="1"/>
  <c r="CC551" i="3"/>
  <c r="CO553" i="3"/>
  <c r="CN552" i="3"/>
  <c r="CM499" i="3"/>
  <c r="CL498" i="3"/>
  <c r="BW484" i="3"/>
  <c r="BU484" i="3"/>
  <c r="BS484" i="3"/>
  <c r="CG484" i="3"/>
  <c r="CK484" i="3"/>
  <c r="CI484" i="3"/>
  <c r="BQ484" i="3"/>
  <c r="BL484" i="3"/>
  <c r="Q484" i="3"/>
  <c r="CE484" i="3"/>
  <c r="BY484" i="3"/>
  <c r="CO484" i="3"/>
  <c r="CM484" i="3"/>
  <c r="CC484" i="3"/>
  <c r="CA484" i="3"/>
  <c r="CA475" i="3"/>
  <c r="BZ473" i="3"/>
  <c r="CE427" i="3"/>
  <c r="CC427" i="3"/>
  <c r="BY427" i="3"/>
  <c r="CO427" i="3"/>
  <c r="BL427" i="3"/>
  <c r="CK427" i="3"/>
  <c r="Q427" i="3"/>
  <c r="CI427" i="3"/>
  <c r="CG427" i="3"/>
  <c r="BQ427" i="3"/>
  <c r="BS427" i="3"/>
  <c r="CA427" i="3"/>
  <c r="BU427" i="3"/>
  <c r="BW427" i="3"/>
  <c r="CM524" i="3"/>
  <c r="CL523" i="3"/>
  <c r="E537" i="3"/>
  <c r="CA533" i="3"/>
  <c r="CM538" i="3"/>
  <c r="BV410" i="3"/>
  <c r="BW411" i="3"/>
  <c r="CI417" i="3"/>
  <c r="CH416" i="3"/>
  <c r="CJ501" i="3"/>
  <c r="CD413" i="3"/>
  <c r="CE395" i="3"/>
  <c r="BT379" i="3"/>
  <c r="BU380" i="3"/>
  <c r="Q454" i="3"/>
  <c r="CI454" i="3"/>
  <c r="CO454" i="3"/>
  <c r="BL454" i="3"/>
  <c r="BW454" i="3"/>
  <c r="CI420" i="3"/>
  <c r="CH419" i="3"/>
  <c r="CA352" i="3"/>
  <c r="CL350" i="3"/>
  <c r="CM351" i="3"/>
  <c r="CE454" i="3"/>
  <c r="CC347" i="3"/>
  <c r="CE377" i="3"/>
  <c r="CD376" i="3"/>
  <c r="BV357" i="3"/>
  <c r="BW358" i="3"/>
  <c r="CA365" i="3"/>
  <c r="BU365" i="3"/>
  <c r="BS365" i="3"/>
  <c r="BQ365" i="3"/>
  <c r="CO365" i="3"/>
  <c r="BW365" i="3"/>
  <c r="CM365" i="3"/>
  <c r="CC365" i="3"/>
  <c r="BY365" i="3"/>
  <c r="BL365" i="3"/>
  <c r="CK365" i="3"/>
  <c r="CI365" i="3"/>
  <c r="CE365" i="3"/>
  <c r="CG365" i="3"/>
  <c r="Q365" i="3"/>
  <c r="BV326" i="3"/>
  <c r="BW327" i="3"/>
  <c r="CA318" i="3"/>
  <c r="BZ317" i="3"/>
  <c r="BW371" i="3"/>
  <c r="BV370" i="3"/>
  <c r="BZ335" i="3"/>
  <c r="CA336" i="3"/>
  <c r="Q292" i="3"/>
  <c r="D291" i="3"/>
  <c r="CE291" i="3" s="1"/>
  <c r="BS292" i="3"/>
  <c r="BL292" i="3"/>
  <c r="CG292" i="3"/>
  <c r="CO292" i="3"/>
  <c r="BQ292" i="3"/>
  <c r="CA292" i="3"/>
  <c r="CC292" i="3"/>
  <c r="BW415" i="3"/>
  <c r="BV413" i="3"/>
  <c r="BZ347" i="3"/>
  <c r="CA347" i="3" s="1"/>
  <c r="CN373" i="3"/>
  <c r="CO374" i="3"/>
  <c r="BY371" i="3"/>
  <c r="BX370" i="3"/>
  <c r="A310" i="3"/>
  <c r="A311" i="3" s="1"/>
  <c r="BL345" i="3"/>
  <c r="BQ345" i="3"/>
  <c r="D344" i="3"/>
  <c r="BS345" i="3"/>
  <c r="Q345" i="3"/>
  <c r="CG345" i="3"/>
  <c r="BQ278" i="3"/>
  <c r="CG278" i="3"/>
  <c r="CE278" i="3"/>
  <c r="CC278" i="3"/>
  <c r="CA278" i="3"/>
  <c r="BU278" i="3"/>
  <c r="CK278" i="3"/>
  <c r="BL278" i="3"/>
  <c r="CO278" i="3"/>
  <c r="BY278" i="3"/>
  <c r="BS278" i="3"/>
  <c r="Q278" i="3"/>
  <c r="CI278" i="3"/>
  <c r="BW278" i="3"/>
  <c r="CM276" i="3"/>
  <c r="CO261" i="3"/>
  <c r="CA346" i="3"/>
  <c r="BY316" i="3"/>
  <c r="BU316" i="3"/>
  <c r="CA316" i="3"/>
  <c r="CK316" i="3"/>
  <c r="Q316" i="3"/>
  <c r="CE316" i="3"/>
  <c r="CC316" i="3"/>
  <c r="BS316" i="3"/>
  <c r="BW316" i="3"/>
  <c r="BQ316" i="3"/>
  <c r="BL316" i="3"/>
  <c r="CO316" i="3"/>
  <c r="CI316" i="3"/>
  <c r="CM316" i="3"/>
  <c r="CG316" i="3"/>
  <c r="BU340" i="3"/>
  <c r="BT338" i="3"/>
  <c r="CE340" i="3"/>
  <c r="CB317" i="3"/>
  <c r="CE276" i="3"/>
  <c r="CE294" i="3"/>
  <c r="CD293" i="3"/>
  <c r="BW259" i="3"/>
  <c r="BV258" i="3"/>
  <c r="CI238" i="3"/>
  <c r="BW238" i="3"/>
  <c r="Q238" i="3"/>
  <c r="CK238" i="3"/>
  <c r="BY238" i="3"/>
  <c r="BL238" i="3"/>
  <c r="D237" i="3"/>
  <c r="CA237" i="3" s="1"/>
  <c r="CO238" i="3"/>
  <c r="BS238" i="3"/>
  <c r="BQ238" i="3"/>
  <c r="CC238" i="3"/>
  <c r="CE238" i="3"/>
  <c r="CC346" i="3"/>
  <c r="BW286" i="3"/>
  <c r="BV285" i="3"/>
  <c r="CM238" i="3"/>
  <c r="BN208" i="3"/>
  <c r="CC235" i="3"/>
  <c r="CB234" i="3"/>
  <c r="CC234" i="3" s="1"/>
  <c r="BM257" i="3"/>
  <c r="CA190" i="3"/>
  <c r="BY190" i="3"/>
  <c r="BW190" i="3"/>
  <c r="BU190" i="3"/>
  <c r="CM190" i="3"/>
  <c r="BS190" i="3"/>
  <c r="BQ190" i="3"/>
  <c r="CI190" i="3"/>
  <c r="BL190" i="3"/>
  <c r="Q190" i="3"/>
  <c r="CE190" i="3"/>
  <c r="CC190" i="3"/>
  <c r="Q163" i="3"/>
  <c r="CM163" i="3"/>
  <c r="BQ163" i="3"/>
  <c r="BL163" i="3"/>
  <c r="BY163" i="3"/>
  <c r="BW163" i="3"/>
  <c r="BU163" i="3"/>
  <c r="BS163" i="3"/>
  <c r="CE91" i="3"/>
  <c r="CC91" i="3"/>
  <c r="CA91" i="3"/>
  <c r="BY91" i="3"/>
  <c r="BW91" i="3"/>
  <c r="BU91" i="3"/>
  <c r="BS91" i="3"/>
  <c r="CO91" i="3"/>
  <c r="BQ91" i="3"/>
  <c r="CM91" i="3"/>
  <c r="CK91" i="3"/>
  <c r="CI91" i="3"/>
  <c r="BL91" i="3"/>
  <c r="CG91" i="3"/>
  <c r="Q91" i="3"/>
  <c r="BU97" i="3"/>
  <c r="BS97" i="3"/>
  <c r="CO97" i="3"/>
  <c r="BQ97" i="3"/>
  <c r="CM97" i="3"/>
  <c r="CK97" i="3"/>
  <c r="CI97" i="3"/>
  <c r="BL97" i="3"/>
  <c r="CG97" i="3"/>
  <c r="Q97" i="3"/>
  <c r="CE97" i="3"/>
  <c r="CC97" i="3"/>
  <c r="CA97" i="3"/>
  <c r="BY97" i="3"/>
  <c r="BW97" i="3"/>
  <c r="CE68" i="3"/>
  <c r="CC68" i="3"/>
  <c r="CA68" i="3"/>
  <c r="BY68" i="3"/>
  <c r="BW68" i="3"/>
  <c r="BU68" i="3"/>
  <c r="BS68" i="3"/>
  <c r="CO68" i="3"/>
  <c r="BQ68" i="3"/>
  <c r="CM68" i="3"/>
  <c r="CK68" i="3"/>
  <c r="CI68" i="3"/>
  <c r="BL68" i="3"/>
  <c r="CG68" i="3"/>
  <c r="Q68" i="3"/>
  <c r="CH17" i="3"/>
  <c r="BY586" i="3"/>
  <c r="BS538" i="3"/>
  <c r="BR537" i="3"/>
  <c r="BN540" i="3"/>
  <c r="CK553" i="3"/>
  <c r="CJ552" i="3"/>
  <c r="CM557" i="3"/>
  <c r="CL554" i="3"/>
  <c r="CN514" i="3"/>
  <c r="CL568" i="3"/>
  <c r="CM570" i="3"/>
  <c r="BL570" i="3"/>
  <c r="Q570" i="3"/>
  <c r="BS570" i="3"/>
  <c r="BQ570" i="3"/>
  <c r="D568" i="3"/>
  <c r="CG570" i="3"/>
  <c r="D482" i="3"/>
  <c r="BU524" i="3"/>
  <c r="BT523" i="3"/>
  <c r="BY502" i="3"/>
  <c r="BX501" i="3"/>
  <c r="CK395" i="3"/>
  <c r="CJ394" i="3"/>
  <c r="CG461" i="3"/>
  <c r="Q461" i="3"/>
  <c r="CE461" i="3"/>
  <c r="CM461" i="3"/>
  <c r="BL461" i="3"/>
  <c r="CK461" i="3"/>
  <c r="CC461" i="3"/>
  <c r="CA461" i="3"/>
  <c r="BY461" i="3"/>
  <c r="BS461" i="3"/>
  <c r="CO461" i="3"/>
  <c r="CI461" i="3"/>
  <c r="BW461" i="3"/>
  <c r="BQ461" i="3"/>
  <c r="BU461" i="3"/>
  <c r="CE418" i="3"/>
  <c r="CA392" i="3"/>
  <c r="BZ391" i="3"/>
  <c r="CC454" i="3"/>
  <c r="CB323" i="3"/>
  <c r="CC324" i="3"/>
  <c r="CB419" i="3"/>
  <c r="CC420" i="3"/>
  <c r="BM338" i="3"/>
  <c r="CO328" i="3"/>
  <c r="BU377" i="3"/>
  <c r="BT376" i="3"/>
  <c r="CO313" i="3"/>
  <c r="BY312" i="3"/>
  <c r="BM357" i="3"/>
  <c r="BW360" i="3"/>
  <c r="CG329" i="3"/>
  <c r="CD335" i="3"/>
  <c r="CE336" i="3"/>
  <c r="CG415" i="3"/>
  <c r="D413" i="3"/>
  <c r="BS415" i="3"/>
  <c r="BQ415" i="3"/>
  <c r="BL415" i="3"/>
  <c r="Q415" i="3"/>
  <c r="CM374" i="3"/>
  <c r="CL373" i="3"/>
  <c r="CA371" i="3"/>
  <c r="BZ370" i="3"/>
  <c r="BM320" i="3"/>
  <c r="D317" i="3"/>
  <c r="CD344" i="3"/>
  <c r="CE345" i="3"/>
  <c r="CE346" i="3"/>
  <c r="BY287" i="3"/>
  <c r="CA308" i="3"/>
  <c r="CM340" i="3"/>
  <c r="CL338" i="3"/>
  <c r="CJ293" i="3"/>
  <c r="CK294" i="3"/>
  <c r="CH293" i="3"/>
  <c r="CI294" i="3"/>
  <c r="CJ258" i="3"/>
  <c r="CK259" i="3"/>
  <c r="BY289" i="3"/>
  <c r="BW289" i="3"/>
  <c r="D288" i="3"/>
  <c r="BS289" i="3"/>
  <c r="CO289" i="3"/>
  <c r="BL289" i="3"/>
  <c r="CM289" i="3"/>
  <c r="Q289" i="3"/>
  <c r="CG289" i="3"/>
  <c r="CC289" i="3"/>
  <c r="CA289" i="3"/>
  <c r="BU289" i="3"/>
  <c r="BQ289" i="3"/>
  <c r="CK289" i="3"/>
  <c r="CI289" i="3"/>
  <c r="CE289" i="3"/>
  <c r="CA286" i="3"/>
  <c r="BZ285" i="3"/>
  <c r="CO260" i="3"/>
  <c r="BM229" i="3"/>
  <c r="D131" i="3"/>
  <c r="CO167" i="3"/>
  <c r="BY170" i="3"/>
  <c r="CO170" i="3"/>
  <c r="BW170" i="3"/>
  <c r="BU170" i="3"/>
  <c r="CK170" i="3"/>
  <c r="BQ170" i="3"/>
  <c r="CA170" i="3"/>
  <c r="BS170" i="3"/>
  <c r="BL170" i="3"/>
  <c r="CM170" i="3"/>
  <c r="CI170" i="3"/>
  <c r="CE170" i="3"/>
  <c r="Q170" i="3"/>
  <c r="BM111" i="3"/>
  <c r="D111" i="3"/>
  <c r="CI35" i="3"/>
  <c r="BL35" i="3"/>
  <c r="CG35" i="3"/>
  <c r="Q35" i="3"/>
  <c r="CE35" i="3"/>
  <c r="CC35" i="3"/>
  <c r="CA35" i="3"/>
  <c r="BY35" i="3"/>
  <c r="BU35" i="3"/>
  <c r="BQ35" i="3"/>
  <c r="CO35" i="3"/>
  <c r="CK35" i="3"/>
  <c r="BW35" i="3"/>
  <c r="BS35" i="3"/>
  <c r="CO100" i="3"/>
  <c r="BQ100" i="3"/>
  <c r="CM100" i="3"/>
  <c r="CK100" i="3"/>
  <c r="CI100" i="3"/>
  <c r="BL100" i="3"/>
  <c r="CG100" i="3"/>
  <c r="Q100" i="3"/>
  <c r="CE100" i="3"/>
  <c r="CC100" i="3"/>
  <c r="CA100" i="3"/>
  <c r="BY100" i="3"/>
  <c r="BW100" i="3"/>
  <c r="BU100" i="3"/>
  <c r="BS100" i="3"/>
  <c r="BQ67" i="3"/>
  <c r="BL67" i="3"/>
  <c r="Q67" i="3"/>
  <c r="CK67" i="3"/>
  <c r="BY67" i="3"/>
  <c r="CI67" i="3"/>
  <c r="BW67" i="3"/>
  <c r="BU67" i="3"/>
  <c r="BS67" i="3"/>
  <c r="BM206" i="3"/>
  <c r="BL171" i="3"/>
  <c r="CA171" i="3"/>
  <c r="BW171" i="3"/>
  <c r="CC171" i="3"/>
  <c r="BU171" i="3"/>
  <c r="BQ171" i="3"/>
  <c r="Q171" i="3"/>
  <c r="CI171" i="3"/>
  <c r="CG171" i="3"/>
  <c r="BS171" i="3"/>
  <c r="CA103" i="3"/>
  <c r="BY103" i="3"/>
  <c r="BW103" i="3"/>
  <c r="BU103" i="3"/>
  <c r="BS103" i="3"/>
  <c r="CO103" i="3"/>
  <c r="BQ103" i="3"/>
  <c r="CM103" i="3"/>
  <c r="CK103" i="3"/>
  <c r="CI103" i="3"/>
  <c r="BL103" i="3"/>
  <c r="CG103" i="3"/>
  <c r="Q103" i="3"/>
  <c r="CE103" i="3"/>
  <c r="CC103" i="3"/>
  <c r="CG55" i="3"/>
  <c r="BU55" i="3"/>
  <c r="BS55" i="3"/>
  <c r="BQ55" i="3"/>
  <c r="BL55" i="3"/>
  <c r="CM55" i="3"/>
  <c r="CA55" i="3"/>
  <c r="Q55" i="3"/>
  <c r="CK55" i="3"/>
  <c r="BY55" i="3"/>
  <c r="CA32" i="3"/>
  <c r="BY32" i="3"/>
  <c r="BW32" i="3"/>
  <c r="CO32" i="3"/>
  <c r="BU32" i="3"/>
  <c r="BS32" i="3"/>
  <c r="BQ32" i="3"/>
  <c r="CK32" i="3"/>
  <c r="CG32" i="3"/>
  <c r="Q32" i="3"/>
  <c r="CI32" i="3"/>
  <c r="CE32" i="3"/>
  <c r="CC32" i="3"/>
  <c r="BL32" i="3"/>
  <c r="CG395" i="3"/>
  <c r="BU395" i="3"/>
  <c r="BS395" i="3"/>
  <c r="BQ395" i="3"/>
  <c r="BL395" i="3"/>
  <c r="CO395" i="3"/>
  <c r="Q395" i="3"/>
  <c r="D394" i="3"/>
  <c r="BY394" i="3" s="1"/>
  <c r="BY462" i="3"/>
  <c r="BW462" i="3"/>
  <c r="CK462" i="3"/>
  <c r="Q462" i="3"/>
  <c r="CI462" i="3"/>
  <c r="CE462" i="3"/>
  <c r="CC462" i="3"/>
  <c r="CA462" i="3"/>
  <c r="BQ462" i="3"/>
  <c r="BU462" i="3"/>
  <c r="BS462" i="3"/>
  <c r="BL462" i="3"/>
  <c r="CO462" i="3"/>
  <c r="CM462" i="3"/>
  <c r="CG462" i="3"/>
  <c r="BL398" i="3"/>
  <c r="Q398" i="3"/>
  <c r="CG398" i="3"/>
  <c r="D397" i="3"/>
  <c r="CI398" i="3"/>
  <c r="BU398" i="3"/>
  <c r="BS398" i="3"/>
  <c r="BQ398" i="3"/>
  <c r="BW418" i="3"/>
  <c r="CC368" i="3"/>
  <c r="BL368" i="3"/>
  <c r="Q368" i="3"/>
  <c r="CA368" i="3"/>
  <c r="D367" i="3"/>
  <c r="CI367" i="3" s="1"/>
  <c r="BY368" i="3"/>
  <c r="CO368" i="3"/>
  <c r="CG368" i="3"/>
  <c r="BS368" i="3"/>
  <c r="BQ368" i="3"/>
  <c r="CE368" i="3"/>
  <c r="BW368" i="3"/>
  <c r="BU368" i="3"/>
  <c r="BL443" i="3"/>
  <c r="BW443" i="3"/>
  <c r="BU443" i="3"/>
  <c r="BQ443" i="3"/>
  <c r="Q443" i="3"/>
  <c r="BS443" i="3"/>
  <c r="CA443" i="3"/>
  <c r="BY443" i="3"/>
  <c r="CN323" i="3"/>
  <c r="CO324" i="3"/>
  <c r="CH350" i="3"/>
  <c r="CI351" i="3"/>
  <c r="CN419" i="3"/>
  <c r="CO420" i="3"/>
  <c r="BV416" i="3"/>
  <c r="CM430" i="3"/>
  <c r="BT347" i="3"/>
  <c r="BU347" i="3" s="1"/>
  <c r="BU349" i="3"/>
  <c r="BY360" i="3"/>
  <c r="BM335" i="3"/>
  <c r="CG371" i="3"/>
  <c r="BS371" i="3"/>
  <c r="BQ371" i="3"/>
  <c r="BL371" i="3"/>
  <c r="Q371" i="3"/>
  <c r="D370" i="3"/>
  <c r="BX326" i="3"/>
  <c r="BY327" i="3"/>
  <c r="BU345" i="3"/>
  <c r="BT344" i="3"/>
  <c r="F252" i="3"/>
  <c r="BJ252" i="3" s="1"/>
  <c r="CI308" i="3"/>
  <c r="CG254" i="3"/>
  <c r="Q254" i="3"/>
  <c r="CE254" i="3"/>
  <c r="CC254" i="3"/>
  <c r="CA254" i="3"/>
  <c r="D253" i="3"/>
  <c r="CO253" i="3" s="1"/>
  <c r="BU254" i="3"/>
  <c r="BL254" i="3"/>
  <c r="CO254" i="3"/>
  <c r="CM254" i="3"/>
  <c r="BY254" i="3"/>
  <c r="BS254" i="3"/>
  <c r="BQ254" i="3"/>
  <c r="BW254" i="3"/>
  <c r="CK254" i="3"/>
  <c r="CI254" i="3"/>
  <c r="CA287" i="3"/>
  <c r="CO340" i="3"/>
  <c r="CN338" i="3"/>
  <c r="CM294" i="3"/>
  <c r="CL293" i="3"/>
  <c r="CE281" i="3"/>
  <c r="CD279" i="3"/>
  <c r="CM286" i="3"/>
  <c r="CL285" i="3"/>
  <c r="BX231" i="3"/>
  <c r="BN216" i="3"/>
  <c r="CF185" i="3"/>
  <c r="CE185" i="3"/>
  <c r="E147" i="3"/>
  <c r="CM245" i="3"/>
  <c r="CK245" i="3"/>
  <c r="CG245" i="3"/>
  <c r="Q245" i="3"/>
  <c r="CA245" i="3"/>
  <c r="BU245" i="3"/>
  <c r="BS245" i="3"/>
  <c r="BQ245" i="3"/>
  <c r="CO245" i="3"/>
  <c r="CE245" i="3"/>
  <c r="CC245" i="3"/>
  <c r="BY245" i="3"/>
  <c r="BW245" i="3"/>
  <c r="CI245" i="3"/>
  <c r="BL245" i="3"/>
  <c r="BV188" i="3"/>
  <c r="CN171" i="3"/>
  <c r="CM171" i="3"/>
  <c r="BY215" i="3"/>
  <c r="BW215" i="3"/>
  <c r="CO215" i="3"/>
  <c r="BU215" i="3"/>
  <c r="CM215" i="3"/>
  <c r="BS215" i="3"/>
  <c r="CK215" i="3"/>
  <c r="BQ215" i="3"/>
  <c r="CI215" i="3"/>
  <c r="BL215" i="3"/>
  <c r="Q215" i="3"/>
  <c r="CA215" i="3"/>
  <c r="D214" i="3"/>
  <c r="CG215" i="3"/>
  <c r="BU47" i="3"/>
  <c r="BS47" i="3"/>
  <c r="CO47" i="3"/>
  <c r="BQ47" i="3"/>
  <c r="CM47" i="3"/>
  <c r="CK47" i="3"/>
  <c r="CI47" i="3"/>
  <c r="BL47" i="3"/>
  <c r="CG47" i="3"/>
  <c r="Q47" i="3"/>
  <c r="CE47" i="3"/>
  <c r="CC47" i="3"/>
  <c r="CA47" i="3"/>
  <c r="BY47" i="3"/>
  <c r="BW47" i="3"/>
  <c r="BU23" i="3"/>
  <c r="CE23" i="3"/>
  <c r="CC23" i="3"/>
  <c r="CA23" i="3"/>
  <c r="BY23" i="3"/>
  <c r="BW23" i="3"/>
  <c r="CO23" i="3"/>
  <c r="BQ23" i="3"/>
  <c r="CG23" i="3"/>
  <c r="CM23" i="3"/>
  <c r="BS23" i="3"/>
  <c r="CK23" i="3"/>
  <c r="CI23" i="3"/>
  <c r="BL23" i="3"/>
  <c r="Q23" i="3"/>
  <c r="CI64" i="3"/>
  <c r="CI418" i="3"/>
  <c r="BW494" i="3"/>
  <c r="BU494" i="3"/>
  <c r="BS494" i="3"/>
  <c r="CI494" i="3"/>
  <c r="CA494" i="3"/>
  <c r="Q494" i="3"/>
  <c r="BL494" i="3"/>
  <c r="D492" i="3"/>
  <c r="CM494" i="3"/>
  <c r="CK494" i="3"/>
  <c r="CG494" i="3"/>
  <c r="BY494" i="3"/>
  <c r="CE494" i="3"/>
  <c r="BQ494" i="3"/>
  <c r="CC494" i="3"/>
  <c r="CJ397" i="3"/>
  <c r="CK398" i="3"/>
  <c r="CK418" i="3"/>
  <c r="CC392" i="3"/>
  <c r="CB391" i="3"/>
  <c r="CC391" i="3" s="1"/>
  <c r="CC385" i="3"/>
  <c r="BY398" i="3"/>
  <c r="CO378" i="3"/>
  <c r="BU390" i="3"/>
  <c r="BT388" i="3"/>
  <c r="D419" i="3"/>
  <c r="CM419" i="3" s="1"/>
  <c r="BS420" i="3"/>
  <c r="BQ420" i="3"/>
  <c r="CG420" i="3"/>
  <c r="Q420" i="3"/>
  <c r="BL420" i="3"/>
  <c r="CC395" i="3"/>
  <c r="CI380" i="3"/>
  <c r="CH379" i="3"/>
  <c r="BW380" i="3"/>
  <c r="CI377" i="3"/>
  <c r="CH376" i="3"/>
  <c r="Q347" i="3"/>
  <c r="BL347" i="3"/>
  <c r="CM420" i="3"/>
  <c r="CI336" i="3"/>
  <c r="CH335" i="3"/>
  <c r="CI385" i="3"/>
  <c r="BY374" i="3"/>
  <c r="BX373" i="3"/>
  <c r="CC327" i="3"/>
  <c r="CB326" i="3"/>
  <c r="CG347" i="3"/>
  <c r="CA351" i="3"/>
  <c r="BW345" i="3"/>
  <c r="BV344" i="3"/>
  <c r="CC250" i="3"/>
  <c r="CA250" i="3"/>
  <c r="BW250" i="3"/>
  <c r="D249" i="3"/>
  <c r="CO250" i="3"/>
  <c r="BQ250" i="3"/>
  <c r="BS250" i="3"/>
  <c r="BL250" i="3"/>
  <c r="CK250" i="3"/>
  <c r="CG250" i="3"/>
  <c r="CE250" i="3"/>
  <c r="BY250" i="3"/>
  <c r="BU250" i="3"/>
  <c r="Q250" i="3"/>
  <c r="CM250" i="3"/>
  <c r="CI250" i="3"/>
  <c r="CO308" i="3"/>
  <c r="CN306" i="3"/>
  <c r="BQ454" i="3"/>
  <c r="BM373" i="3"/>
  <c r="CM346" i="3"/>
  <c r="CO287" i="3"/>
  <c r="CA281" i="3"/>
  <c r="CN252" i="3"/>
  <c r="CM331" i="3"/>
  <c r="BU331" i="3"/>
  <c r="BQ331" i="3"/>
  <c r="BL331" i="3"/>
  <c r="BW331" i="3"/>
  <c r="CK331" i="3"/>
  <c r="Q331" i="3"/>
  <c r="CE331" i="3"/>
  <c r="CO331" i="3"/>
  <c r="CC331" i="3"/>
  <c r="CA331" i="3"/>
  <c r="BS331" i="3"/>
  <c r="BM288" i="3"/>
  <c r="CI246" i="3"/>
  <c r="CI281" i="3"/>
  <c r="CC300" i="3"/>
  <c r="CD300" i="3"/>
  <c r="CO286" i="3"/>
  <c r="CN285" i="3"/>
  <c r="CL199" i="3"/>
  <c r="BW236" i="3"/>
  <c r="BL236" i="3"/>
  <c r="Q236" i="3"/>
  <c r="CC236" i="3"/>
  <c r="BY236" i="3"/>
  <c r="BU236" i="3"/>
  <c r="BQ236" i="3"/>
  <c r="CE236" i="3"/>
  <c r="CA236" i="3"/>
  <c r="BS236" i="3"/>
  <c r="CD213" i="3"/>
  <c r="CG191" i="3"/>
  <c r="Q191" i="3"/>
  <c r="CE191" i="3"/>
  <c r="CC191" i="3"/>
  <c r="CA191" i="3"/>
  <c r="BY191" i="3"/>
  <c r="BW191" i="3"/>
  <c r="BS191" i="3"/>
  <c r="BQ191" i="3"/>
  <c r="BU191" i="3"/>
  <c r="BL191" i="3"/>
  <c r="CI191" i="3"/>
  <c r="BR157" i="3"/>
  <c r="CD262" i="3"/>
  <c r="CJ197" i="3"/>
  <c r="BX197" i="3"/>
  <c r="D197" i="3"/>
  <c r="BW197" i="3" s="1"/>
  <c r="CH197" i="3"/>
  <c r="CF197" i="3"/>
  <c r="BM197" i="3"/>
  <c r="CB197" i="3"/>
  <c r="CD197" i="3"/>
  <c r="BZ197" i="3"/>
  <c r="CO233" i="3"/>
  <c r="CN232" i="3"/>
  <c r="CA84" i="3"/>
  <c r="BY84" i="3"/>
  <c r="BW84" i="3"/>
  <c r="BU84" i="3"/>
  <c r="BS84" i="3"/>
  <c r="CO84" i="3"/>
  <c r="BQ84" i="3"/>
  <c r="CM84" i="3"/>
  <c r="CK84" i="3"/>
  <c r="CI84" i="3"/>
  <c r="BL84" i="3"/>
  <c r="CG84" i="3"/>
  <c r="Q84" i="3"/>
  <c r="CE84" i="3"/>
  <c r="CC84" i="3"/>
  <c r="CI61" i="3"/>
  <c r="BW61" i="3"/>
  <c r="CG61" i="3"/>
  <c r="BU61" i="3"/>
  <c r="BQ61" i="3"/>
  <c r="BL61" i="3"/>
  <c r="Q61" i="3"/>
  <c r="BY61" i="3"/>
  <c r="CK61" i="3"/>
  <c r="CI50" i="3"/>
  <c r="BL50" i="3"/>
  <c r="CG50" i="3"/>
  <c r="Q50" i="3"/>
  <c r="CE50" i="3"/>
  <c r="CC50" i="3"/>
  <c r="CA50" i="3"/>
  <c r="BY50" i="3"/>
  <c r="BW50" i="3"/>
  <c r="BU50" i="3"/>
  <c r="BS50" i="3"/>
  <c r="CO50" i="3"/>
  <c r="BQ50" i="3"/>
  <c r="CM50" i="3"/>
  <c r="CK50" i="3"/>
  <c r="CI33" i="3"/>
  <c r="BL33" i="3"/>
  <c r="CG33" i="3"/>
  <c r="Q33" i="3"/>
  <c r="CE33" i="3"/>
  <c r="CC33" i="3"/>
  <c r="CA33" i="3"/>
  <c r="BY33" i="3"/>
  <c r="BU33" i="3"/>
  <c r="CO33" i="3"/>
  <c r="BQ33" i="3"/>
  <c r="BW33" i="3"/>
  <c r="BS33" i="3"/>
  <c r="CK33" i="3"/>
  <c r="CM33" i="3"/>
  <c r="CO198" i="3"/>
  <c r="CO61" i="3"/>
  <c r="CE61" i="3"/>
  <c r="BN17" i="3"/>
  <c r="CS17" i="3"/>
  <c r="BV17" i="3"/>
  <c r="BR14" i="3"/>
  <c r="CK44" i="3"/>
  <c r="BY44" i="3"/>
  <c r="BW44" i="3"/>
  <c r="CI44" i="3"/>
  <c r="BU44" i="3"/>
  <c r="BS44" i="3"/>
  <c r="BQ44" i="3"/>
  <c r="BL44" i="3"/>
  <c r="Q44" i="3"/>
  <c r="CM44" i="3"/>
  <c r="CA44" i="3"/>
  <c r="D41" i="3"/>
  <c r="CM26" i="3"/>
  <c r="BN356" i="3"/>
  <c r="BL360" i="3"/>
  <c r="Q360" i="3"/>
  <c r="BS360" i="3"/>
  <c r="BQ360" i="3"/>
  <c r="CG360" i="3"/>
  <c r="BQ336" i="3"/>
  <c r="BL336" i="3"/>
  <c r="D335" i="3"/>
  <c r="BS336" i="3"/>
  <c r="Q336" i="3"/>
  <c r="CG336" i="3"/>
  <c r="CI415" i="3"/>
  <c r="CH413" i="3"/>
  <c r="BU374" i="3"/>
  <c r="BT373" i="3"/>
  <c r="CC371" i="3"/>
  <c r="CB370" i="3"/>
  <c r="CE327" i="3"/>
  <c r="CD326" i="3"/>
  <c r="BY297" i="3"/>
  <c r="BX296" i="3"/>
  <c r="CI312" i="3"/>
  <c r="BY345" i="3"/>
  <c r="BX344" i="3"/>
  <c r="BQ308" i="3"/>
  <c r="BL308" i="3"/>
  <c r="BS308" i="3"/>
  <c r="Q308" i="3"/>
  <c r="CG308" i="3"/>
  <c r="CO280" i="3"/>
  <c r="CN279" i="3"/>
  <c r="BW340" i="3"/>
  <c r="BV338" i="3"/>
  <c r="CK423" i="3"/>
  <c r="CI423" i="3"/>
  <c r="BL423" i="3"/>
  <c r="CE423" i="3"/>
  <c r="CA423" i="3"/>
  <c r="BY423" i="3"/>
  <c r="BW423" i="3"/>
  <c r="BS423" i="3"/>
  <c r="CM423" i="3"/>
  <c r="D422" i="3"/>
  <c r="CG423" i="3"/>
  <c r="CC423" i="3"/>
  <c r="BU423" i="3"/>
  <c r="BQ423" i="3"/>
  <c r="Q423" i="3"/>
  <c r="CO423" i="3"/>
  <c r="BV293" i="3"/>
  <c r="BW294" i="3"/>
  <c r="CK276" i="3"/>
  <c r="BY276" i="3"/>
  <c r="BL276" i="3"/>
  <c r="CC276" i="3"/>
  <c r="Q276" i="3"/>
  <c r="CI276" i="3"/>
  <c r="CG276" i="3"/>
  <c r="BQ276" i="3"/>
  <c r="BW276" i="3"/>
  <c r="BU276" i="3"/>
  <c r="CC284" i="3"/>
  <c r="CA284" i="3"/>
  <c r="BW284" i="3"/>
  <c r="BU284" i="3"/>
  <c r="BS284" i="3"/>
  <c r="BQ284" i="3"/>
  <c r="CM284" i="3"/>
  <c r="Q284" i="3"/>
  <c r="CI284" i="3"/>
  <c r="CG284" i="3"/>
  <c r="CE284" i="3"/>
  <c r="BL284" i="3"/>
  <c r="CK284" i="3"/>
  <c r="BY284" i="3"/>
  <c r="CB233" i="3"/>
  <c r="CA233" i="3"/>
  <c r="BZ232" i="3"/>
  <c r="CG260" i="3"/>
  <c r="CF257" i="3"/>
  <c r="BV231" i="3"/>
  <c r="BU219" i="3"/>
  <c r="BT217" i="3"/>
  <c r="BZ183" i="3"/>
  <c r="BY183" i="3"/>
  <c r="BX158" i="3"/>
  <c r="BN157" i="3"/>
  <c r="F144" i="3"/>
  <c r="BJ144" i="3" s="1"/>
  <c r="BM145" i="3"/>
  <c r="CA82" i="3"/>
  <c r="BY82" i="3"/>
  <c r="BW82" i="3"/>
  <c r="BU82" i="3"/>
  <c r="BS82" i="3"/>
  <c r="CO82" i="3"/>
  <c r="BQ82" i="3"/>
  <c r="CM82" i="3"/>
  <c r="CK82" i="3"/>
  <c r="CI82" i="3"/>
  <c r="BL82" i="3"/>
  <c r="CG82" i="3"/>
  <c r="Q82" i="3"/>
  <c r="CE82" i="3"/>
  <c r="CC82" i="3"/>
  <c r="F213" i="3"/>
  <c r="BJ213" i="3" s="1"/>
  <c r="CI122" i="3"/>
  <c r="BL122" i="3"/>
  <c r="CG122" i="3"/>
  <c r="CK122" i="3"/>
  <c r="BW173" i="3"/>
  <c r="BU173" i="3"/>
  <c r="BQ173" i="3"/>
  <c r="CM173" i="3"/>
  <c r="CK173" i="3"/>
  <c r="CG173" i="3"/>
  <c r="Q173" i="3"/>
  <c r="CI173" i="3"/>
  <c r="CE173" i="3"/>
  <c r="CC173" i="3"/>
  <c r="CA173" i="3"/>
  <c r="BY173" i="3"/>
  <c r="BL173" i="3"/>
  <c r="CO173" i="3"/>
  <c r="BS173" i="3"/>
  <c r="CM64" i="3"/>
  <c r="BU64" i="3"/>
  <c r="BS64" i="3"/>
  <c r="BQ64" i="3"/>
  <c r="BL64" i="3"/>
  <c r="CG64" i="3"/>
  <c r="Q64" i="3"/>
  <c r="CE64" i="3"/>
  <c r="CC64" i="3"/>
  <c r="CA64" i="3"/>
  <c r="BY64" i="3"/>
  <c r="BW64" i="3"/>
  <c r="CJ164" i="3"/>
  <c r="CI164" i="3"/>
  <c r="CK64" i="3"/>
  <c r="CC109" i="3"/>
  <c r="CA109" i="3"/>
  <c r="BY109" i="3"/>
  <c r="BW109" i="3"/>
  <c r="BU109" i="3"/>
  <c r="BS109" i="3"/>
  <c r="CO109" i="3"/>
  <c r="BQ109" i="3"/>
  <c r="CM109" i="3"/>
  <c r="CK109" i="3"/>
  <c r="CI109" i="3"/>
  <c r="BL109" i="3"/>
  <c r="CG109" i="3"/>
  <c r="Q109" i="3"/>
  <c r="CE109" i="3"/>
  <c r="CF17" i="3"/>
  <c r="BM332" i="3"/>
  <c r="BY318" i="3"/>
  <c r="BX317" i="3"/>
  <c r="CM292" i="3"/>
  <c r="CL291" i="3"/>
  <c r="CE360" i="3"/>
  <c r="BW312" i="3"/>
  <c r="CL413" i="3"/>
  <c r="CM415" i="3"/>
  <c r="CI374" i="3"/>
  <c r="CH373" i="3"/>
  <c r="CK318" i="3"/>
  <c r="CJ317" i="3"/>
  <c r="CO312" i="3"/>
  <c r="CK287" i="3"/>
  <c r="BL300" i="3"/>
  <c r="BW300" i="3"/>
  <c r="BU300" i="3"/>
  <c r="BS300" i="3"/>
  <c r="Q300" i="3"/>
  <c r="BY300" i="3"/>
  <c r="BQ300" i="3"/>
  <c r="D299" i="3"/>
  <c r="CA280" i="3"/>
  <c r="BZ279" i="3"/>
  <c r="BM422" i="3"/>
  <c r="CJ285" i="3"/>
  <c r="CK286" i="3"/>
  <c r="CB285" i="3"/>
  <c r="CC286" i="3"/>
  <c r="CF234" i="3"/>
  <c r="CG234" i="3" s="1"/>
  <c r="CH235" i="3"/>
  <c r="CG235" i="3"/>
  <c r="CC150" i="3"/>
  <c r="CA150" i="3"/>
  <c r="BY150" i="3"/>
  <c r="BW150" i="3"/>
  <c r="BU150" i="3"/>
  <c r="BS150" i="3"/>
  <c r="CM150" i="3"/>
  <c r="CK150" i="3"/>
  <c r="CI150" i="3"/>
  <c r="BL150" i="3"/>
  <c r="CG150" i="3"/>
  <c r="Q150" i="3"/>
  <c r="CO150" i="3"/>
  <c r="CE150" i="3"/>
  <c r="BQ150" i="3"/>
  <c r="CN191" i="3"/>
  <c r="CM191" i="3"/>
  <c r="BY186" i="3"/>
  <c r="BZ186" i="3"/>
  <c r="CI105" i="3"/>
  <c r="BL105" i="3"/>
  <c r="CG105" i="3"/>
  <c r="Q105" i="3"/>
  <c r="CE105" i="3"/>
  <c r="CC105" i="3"/>
  <c r="CA105" i="3"/>
  <c r="BY105" i="3"/>
  <c r="BW105" i="3"/>
  <c r="BU105" i="3"/>
  <c r="BS105" i="3"/>
  <c r="CO105" i="3"/>
  <c r="BQ105" i="3"/>
  <c r="CM105" i="3"/>
  <c r="CK105" i="3"/>
  <c r="D148" i="3"/>
  <c r="BX145" i="3"/>
  <c r="BZ146" i="3"/>
  <c r="BY146" i="3"/>
  <c r="CA93" i="3"/>
  <c r="BY93" i="3"/>
  <c r="BW93" i="3"/>
  <c r="BU93" i="3"/>
  <c r="BS93" i="3"/>
  <c r="CO93" i="3"/>
  <c r="BQ93" i="3"/>
  <c r="CM93" i="3"/>
  <c r="CK93" i="3"/>
  <c r="CI93" i="3"/>
  <c r="BL93" i="3"/>
  <c r="CG93" i="3"/>
  <c r="Q93" i="3"/>
  <c r="CE93" i="3"/>
  <c r="CC93" i="3"/>
  <c r="BQ17" i="4" l="1"/>
  <c r="BP17" i="4"/>
  <c r="BW94" i="3"/>
  <c r="BW469" i="3"/>
  <c r="Q382" i="3"/>
  <c r="Q526" i="3"/>
  <c r="CA526" i="3"/>
  <c r="BS526" i="3"/>
  <c r="Q476" i="3"/>
  <c r="CC526" i="3"/>
  <c r="CA94" i="3"/>
  <c r="BY94" i="3"/>
  <c r="CC94" i="3"/>
  <c r="CA323" i="3"/>
  <c r="BY382" i="3"/>
  <c r="CO526" i="3"/>
  <c r="Q94" i="3"/>
  <c r="CE94" i="3"/>
  <c r="BU350" i="3"/>
  <c r="BU526" i="3"/>
  <c r="BL94" i="3"/>
  <c r="BS94" i="3"/>
  <c r="CC523" i="3"/>
  <c r="CO416" i="3"/>
  <c r="BU94" i="3"/>
  <c r="BL363" i="3"/>
  <c r="CC382" i="3"/>
  <c r="CK526" i="3"/>
  <c r="CO94" i="3"/>
  <c r="BY363" i="3"/>
  <c r="CI526" i="3"/>
  <c r="BL526" i="3"/>
  <c r="Q217" i="3"/>
  <c r="CA382" i="3"/>
  <c r="CE317" i="3"/>
  <c r="CM382" i="3"/>
  <c r="BS382" i="3"/>
  <c r="CG94" i="3"/>
  <c r="CI94" i="3"/>
  <c r="CM94" i="3"/>
  <c r="CP373" i="3"/>
  <c r="CQ373" i="3"/>
  <c r="CQ92" i="3"/>
  <c r="CP92" i="3"/>
  <c r="CQ332" i="3"/>
  <c r="CP332" i="3"/>
  <c r="CP520" i="3"/>
  <c r="CQ520" i="3"/>
  <c r="CP219" i="3"/>
  <c r="CQ219" i="3"/>
  <c r="CP565" i="3"/>
  <c r="CQ565" i="3"/>
  <c r="CP95" i="3"/>
  <c r="CQ95" i="3"/>
  <c r="CP578" i="3"/>
  <c r="CQ578" i="3"/>
  <c r="CQ288" i="3"/>
  <c r="CP288" i="3"/>
  <c r="CQ338" i="3"/>
  <c r="CP338" i="3"/>
  <c r="CQ106" i="3"/>
  <c r="CP106" i="3"/>
  <c r="CP477" i="3"/>
  <c r="CQ477" i="3"/>
  <c r="CP353" i="3"/>
  <c r="CQ353" i="3"/>
  <c r="CQ222" i="3"/>
  <c r="CP222" i="3"/>
  <c r="CQ128" i="3"/>
  <c r="CP128" i="3"/>
  <c r="CP495" i="3"/>
  <c r="CQ495" i="3"/>
  <c r="CP209" i="3"/>
  <c r="CQ209" i="3"/>
  <c r="CP541" i="3"/>
  <c r="CQ541" i="3"/>
  <c r="CP183" i="3"/>
  <c r="CQ183" i="3"/>
  <c r="CQ326" i="3"/>
  <c r="CP326" i="3"/>
  <c r="CP77" i="3"/>
  <c r="CQ77" i="3"/>
  <c r="CQ552" i="3"/>
  <c r="CP552" i="3"/>
  <c r="CP341" i="3"/>
  <c r="CQ341" i="3"/>
  <c r="CQ214" i="3"/>
  <c r="CP214" i="3"/>
  <c r="CQ446" i="3"/>
  <c r="CP446" i="3"/>
  <c r="CQ546" i="3"/>
  <c r="CP546" i="3"/>
  <c r="CQ306" i="3"/>
  <c r="CP306" i="3"/>
  <c r="CP517" i="3"/>
  <c r="CQ517" i="3"/>
  <c r="CP111" i="3"/>
  <c r="CQ111" i="3"/>
  <c r="CP291" i="3"/>
  <c r="CQ291" i="3"/>
  <c r="CP465" i="3"/>
  <c r="CQ465" i="3"/>
  <c r="CQ492" i="3"/>
  <c r="CP492" i="3"/>
  <c r="CP376" i="3"/>
  <c r="CQ376" i="3"/>
  <c r="CP298" i="3"/>
  <c r="CQ298" i="3"/>
  <c r="CP108" i="3"/>
  <c r="CQ108" i="3"/>
  <c r="CP579" i="3"/>
  <c r="CQ579" i="3"/>
  <c r="CP370" i="3"/>
  <c r="CQ370" i="3"/>
  <c r="CP335" i="3"/>
  <c r="CQ335" i="3"/>
  <c r="CQ320" i="3"/>
  <c r="CP320" i="3"/>
  <c r="CP41" i="3"/>
  <c r="CQ41" i="3"/>
  <c r="CP253" i="3"/>
  <c r="CQ253" i="3"/>
  <c r="CQ356" i="3"/>
  <c r="CP356" i="3"/>
  <c r="CP523" i="3"/>
  <c r="CQ523" i="3"/>
  <c r="CP403" i="3"/>
  <c r="CQ403" i="3"/>
  <c r="CP419" i="3"/>
  <c r="CQ419" i="3"/>
  <c r="CQ200" i="3"/>
  <c r="CP200" i="3"/>
  <c r="CQ526" i="3"/>
  <c r="CP526" i="3"/>
  <c r="CQ122" i="3"/>
  <c r="CP122" i="3"/>
  <c r="CP560" i="3"/>
  <c r="CQ560" i="3"/>
  <c r="CP131" i="3"/>
  <c r="CQ131" i="3"/>
  <c r="CP400" i="3"/>
  <c r="CQ400" i="3"/>
  <c r="CQ506" i="3"/>
  <c r="CP506" i="3"/>
  <c r="CP568" i="3"/>
  <c r="CQ568" i="3"/>
  <c r="CP385" i="3"/>
  <c r="CQ385" i="3"/>
  <c r="CQ482" i="3"/>
  <c r="CP482" i="3"/>
  <c r="CP279" i="3"/>
  <c r="CQ279" i="3"/>
  <c r="CP502" i="3"/>
  <c r="CQ502" i="3"/>
  <c r="CQ89" i="3"/>
  <c r="CP89" i="3"/>
  <c r="CQ350" i="3"/>
  <c r="CP350" i="3"/>
  <c r="CP587" i="3"/>
  <c r="CQ587" i="3"/>
  <c r="CP329" i="3"/>
  <c r="CQ329" i="3"/>
  <c r="CP448" i="3"/>
  <c r="CQ448" i="3"/>
  <c r="CQ96" i="3"/>
  <c r="CP96" i="3"/>
  <c r="CQ296" i="3"/>
  <c r="CP296" i="3"/>
  <c r="CP249" i="3"/>
  <c r="CQ249" i="3"/>
  <c r="CP257" i="3"/>
  <c r="CQ257" i="3"/>
  <c r="CP347" i="3"/>
  <c r="CQ347" i="3"/>
  <c r="CQ554" i="3"/>
  <c r="CP554" i="3"/>
  <c r="CP317" i="3"/>
  <c r="CQ317" i="3"/>
  <c r="CP73" i="3"/>
  <c r="CQ73" i="3"/>
  <c r="BW451" i="3"/>
  <c r="CP431" i="3"/>
  <c r="CQ431" i="3"/>
  <c r="CQ408" i="3"/>
  <c r="CP408" i="3"/>
  <c r="CP388" i="3"/>
  <c r="CQ388" i="3"/>
  <c r="CP145" i="3"/>
  <c r="CQ145" i="3"/>
  <c r="CQ266" i="3"/>
  <c r="CP266" i="3"/>
  <c r="CP115" i="3"/>
  <c r="CQ115" i="3"/>
  <c r="CP435" i="3"/>
  <c r="CQ435" i="3"/>
  <c r="CQ276" i="3"/>
  <c r="CP276" i="3"/>
  <c r="CP363" i="3"/>
  <c r="CQ363" i="3"/>
  <c r="CQ208" i="3"/>
  <c r="CP208" i="3"/>
  <c r="CQ416" i="3"/>
  <c r="CP416" i="3"/>
  <c r="CQ468" i="3"/>
  <c r="CP468" i="3"/>
  <c r="CP425" i="3"/>
  <c r="CQ425" i="3"/>
  <c r="CQ206" i="3"/>
  <c r="CP206" i="3"/>
  <c r="CP36" i="3"/>
  <c r="CQ36" i="3"/>
  <c r="CP441" i="3"/>
  <c r="CQ441" i="3"/>
  <c r="CQ488" i="3"/>
  <c r="CP488" i="3"/>
  <c r="CP454" i="3"/>
  <c r="CQ454" i="3"/>
  <c r="CQ410" i="3"/>
  <c r="CP410" i="3"/>
  <c r="CE498" i="3"/>
  <c r="CP357" i="3"/>
  <c r="CQ357" i="3"/>
  <c r="CP557" i="3"/>
  <c r="CQ557" i="3"/>
  <c r="CP197" i="3"/>
  <c r="CQ197" i="3"/>
  <c r="CQ422" i="3"/>
  <c r="CP422" i="3"/>
  <c r="CA122" i="3"/>
  <c r="CQ540" i="3"/>
  <c r="CP540" i="3"/>
  <c r="CQ382" i="3"/>
  <c r="CP382" i="3"/>
  <c r="CP433" i="3"/>
  <c r="CQ433" i="3"/>
  <c r="CP487" i="3"/>
  <c r="CQ487" i="3"/>
  <c r="CQ314" i="3"/>
  <c r="CP314" i="3"/>
  <c r="CQ282" i="3"/>
  <c r="CP282" i="3"/>
  <c r="CQ498" i="3"/>
  <c r="CP498" i="3"/>
  <c r="CP406" i="3"/>
  <c r="CQ406" i="3"/>
  <c r="CP514" i="3"/>
  <c r="CQ514" i="3"/>
  <c r="CP129" i="3"/>
  <c r="CQ129" i="3"/>
  <c r="CQ232" i="3"/>
  <c r="CP232" i="3"/>
  <c r="CP237" i="3"/>
  <c r="CQ237" i="3"/>
  <c r="CP229" i="3"/>
  <c r="CQ229" i="3"/>
  <c r="CP234" i="3"/>
  <c r="CQ234" i="3"/>
  <c r="CP231" i="3"/>
  <c r="CQ231" i="3"/>
  <c r="D216" i="3"/>
  <c r="F130" i="3"/>
  <c r="BJ130" i="3" s="1"/>
  <c r="Q565" i="3"/>
  <c r="BL428" i="3"/>
  <c r="Q428" i="3"/>
  <c r="CE428" i="3"/>
  <c r="CA209" i="3"/>
  <c r="CM428" i="3"/>
  <c r="CM498" i="3"/>
  <c r="BS209" i="3"/>
  <c r="CE209" i="3"/>
  <c r="BU209" i="3"/>
  <c r="BJ514" i="3"/>
  <c r="CK363" i="3"/>
  <c r="BY77" i="3"/>
  <c r="CG363" i="3"/>
  <c r="CA77" i="3"/>
  <c r="Q469" i="3"/>
  <c r="BL382" i="3"/>
  <c r="CE77" i="3"/>
  <c r="CE363" i="3"/>
  <c r="CM363" i="3"/>
  <c r="BS425" i="3"/>
  <c r="CG77" i="3"/>
  <c r="BU382" i="3"/>
  <c r="BY425" i="3"/>
  <c r="CC363" i="3"/>
  <c r="CE425" i="3"/>
  <c r="CI77" i="3"/>
  <c r="BS363" i="3"/>
  <c r="D362" i="3"/>
  <c r="CO362" i="3" s="1"/>
  <c r="BS77" i="3"/>
  <c r="D71" i="3"/>
  <c r="BL71" i="3" s="1"/>
  <c r="Q451" i="3"/>
  <c r="CI382" i="3"/>
  <c r="CO332" i="3"/>
  <c r="CC332" i="3"/>
  <c r="CE388" i="3"/>
  <c r="BQ332" i="3"/>
  <c r="CG385" i="3"/>
  <c r="BU363" i="3"/>
  <c r="BQ122" i="3"/>
  <c r="CG382" i="3"/>
  <c r="O224" i="3"/>
  <c r="BM305" i="3"/>
  <c r="CA332" i="3"/>
  <c r="CA385" i="3"/>
  <c r="Q363" i="3"/>
  <c r="BQ217" i="3"/>
  <c r="BW122" i="3"/>
  <c r="BW363" i="3"/>
  <c r="BL425" i="3"/>
  <c r="BS138" i="3"/>
  <c r="CC138" i="3"/>
  <c r="BS332" i="3"/>
  <c r="BU332" i="3"/>
  <c r="BW584" i="3"/>
  <c r="BW400" i="3"/>
  <c r="BY122" i="3"/>
  <c r="CI363" i="3"/>
  <c r="CE385" i="3"/>
  <c r="Q425" i="3"/>
  <c r="CG138" i="3"/>
  <c r="CE332" i="3"/>
  <c r="BW77" i="3"/>
  <c r="CK523" i="3"/>
  <c r="CC77" i="3"/>
  <c r="BY115" i="3"/>
  <c r="Q77" i="3"/>
  <c r="CO363" i="3"/>
  <c r="BL77" i="3"/>
  <c r="CC584" i="3"/>
  <c r="CK77" i="3"/>
  <c r="BU451" i="3"/>
  <c r="CO77" i="3"/>
  <c r="CM451" i="3"/>
  <c r="BW128" i="3"/>
  <c r="CC129" i="3"/>
  <c r="CG129" i="3"/>
  <c r="BY129" i="3"/>
  <c r="CM502" i="3"/>
  <c r="CA129" i="3"/>
  <c r="CE129" i="3"/>
  <c r="CD118" i="4"/>
  <c r="CI391" i="3"/>
  <c r="CC115" i="3"/>
  <c r="BW560" i="3"/>
  <c r="BY571" i="3"/>
  <c r="CC565" i="3"/>
  <c r="CA128" i="3"/>
  <c r="BW391" i="3"/>
  <c r="CG115" i="3"/>
  <c r="CK565" i="3"/>
  <c r="CM413" i="3"/>
  <c r="CI129" i="3"/>
  <c r="BY557" i="3"/>
  <c r="BS122" i="3"/>
  <c r="BW416" i="3"/>
  <c r="BS385" i="3"/>
  <c r="BW425" i="3"/>
  <c r="Q129" i="3"/>
  <c r="CM129" i="3"/>
  <c r="BW565" i="3"/>
  <c r="CK428" i="3"/>
  <c r="BL115" i="3"/>
  <c r="CK209" i="3"/>
  <c r="BW428" i="3"/>
  <c r="BS217" i="3"/>
  <c r="CO476" i="3"/>
  <c r="CM115" i="3"/>
  <c r="BS129" i="3"/>
  <c r="BQ129" i="3"/>
  <c r="CO565" i="3"/>
  <c r="CO428" i="3"/>
  <c r="CA565" i="3"/>
  <c r="CI115" i="3"/>
  <c r="CO209" i="3"/>
  <c r="CG428" i="3"/>
  <c r="CG128" i="3"/>
  <c r="CE115" i="3"/>
  <c r="BW246" i="3"/>
  <c r="BS571" i="3"/>
  <c r="CI571" i="3"/>
  <c r="BQ428" i="3"/>
  <c r="CI209" i="3"/>
  <c r="CO385" i="3"/>
  <c r="CA557" i="3"/>
  <c r="CK129" i="3"/>
  <c r="BS565" i="3"/>
  <c r="CK243" i="3"/>
  <c r="BU428" i="3"/>
  <c r="Q115" i="3"/>
  <c r="D208" i="3"/>
  <c r="CM208" i="3" s="1"/>
  <c r="BU122" i="3"/>
  <c r="Q385" i="3"/>
  <c r="BL557" i="3"/>
  <c r="CC122" i="3"/>
  <c r="CE122" i="3"/>
  <c r="BY385" i="3"/>
  <c r="BQ425" i="3"/>
  <c r="BQ571" i="3"/>
  <c r="CI416" i="3"/>
  <c r="BU129" i="3"/>
  <c r="CO129" i="3"/>
  <c r="CI565" i="3"/>
  <c r="CC428" i="3"/>
  <c r="CK115" i="3"/>
  <c r="BL209" i="3"/>
  <c r="BQ209" i="3"/>
  <c r="CA451" i="3"/>
  <c r="BQ385" i="3"/>
  <c r="CI128" i="3"/>
  <c r="BL571" i="3"/>
  <c r="CG451" i="3"/>
  <c r="CA476" i="3"/>
  <c r="CM122" i="3"/>
  <c r="BY246" i="3"/>
  <c r="BR242" i="3"/>
  <c r="BR15" i="3" s="1"/>
  <c r="BL129" i="3"/>
  <c r="BY565" i="3"/>
  <c r="Q209" i="3"/>
  <c r="CG565" i="3"/>
  <c r="BJ131" i="3"/>
  <c r="CO122" i="3"/>
  <c r="BS557" i="3"/>
  <c r="CA344" i="3"/>
  <c r="BL565" i="3"/>
  <c r="CI428" i="3"/>
  <c r="CO115" i="3"/>
  <c r="BQ476" i="3"/>
  <c r="CM565" i="3"/>
  <c r="CM209" i="3"/>
  <c r="CG425" i="3"/>
  <c r="BS246" i="3"/>
  <c r="BU385" i="3"/>
  <c r="BL385" i="3"/>
  <c r="CI425" i="3"/>
  <c r="CA391" i="3"/>
  <c r="Q557" i="3"/>
  <c r="CK385" i="3"/>
  <c r="CC425" i="3"/>
  <c r="Q571" i="3"/>
  <c r="CK367" i="3"/>
  <c r="CC338" i="3"/>
  <c r="CO557" i="3"/>
  <c r="BQ565" i="3"/>
  <c r="BS428" i="3"/>
  <c r="BQ115" i="3"/>
  <c r="BY209" i="3"/>
  <c r="CE565" i="3"/>
  <c r="BL282" i="3"/>
  <c r="BS391" i="3"/>
  <c r="Q391" i="3"/>
  <c r="BW243" i="3"/>
  <c r="BY476" i="3"/>
  <c r="Q574" i="3"/>
  <c r="CI574" i="3"/>
  <c r="BU376" i="3"/>
  <c r="BQ243" i="3"/>
  <c r="BU476" i="3"/>
  <c r="CG498" i="3"/>
  <c r="CM293" i="3"/>
  <c r="CE469" i="3"/>
  <c r="CM391" i="3"/>
  <c r="BJ578" i="3"/>
  <c r="CI304" i="3"/>
  <c r="BL469" i="3"/>
  <c r="BS243" i="3"/>
  <c r="CC476" i="3"/>
  <c r="CA376" i="3"/>
  <c r="CO406" i="3"/>
  <c r="BQ279" i="3"/>
  <c r="CI279" i="3"/>
  <c r="BU391" i="3"/>
  <c r="CA498" i="3"/>
  <c r="Q243" i="3"/>
  <c r="CK376" i="3"/>
  <c r="CC243" i="3"/>
  <c r="CK574" i="3"/>
  <c r="BW574" i="3"/>
  <c r="CE279" i="3"/>
  <c r="CI243" i="3"/>
  <c r="CK279" i="3"/>
  <c r="BM545" i="3"/>
  <c r="CI498" i="3"/>
  <c r="BY376" i="3"/>
  <c r="CL501" i="3"/>
  <c r="BW279" i="3"/>
  <c r="BU502" i="3"/>
  <c r="CC376" i="3"/>
  <c r="CM469" i="3"/>
  <c r="CA243" i="3"/>
  <c r="Q545" i="3"/>
  <c r="Q279" i="3"/>
  <c r="CE476" i="3"/>
  <c r="BW108" i="3"/>
  <c r="CM376" i="3"/>
  <c r="BQ376" i="3"/>
  <c r="CC530" i="3"/>
  <c r="BQ391" i="3"/>
  <c r="BJ208" i="3"/>
  <c r="BU574" i="3"/>
  <c r="BL574" i="3"/>
  <c r="BS574" i="3"/>
  <c r="BQ574" i="3"/>
  <c r="CG574" i="3"/>
  <c r="CO574" i="3"/>
  <c r="BS279" i="3"/>
  <c r="BL476" i="3"/>
  <c r="BU498" i="3"/>
  <c r="CM279" i="3"/>
  <c r="BS469" i="3"/>
  <c r="BL243" i="3"/>
  <c r="BL545" i="3"/>
  <c r="CK469" i="3"/>
  <c r="D468" i="3"/>
  <c r="CK468" i="3" s="1"/>
  <c r="BW476" i="3"/>
  <c r="CG243" i="3"/>
  <c r="BL279" i="3"/>
  <c r="BS376" i="3"/>
  <c r="BL502" i="3"/>
  <c r="CC469" i="3"/>
  <c r="BQ451" i="3"/>
  <c r="BL451" i="3"/>
  <c r="BS451" i="3"/>
  <c r="BY451" i="3"/>
  <c r="CC451" i="3"/>
  <c r="CI451" i="3"/>
  <c r="CO451" i="3"/>
  <c r="CK451" i="3"/>
  <c r="BY469" i="3"/>
  <c r="BU469" i="3"/>
  <c r="BY243" i="3"/>
  <c r="BY574" i="3"/>
  <c r="BW376" i="3"/>
  <c r="BS476" i="3"/>
  <c r="CG376" i="3"/>
  <c r="CM476" i="3"/>
  <c r="BY279" i="3"/>
  <c r="Q502" i="3"/>
  <c r="BY391" i="3"/>
  <c r="CE574" i="3"/>
  <c r="CA279" i="3"/>
  <c r="CG469" i="3"/>
  <c r="CA293" i="3"/>
  <c r="CM243" i="3"/>
  <c r="CG476" i="3"/>
  <c r="BL376" i="3"/>
  <c r="D501" i="3"/>
  <c r="CK501" i="3" s="1"/>
  <c r="CK391" i="3"/>
  <c r="CC574" i="3"/>
  <c r="CA118" i="3"/>
  <c r="Q118" i="3"/>
  <c r="BY118" i="3"/>
  <c r="CM118" i="3"/>
  <c r="CE118" i="3"/>
  <c r="BQ118" i="3"/>
  <c r="BU118" i="3"/>
  <c r="BW118" i="3"/>
  <c r="CK118" i="3"/>
  <c r="CG118" i="3"/>
  <c r="CC118" i="3"/>
  <c r="BL118" i="3"/>
  <c r="BS118" i="3"/>
  <c r="CI118" i="3"/>
  <c r="CO118" i="3"/>
  <c r="CO243" i="3"/>
  <c r="CE376" i="3"/>
  <c r="CA574" i="3"/>
  <c r="BW293" i="3"/>
  <c r="CI376" i="3"/>
  <c r="BU243" i="3"/>
  <c r="CK476" i="3"/>
  <c r="CE391" i="3"/>
  <c r="BQ502" i="3"/>
  <c r="CS25" i="4"/>
  <c r="CT20" i="4"/>
  <c r="CL118" i="4"/>
  <c r="BZ25" i="4"/>
  <c r="CA26" i="4"/>
  <c r="CD47" i="4"/>
  <c r="CF20" i="4"/>
  <c r="BT23" i="4"/>
  <c r="BV23" i="4"/>
  <c r="BY23" i="4"/>
  <c r="BZ23" i="4" s="1"/>
  <c r="BZ34" i="4"/>
  <c r="BV18" i="4"/>
  <c r="BZ18" i="4"/>
  <c r="CJ18" i="4"/>
  <c r="BX18" i="4"/>
  <c r="CR18" i="4"/>
  <c r="CL18" i="4"/>
  <c r="CB18" i="4"/>
  <c r="BT18" i="4"/>
  <c r="CH18" i="4"/>
  <c r="CN18" i="4"/>
  <c r="CF18" i="4"/>
  <c r="CD18" i="4"/>
  <c r="BZ26" i="4"/>
  <c r="CT23" i="4"/>
  <c r="CS23" i="4"/>
  <c r="CE22" i="4"/>
  <c r="CA25" i="4"/>
  <c r="CB25" i="4" s="1"/>
  <c r="CP18" i="4"/>
  <c r="CS19" i="4"/>
  <c r="CT19" i="4"/>
  <c r="CT27" i="4"/>
  <c r="CS27" i="4"/>
  <c r="BV25" i="4"/>
  <c r="BT25" i="4"/>
  <c r="CR34" i="4"/>
  <c r="BV24" i="4"/>
  <c r="BT24" i="4"/>
  <c r="BW24" i="4"/>
  <c r="BX24" i="4" s="1"/>
  <c r="BP26" i="4"/>
  <c r="CF47" i="4"/>
  <c r="CR21" i="4"/>
  <c r="CF21" i="4"/>
  <c r="CF17" i="4" s="1"/>
  <c r="CG17" i="4" s="1"/>
  <c r="BT21" i="4"/>
  <c r="BT17" i="4" s="1"/>
  <c r="BU17" i="4" s="1"/>
  <c r="BX21" i="4"/>
  <c r="BX17" i="4" s="1"/>
  <c r="BY17" i="4" s="1"/>
  <c r="BV21" i="4"/>
  <c r="BV17" i="4" s="1"/>
  <c r="BW17" i="4" s="1"/>
  <c r="CH21" i="4"/>
  <c r="CH17" i="4" s="1"/>
  <c r="CI17" i="4" s="1"/>
  <c r="CB21" i="4"/>
  <c r="CB17" i="4" s="1"/>
  <c r="CC17" i="4" s="1"/>
  <c r="CJ21" i="4"/>
  <c r="CJ17" i="4" s="1"/>
  <c r="CK17" i="4" s="1"/>
  <c r="BZ21" i="4"/>
  <c r="BZ17" i="4" s="1"/>
  <c r="CA17" i="4" s="1"/>
  <c r="CN21" i="4"/>
  <c r="CN17" i="4" s="1"/>
  <c r="CO17" i="4" s="1"/>
  <c r="CD21" i="4"/>
  <c r="CD17" i="4" s="1"/>
  <c r="CE17" i="4" s="1"/>
  <c r="CP21" i="4"/>
  <c r="CL21" i="4"/>
  <c r="CL17" i="4" s="1"/>
  <c r="CM17" i="4" s="1"/>
  <c r="BX23" i="4"/>
  <c r="BP22" i="4"/>
  <c r="BY88" i="4"/>
  <c r="BZ88" i="4" s="1"/>
  <c r="BW122" i="4"/>
  <c r="BX122" i="4" s="1"/>
  <c r="BX123" i="4"/>
  <c r="CP116" i="4"/>
  <c r="CO115" i="4"/>
  <c r="CH116" i="4"/>
  <c r="CG115" i="4"/>
  <c r="CF34" i="4"/>
  <c r="CP34" i="4"/>
  <c r="CN79" i="4"/>
  <c r="CM78" i="4"/>
  <c r="CN78" i="4" s="1"/>
  <c r="CD34" i="4"/>
  <c r="BU89" i="4"/>
  <c r="BV89" i="4" s="1"/>
  <c r="CP79" i="4"/>
  <c r="CO78" i="4"/>
  <c r="CP78" i="4" s="1"/>
  <c r="CH79" i="4"/>
  <c r="CG78" i="4"/>
  <c r="CH78" i="4" s="1"/>
  <c r="CC122" i="4"/>
  <c r="CD122" i="4" s="1"/>
  <c r="BK16" i="3"/>
  <c r="BN16" i="3" s="1"/>
  <c r="CB14" i="4"/>
  <c r="CC14" i="4" s="1"/>
  <c r="CT72" i="4"/>
  <c r="CS72" i="4"/>
  <c r="BV123" i="4"/>
  <c r="BT123" i="4"/>
  <c r="CJ123" i="4"/>
  <c r="BO123" i="4"/>
  <c r="CF113" i="4"/>
  <c r="BX113" i="4"/>
  <c r="CL113" i="4"/>
  <c r="CD71" i="4"/>
  <c r="BQ15" i="4"/>
  <c r="CE71" i="4"/>
  <c r="CF71" i="4" s="1"/>
  <c r="CN125" i="4"/>
  <c r="BP126" i="4"/>
  <c r="BT126" i="4"/>
  <c r="BV126" i="4"/>
  <c r="CN126" i="4"/>
  <c r="BZ126" i="4"/>
  <c r="CJ126" i="4"/>
  <c r="CF126" i="4"/>
  <c r="CL126" i="4"/>
  <c r="CD126" i="4"/>
  <c r="CP126" i="4"/>
  <c r="CH126" i="4"/>
  <c r="CB126" i="4"/>
  <c r="CR126" i="4"/>
  <c r="BX126" i="4"/>
  <c r="BO126" i="4"/>
  <c r="CH102" i="4"/>
  <c r="CL102" i="4"/>
  <c r="BV102" i="4"/>
  <c r="BX102" i="4"/>
  <c r="CP102" i="4"/>
  <c r="CR102" i="4"/>
  <c r="CJ102" i="4"/>
  <c r="CF102" i="4"/>
  <c r="CD102" i="4"/>
  <c r="BZ102" i="4"/>
  <c r="BT102" i="4"/>
  <c r="CN102" i="4"/>
  <c r="BO102" i="4"/>
  <c r="CB102" i="4"/>
  <c r="CI72" i="4"/>
  <c r="CJ72" i="4" s="1"/>
  <c r="CN123" i="4"/>
  <c r="CT33" i="4"/>
  <c r="CS33" i="4"/>
  <c r="CR114" i="4"/>
  <c r="CB114" i="4"/>
  <c r="BT114" i="4"/>
  <c r="BV114" i="4"/>
  <c r="BO114" i="4"/>
  <c r="CN114" i="4"/>
  <c r="BX114" i="4"/>
  <c r="CD114" i="4"/>
  <c r="CL114" i="4"/>
  <c r="CJ114" i="4"/>
  <c r="CF114" i="4"/>
  <c r="BZ114" i="4"/>
  <c r="CT119" i="4"/>
  <c r="CS119" i="4"/>
  <c r="CG47" i="4"/>
  <c r="BZ113" i="4"/>
  <c r="CC30" i="4"/>
  <c r="BX125" i="4"/>
  <c r="BW30" i="4"/>
  <c r="CH125" i="4"/>
  <c r="BV71" i="4"/>
  <c r="BX71" i="4"/>
  <c r="BT71" i="4"/>
  <c r="BO71" i="4"/>
  <c r="CS125" i="4"/>
  <c r="CT125" i="4"/>
  <c r="CR113" i="4"/>
  <c r="CB123" i="4"/>
  <c r="CL123" i="4"/>
  <c r="CB71" i="4"/>
  <c r="BU15" i="4"/>
  <c r="BP49" i="4"/>
  <c r="CT102" i="4"/>
  <c r="CS102" i="4"/>
  <c r="CB113" i="4"/>
  <c r="CE122" i="4"/>
  <c r="CF122" i="4" s="1"/>
  <c r="BZ123" i="4"/>
  <c r="BX33" i="4"/>
  <c r="CD33" i="4"/>
  <c r="BO33" i="4"/>
  <c r="CN33" i="4"/>
  <c r="CP33" i="4"/>
  <c r="CJ33" i="4"/>
  <c r="BZ33" i="4"/>
  <c r="BV33" i="4"/>
  <c r="BT33" i="4"/>
  <c r="CB33" i="4"/>
  <c r="CR33" i="4"/>
  <c r="CL33" i="4"/>
  <c r="CF33" i="4"/>
  <c r="CH33" i="4"/>
  <c r="BP30" i="4"/>
  <c r="BZ72" i="4"/>
  <c r="CT71" i="4"/>
  <c r="CS71" i="4"/>
  <c r="BO113" i="4"/>
  <c r="BV113" i="4"/>
  <c r="CJ113" i="4"/>
  <c r="BT113" i="4"/>
  <c r="BZ125" i="4"/>
  <c r="BY30" i="4"/>
  <c r="CA72" i="4"/>
  <c r="CA30" i="4" s="1"/>
  <c r="CR125" i="4"/>
  <c r="CF125" i="4"/>
  <c r="CM584" i="3"/>
  <c r="BY579" i="3"/>
  <c r="CK571" i="3"/>
  <c r="CK552" i="3"/>
  <c r="Q579" i="3"/>
  <c r="CK335" i="3"/>
  <c r="CK285" i="3"/>
  <c r="CI579" i="3"/>
  <c r="F157" i="3"/>
  <c r="BJ157" i="3" s="1"/>
  <c r="CO584" i="3"/>
  <c r="CK579" i="3"/>
  <c r="BM158" i="3"/>
  <c r="CO128" i="3"/>
  <c r="BL584" i="3"/>
  <c r="BL579" i="3"/>
  <c r="CC571" i="3"/>
  <c r="BW571" i="3"/>
  <c r="Q128" i="3"/>
  <c r="BU338" i="3"/>
  <c r="CA587" i="3"/>
  <c r="Q530" i="3"/>
  <c r="BQ128" i="3"/>
  <c r="CI584" i="3"/>
  <c r="CG545" i="3"/>
  <c r="CF538" i="3"/>
  <c r="CF537" i="3" s="1"/>
  <c r="BU373" i="3"/>
  <c r="D529" i="3"/>
  <c r="BW529" i="3" s="1"/>
  <c r="BW285" i="3"/>
  <c r="BQ579" i="3"/>
  <c r="BU128" i="3"/>
  <c r="BQ557" i="3"/>
  <c r="CO579" i="3"/>
  <c r="CO571" i="3"/>
  <c r="BY128" i="3"/>
  <c r="BU571" i="3"/>
  <c r="CM571" i="3"/>
  <c r="CE128" i="3"/>
  <c r="CC128" i="3"/>
  <c r="CE338" i="3"/>
  <c r="CA579" i="3"/>
  <c r="CM552" i="3"/>
  <c r="CE571" i="3"/>
  <c r="BS282" i="3"/>
  <c r="CM128" i="3"/>
  <c r="CA571" i="3"/>
  <c r="BQ363" i="3"/>
  <c r="E242" i="3"/>
  <c r="BM362" i="3"/>
  <c r="CM326" i="3"/>
  <c r="BU441" i="3"/>
  <c r="CK323" i="3"/>
  <c r="BJ356" i="3"/>
  <c r="BY323" i="3"/>
  <c r="CE326" i="3"/>
  <c r="BQ306" i="3"/>
  <c r="CC587" i="3"/>
  <c r="BS441" i="3"/>
  <c r="CG323" i="3"/>
  <c r="CG502" i="3"/>
  <c r="BM217" i="3"/>
  <c r="BJ217" i="3"/>
  <c r="BJ298" i="3"/>
  <c r="CA326" i="3"/>
  <c r="CG306" i="3"/>
  <c r="CE323" i="3"/>
  <c r="BJ487" i="3"/>
  <c r="BW562" i="3"/>
  <c r="D305" i="3"/>
  <c r="BS305" i="3" s="1"/>
  <c r="CM560" i="3"/>
  <c r="BS323" i="3"/>
  <c r="CI560" i="3"/>
  <c r="BM80" i="3"/>
  <c r="BJ80" i="3"/>
  <c r="BY326" i="3"/>
  <c r="BM458" i="3"/>
  <c r="CC560" i="3"/>
  <c r="CK326" i="3"/>
  <c r="BM481" i="3"/>
  <c r="BJ481" i="3"/>
  <c r="BU326" i="3"/>
  <c r="Q323" i="3"/>
  <c r="BU557" i="3"/>
  <c r="CG557" i="3"/>
  <c r="CI323" i="3"/>
  <c r="CE560" i="3"/>
  <c r="BQ441" i="3"/>
  <c r="BQ323" i="3"/>
  <c r="F457" i="3"/>
  <c r="BJ457" i="3" s="1"/>
  <c r="BL323" i="3"/>
  <c r="K15" i="3"/>
  <c r="E16" i="3"/>
  <c r="BU323" i="3"/>
  <c r="BY560" i="3"/>
  <c r="BJ506" i="3"/>
  <c r="CI469" i="3"/>
  <c r="BQ469" i="3"/>
  <c r="BQ326" i="3"/>
  <c r="CG326" i="3"/>
  <c r="CI413" i="3"/>
  <c r="CK293" i="3"/>
  <c r="BM265" i="3"/>
  <c r="BJ265" i="3"/>
  <c r="CC579" i="3"/>
  <c r="CE587" i="3"/>
  <c r="CC498" i="3"/>
  <c r="BM71" i="3"/>
  <c r="BJ71" i="3"/>
  <c r="CM291" i="3"/>
  <c r="CM323" i="3"/>
  <c r="CC323" i="3"/>
  <c r="BW326" i="3"/>
  <c r="CE373" i="3"/>
  <c r="CI326" i="3"/>
  <c r="BM188" i="3"/>
  <c r="BJ188" i="3"/>
  <c r="BJ529" i="3"/>
  <c r="BM529" i="3"/>
  <c r="BJ540" i="3"/>
  <c r="BS326" i="3"/>
  <c r="Q326" i="3"/>
  <c r="BW323" i="3"/>
  <c r="CC326" i="3"/>
  <c r="CI306" i="3"/>
  <c r="CA517" i="3"/>
  <c r="BW557" i="3"/>
  <c r="BS584" i="3"/>
  <c r="D554" i="3"/>
  <c r="BW554" i="3" s="1"/>
  <c r="BS128" i="3"/>
  <c r="BL128" i="3"/>
  <c r="BJ231" i="3"/>
  <c r="BQ329" i="3"/>
  <c r="BW89" i="3"/>
  <c r="BQ89" i="3"/>
  <c r="BL89" i="3"/>
  <c r="CO89" i="3"/>
  <c r="BY89" i="3"/>
  <c r="CA89" i="3"/>
  <c r="CM89" i="3"/>
  <c r="CE89" i="3"/>
  <c r="Q89" i="3"/>
  <c r="BS89" i="3"/>
  <c r="CG89" i="3"/>
  <c r="CC89" i="3"/>
  <c r="CK89" i="3"/>
  <c r="CI89" i="3"/>
  <c r="BU89" i="3"/>
  <c r="CK246" i="3"/>
  <c r="CE258" i="3"/>
  <c r="CK545" i="3"/>
  <c r="BW545" i="3"/>
  <c r="CC108" i="3"/>
  <c r="CG584" i="3"/>
  <c r="CA108" i="3"/>
  <c r="CG108" i="3"/>
  <c r="BY329" i="3"/>
  <c r="CC545" i="3"/>
  <c r="CM246" i="3"/>
  <c r="BL108" i="3"/>
  <c r="BQ584" i="3"/>
  <c r="CE296" i="3"/>
  <c r="BQ246" i="3"/>
  <c r="CE545" i="3"/>
  <c r="BY576" i="3"/>
  <c r="CI108" i="3"/>
  <c r="Q584" i="3"/>
  <c r="CE246" i="3"/>
  <c r="CA413" i="3"/>
  <c r="CK512" i="3"/>
  <c r="BS560" i="3"/>
  <c r="CG560" i="3"/>
  <c r="BL560" i="3"/>
  <c r="Q560" i="3"/>
  <c r="BQ560" i="3"/>
  <c r="CA560" i="3"/>
  <c r="BL329" i="3"/>
  <c r="BW344" i="3"/>
  <c r="CM562" i="3"/>
  <c r="CK584" i="3"/>
  <c r="CK108" i="3"/>
  <c r="H16" i="3"/>
  <c r="H15" i="3" s="1"/>
  <c r="CO296" i="3"/>
  <c r="CC246" i="3"/>
  <c r="CG246" i="3"/>
  <c r="CI329" i="3"/>
  <c r="CM108" i="3"/>
  <c r="BY584" i="3"/>
  <c r="CC512" i="3"/>
  <c r="BY108" i="3"/>
  <c r="Q246" i="3"/>
  <c r="BS329" i="3"/>
  <c r="BQ108" i="3"/>
  <c r="CI552" i="3"/>
  <c r="CA246" i="3"/>
  <c r="CE413" i="3"/>
  <c r="CI545" i="3"/>
  <c r="BL246" i="3"/>
  <c r="BU329" i="3"/>
  <c r="CK587" i="3"/>
  <c r="CO108" i="3"/>
  <c r="BS545" i="3"/>
  <c r="CE502" i="3"/>
  <c r="CO246" i="3"/>
  <c r="CI419" i="3"/>
  <c r="CM329" i="3"/>
  <c r="CM587" i="3"/>
  <c r="BU108" i="3"/>
  <c r="BS108" i="3"/>
  <c r="BW587" i="3"/>
  <c r="BS502" i="3"/>
  <c r="BY357" i="3"/>
  <c r="BU560" i="3"/>
  <c r="CK560" i="3"/>
  <c r="CM285" i="3"/>
  <c r="CI296" i="3"/>
  <c r="BL441" i="3"/>
  <c r="CM282" i="3"/>
  <c r="CE416" i="3"/>
  <c r="BY285" i="3"/>
  <c r="CG296" i="3"/>
  <c r="D439" i="3"/>
  <c r="BU439" i="3" s="1"/>
  <c r="CI282" i="3"/>
  <c r="BY406" i="3"/>
  <c r="BL512" i="3"/>
  <c r="CO512" i="3"/>
  <c r="CA512" i="3"/>
  <c r="CG512" i="3"/>
  <c r="BQ512" i="3"/>
  <c r="Q512" i="3"/>
  <c r="BU512" i="3"/>
  <c r="BS512" i="3"/>
  <c r="CE512" i="3"/>
  <c r="CO329" i="3"/>
  <c r="CK329" i="3"/>
  <c r="BY282" i="3"/>
  <c r="BW552" i="3"/>
  <c r="BW338" i="3"/>
  <c r="CA419" i="3"/>
  <c r="CM545" i="3"/>
  <c r="CA473" i="3"/>
  <c r="CC293" i="3"/>
  <c r="CM77" i="3"/>
  <c r="CE329" i="3"/>
  <c r="CO425" i="3"/>
  <c r="CM416" i="3"/>
  <c r="BW579" i="3"/>
  <c r="CE108" i="3"/>
  <c r="BW296" i="3"/>
  <c r="CG282" i="3"/>
  <c r="BW291" i="3"/>
  <c r="BY512" i="3"/>
  <c r="CA425" i="3"/>
  <c r="BW512" i="3"/>
  <c r="CI388" i="3"/>
  <c r="CK350" i="3"/>
  <c r="CA282" i="3"/>
  <c r="BW410" i="3"/>
  <c r="CK388" i="3"/>
  <c r="BL296" i="3"/>
  <c r="Q441" i="3"/>
  <c r="CK282" i="3"/>
  <c r="CI373" i="3"/>
  <c r="BY296" i="3"/>
  <c r="CI293" i="3"/>
  <c r="CC419" i="3"/>
  <c r="BU416" i="3"/>
  <c r="BU77" i="3"/>
  <c r="CK373" i="3"/>
  <c r="CA416" i="3"/>
  <c r="Q329" i="3"/>
  <c r="CC416" i="3"/>
  <c r="CO545" i="3"/>
  <c r="BQ545" i="3"/>
  <c r="BW498" i="3"/>
  <c r="BY545" i="3"/>
  <c r="CG523" i="3"/>
  <c r="BQ282" i="3"/>
  <c r="CC285" i="3"/>
  <c r="BU296" i="3"/>
  <c r="CG473" i="3"/>
  <c r="CC296" i="3"/>
  <c r="BU293" i="3"/>
  <c r="BU552" i="3"/>
  <c r="CO282" i="3"/>
  <c r="CO576" i="3"/>
  <c r="BY293" i="3"/>
  <c r="CI587" i="3"/>
  <c r="Q282" i="3"/>
  <c r="BU388" i="3"/>
  <c r="CO517" i="3"/>
  <c r="CE350" i="3"/>
  <c r="BY552" i="3"/>
  <c r="BU282" i="3"/>
  <c r="CI568" i="3"/>
  <c r="CK406" i="3"/>
  <c r="CC413" i="3"/>
  <c r="CI512" i="3"/>
  <c r="CE473" i="3"/>
  <c r="CC282" i="3"/>
  <c r="CA296" i="3"/>
  <c r="CA285" i="3"/>
  <c r="CM338" i="3"/>
  <c r="CK419" i="3"/>
  <c r="CA552" i="3"/>
  <c r="BX356" i="3"/>
  <c r="CI285" i="3"/>
  <c r="BU285" i="3"/>
  <c r="BW282" i="3"/>
  <c r="BW388" i="3"/>
  <c r="CE285" i="3"/>
  <c r="BY388" i="3"/>
  <c r="BU545" i="3"/>
  <c r="CA271" i="3"/>
  <c r="CM271" i="3"/>
  <c r="CG271" i="3"/>
  <c r="BW271" i="3"/>
  <c r="BL271" i="3"/>
  <c r="CC271" i="3"/>
  <c r="CO271" i="3"/>
  <c r="CE271" i="3"/>
  <c r="BY271" i="3"/>
  <c r="BS271" i="3"/>
  <c r="BU271" i="3"/>
  <c r="CI271" i="3"/>
  <c r="CK271" i="3"/>
  <c r="BQ271" i="3"/>
  <c r="Q271" i="3"/>
  <c r="CA530" i="3"/>
  <c r="CG530" i="3"/>
  <c r="CC370" i="3"/>
  <c r="BW397" i="3"/>
  <c r="CA370" i="3"/>
  <c r="BW370" i="3"/>
  <c r="CK208" i="3"/>
  <c r="Q306" i="3"/>
  <c r="BQ530" i="3"/>
  <c r="BY530" i="3"/>
  <c r="BY419" i="3"/>
  <c r="CH195" i="3"/>
  <c r="CG195" i="3"/>
  <c r="CI335" i="3"/>
  <c r="CM530" i="3"/>
  <c r="CB301" i="3"/>
  <c r="CA301" i="3"/>
  <c r="CI502" i="3"/>
  <c r="CH501" i="3"/>
  <c r="CI501" i="3" s="1"/>
  <c r="F216" i="3"/>
  <c r="BM221" i="3"/>
  <c r="CK498" i="3"/>
  <c r="BS498" i="3"/>
  <c r="BQ498" i="3"/>
  <c r="BL498" i="3"/>
  <c r="Q498" i="3"/>
  <c r="CE293" i="3"/>
  <c r="CC258" i="3"/>
  <c r="CA584" i="3"/>
  <c r="CC335" i="3"/>
  <c r="CK296" i="3"/>
  <c r="CI338" i="3"/>
  <c r="BL406" i="3"/>
  <c r="Q406" i="3"/>
  <c r="BQ406" i="3"/>
  <c r="BS406" i="3"/>
  <c r="CG406" i="3"/>
  <c r="Q488" i="3"/>
  <c r="CG488" i="3"/>
  <c r="BU488" i="3"/>
  <c r="CO488" i="3"/>
  <c r="BY488" i="3"/>
  <c r="BQ488" i="3"/>
  <c r="BL488" i="3"/>
  <c r="BW488" i="3"/>
  <c r="CK488" i="3"/>
  <c r="CM488" i="3"/>
  <c r="CA488" i="3"/>
  <c r="CC488" i="3"/>
  <c r="CI488" i="3"/>
  <c r="CE488" i="3"/>
  <c r="BS488" i="3"/>
  <c r="BU406" i="3"/>
  <c r="CI350" i="3"/>
  <c r="F69" i="3"/>
  <c r="CE370" i="3"/>
  <c r="BY338" i="3"/>
  <c r="BU584" i="3"/>
  <c r="A26" i="3"/>
  <c r="A27" i="3" s="1"/>
  <c r="CK530" i="3"/>
  <c r="BW568" i="3"/>
  <c r="CA406" i="3"/>
  <c r="CM579" i="3"/>
  <c r="BU579" i="3"/>
  <c r="CE579" i="3"/>
  <c r="CG579" i="3"/>
  <c r="BS579" i="3"/>
  <c r="CO446" i="3"/>
  <c r="BW446" i="3"/>
  <c r="Q446" i="3"/>
  <c r="CE446" i="3"/>
  <c r="CM446" i="3"/>
  <c r="CK446" i="3"/>
  <c r="BL446" i="3"/>
  <c r="BQ446" i="3"/>
  <c r="BS446" i="3"/>
  <c r="CI446" i="3"/>
  <c r="BU446" i="3"/>
  <c r="CG446" i="3"/>
  <c r="BY446" i="3"/>
  <c r="BW406" i="3"/>
  <c r="CI406" i="3"/>
  <c r="CA350" i="3"/>
  <c r="BU317" i="3"/>
  <c r="CE584" i="3"/>
  <c r="BQ296" i="3"/>
  <c r="BW530" i="3"/>
  <c r="BV219" i="3"/>
  <c r="BW220" i="3"/>
  <c r="BX220" i="3"/>
  <c r="CD184" i="3"/>
  <c r="CC184" i="3"/>
  <c r="BW317" i="3"/>
  <c r="BY350" i="3"/>
  <c r="BS530" i="3"/>
  <c r="CI506" i="3"/>
  <c r="BS296" i="3"/>
  <c r="CE530" i="3"/>
  <c r="CI317" i="3"/>
  <c r="A138" i="3"/>
  <c r="BU370" i="3"/>
  <c r="CC197" i="3"/>
  <c r="CM568" i="3"/>
  <c r="CM350" i="3"/>
  <c r="BY291" i="3"/>
  <c r="BK242" i="3"/>
  <c r="BN242" i="3" s="1"/>
  <c r="BS306" i="3"/>
  <c r="CM296" i="3"/>
  <c r="BL530" i="3"/>
  <c r="Q552" i="3"/>
  <c r="BQ552" i="3"/>
  <c r="BS552" i="3"/>
  <c r="BL552" i="3"/>
  <c r="CG552" i="3"/>
  <c r="CC552" i="3"/>
  <c r="BV501" i="3"/>
  <c r="BW502" i="3"/>
  <c r="BY498" i="3"/>
  <c r="CE406" i="3"/>
  <c r="CE335" i="3"/>
  <c r="CI530" i="3"/>
  <c r="BZ158" i="3"/>
  <c r="CA158" i="3" s="1"/>
  <c r="BY506" i="3"/>
  <c r="BY413" i="3"/>
  <c r="CK291" i="3"/>
  <c r="CA397" i="3"/>
  <c r="CO530" i="3"/>
  <c r="CM370" i="3"/>
  <c r="CA446" i="3"/>
  <c r="CC406" i="3"/>
  <c r="BW73" i="3"/>
  <c r="BY73" i="3"/>
  <c r="CC73" i="3"/>
  <c r="Q73" i="3"/>
  <c r="CO73" i="3"/>
  <c r="BU73" i="3"/>
  <c r="CA73" i="3"/>
  <c r="BL73" i="3"/>
  <c r="BS73" i="3"/>
  <c r="CI73" i="3"/>
  <c r="CM73" i="3"/>
  <c r="CE73" i="3"/>
  <c r="CK73" i="3"/>
  <c r="BQ73" i="3"/>
  <c r="CG73" i="3"/>
  <c r="CE482" i="3"/>
  <c r="CI482" i="3"/>
  <c r="BL482" i="3"/>
  <c r="BU482" i="3"/>
  <c r="CK482" i="3"/>
  <c r="D481" i="3"/>
  <c r="BS481" i="3" s="1"/>
  <c r="Q482" i="3"/>
  <c r="BY482" i="3"/>
  <c r="CA482" i="3"/>
  <c r="BW482" i="3"/>
  <c r="CM482" i="3"/>
  <c r="CC482" i="3"/>
  <c r="CO482" i="3"/>
  <c r="CG482" i="3"/>
  <c r="BQ482" i="3"/>
  <c r="Q237" i="3"/>
  <c r="CO237" i="3"/>
  <c r="CE237" i="3"/>
  <c r="BL237" i="3"/>
  <c r="BQ237" i="3"/>
  <c r="BY237" i="3"/>
  <c r="BW237" i="3"/>
  <c r="BU237" i="3"/>
  <c r="CC237" i="3"/>
  <c r="CI237" i="3"/>
  <c r="BS237" i="3"/>
  <c r="CK237" i="3"/>
  <c r="BY344" i="3"/>
  <c r="CM373" i="3"/>
  <c r="CC317" i="3"/>
  <c r="CA317" i="3"/>
  <c r="CM523" i="3"/>
  <c r="CF187" i="3"/>
  <c r="CE187" i="3"/>
  <c r="CC373" i="3"/>
  <c r="CK408" i="3"/>
  <c r="BY408" i="3"/>
  <c r="BL408" i="3"/>
  <c r="Q408" i="3"/>
  <c r="CO408" i="3"/>
  <c r="CM408" i="3"/>
  <c r="CA408" i="3"/>
  <c r="BQ408" i="3"/>
  <c r="BS408" i="3"/>
  <c r="CI408" i="3"/>
  <c r="CG408" i="3"/>
  <c r="CE408" i="3"/>
  <c r="BW408" i="3"/>
  <c r="BU408" i="3"/>
  <c r="CC408" i="3"/>
  <c r="CB442" i="3"/>
  <c r="CA442" i="3"/>
  <c r="BZ441" i="3"/>
  <c r="CO92" i="3"/>
  <c r="BQ92" i="3"/>
  <c r="CM92" i="3"/>
  <c r="CK92" i="3"/>
  <c r="CI92" i="3"/>
  <c r="BL92" i="3"/>
  <c r="CG92" i="3"/>
  <c r="Q92" i="3"/>
  <c r="CE92" i="3"/>
  <c r="CC92" i="3"/>
  <c r="CA92" i="3"/>
  <c r="BY92" i="3"/>
  <c r="BW92" i="3"/>
  <c r="BU92" i="3"/>
  <c r="BS92" i="3"/>
  <c r="D80" i="3"/>
  <c r="BU306" i="3"/>
  <c r="BT305" i="3"/>
  <c r="CO413" i="3"/>
  <c r="BQ314" i="3"/>
  <c r="CC314" i="3"/>
  <c r="CA314" i="3"/>
  <c r="CE314" i="3"/>
  <c r="Q314" i="3"/>
  <c r="CO314" i="3"/>
  <c r="BY314" i="3"/>
  <c r="CM314" i="3"/>
  <c r="BS314" i="3"/>
  <c r="CG314" i="3"/>
  <c r="BU314" i="3"/>
  <c r="BL314" i="3"/>
  <c r="CK314" i="3"/>
  <c r="BW314" i="3"/>
  <c r="CI314" i="3"/>
  <c r="CI273" i="3"/>
  <c r="BW273" i="3"/>
  <c r="Q273" i="3"/>
  <c r="CK273" i="3"/>
  <c r="BU273" i="3"/>
  <c r="BL273" i="3"/>
  <c r="CA273" i="3"/>
  <c r="BY273" i="3"/>
  <c r="CM273" i="3"/>
  <c r="CG273" i="3"/>
  <c r="BQ273" i="3"/>
  <c r="CO273" i="3"/>
  <c r="CC273" i="3"/>
  <c r="CE273" i="3"/>
  <c r="BS273" i="3"/>
  <c r="CE523" i="3"/>
  <c r="CK344" i="3"/>
  <c r="Q229" i="3"/>
  <c r="D227" i="3"/>
  <c r="CO350" i="3"/>
  <c r="CE394" i="3"/>
  <c r="BS509" i="3"/>
  <c r="CE509" i="3"/>
  <c r="CA509" i="3"/>
  <c r="CG509" i="3"/>
  <c r="CM509" i="3"/>
  <c r="CK509" i="3"/>
  <c r="CI509" i="3"/>
  <c r="Q509" i="3"/>
  <c r="BY509" i="3"/>
  <c r="BU509" i="3"/>
  <c r="BL509" i="3"/>
  <c r="CC509" i="3"/>
  <c r="BW509" i="3"/>
  <c r="BQ509" i="3"/>
  <c r="CO509" i="3"/>
  <c r="BY517" i="3"/>
  <c r="Q517" i="3"/>
  <c r="CG517" i="3"/>
  <c r="BQ517" i="3"/>
  <c r="CI517" i="3"/>
  <c r="BS517" i="3"/>
  <c r="BW517" i="3"/>
  <c r="BU517" i="3"/>
  <c r="CM517" i="3"/>
  <c r="CC517" i="3"/>
  <c r="CK517" i="3"/>
  <c r="D514" i="3"/>
  <c r="CO514" i="3" s="1"/>
  <c r="BL517" i="3"/>
  <c r="CK41" i="3"/>
  <c r="BY41" i="3"/>
  <c r="BL41" i="3"/>
  <c r="Q41" i="3"/>
  <c r="BQ41" i="3"/>
  <c r="BS41" i="3"/>
  <c r="CA41" i="3"/>
  <c r="CM41" i="3"/>
  <c r="BX224" i="3"/>
  <c r="CM36" i="3"/>
  <c r="BQ36" i="3"/>
  <c r="CK36" i="3"/>
  <c r="CI36" i="3"/>
  <c r="BL36" i="3"/>
  <c r="CG36" i="3"/>
  <c r="Q36" i="3"/>
  <c r="CE36" i="3"/>
  <c r="CA36" i="3"/>
  <c r="BW36" i="3"/>
  <c r="CC36" i="3"/>
  <c r="BY36" i="3"/>
  <c r="BU36" i="3"/>
  <c r="BS36" i="3"/>
  <c r="CO36" i="3"/>
  <c r="BS482" i="3"/>
  <c r="BS465" i="3"/>
  <c r="CO465" i="3"/>
  <c r="BQ465" i="3"/>
  <c r="CA465" i="3"/>
  <c r="BY465" i="3"/>
  <c r="BU465" i="3"/>
  <c r="CI465" i="3"/>
  <c r="CM465" i="3"/>
  <c r="CK465" i="3"/>
  <c r="CE465" i="3"/>
  <c r="BL465" i="3"/>
  <c r="Q465" i="3"/>
  <c r="CG465" i="3"/>
  <c r="CC465" i="3"/>
  <c r="BW465" i="3"/>
  <c r="CN445" i="3"/>
  <c r="CM445" i="3"/>
  <c r="CL304" i="3"/>
  <c r="CK304" i="3"/>
  <c r="CO285" i="3"/>
  <c r="CJ235" i="3"/>
  <c r="CI235" i="3"/>
  <c r="CH234" i="3"/>
  <c r="CI234" i="3" s="1"/>
  <c r="BU217" i="3"/>
  <c r="BT216" i="3"/>
  <c r="BU216" i="3" s="1"/>
  <c r="CA197" i="3"/>
  <c r="BL419" i="3"/>
  <c r="Q419" i="3"/>
  <c r="BS419" i="3"/>
  <c r="BQ419" i="3"/>
  <c r="CG419" i="3"/>
  <c r="BU492" i="3"/>
  <c r="CC492" i="3"/>
  <c r="Q492" i="3"/>
  <c r="BY492" i="3"/>
  <c r="BW492" i="3"/>
  <c r="BQ492" i="3"/>
  <c r="CE492" i="3"/>
  <c r="CI492" i="3"/>
  <c r="CK492" i="3"/>
  <c r="CM492" i="3"/>
  <c r="BS492" i="3"/>
  <c r="CA492" i="3"/>
  <c r="BL492" i="3"/>
  <c r="CG492" i="3"/>
  <c r="CO171" i="3"/>
  <c r="BU344" i="3"/>
  <c r="CK258" i="3"/>
  <c r="CJ257" i="3"/>
  <c r="BN537" i="3"/>
  <c r="BY370" i="3"/>
  <c r="CI397" i="3"/>
  <c r="BM213" i="3"/>
  <c r="CI258" i="3"/>
  <c r="CH257" i="3"/>
  <c r="CO326" i="3"/>
  <c r="CK379" i="3"/>
  <c r="BW335" i="3"/>
  <c r="BX439" i="3"/>
  <c r="BY441" i="3"/>
  <c r="CM306" i="3"/>
  <c r="CL305" i="3"/>
  <c r="CM379" i="3"/>
  <c r="CO370" i="3"/>
  <c r="CC568" i="3"/>
  <c r="CN161" i="3"/>
  <c r="CM161" i="3"/>
  <c r="CO388" i="3"/>
  <c r="CJ554" i="3"/>
  <c r="CK557" i="3"/>
  <c r="BM205" i="3"/>
  <c r="CO376" i="3"/>
  <c r="BQ416" i="3"/>
  <c r="BS416" i="3"/>
  <c r="Q416" i="3"/>
  <c r="CG416" i="3"/>
  <c r="BL416" i="3"/>
  <c r="CA388" i="3"/>
  <c r="CI523" i="3"/>
  <c r="CD233" i="3"/>
  <c r="CC233" i="3"/>
  <c r="CB232" i="3"/>
  <c r="BY197" i="3"/>
  <c r="BX188" i="3"/>
  <c r="BX157" i="3" s="1"/>
  <c r="BY353" i="3"/>
  <c r="BL353" i="3"/>
  <c r="BW353" i="3"/>
  <c r="Q353" i="3"/>
  <c r="BU353" i="3"/>
  <c r="CM353" i="3"/>
  <c r="CG353" i="3"/>
  <c r="CA353" i="3"/>
  <c r="BS353" i="3"/>
  <c r="CE353" i="3"/>
  <c r="CC353" i="3"/>
  <c r="BQ353" i="3"/>
  <c r="CE422" i="3"/>
  <c r="BS422" i="3"/>
  <c r="BU422" i="3"/>
  <c r="CC422" i="3"/>
  <c r="Q422" i="3"/>
  <c r="BQ422" i="3"/>
  <c r="CI422" i="3"/>
  <c r="CA422" i="3"/>
  <c r="BL422" i="3"/>
  <c r="BY422" i="3"/>
  <c r="CK422" i="3"/>
  <c r="CG422" i="3"/>
  <c r="BW422" i="3"/>
  <c r="CN305" i="3"/>
  <c r="CO306" i="3"/>
  <c r="CG111" i="3"/>
  <c r="Q111" i="3"/>
  <c r="CA111" i="3"/>
  <c r="CO111" i="3"/>
  <c r="CM111" i="3"/>
  <c r="BL111" i="3"/>
  <c r="CK111" i="3"/>
  <c r="CI111" i="3"/>
  <c r="CE111" i="3"/>
  <c r="CC111" i="3"/>
  <c r="BY111" i="3"/>
  <c r="BW111" i="3"/>
  <c r="BU111" i="3"/>
  <c r="BS111" i="3"/>
  <c r="BQ111" i="3"/>
  <c r="CO587" i="3"/>
  <c r="BU41" i="3"/>
  <c r="CO191" i="3"/>
  <c r="BN147" i="3"/>
  <c r="CL164" i="3"/>
  <c r="CM164" i="3" s="1"/>
  <c r="CK164" i="3"/>
  <c r="CE197" i="3"/>
  <c r="BR147" i="3"/>
  <c r="CF300" i="3"/>
  <c r="CE300" i="3"/>
  <c r="BL249" i="3"/>
  <c r="CO249" i="3"/>
  <c r="BY249" i="3"/>
  <c r="Q249" i="3"/>
  <c r="CC249" i="3"/>
  <c r="BS249" i="3"/>
  <c r="CK249" i="3"/>
  <c r="CG249" i="3"/>
  <c r="BU249" i="3"/>
  <c r="CE249" i="3"/>
  <c r="BQ249" i="3"/>
  <c r="BW249" i="3"/>
  <c r="CI249" i="3"/>
  <c r="CM249" i="3"/>
  <c r="CA249" i="3"/>
  <c r="CH185" i="3"/>
  <c r="CG185" i="3"/>
  <c r="CO338" i="3"/>
  <c r="CO552" i="3"/>
  <c r="CB302" i="3"/>
  <c r="CA302" i="3"/>
  <c r="BZ299" i="3"/>
  <c r="F537" i="3"/>
  <c r="BJ537" i="3" s="1"/>
  <c r="CM344" i="3"/>
  <c r="BS350" i="3"/>
  <c r="Q350" i="3"/>
  <c r="BL350" i="3"/>
  <c r="BW350" i="3"/>
  <c r="CG350" i="3"/>
  <c r="BQ350" i="3"/>
  <c r="CC350" i="3"/>
  <c r="CI443" i="3"/>
  <c r="CJ443" i="3"/>
  <c r="BU413" i="3"/>
  <c r="Q562" i="3"/>
  <c r="BQ562" i="3"/>
  <c r="CA562" i="3"/>
  <c r="CC562" i="3"/>
  <c r="CG562" i="3"/>
  <c r="CK562" i="3"/>
  <c r="BY562" i="3"/>
  <c r="CE562" i="3"/>
  <c r="BU562" i="3"/>
  <c r="CO562" i="3"/>
  <c r="BL562" i="3"/>
  <c r="CC397" i="3"/>
  <c r="CO379" i="3"/>
  <c r="BY568" i="3"/>
  <c r="BU538" i="3"/>
  <c r="BT537" i="3"/>
  <c r="BX305" i="3"/>
  <c r="BY306" i="3"/>
  <c r="BM439" i="3"/>
  <c r="CF226" i="3"/>
  <c r="CD225" i="3"/>
  <c r="CE225" i="3" s="1"/>
  <c r="CE226" i="3"/>
  <c r="CC172" i="3"/>
  <c r="CD172" i="3"/>
  <c r="BY416" i="3"/>
  <c r="BL506" i="3"/>
  <c r="BL258" i="3"/>
  <c r="D257" i="3"/>
  <c r="CG257" i="3" s="1"/>
  <c r="Q258" i="3"/>
  <c r="CM258" i="3"/>
  <c r="CG258" i="3"/>
  <c r="BS258" i="3"/>
  <c r="BQ258" i="3"/>
  <c r="CK370" i="3"/>
  <c r="Q403" i="3"/>
  <c r="CG403" i="3"/>
  <c r="CE403" i="3"/>
  <c r="BU403" i="3"/>
  <c r="CK403" i="3"/>
  <c r="BY403" i="3"/>
  <c r="BL403" i="3"/>
  <c r="BQ403" i="3"/>
  <c r="BS403" i="3"/>
  <c r="CM403" i="3"/>
  <c r="BW403" i="3"/>
  <c r="CA403" i="3"/>
  <c r="CI403" i="3"/>
  <c r="CO403" i="3"/>
  <c r="CC403" i="3"/>
  <c r="CI353" i="3"/>
  <c r="BY258" i="3"/>
  <c r="BX257" i="3"/>
  <c r="CA502" i="3"/>
  <c r="BZ501" i="3"/>
  <c r="CO232" i="3"/>
  <c r="CO258" i="3"/>
  <c r="CN257" i="3"/>
  <c r="Q216" i="3"/>
  <c r="BQ216" i="3"/>
  <c r="CC253" i="3"/>
  <c r="BQ253" i="3"/>
  <c r="CM253" i="3"/>
  <c r="CA253" i="3"/>
  <c r="Q253" i="3"/>
  <c r="BS253" i="3"/>
  <c r="D252" i="3"/>
  <c r="CO252" i="3" s="1"/>
  <c r="CK253" i="3"/>
  <c r="BU253" i="3"/>
  <c r="CE253" i="3"/>
  <c r="BL253" i="3"/>
  <c r="CI253" i="3"/>
  <c r="CG253" i="3"/>
  <c r="BW253" i="3"/>
  <c r="BY253" i="3"/>
  <c r="CO498" i="3"/>
  <c r="CM237" i="3"/>
  <c r="CD356" i="3"/>
  <c r="CE357" i="3"/>
  <c r="BY523" i="3"/>
  <c r="BV224" i="3"/>
  <c r="BW41" i="3"/>
  <c r="BY373" i="3"/>
  <c r="CK397" i="3"/>
  <c r="D21" i="3"/>
  <c r="CE41" i="3"/>
  <c r="CO323" i="3"/>
  <c r="CA367" i="3"/>
  <c r="BL367" i="3"/>
  <c r="Q367" i="3"/>
  <c r="CG367" i="3"/>
  <c r="BQ367" i="3"/>
  <c r="CE367" i="3"/>
  <c r="BW367" i="3"/>
  <c r="BS367" i="3"/>
  <c r="BU367" i="3"/>
  <c r="CC367" i="3"/>
  <c r="CO367" i="3"/>
  <c r="BY367" i="3"/>
  <c r="CO373" i="3"/>
  <c r="BS291" i="3"/>
  <c r="CI291" i="3"/>
  <c r="Q291" i="3"/>
  <c r="BU291" i="3"/>
  <c r="BQ291" i="3"/>
  <c r="BL291" i="3"/>
  <c r="CC291" i="3"/>
  <c r="CO291" i="3"/>
  <c r="CG291" i="3"/>
  <c r="CA291" i="3"/>
  <c r="CE557" i="3"/>
  <c r="CD554" i="3"/>
  <c r="CI41" i="3"/>
  <c r="CM317" i="3"/>
  <c r="CI357" i="3"/>
  <c r="CH356" i="3"/>
  <c r="BP15" i="3"/>
  <c r="Q338" i="3"/>
  <c r="BS338" i="3"/>
  <c r="CG338" i="3"/>
  <c r="BL338" i="3"/>
  <c r="BQ338" i="3"/>
  <c r="CI370" i="3"/>
  <c r="CK353" i="3"/>
  <c r="BW306" i="3"/>
  <c r="BV305" i="3"/>
  <c r="Q293" i="3"/>
  <c r="BL293" i="3"/>
  <c r="BQ293" i="3"/>
  <c r="CG293" i="3"/>
  <c r="BS293" i="3"/>
  <c r="CO357" i="3"/>
  <c r="CN356" i="3"/>
  <c r="BL473" i="3"/>
  <c r="BS473" i="3"/>
  <c r="Q473" i="3"/>
  <c r="CK473" i="3"/>
  <c r="CM473" i="3"/>
  <c r="BY473" i="3"/>
  <c r="CC473" i="3"/>
  <c r="CI473" i="3"/>
  <c r="BU473" i="3"/>
  <c r="BQ473" i="3"/>
  <c r="A271" i="3"/>
  <c r="CA338" i="3"/>
  <c r="CB445" i="3"/>
  <c r="CA445" i="3"/>
  <c r="CO382" i="3"/>
  <c r="BL587" i="3"/>
  <c r="BQ587" i="3"/>
  <c r="Q587" i="3"/>
  <c r="BU587" i="3"/>
  <c r="CG587" i="3"/>
  <c r="BS587" i="3"/>
  <c r="CO397" i="3"/>
  <c r="Q232" i="3"/>
  <c r="BL232" i="3"/>
  <c r="D231" i="3"/>
  <c r="BY231" i="3" s="1"/>
  <c r="BS232" i="3"/>
  <c r="BQ232" i="3"/>
  <c r="BU232" i="3"/>
  <c r="CM232" i="3"/>
  <c r="CI214" i="3"/>
  <c r="BW214" i="3"/>
  <c r="Q214" i="3"/>
  <c r="CG214" i="3"/>
  <c r="BU214" i="3"/>
  <c r="D213" i="3"/>
  <c r="CC213" i="3" s="1"/>
  <c r="BS214" i="3"/>
  <c r="CM214" i="3"/>
  <c r="CA214" i="3"/>
  <c r="BL214" i="3"/>
  <c r="CO214" i="3"/>
  <c r="CK214" i="3"/>
  <c r="BQ214" i="3"/>
  <c r="BY214" i="3"/>
  <c r="CO279" i="3"/>
  <c r="CK306" i="3"/>
  <c r="CJ305" i="3"/>
  <c r="BL379" i="3"/>
  <c r="Q379" i="3"/>
  <c r="CG379" i="3"/>
  <c r="BS379" i="3"/>
  <c r="BQ379" i="3"/>
  <c r="CO560" i="3"/>
  <c r="BX539" i="3"/>
  <c r="BW539" i="3"/>
  <c r="BV538" i="3"/>
  <c r="BW232" i="3"/>
  <c r="CI379" i="3"/>
  <c r="BL216" i="3"/>
  <c r="BQ568" i="3"/>
  <c r="Q568" i="3"/>
  <c r="CG568" i="3"/>
  <c r="BS568" i="3"/>
  <c r="BL568" i="3"/>
  <c r="BQ158" i="3"/>
  <c r="Q158" i="3"/>
  <c r="BL158" i="3"/>
  <c r="Q266" i="3"/>
  <c r="CI266" i="3"/>
  <c r="CM266" i="3"/>
  <c r="BS266" i="3"/>
  <c r="BQ266" i="3"/>
  <c r="CG266" i="3"/>
  <c r="D265" i="3"/>
  <c r="CA266" i="3"/>
  <c r="CE266" i="3"/>
  <c r="BL266" i="3"/>
  <c r="BW266" i="3"/>
  <c r="CO266" i="3"/>
  <c r="BU266" i="3"/>
  <c r="BY266" i="3"/>
  <c r="CK266" i="3"/>
  <c r="CC266" i="3"/>
  <c r="CC344" i="3"/>
  <c r="BY335" i="3"/>
  <c r="CE568" i="3"/>
  <c r="CE419" i="3"/>
  <c r="F224" i="3"/>
  <c r="BJ224" i="3" s="1"/>
  <c r="CO344" i="3"/>
  <c r="CC379" i="3"/>
  <c r="CI520" i="3"/>
  <c r="BW520" i="3"/>
  <c r="Q520" i="3"/>
  <c r="BY520" i="3"/>
  <c r="BL520" i="3"/>
  <c r="CK520" i="3"/>
  <c r="BU520" i="3"/>
  <c r="BQ520" i="3"/>
  <c r="CM520" i="3"/>
  <c r="BS520" i="3"/>
  <c r="CE520" i="3"/>
  <c r="CG520" i="3"/>
  <c r="CC520" i="3"/>
  <c r="CA520" i="3"/>
  <c r="CO520" i="3"/>
  <c r="BY379" i="3"/>
  <c r="BU335" i="3"/>
  <c r="CO335" i="3"/>
  <c r="A160" i="3"/>
  <c r="A161" i="3" s="1"/>
  <c r="CA568" i="3"/>
  <c r="CO502" i="3"/>
  <c r="CN501" i="3"/>
  <c r="CO568" i="3"/>
  <c r="CO473" i="3"/>
  <c r="CD305" i="3"/>
  <c r="CE306" i="3"/>
  <c r="CG534" i="3"/>
  <c r="BS534" i="3"/>
  <c r="BQ534" i="3"/>
  <c r="CI534" i="3"/>
  <c r="Q534" i="3"/>
  <c r="CA534" i="3"/>
  <c r="CM534" i="3"/>
  <c r="BU534" i="3"/>
  <c r="BY534" i="3"/>
  <c r="CC534" i="3"/>
  <c r="CK534" i="3"/>
  <c r="BW534" i="3"/>
  <c r="CO534" i="3"/>
  <c r="BL534" i="3"/>
  <c r="CE534" i="3"/>
  <c r="Q388" i="3"/>
  <c r="CC388" i="3"/>
  <c r="BQ388" i="3"/>
  <c r="CG388" i="3"/>
  <c r="BL388" i="3"/>
  <c r="BS388" i="3"/>
  <c r="CO317" i="3"/>
  <c r="CM236" i="3"/>
  <c r="CN236" i="3"/>
  <c r="CI578" i="3"/>
  <c r="CC578" i="3"/>
  <c r="CK578" i="3"/>
  <c r="Q578" i="3"/>
  <c r="BW578" i="3"/>
  <c r="BY578" i="3"/>
  <c r="CM578" i="3"/>
  <c r="BL578" i="3"/>
  <c r="CO578" i="3"/>
  <c r="CE578" i="3"/>
  <c r="BQ578" i="3"/>
  <c r="CA578" i="3"/>
  <c r="F212" i="3"/>
  <c r="BJ212" i="3" s="1"/>
  <c r="Q394" i="3"/>
  <c r="BU394" i="3"/>
  <c r="BS394" i="3"/>
  <c r="CG394" i="3"/>
  <c r="CI394" i="3"/>
  <c r="CM394" i="3"/>
  <c r="BL394" i="3"/>
  <c r="CO394" i="3"/>
  <c r="BQ394" i="3"/>
  <c r="CC394" i="3"/>
  <c r="BW394" i="3"/>
  <c r="F17" i="3"/>
  <c r="BJ17" i="3" s="1"/>
  <c r="BM21" i="3"/>
  <c r="BY320" i="3"/>
  <c r="CI320" i="3"/>
  <c r="CK320" i="3"/>
  <c r="CC320" i="3"/>
  <c r="BL320" i="3"/>
  <c r="CG320" i="3"/>
  <c r="Q320" i="3"/>
  <c r="CM320" i="3"/>
  <c r="BQ320" i="3"/>
  <c r="BW320" i="3"/>
  <c r="CE320" i="3"/>
  <c r="CA320" i="3"/>
  <c r="BU320" i="3"/>
  <c r="CO320" i="3"/>
  <c r="BS320" i="3"/>
  <c r="CO206" i="3"/>
  <c r="CC206" i="3"/>
  <c r="BQ206" i="3"/>
  <c r="CM206" i="3"/>
  <c r="CA206" i="3"/>
  <c r="D205" i="3"/>
  <c r="Q206" i="3"/>
  <c r="BY206" i="3"/>
  <c r="CK206" i="3"/>
  <c r="BL206" i="3"/>
  <c r="CE206" i="3"/>
  <c r="BU206" i="3"/>
  <c r="BS206" i="3"/>
  <c r="CI206" i="3"/>
  <c r="CG206" i="3"/>
  <c r="BW206" i="3"/>
  <c r="CG237" i="3"/>
  <c r="CO422" i="3"/>
  <c r="CG197" i="3"/>
  <c r="CE214" i="3"/>
  <c r="Q299" i="3"/>
  <c r="BL299" i="3"/>
  <c r="BQ299" i="3"/>
  <c r="D298" i="3"/>
  <c r="BY298" i="3" s="1"/>
  <c r="BW299" i="3"/>
  <c r="BU299" i="3"/>
  <c r="BS299" i="3"/>
  <c r="CK317" i="3"/>
  <c r="BY158" i="3"/>
  <c r="Q335" i="3"/>
  <c r="BQ335" i="3"/>
  <c r="CG335" i="3"/>
  <c r="BS335" i="3"/>
  <c r="BL335" i="3"/>
  <c r="CD212" i="3"/>
  <c r="CE344" i="3"/>
  <c r="BS413" i="3"/>
  <c r="CG413" i="3"/>
  <c r="BQ413" i="3"/>
  <c r="BL413" i="3"/>
  <c r="Q413" i="3"/>
  <c r="BW258" i="3"/>
  <c r="BV257" i="3"/>
  <c r="CA373" i="3"/>
  <c r="CC41" i="3"/>
  <c r="BT147" i="3"/>
  <c r="CA306" i="3"/>
  <c r="BZ305" i="3"/>
  <c r="CO41" i="3"/>
  <c r="BW373" i="3"/>
  <c r="CM335" i="3"/>
  <c r="CC357" i="3"/>
  <c r="CB356" i="3"/>
  <c r="CA357" i="3"/>
  <c r="BZ356" i="3"/>
  <c r="CM367" i="3"/>
  <c r="BM252" i="3"/>
  <c r="BZ188" i="3"/>
  <c r="CC208" i="3"/>
  <c r="BQ208" i="3"/>
  <c r="BS208" i="3"/>
  <c r="A78" i="3"/>
  <c r="CK413" i="3"/>
  <c r="CO391" i="3"/>
  <c r="BQ285" i="3"/>
  <c r="Q285" i="3"/>
  <c r="BL285" i="3"/>
  <c r="BS285" i="3"/>
  <c r="CG285" i="3"/>
  <c r="BS397" i="3"/>
  <c r="Q397" i="3"/>
  <c r="BY397" i="3"/>
  <c r="CG397" i="3"/>
  <c r="BL397" i="3"/>
  <c r="BQ397" i="3"/>
  <c r="Q523" i="3"/>
  <c r="BQ523" i="3"/>
  <c r="CA523" i="3"/>
  <c r="BL523" i="3"/>
  <c r="BS523" i="3"/>
  <c r="CA146" i="3"/>
  <c r="CB146" i="3"/>
  <c r="BZ145" i="3"/>
  <c r="BY317" i="3"/>
  <c r="CI197" i="3"/>
  <c r="Q370" i="3"/>
  <c r="BS370" i="3"/>
  <c r="BQ370" i="3"/>
  <c r="CG370" i="3"/>
  <c r="BL370" i="3"/>
  <c r="BY299" i="3"/>
  <c r="CM422" i="3"/>
  <c r="BW413" i="3"/>
  <c r="CA335" i="3"/>
  <c r="BU379" i="3"/>
  <c r="CG578" i="3"/>
  <c r="CM357" i="3"/>
  <c r="CL356" i="3"/>
  <c r="BW523" i="3"/>
  <c r="BU158" i="3"/>
  <c r="CL175" i="3"/>
  <c r="CK175" i="3"/>
  <c r="BU258" i="3"/>
  <c r="BT257" i="3"/>
  <c r="CI344" i="3"/>
  <c r="CE379" i="3"/>
  <c r="BM476" i="3"/>
  <c r="CK338" i="3"/>
  <c r="F262" i="3"/>
  <c r="BN262" i="3"/>
  <c r="Q341" i="3"/>
  <c r="BS341" i="3"/>
  <c r="CK341" i="3"/>
  <c r="BQ341" i="3"/>
  <c r="BU341" i="3"/>
  <c r="BW341" i="3"/>
  <c r="BL341" i="3"/>
  <c r="CG341" i="3"/>
  <c r="CO341" i="3"/>
  <c r="CM341" i="3"/>
  <c r="CI341" i="3"/>
  <c r="BY341" i="3"/>
  <c r="CC341" i="3"/>
  <c r="CE341" i="3"/>
  <c r="BW419" i="3"/>
  <c r="CD192" i="3"/>
  <c r="CB188" i="3"/>
  <c r="CC192" i="3"/>
  <c r="CG433" i="3"/>
  <c r="CK433" i="3"/>
  <c r="BU433" i="3"/>
  <c r="BS433" i="3"/>
  <c r="BW433" i="3"/>
  <c r="BY433" i="3"/>
  <c r="CC433" i="3"/>
  <c r="CI433" i="3"/>
  <c r="CA433" i="3"/>
  <c r="BQ433" i="3"/>
  <c r="CO433" i="3"/>
  <c r="CM433" i="3"/>
  <c r="BL433" i="3"/>
  <c r="BS14" i="3"/>
  <c r="CA341" i="3"/>
  <c r="CC541" i="3"/>
  <c r="Q541" i="3"/>
  <c r="D540" i="3"/>
  <c r="CO541" i="3"/>
  <c r="BY541" i="3"/>
  <c r="BW541" i="3"/>
  <c r="CM541" i="3"/>
  <c r="BS541" i="3"/>
  <c r="CI541" i="3"/>
  <c r="BQ541" i="3"/>
  <c r="CG541" i="3"/>
  <c r="CA541" i="3"/>
  <c r="CE541" i="3"/>
  <c r="BU541" i="3"/>
  <c r="CK541" i="3"/>
  <c r="BL541" i="3"/>
  <c r="CO492" i="3"/>
  <c r="CI557" i="3"/>
  <c r="CH554" i="3"/>
  <c r="BS578" i="3"/>
  <c r="CK416" i="3"/>
  <c r="BU106" i="3"/>
  <c r="BS106" i="3"/>
  <c r="CO106" i="3"/>
  <c r="BQ106" i="3"/>
  <c r="CM106" i="3"/>
  <c r="CK106" i="3"/>
  <c r="CI106" i="3"/>
  <c r="BL106" i="3"/>
  <c r="CG106" i="3"/>
  <c r="Q106" i="3"/>
  <c r="CE106" i="3"/>
  <c r="CC106" i="3"/>
  <c r="CA106" i="3"/>
  <c r="BY106" i="3"/>
  <c r="BW106" i="3"/>
  <c r="CL197" i="3"/>
  <c r="CK197" i="3"/>
  <c r="BY145" i="3"/>
  <c r="BX144" i="3"/>
  <c r="BY144" i="3" s="1"/>
  <c r="CB186" i="3"/>
  <c r="CA186" i="3"/>
  <c r="CG41" i="3"/>
  <c r="CB183" i="3"/>
  <c r="CA183" i="3"/>
  <c r="CA232" i="3"/>
  <c r="BZ231" i="3"/>
  <c r="BU197" i="3"/>
  <c r="BS197" i="3"/>
  <c r="BQ197" i="3"/>
  <c r="BL197" i="3"/>
  <c r="Q197" i="3"/>
  <c r="D188" i="3"/>
  <c r="BS216" i="3"/>
  <c r="CC288" i="3"/>
  <c r="CA288" i="3"/>
  <c r="CI288" i="3"/>
  <c r="Q288" i="3"/>
  <c r="BW288" i="3"/>
  <c r="BQ288" i="3"/>
  <c r="BU288" i="3"/>
  <c r="BL288" i="3"/>
  <c r="CO288" i="3"/>
  <c r="BS288" i="3"/>
  <c r="CK288" i="3"/>
  <c r="BY288" i="3"/>
  <c r="CG288" i="3"/>
  <c r="CE288" i="3"/>
  <c r="CM288" i="3"/>
  <c r="Q317" i="3"/>
  <c r="BS317" i="3"/>
  <c r="BQ317" i="3"/>
  <c r="CG317" i="3"/>
  <c r="BL317" i="3"/>
  <c r="BU523" i="3"/>
  <c r="Q344" i="3"/>
  <c r="BS344" i="3"/>
  <c r="CG344" i="3"/>
  <c r="BQ344" i="3"/>
  <c r="BL344" i="3"/>
  <c r="CH163" i="3"/>
  <c r="CG163" i="3"/>
  <c r="BW158" i="3"/>
  <c r="BV157" i="3"/>
  <c r="BL373" i="3"/>
  <c r="Q373" i="3"/>
  <c r="BS373" i="3"/>
  <c r="BQ373" i="3"/>
  <c r="CG373" i="3"/>
  <c r="BU568" i="3"/>
  <c r="CO495" i="3"/>
  <c r="CK495" i="3"/>
  <c r="BU495" i="3"/>
  <c r="BQ495" i="3"/>
  <c r="CG495" i="3"/>
  <c r="Q495" i="3"/>
  <c r="CC495" i="3"/>
  <c r="BW495" i="3"/>
  <c r="CM495" i="3"/>
  <c r="BL495" i="3"/>
  <c r="CI495" i="3"/>
  <c r="CE495" i="3"/>
  <c r="CA495" i="3"/>
  <c r="BS495" i="3"/>
  <c r="BY495" i="3"/>
  <c r="CC576" i="3"/>
  <c r="BQ576" i="3"/>
  <c r="BL576" i="3"/>
  <c r="Q576" i="3"/>
  <c r="BW576" i="3"/>
  <c r="BS576" i="3"/>
  <c r="CA576" i="3"/>
  <c r="CI576" i="3"/>
  <c r="CG576" i="3"/>
  <c r="BU357" i="3"/>
  <c r="BT356" i="3"/>
  <c r="CO353" i="3"/>
  <c r="CA200" i="3"/>
  <c r="CK200" i="3"/>
  <c r="BY200" i="3"/>
  <c r="BL200" i="3"/>
  <c r="CE200" i="3"/>
  <c r="Q200" i="3"/>
  <c r="D199" i="3"/>
  <c r="CM199" i="3" s="1"/>
  <c r="BW200" i="3"/>
  <c r="CI200" i="3"/>
  <c r="CO200" i="3"/>
  <c r="CC200" i="3"/>
  <c r="BS200" i="3"/>
  <c r="BU200" i="3"/>
  <c r="BQ200" i="3"/>
  <c r="CG200" i="3"/>
  <c r="CK568" i="3"/>
  <c r="BS448" i="3"/>
  <c r="CE448" i="3"/>
  <c r="CG448" i="3"/>
  <c r="CA448" i="3"/>
  <c r="Q448" i="3"/>
  <c r="BY448" i="3"/>
  <c r="BW448" i="3"/>
  <c r="BU448" i="3"/>
  <c r="BL448" i="3"/>
  <c r="CM448" i="3"/>
  <c r="BQ448" i="3"/>
  <c r="CK448" i="3"/>
  <c r="CI448" i="3"/>
  <c r="CC448" i="3"/>
  <c r="CO448" i="3"/>
  <c r="CB212" i="3"/>
  <c r="CI562" i="3"/>
  <c r="BU419" i="3"/>
  <c r="Q148" i="3"/>
  <c r="BU148" i="3"/>
  <c r="BY148" i="3"/>
  <c r="BS148" i="3"/>
  <c r="CO148" i="3"/>
  <c r="BW148" i="3"/>
  <c r="CI148" i="3"/>
  <c r="CE148" i="3"/>
  <c r="CM148" i="3"/>
  <c r="CA148" i="3"/>
  <c r="CK148" i="3"/>
  <c r="CC148" i="3"/>
  <c r="BL148" i="3"/>
  <c r="BQ148" i="3"/>
  <c r="BM144" i="3"/>
  <c r="CA394" i="3"/>
  <c r="CO419" i="3"/>
  <c r="CI131" i="3"/>
  <c r="BW131" i="3"/>
  <c r="CG131" i="3"/>
  <c r="BU131" i="3"/>
  <c r="D130" i="3"/>
  <c r="Q131" i="3"/>
  <c r="CO131" i="3"/>
  <c r="BS131" i="3"/>
  <c r="BQ131" i="3"/>
  <c r="CE131" i="3"/>
  <c r="CC131" i="3"/>
  <c r="CK131" i="3"/>
  <c r="CA131" i="3"/>
  <c r="BL131" i="3"/>
  <c r="CM131" i="3"/>
  <c r="BY131" i="3"/>
  <c r="BU397" i="3"/>
  <c r="CK394" i="3"/>
  <c r="BW357" i="3"/>
  <c r="BV356" i="3"/>
  <c r="CK410" i="3"/>
  <c r="CI410" i="3"/>
  <c r="CM410" i="3"/>
  <c r="BS410" i="3"/>
  <c r="CE410" i="3"/>
  <c r="Q410" i="3"/>
  <c r="CA410" i="3"/>
  <c r="BY410" i="3"/>
  <c r="BL410" i="3"/>
  <c r="BQ410" i="3"/>
  <c r="CO410" i="3"/>
  <c r="CC410" i="3"/>
  <c r="BU410" i="3"/>
  <c r="CG410" i="3"/>
  <c r="O147" i="3"/>
  <c r="I15" i="3"/>
  <c r="Q357" i="3"/>
  <c r="CG357" i="3"/>
  <c r="BS357" i="3"/>
  <c r="D356" i="3"/>
  <c r="BQ357" i="3"/>
  <c r="BL357" i="3"/>
  <c r="BM501" i="3"/>
  <c r="BS506" i="3"/>
  <c r="Q506" i="3"/>
  <c r="BW506" i="3"/>
  <c r="BU506" i="3"/>
  <c r="CO506" i="3"/>
  <c r="BQ506" i="3"/>
  <c r="CA506" i="3"/>
  <c r="CE506" i="3"/>
  <c r="CK506" i="3"/>
  <c r="CM506" i="3"/>
  <c r="CC506" i="3"/>
  <c r="CM397" i="3"/>
  <c r="O242" i="3"/>
  <c r="O15" i="3" s="1"/>
  <c r="G15" i="3"/>
  <c r="CB501" i="3"/>
  <c r="CC501" i="3" s="1"/>
  <c r="CC502" i="3"/>
  <c r="CE397" i="3"/>
  <c r="CE576" i="3"/>
  <c r="CG148" i="3"/>
  <c r="CL444" i="3"/>
  <c r="CK444" i="3"/>
  <c r="BU576" i="3"/>
  <c r="CA379" i="3"/>
  <c r="CK576" i="3"/>
  <c r="CC306" i="3"/>
  <c r="CB305" i="3"/>
  <c r="CC214" i="3"/>
  <c r="D458" i="3"/>
  <c r="BS487" i="3"/>
  <c r="BW487" i="3"/>
  <c r="Q487" i="3"/>
  <c r="CA487" i="3"/>
  <c r="CE487" i="3"/>
  <c r="BY487" i="3"/>
  <c r="CG487" i="3"/>
  <c r="CK487" i="3"/>
  <c r="CI487" i="3"/>
  <c r="BQ487" i="3"/>
  <c r="CM487" i="3"/>
  <c r="CC487" i="3"/>
  <c r="BU487" i="3"/>
  <c r="CO487" i="3"/>
  <c r="CM362" i="3" l="1"/>
  <c r="BU71" i="3"/>
  <c r="CP71" i="3"/>
  <c r="CQ71" i="3"/>
  <c r="CQ545" i="3"/>
  <c r="CP545" i="3"/>
  <c r="CP439" i="3"/>
  <c r="CQ439" i="3"/>
  <c r="CG71" i="3"/>
  <c r="CP529" i="3"/>
  <c r="CQ529" i="3"/>
  <c r="CP144" i="3"/>
  <c r="CQ144" i="3"/>
  <c r="CP21" i="3"/>
  <c r="CQ21" i="3"/>
  <c r="CP305" i="3"/>
  <c r="CQ305" i="3"/>
  <c r="Q71" i="3"/>
  <c r="CQ252" i="3"/>
  <c r="CP252" i="3"/>
  <c r="CP221" i="3"/>
  <c r="CQ221" i="3"/>
  <c r="CQ205" i="3"/>
  <c r="CP205" i="3"/>
  <c r="CP501" i="3"/>
  <c r="CQ501" i="3"/>
  <c r="CQ188" i="3"/>
  <c r="CP188" i="3"/>
  <c r="CP481" i="3"/>
  <c r="CQ481" i="3"/>
  <c r="CQ458" i="3"/>
  <c r="CP458" i="3"/>
  <c r="BM130" i="3"/>
  <c r="CP213" i="3"/>
  <c r="CQ213" i="3"/>
  <c r="CQ476" i="3"/>
  <c r="CP476" i="3"/>
  <c r="CP265" i="3"/>
  <c r="CQ265" i="3"/>
  <c r="CQ80" i="3"/>
  <c r="CP80" i="3"/>
  <c r="CP217" i="3"/>
  <c r="CQ217" i="3"/>
  <c r="CQ362" i="3"/>
  <c r="CP362" i="3"/>
  <c r="CQ158" i="3"/>
  <c r="CP158" i="3"/>
  <c r="Q468" i="3"/>
  <c r="BQ71" i="3"/>
  <c r="BU468" i="3"/>
  <c r="BU501" i="3"/>
  <c r="BS501" i="3"/>
  <c r="BW71" i="3"/>
  <c r="CG501" i="3"/>
  <c r="BQ362" i="3"/>
  <c r="CA71" i="3"/>
  <c r="CC362" i="3"/>
  <c r="BY71" i="3"/>
  <c r="BL468" i="3"/>
  <c r="BU362" i="3"/>
  <c r="CE362" i="3"/>
  <c r="CA362" i="3"/>
  <c r="BW362" i="3"/>
  <c r="CC71" i="3"/>
  <c r="D69" i="3"/>
  <c r="CE69" i="3" s="1"/>
  <c r="Q501" i="3"/>
  <c r="CI362" i="3"/>
  <c r="CI71" i="3"/>
  <c r="CO71" i="3"/>
  <c r="BW208" i="3"/>
  <c r="BL501" i="3"/>
  <c r="BL362" i="3"/>
  <c r="CK71" i="3"/>
  <c r="BS71" i="3"/>
  <c r="Q305" i="3"/>
  <c r="CE305" i="3"/>
  <c r="CA208" i="3"/>
  <c r="BS362" i="3"/>
  <c r="BY362" i="3"/>
  <c r="CM71" i="3"/>
  <c r="CE71" i="3"/>
  <c r="BW501" i="3"/>
  <c r="Q362" i="3"/>
  <c r="CG208" i="3"/>
  <c r="CG362" i="3"/>
  <c r="CK362" i="3"/>
  <c r="CE468" i="3"/>
  <c r="CE554" i="3"/>
  <c r="BQ305" i="3"/>
  <c r="CE501" i="3"/>
  <c r="BY501" i="3"/>
  <c r="BW468" i="3"/>
  <c r="BQ501" i="3"/>
  <c r="CE208" i="3"/>
  <c r="BL208" i="3"/>
  <c r="CM501" i="3"/>
  <c r="BU208" i="3"/>
  <c r="CI554" i="3"/>
  <c r="CO208" i="3"/>
  <c r="Q208" i="3"/>
  <c r="CA305" i="3"/>
  <c r="CA501" i="3"/>
  <c r="BU305" i="3"/>
  <c r="CI208" i="3"/>
  <c r="BS468" i="3"/>
  <c r="CG305" i="3"/>
  <c r="BY208" i="3"/>
  <c r="BS554" i="3"/>
  <c r="BQ468" i="3"/>
  <c r="BL305" i="3"/>
  <c r="Q554" i="3"/>
  <c r="CC554" i="3"/>
  <c r="BL439" i="3"/>
  <c r="CG554" i="3"/>
  <c r="CA554" i="3"/>
  <c r="BQ554" i="3"/>
  <c r="CA514" i="3"/>
  <c r="CK554" i="3"/>
  <c r="CO554" i="3"/>
  <c r="CM529" i="3"/>
  <c r="BS529" i="3"/>
  <c r="CM305" i="3"/>
  <c r="CI529" i="3"/>
  <c r="CA529" i="3"/>
  <c r="CO529" i="3"/>
  <c r="CI468" i="3"/>
  <c r="CK305" i="3"/>
  <c r="CO468" i="3"/>
  <c r="CM554" i="3"/>
  <c r="BL554" i="3"/>
  <c r="CE529" i="3"/>
  <c r="CC305" i="3"/>
  <c r="CG468" i="3"/>
  <c r="CA468" i="3"/>
  <c r="CG538" i="3"/>
  <c r="CM468" i="3"/>
  <c r="BW305" i="3"/>
  <c r="BY305" i="3"/>
  <c r="CC468" i="3"/>
  <c r="BY439" i="3"/>
  <c r="BY468" i="3"/>
  <c r="CI305" i="3"/>
  <c r="Q529" i="3"/>
  <c r="BQ529" i="3"/>
  <c r="BY529" i="3"/>
  <c r="CC529" i="3"/>
  <c r="BM157" i="3"/>
  <c r="F147" i="3"/>
  <c r="BM147" i="3" s="1"/>
  <c r="CG529" i="3"/>
  <c r="BL529" i="3"/>
  <c r="CK529" i="3"/>
  <c r="BU529" i="3"/>
  <c r="BP24" i="4"/>
  <c r="CB26" i="4"/>
  <c r="CD20" i="4"/>
  <c r="BZ20" i="4"/>
  <c r="BT20" i="4"/>
  <c r="BX20" i="4"/>
  <c r="CN20" i="4"/>
  <c r="CB20" i="4"/>
  <c r="CL20" i="4"/>
  <c r="CP20" i="4"/>
  <c r="CJ20" i="4"/>
  <c r="BV20" i="4"/>
  <c r="CR20" i="4"/>
  <c r="BX22" i="4"/>
  <c r="CB22" i="4"/>
  <c r="BZ22" i="4"/>
  <c r="BT22" i="4"/>
  <c r="CD22" i="4"/>
  <c r="CF22" i="4"/>
  <c r="BV22" i="4"/>
  <c r="BT26" i="4"/>
  <c r="BV26" i="4"/>
  <c r="BX26" i="4"/>
  <c r="CC25" i="4"/>
  <c r="CD25" i="4" s="1"/>
  <c r="CT22" i="4"/>
  <c r="CS22" i="4"/>
  <c r="CT26" i="4"/>
  <c r="CS26" i="4"/>
  <c r="CC26" i="4"/>
  <c r="CD26" i="4" s="1"/>
  <c r="CA23" i="4"/>
  <c r="CB23" i="4" s="1"/>
  <c r="BY24" i="4"/>
  <c r="BZ24" i="4" s="1"/>
  <c r="CG22" i="4"/>
  <c r="CH22" i="4" s="1"/>
  <c r="CA88" i="4"/>
  <c r="CB88" i="4" s="1"/>
  <c r="CH20" i="4"/>
  <c r="BW89" i="4"/>
  <c r="BX89" i="4" s="1"/>
  <c r="CG46" i="4"/>
  <c r="CH46" i="4" s="1"/>
  <c r="CH47" i="4"/>
  <c r="CG114" i="4"/>
  <c r="CH115" i="4"/>
  <c r="CO114" i="4"/>
  <c r="CP115" i="4"/>
  <c r="CE30" i="4"/>
  <c r="CF30" i="4" s="1"/>
  <c r="BV16" i="4"/>
  <c r="CH16" i="4"/>
  <c r="BT16" i="4"/>
  <c r="BX16" i="4"/>
  <c r="CR16" i="4"/>
  <c r="CF16" i="4"/>
  <c r="CB16" i="4"/>
  <c r="BZ16" i="4"/>
  <c r="CJ16" i="4"/>
  <c r="CL16" i="4"/>
  <c r="CD16" i="4"/>
  <c r="CP16" i="4"/>
  <c r="CN16" i="4"/>
  <c r="BO16" i="4"/>
  <c r="CD14" i="4"/>
  <c r="CH72" i="4"/>
  <c r="CG71" i="4"/>
  <c r="BT49" i="4"/>
  <c r="CN49" i="4"/>
  <c r="CJ49" i="4"/>
  <c r="CB49" i="4"/>
  <c r="BO49" i="4"/>
  <c r="CH49" i="4"/>
  <c r="CD49" i="4"/>
  <c r="BZ49" i="4"/>
  <c r="CP49" i="4"/>
  <c r="CL49" i="4"/>
  <c r="BX49" i="4"/>
  <c r="CR49" i="4"/>
  <c r="CF49" i="4"/>
  <c r="BV49" i="4"/>
  <c r="BX30" i="4"/>
  <c r="BW15" i="4"/>
  <c r="CS126" i="4"/>
  <c r="CT126" i="4"/>
  <c r="CI47" i="4"/>
  <c r="CD30" i="4"/>
  <c r="CC15" i="4"/>
  <c r="CB72" i="4"/>
  <c r="CG122" i="4"/>
  <c r="CH122" i="4" s="1"/>
  <c r="CT49" i="4"/>
  <c r="CS49" i="4"/>
  <c r="CA15" i="4"/>
  <c r="CL72" i="4"/>
  <c r="BV72" i="4"/>
  <c r="BT72" i="4"/>
  <c r="CD72" i="4"/>
  <c r="CF72" i="4"/>
  <c r="BO72" i="4"/>
  <c r="CR72" i="4"/>
  <c r="CN72" i="4"/>
  <c r="BX72" i="4"/>
  <c r="CP72" i="4"/>
  <c r="BZ30" i="4"/>
  <c r="BY15" i="4"/>
  <c r="BP16" i="4"/>
  <c r="BM457" i="3"/>
  <c r="BM216" i="3"/>
  <c r="BJ216" i="3"/>
  <c r="BM262" i="3"/>
  <c r="BJ262" i="3"/>
  <c r="BU554" i="3"/>
  <c r="BY554" i="3"/>
  <c r="BM69" i="3"/>
  <c r="BJ69" i="3"/>
  <c r="E15" i="3"/>
  <c r="CC257" i="3"/>
  <c r="BK15" i="3"/>
  <c r="BN15" i="3" s="1"/>
  <c r="CE213" i="3"/>
  <c r="CB158" i="3"/>
  <c r="CC158" i="3" s="1"/>
  <c r="BQ439" i="3"/>
  <c r="BS439" i="3"/>
  <c r="Q439" i="3"/>
  <c r="BW356" i="3"/>
  <c r="CC188" i="3"/>
  <c r="BW439" i="3"/>
  <c r="BX219" i="3"/>
  <c r="BZ220" i="3"/>
  <c r="BY220" i="3"/>
  <c r="BW219" i="3"/>
  <c r="BV217" i="3"/>
  <c r="CD301" i="3"/>
  <c r="CC301" i="3"/>
  <c r="BU356" i="3"/>
  <c r="CM356" i="3"/>
  <c r="CF184" i="3"/>
  <c r="CE184" i="3"/>
  <c r="CC356" i="3"/>
  <c r="CI195" i="3"/>
  <c r="CJ195" i="3"/>
  <c r="CI356" i="3"/>
  <c r="BW69" i="3"/>
  <c r="CI69" i="3"/>
  <c r="BL69" i="3"/>
  <c r="CO69" i="3"/>
  <c r="BV147" i="3"/>
  <c r="CL443" i="3"/>
  <c r="CK443" i="3"/>
  <c r="CE233" i="3"/>
  <c r="CF233" i="3"/>
  <c r="CD232" i="3"/>
  <c r="CM257" i="3"/>
  <c r="Q514" i="3"/>
  <c r="CC514" i="3"/>
  <c r="BL514" i="3"/>
  <c r="BY514" i="3"/>
  <c r="CI514" i="3"/>
  <c r="CG514" i="3"/>
  <c r="BS514" i="3"/>
  <c r="CK514" i="3"/>
  <c r="CM514" i="3"/>
  <c r="BQ514" i="3"/>
  <c r="BW514" i="3"/>
  <c r="BU514" i="3"/>
  <c r="BY539" i="3"/>
  <c r="BX538" i="3"/>
  <c r="A79" i="3"/>
  <c r="A82" i="3" s="1"/>
  <c r="BQ188" i="3"/>
  <c r="BU188" i="3"/>
  <c r="Q188" i="3"/>
  <c r="BL188" i="3"/>
  <c r="BS188" i="3"/>
  <c r="BM17" i="3"/>
  <c r="CA145" i="3"/>
  <c r="BZ144" i="3"/>
  <c r="CA144" i="3" s="1"/>
  <c r="CA356" i="3"/>
  <c r="BW257" i="3"/>
  <c r="D157" i="3"/>
  <c r="BY157" i="3" s="1"/>
  <c r="BW538" i="3"/>
  <c r="BV537" i="3"/>
  <c r="CO356" i="3"/>
  <c r="CO257" i="3"/>
  <c r="CH300" i="3"/>
  <c r="CG300" i="3"/>
  <c r="CO305" i="3"/>
  <c r="CO161" i="3"/>
  <c r="BM537" i="3"/>
  <c r="CN304" i="3"/>
  <c r="CM304" i="3"/>
  <c r="CO205" i="3"/>
  <c r="CC205" i="3"/>
  <c r="BQ205" i="3"/>
  <c r="CM205" i="3"/>
  <c r="Q205" i="3"/>
  <c r="CI205" i="3"/>
  <c r="BL205" i="3"/>
  <c r="BY205" i="3"/>
  <c r="BU205" i="3"/>
  <c r="CA205" i="3"/>
  <c r="BW205" i="3"/>
  <c r="CG205" i="3"/>
  <c r="CK205" i="3"/>
  <c r="CE205" i="3"/>
  <c r="BS205" i="3"/>
  <c r="CA231" i="3"/>
  <c r="BZ224" i="3"/>
  <c r="BU257" i="3"/>
  <c r="BT242" i="3"/>
  <c r="Q356" i="3"/>
  <c r="CG356" i="3"/>
  <c r="BS356" i="3"/>
  <c r="BL356" i="3"/>
  <c r="BQ356" i="3"/>
  <c r="CD146" i="3"/>
  <c r="CC146" i="3"/>
  <c r="CB145" i="3"/>
  <c r="CA188" i="3"/>
  <c r="BX147" i="3"/>
  <c r="CC252" i="3"/>
  <c r="BQ252" i="3"/>
  <c r="Q252" i="3"/>
  <c r="BS252" i="3"/>
  <c r="CA252" i="3"/>
  <c r="CM252" i="3"/>
  <c r="BU252" i="3"/>
  <c r="CE252" i="3"/>
  <c r="BY252" i="3"/>
  <c r="BW252" i="3"/>
  <c r="CI252" i="3"/>
  <c r="BL252" i="3"/>
  <c r="CG252" i="3"/>
  <c r="CK252" i="3"/>
  <c r="BY257" i="3"/>
  <c r="CE172" i="3"/>
  <c r="CF172" i="3"/>
  <c r="BZ157" i="3"/>
  <c r="CI257" i="3"/>
  <c r="CK257" i="3"/>
  <c r="BM227" i="3"/>
  <c r="Q227" i="3"/>
  <c r="D224" i="3"/>
  <c r="BW224" i="3" s="1"/>
  <c r="BL227" i="3"/>
  <c r="CN444" i="3"/>
  <c r="CM444" i="3"/>
  <c r="CJ185" i="3"/>
  <c r="CK185" i="3" s="1"/>
  <c r="CI185" i="3"/>
  <c r="A273" i="3"/>
  <c r="A163" i="3"/>
  <c r="CH187" i="3"/>
  <c r="CG187" i="3"/>
  <c r="BL257" i="3"/>
  <c r="Q257" i="3"/>
  <c r="BQ257" i="3"/>
  <c r="BS257" i="3"/>
  <c r="Q199" i="3"/>
  <c r="BL199" i="3"/>
  <c r="BY199" i="3"/>
  <c r="CC199" i="3"/>
  <c r="CK199" i="3"/>
  <c r="CA199" i="3"/>
  <c r="CG199" i="3"/>
  <c r="CE199" i="3"/>
  <c r="CO199" i="3"/>
  <c r="BW199" i="3"/>
  <c r="CI199" i="3"/>
  <c r="BU199" i="3"/>
  <c r="BQ199" i="3"/>
  <c r="BS199" i="3"/>
  <c r="CD186" i="3"/>
  <c r="CC186" i="3"/>
  <c r="CD302" i="3"/>
  <c r="CC302" i="3"/>
  <c r="CB299" i="3"/>
  <c r="BW188" i="3"/>
  <c r="CL235" i="3"/>
  <c r="CJ234" i="3"/>
  <c r="CK234" i="3" s="1"/>
  <c r="CK235" i="3"/>
  <c r="CO445" i="3"/>
  <c r="CE514" i="3"/>
  <c r="Q481" i="3"/>
  <c r="CE481" i="3"/>
  <c r="BY481" i="3"/>
  <c r="CK481" i="3"/>
  <c r="BU481" i="3"/>
  <c r="CC481" i="3"/>
  <c r="BW481" i="3"/>
  <c r="BQ481" i="3"/>
  <c r="CG481" i="3"/>
  <c r="CI481" i="3"/>
  <c r="CO481" i="3"/>
  <c r="CM481" i="3"/>
  <c r="CA481" i="3"/>
  <c r="BL481" i="3"/>
  <c r="BV14" i="3"/>
  <c r="BW14" i="3" s="1"/>
  <c r="CA299" i="3"/>
  <c r="BZ298" i="3"/>
  <c r="Q130" i="3"/>
  <c r="BW130" i="3"/>
  <c r="CC130" i="3"/>
  <c r="CE130" i="3"/>
  <c r="CG130" i="3"/>
  <c r="CM130" i="3"/>
  <c r="BY130" i="3"/>
  <c r="BQ130" i="3"/>
  <c r="BS130" i="3"/>
  <c r="CA130" i="3"/>
  <c r="BU130" i="3"/>
  <c r="CI130" i="3"/>
  <c r="CO130" i="3"/>
  <c r="BL130" i="3"/>
  <c r="CK130" i="3"/>
  <c r="CO501" i="3"/>
  <c r="BM224" i="3"/>
  <c r="CI213" i="3"/>
  <c r="BW213" i="3"/>
  <c r="Q213" i="3"/>
  <c r="CG213" i="3"/>
  <c r="BU213" i="3"/>
  <c r="BS213" i="3"/>
  <c r="D212" i="3"/>
  <c r="CC212" i="3" s="1"/>
  <c r="BY213" i="3"/>
  <c r="CO213" i="3"/>
  <c r="BL213" i="3"/>
  <c r="CK213" i="3"/>
  <c r="CM213" i="3"/>
  <c r="BQ213" i="3"/>
  <c r="CA213" i="3"/>
  <c r="Q231" i="3"/>
  <c r="BL231" i="3"/>
  <c r="BQ231" i="3"/>
  <c r="BS231" i="3"/>
  <c r="BU231" i="3"/>
  <c r="CD445" i="3"/>
  <c r="CC445" i="3"/>
  <c r="CE356" i="3"/>
  <c r="BM212" i="3"/>
  <c r="BY188" i="3"/>
  <c r="CK356" i="3"/>
  <c r="Q265" i="3"/>
  <c r="D262" i="3"/>
  <c r="BS265" i="3"/>
  <c r="CA265" i="3"/>
  <c r="BQ265" i="3"/>
  <c r="CG265" i="3"/>
  <c r="CC265" i="3"/>
  <c r="BY265" i="3"/>
  <c r="CM265" i="3"/>
  <c r="CI265" i="3"/>
  <c r="CK265" i="3"/>
  <c r="CO265" i="3"/>
  <c r="BW265" i="3"/>
  <c r="BL265" i="3"/>
  <c r="BU265" i="3"/>
  <c r="CE265" i="3"/>
  <c r="D457" i="3"/>
  <c r="Q458" i="3"/>
  <c r="BW458" i="3"/>
  <c r="BU458" i="3"/>
  <c r="CM458" i="3"/>
  <c r="BQ458" i="3"/>
  <c r="CG458" i="3"/>
  <c r="CE458" i="3"/>
  <c r="CC458" i="3"/>
  <c r="CO458" i="3"/>
  <c r="CK458" i="3"/>
  <c r="BS458" i="3"/>
  <c r="CI458" i="3"/>
  <c r="BY458" i="3"/>
  <c r="CA458" i="3"/>
  <c r="BL458" i="3"/>
  <c r="Q298" i="3"/>
  <c r="BQ298" i="3"/>
  <c r="BL298" i="3"/>
  <c r="BS298" i="3"/>
  <c r="BU298" i="3"/>
  <c r="BW298" i="3"/>
  <c r="CA257" i="3"/>
  <c r="CA441" i="3"/>
  <c r="BZ439" i="3"/>
  <c r="CA439" i="3" s="1"/>
  <c r="BY356" i="3"/>
  <c r="CJ163" i="3"/>
  <c r="CI163" i="3"/>
  <c r="CO80" i="3"/>
  <c r="CC80" i="3"/>
  <c r="BQ80" i="3"/>
  <c r="CI80" i="3"/>
  <c r="BW80" i="3"/>
  <c r="Q80" i="3"/>
  <c r="CG80" i="3"/>
  <c r="BU80" i="3"/>
  <c r="BL80" i="3"/>
  <c r="BS80" i="3"/>
  <c r="BY80" i="3"/>
  <c r="CE80" i="3"/>
  <c r="CK80" i="3"/>
  <c r="CA80" i="3"/>
  <c r="CM80" i="3"/>
  <c r="CF192" i="3"/>
  <c r="CE192" i="3"/>
  <c r="CD188" i="3"/>
  <c r="CE188" i="3" s="1"/>
  <c r="Q540" i="3"/>
  <c r="CC540" i="3"/>
  <c r="BY540" i="3"/>
  <c r="CE540" i="3"/>
  <c r="CI540" i="3"/>
  <c r="CA540" i="3"/>
  <c r="CO540" i="3"/>
  <c r="BS540" i="3"/>
  <c r="BQ540" i="3"/>
  <c r="BW540" i="3"/>
  <c r="CG540" i="3"/>
  <c r="CK540" i="3"/>
  <c r="CM540" i="3"/>
  <c r="BU540" i="3"/>
  <c r="D537" i="3"/>
  <c r="BL540" i="3"/>
  <c r="CO236" i="3"/>
  <c r="CN234" i="3"/>
  <c r="BW231" i="3"/>
  <c r="CC232" i="3"/>
  <c r="CB231" i="3"/>
  <c r="A28" i="3"/>
  <c r="A29" i="3" s="1"/>
  <c r="CD183" i="3"/>
  <c r="CC183" i="3"/>
  <c r="CN175" i="3"/>
  <c r="CM175" i="3"/>
  <c r="CN197" i="3"/>
  <c r="CM197" i="3"/>
  <c r="BQ21" i="3"/>
  <c r="BY21" i="3"/>
  <c r="D17" i="3"/>
  <c r="CG21" i="3"/>
  <c r="BW21" i="3"/>
  <c r="CM21" i="3"/>
  <c r="Q21" i="3"/>
  <c r="BS21" i="3"/>
  <c r="CC21" i="3"/>
  <c r="CE21" i="3"/>
  <c r="BL21" i="3"/>
  <c r="CA21" i="3"/>
  <c r="CO21" i="3"/>
  <c r="BU21" i="3"/>
  <c r="CK21" i="3"/>
  <c r="CI21" i="3"/>
  <c r="CH226" i="3"/>
  <c r="CF225" i="3"/>
  <c r="CG225" i="3" s="1"/>
  <c r="CG226" i="3"/>
  <c r="F242" i="3"/>
  <c r="BJ242" i="3" s="1"/>
  <c r="CE257" i="3"/>
  <c r="CD442" i="3"/>
  <c r="CB441" i="3"/>
  <c r="CC442" i="3"/>
  <c r="CP216" i="3" l="1"/>
  <c r="CQ216" i="3"/>
  <c r="CP457" i="3"/>
  <c r="CQ457" i="3"/>
  <c r="CP537" i="3"/>
  <c r="CQ537" i="3"/>
  <c r="CQ130" i="3"/>
  <c r="CP130" i="3"/>
  <c r="CQ17" i="3"/>
  <c r="CP17" i="3"/>
  <c r="CP69" i="3"/>
  <c r="CQ69" i="3"/>
  <c r="CP147" i="3"/>
  <c r="CQ147" i="3"/>
  <c r="CM69" i="3"/>
  <c r="CP157" i="3"/>
  <c r="CQ157" i="3"/>
  <c r="CQ212" i="3"/>
  <c r="CP212" i="3"/>
  <c r="BQ69" i="3"/>
  <c r="CP262" i="3"/>
  <c r="CQ262" i="3"/>
  <c r="CQ224" i="3"/>
  <c r="CP224" i="3"/>
  <c r="CP227" i="3"/>
  <c r="CQ227" i="3"/>
  <c r="Q69" i="3"/>
  <c r="CA69" i="3"/>
  <c r="BY69" i="3"/>
  <c r="CK69" i="3"/>
  <c r="BU69" i="3"/>
  <c r="BS69" i="3"/>
  <c r="CC69" i="3"/>
  <c r="F16" i="3"/>
  <c r="BM16" i="3" s="1"/>
  <c r="CG69" i="3"/>
  <c r="CB157" i="3"/>
  <c r="CC157" i="3" s="1"/>
  <c r="BJ147" i="3"/>
  <c r="CT24" i="4"/>
  <c r="CS24" i="4"/>
  <c r="CI22" i="4"/>
  <c r="CJ22" i="4" s="1"/>
  <c r="CA24" i="4"/>
  <c r="CB24" i="4" s="1"/>
  <c r="CC88" i="4"/>
  <c r="CD88" i="4" s="1"/>
  <c r="CE25" i="4"/>
  <c r="CF25" i="4" s="1"/>
  <c r="CE26" i="4"/>
  <c r="CF26" i="4" s="1"/>
  <c r="CC23" i="4"/>
  <c r="CD23" i="4" s="1"/>
  <c r="CQ26" i="4"/>
  <c r="CR26" i="4" s="1"/>
  <c r="CI46" i="4"/>
  <c r="CJ46" i="4" s="1"/>
  <c r="CJ47" i="4"/>
  <c r="CO113" i="4"/>
  <c r="CP113" i="4" s="1"/>
  <c r="CP114" i="4"/>
  <c r="CG113" i="4"/>
  <c r="CH113" i="4" s="1"/>
  <c r="CH114" i="4"/>
  <c r="BY89" i="4"/>
  <c r="BZ89" i="4" s="1"/>
  <c r="CE15" i="4"/>
  <c r="CF15" i="4" s="1"/>
  <c r="BT15" i="4"/>
  <c r="BO15" i="4"/>
  <c r="BV15" i="4"/>
  <c r="BZ15" i="4"/>
  <c r="CH71" i="4"/>
  <c r="CG30" i="4"/>
  <c r="CK47" i="4"/>
  <c r="CE14" i="4"/>
  <c r="CF14" i="4" s="1"/>
  <c r="BP15" i="4"/>
  <c r="CI71" i="4"/>
  <c r="CB15" i="4"/>
  <c r="CI122" i="4"/>
  <c r="CJ122" i="4" s="1"/>
  <c r="CB30" i="4"/>
  <c r="CD15" i="4"/>
  <c r="BX15" i="4"/>
  <c r="BO30" i="4"/>
  <c r="BT30" i="4"/>
  <c r="BV30" i="4"/>
  <c r="CE212" i="3"/>
  <c r="BW537" i="3"/>
  <c r="CE301" i="3"/>
  <c r="CF301" i="3"/>
  <c r="BW217" i="3"/>
  <c r="BV216" i="3"/>
  <c r="BW216" i="3" s="1"/>
  <c r="CH184" i="3"/>
  <c r="CG184" i="3"/>
  <c r="CK195" i="3"/>
  <c r="CJ188" i="3"/>
  <c r="CK188" i="3" s="1"/>
  <c r="CL195" i="3"/>
  <c r="BZ219" i="3"/>
  <c r="CB220" i="3"/>
  <c r="CA220" i="3"/>
  <c r="BY219" i="3"/>
  <c r="BX217" i="3"/>
  <c r="BX14" i="3"/>
  <c r="BY14" i="3" s="1"/>
  <c r="CA298" i="3"/>
  <c r="BZ242" i="3"/>
  <c r="Q224" i="3"/>
  <c r="BS224" i="3"/>
  <c r="BQ224" i="3"/>
  <c r="BL224" i="3"/>
  <c r="BU224" i="3"/>
  <c r="CN443" i="3"/>
  <c r="CM443" i="3"/>
  <c r="CL441" i="3"/>
  <c r="CK163" i="3"/>
  <c r="BX537" i="3"/>
  <c r="BY538" i="3"/>
  <c r="BM242" i="3"/>
  <c r="CB439" i="3"/>
  <c r="CC439" i="3" s="1"/>
  <c r="CC441" i="3"/>
  <c r="CF183" i="3"/>
  <c r="CE183" i="3"/>
  <c r="CD158" i="3"/>
  <c r="BT15" i="3"/>
  <c r="CO304" i="3"/>
  <c r="CE442" i="3"/>
  <c r="CF442" i="3"/>
  <c r="CD441" i="3"/>
  <c r="Q537" i="3"/>
  <c r="CA537" i="3"/>
  <c r="BQ537" i="3"/>
  <c r="CC537" i="3"/>
  <c r="CO537" i="3"/>
  <c r="CG537" i="3"/>
  <c r="CI537" i="3"/>
  <c r="CE537" i="3"/>
  <c r="CK537" i="3"/>
  <c r="CM537" i="3"/>
  <c r="BS537" i="3"/>
  <c r="BL537" i="3"/>
  <c r="BY224" i="3"/>
  <c r="CA157" i="3"/>
  <c r="BZ147" i="3"/>
  <c r="CA224" i="3"/>
  <c r="Q157" i="3"/>
  <c r="BQ157" i="3"/>
  <c r="BL157" i="3"/>
  <c r="BU157" i="3"/>
  <c r="D147" i="3"/>
  <c r="BY147" i="3" s="1"/>
  <c r="BS157" i="3"/>
  <c r="A83" i="3"/>
  <c r="BW157" i="3"/>
  <c r="CC299" i="3"/>
  <c r="CB298" i="3"/>
  <c r="A276" i="3"/>
  <c r="A164" i="3"/>
  <c r="A165" i="3" s="1"/>
  <c r="A166" i="3" s="1"/>
  <c r="CO234" i="3"/>
  <c r="CN231" i="3"/>
  <c r="CJ226" i="3"/>
  <c r="CI226" i="3"/>
  <c r="CH225" i="3"/>
  <c r="CI225" i="3" s="1"/>
  <c r="Q262" i="3"/>
  <c r="CK262" i="3"/>
  <c r="CM262" i="3"/>
  <c r="BS262" i="3"/>
  <c r="BY262" i="3"/>
  <c r="CO262" i="3"/>
  <c r="BQ262" i="3"/>
  <c r="CC262" i="3"/>
  <c r="CG262" i="3"/>
  <c r="CI262" i="3"/>
  <c r="CA262" i="3"/>
  <c r="CE262" i="3"/>
  <c r="BW262" i="3"/>
  <c r="BL262" i="3"/>
  <c r="BU262" i="3"/>
  <c r="CF186" i="3"/>
  <c r="CE186" i="3"/>
  <c r="CO444" i="3"/>
  <c r="CF146" i="3"/>
  <c r="CE146" i="3"/>
  <c r="CD145" i="3"/>
  <c r="CO197" i="3"/>
  <c r="CH192" i="3"/>
  <c r="CG192" i="3"/>
  <c r="CF188" i="3"/>
  <c r="CG188" i="3" s="1"/>
  <c r="CH172" i="3"/>
  <c r="CG172" i="3"/>
  <c r="CO175" i="3"/>
  <c r="BU537" i="3"/>
  <c r="CE445" i="3"/>
  <c r="CF445" i="3"/>
  <c r="CF302" i="3"/>
  <c r="CE302" i="3"/>
  <c r="CD299" i="3"/>
  <c r="CJ187" i="3"/>
  <c r="CI187" i="3"/>
  <c r="CK457" i="3"/>
  <c r="BY457" i="3"/>
  <c r="Q457" i="3"/>
  <c r="CC457" i="3"/>
  <c r="BU457" i="3"/>
  <c r="CM457" i="3"/>
  <c r="BQ457" i="3"/>
  <c r="BW457" i="3"/>
  <c r="CO457" i="3"/>
  <c r="CG457" i="3"/>
  <c r="BL457" i="3"/>
  <c r="CE457" i="3"/>
  <c r="CI457" i="3"/>
  <c r="BS457" i="3"/>
  <c r="CA457" i="3"/>
  <c r="CL234" i="3"/>
  <c r="CM235" i="3"/>
  <c r="A30" i="3"/>
  <c r="D242" i="3"/>
  <c r="BU242" i="3" s="1"/>
  <c r="CC145" i="3"/>
  <c r="CB144" i="3"/>
  <c r="CC144" i="3" s="1"/>
  <c r="CJ300" i="3"/>
  <c r="CI300" i="3"/>
  <c r="BV242" i="3"/>
  <c r="CD231" i="3"/>
  <c r="CE232" i="3"/>
  <c r="CC231" i="3"/>
  <c r="CB224" i="3"/>
  <c r="CC224" i="3" s="1"/>
  <c r="Q17" i="3"/>
  <c r="BS17" i="3"/>
  <c r="CM17" i="3"/>
  <c r="CA17" i="3"/>
  <c r="BY17" i="3"/>
  <c r="CO17" i="3"/>
  <c r="BU17" i="3"/>
  <c r="BQ17" i="3"/>
  <c r="CE17" i="3"/>
  <c r="BL17" i="3"/>
  <c r="BW17" i="3"/>
  <c r="CK17" i="3"/>
  <c r="CG17" i="3"/>
  <c r="CI17" i="3"/>
  <c r="CC17" i="3"/>
  <c r="CI212" i="3"/>
  <c r="BW212" i="3"/>
  <c r="Q212" i="3"/>
  <c r="CG212" i="3"/>
  <c r="BU212" i="3"/>
  <c r="BS212" i="3"/>
  <c r="BL212" i="3"/>
  <c r="BY212" i="3"/>
  <c r="CM212" i="3"/>
  <c r="CK212" i="3"/>
  <c r="CO212" i="3"/>
  <c r="BQ212" i="3"/>
  <c r="CA212" i="3"/>
  <c r="CF232" i="3"/>
  <c r="CH233" i="3"/>
  <c r="CG233" i="3"/>
  <c r="CQ242" i="3" l="1"/>
  <c r="CP242" i="3"/>
  <c r="BJ16" i="3"/>
  <c r="CB147" i="3"/>
  <c r="F15" i="3"/>
  <c r="BJ15" i="3" s="1"/>
  <c r="CO26" i="4"/>
  <c r="CP26" i="4" s="1"/>
  <c r="CE88" i="4"/>
  <c r="CF88" i="4" s="1"/>
  <c r="CK22" i="4"/>
  <c r="CL22" i="4" s="1"/>
  <c r="CE23" i="4"/>
  <c r="CF23" i="4" s="1"/>
  <c r="CG25" i="4"/>
  <c r="CH25" i="4" s="1"/>
  <c r="CC24" i="4"/>
  <c r="CD24" i="4" s="1"/>
  <c r="CG26" i="4"/>
  <c r="CH26" i="4" s="1"/>
  <c r="CA89" i="4"/>
  <c r="CB89" i="4" s="1"/>
  <c r="CK46" i="4"/>
  <c r="CL46" i="4" s="1"/>
  <c r="CL47" i="4"/>
  <c r="CG14" i="4"/>
  <c r="CH14" i="4" s="1"/>
  <c r="CK122" i="4"/>
  <c r="CL122" i="4" s="1"/>
  <c r="CK71" i="4"/>
  <c r="CM47" i="4"/>
  <c r="CG15" i="4"/>
  <c r="CH15" i="4" s="1"/>
  <c r="CH30" i="4"/>
  <c r="CJ71" i="4"/>
  <c r="CI30" i="4"/>
  <c r="D16" i="3"/>
  <c r="D15" i="3" s="1"/>
  <c r="CN195" i="3"/>
  <c r="CL188" i="3"/>
  <c r="CM188" i="3" s="1"/>
  <c r="CM195" i="3"/>
  <c r="CJ184" i="3"/>
  <c r="CI184" i="3"/>
  <c r="CA219" i="3"/>
  <c r="BZ217" i="3"/>
  <c r="BY217" i="3"/>
  <c r="BX216" i="3"/>
  <c r="BY216" i="3" s="1"/>
  <c r="CG301" i="3"/>
  <c r="CH301" i="3"/>
  <c r="CD220" i="3"/>
  <c r="CC220" i="3"/>
  <c r="CB219" i="3"/>
  <c r="A167" i="3"/>
  <c r="A168" i="3" s="1"/>
  <c r="CL300" i="3"/>
  <c r="CK300" i="3"/>
  <c r="CO443" i="3"/>
  <c r="CN441" i="3"/>
  <c r="A31" i="3"/>
  <c r="CG302" i="3"/>
  <c r="CH302" i="3"/>
  <c r="CF299" i="3"/>
  <c r="CI192" i="3"/>
  <c r="CH188" i="3"/>
  <c r="CI188" i="3" s="1"/>
  <c r="A279" i="3"/>
  <c r="CO231" i="3"/>
  <c r="CN224" i="3"/>
  <c r="CF441" i="3"/>
  <c r="CG442" i="3"/>
  <c r="CH442" i="3"/>
  <c r="CH186" i="3"/>
  <c r="CG186" i="3"/>
  <c r="CC147" i="3"/>
  <c r="CM234" i="3"/>
  <c r="CL231" i="3"/>
  <c r="CD157" i="3"/>
  <c r="CE158" i="3"/>
  <c r="Q147" i="3"/>
  <c r="BQ147" i="3"/>
  <c r="BL147" i="3"/>
  <c r="BS147" i="3"/>
  <c r="BU147" i="3"/>
  <c r="CG183" i="3"/>
  <c r="CH183" i="3"/>
  <c r="CA147" i="3"/>
  <c r="CH232" i="3"/>
  <c r="CI233" i="3"/>
  <c r="CJ233" i="3"/>
  <c r="Q242" i="3"/>
  <c r="BL242" i="3"/>
  <c r="BQ242" i="3"/>
  <c r="BS242" i="3"/>
  <c r="CH445" i="3"/>
  <c r="CG445" i="3"/>
  <c r="CD144" i="3"/>
  <c r="CE144" i="3" s="1"/>
  <c r="CE145" i="3"/>
  <c r="CC298" i="3"/>
  <c r="CB242" i="3"/>
  <c r="BW242" i="3"/>
  <c r="BV15" i="3"/>
  <c r="CF158" i="3"/>
  <c r="BW147" i="3"/>
  <c r="CA242" i="3"/>
  <c r="BZ15" i="3"/>
  <c r="CD298" i="3"/>
  <c r="CE299" i="3"/>
  <c r="CH146" i="3"/>
  <c r="CG146" i="3"/>
  <c r="CF145" i="3"/>
  <c r="BY537" i="3"/>
  <c r="BX242" i="3"/>
  <c r="A84" i="3"/>
  <c r="A86" i="3" s="1"/>
  <c r="CD224" i="3"/>
  <c r="CE224" i="3" s="1"/>
  <c r="CE231" i="3"/>
  <c r="CI172" i="3"/>
  <c r="CJ172" i="3"/>
  <c r="CK226" i="3"/>
  <c r="CJ225" i="3"/>
  <c r="CK225" i="3" s="1"/>
  <c r="CL226" i="3"/>
  <c r="CL439" i="3"/>
  <c r="CM439" i="3" s="1"/>
  <c r="CM441" i="3"/>
  <c r="CG232" i="3"/>
  <c r="CF231" i="3"/>
  <c r="CL187" i="3"/>
  <c r="CK187" i="3"/>
  <c r="CE441" i="3"/>
  <c r="CD439" i="3"/>
  <c r="CE439" i="3" s="1"/>
  <c r="BZ14" i="3"/>
  <c r="CA14" i="3" s="1"/>
  <c r="BM15" i="3" l="1"/>
  <c r="CE24" i="4"/>
  <c r="CF24" i="4" s="1"/>
  <c r="CI25" i="4"/>
  <c r="CJ25" i="4" s="1"/>
  <c r="CI26" i="4"/>
  <c r="CJ26" i="4" s="1"/>
  <c r="CG88" i="4"/>
  <c r="CH88" i="4" s="1"/>
  <c r="CM22" i="4"/>
  <c r="CN22" i="4" s="1"/>
  <c r="CG23" i="4"/>
  <c r="CH23" i="4" s="1"/>
  <c r="CC89" i="4"/>
  <c r="CD89" i="4" s="1"/>
  <c r="CM46" i="4"/>
  <c r="CN46" i="4" s="1"/>
  <c r="CN47" i="4"/>
  <c r="CO47" i="4"/>
  <c r="CI14" i="4"/>
  <c r="CM71" i="4"/>
  <c r="CO122" i="4"/>
  <c r="CP122" i="4" s="1"/>
  <c r="CJ30" i="4"/>
  <c r="CI15" i="4"/>
  <c r="CJ15" i="4" s="1"/>
  <c r="CL71" i="4"/>
  <c r="CK30" i="4"/>
  <c r="CM122" i="4"/>
  <c r="CN122" i="4" s="1"/>
  <c r="A87" i="3"/>
  <c r="A88" i="3" s="1"/>
  <c r="BW16" i="3"/>
  <c r="BQ16" i="3"/>
  <c r="CM16" i="3"/>
  <c r="CI16" i="3"/>
  <c r="CG16" i="3"/>
  <c r="CO16" i="3"/>
  <c r="BS16" i="3"/>
  <c r="CE16" i="3"/>
  <c r="BY16" i="3"/>
  <c r="CC16" i="3"/>
  <c r="CK16" i="3"/>
  <c r="CA16" i="3"/>
  <c r="Q16" i="3"/>
  <c r="BU16" i="3"/>
  <c r="BL16" i="3"/>
  <c r="CF220" i="3"/>
  <c r="CD219" i="3"/>
  <c r="CE220" i="3"/>
  <c r="CJ301" i="3"/>
  <c r="CI301" i="3"/>
  <c r="CA217" i="3"/>
  <c r="BZ216" i="3"/>
  <c r="CA216" i="3" s="1"/>
  <c r="CL184" i="3"/>
  <c r="CK184" i="3"/>
  <c r="CB217" i="3"/>
  <c r="CC219" i="3"/>
  <c r="CO195" i="3"/>
  <c r="CN188" i="3"/>
  <c r="CO188" i="3" s="1"/>
  <c r="CG145" i="3"/>
  <c r="CF144" i="3"/>
  <c r="CG144" i="3" s="1"/>
  <c r="CG231" i="3"/>
  <c r="CF224" i="3"/>
  <c r="CG224" i="3" s="1"/>
  <c r="CG441" i="3"/>
  <c r="CF439" i="3"/>
  <c r="CG439" i="3" s="1"/>
  <c r="CO224" i="3"/>
  <c r="CH145" i="3"/>
  <c r="CJ146" i="3"/>
  <c r="CI146" i="3"/>
  <c r="CG158" i="3"/>
  <c r="CF157" i="3"/>
  <c r="CE298" i="3"/>
  <c r="CD242" i="3"/>
  <c r="CM231" i="3"/>
  <c r="CL172" i="3"/>
  <c r="CK172" i="3"/>
  <c r="CC242" i="3"/>
  <c r="CB15" i="3"/>
  <c r="CJ183" i="3"/>
  <c r="CI183" i="3"/>
  <c r="CN300" i="3"/>
  <c r="CM300" i="3"/>
  <c r="Q15" i="3"/>
  <c r="BQ15" i="3"/>
  <c r="BL15" i="3"/>
  <c r="BS15" i="3"/>
  <c r="BU15" i="3"/>
  <c r="CJ186" i="3"/>
  <c r="CK186" i="3" s="1"/>
  <c r="CI186" i="3"/>
  <c r="CF298" i="3"/>
  <c r="CG299" i="3"/>
  <c r="CB14" i="3"/>
  <c r="A282" i="3"/>
  <c r="A285" i="3" s="1"/>
  <c r="A288" i="3" s="1"/>
  <c r="A291" i="3" s="1"/>
  <c r="A293" i="3" s="1"/>
  <c r="A296" i="3" s="1"/>
  <c r="A298" i="3" s="1"/>
  <c r="A305" i="3" s="1"/>
  <c r="A314" i="3" s="1"/>
  <c r="A317" i="3" s="1"/>
  <c r="A320" i="3" s="1"/>
  <c r="A323" i="3" s="1"/>
  <c r="A326" i="3" s="1"/>
  <c r="A329" i="3" s="1"/>
  <c r="A332" i="3" s="1"/>
  <c r="A335" i="3" s="1"/>
  <c r="A338" i="3" s="1"/>
  <c r="A341" i="3" s="1"/>
  <c r="CA15" i="3"/>
  <c r="BW15" i="3"/>
  <c r="CI302" i="3"/>
  <c r="CJ302" i="3"/>
  <c r="CH299" i="3"/>
  <c r="A170" i="3"/>
  <c r="A171" i="3" s="1"/>
  <c r="A172" i="3" s="1"/>
  <c r="A173" i="3" s="1"/>
  <c r="A175" i="3" s="1"/>
  <c r="A176" i="3" s="1"/>
  <c r="CL225" i="3"/>
  <c r="CM225" i="3" s="1"/>
  <c r="CM226" i="3"/>
  <c r="CN187" i="3"/>
  <c r="CM187" i="3"/>
  <c r="CN439" i="3"/>
  <c r="CO441" i="3"/>
  <c r="BY242" i="3"/>
  <c r="BX15" i="3"/>
  <c r="CE157" i="3"/>
  <c r="CD147" i="3"/>
  <c r="CE147" i="3" s="1"/>
  <c r="CH441" i="3"/>
  <c r="CI442" i="3"/>
  <c r="CJ442" i="3"/>
  <c r="A32" i="3"/>
  <c r="A33" i="3" s="1"/>
  <c r="A34" i="3" s="1"/>
  <c r="A35" i="3" s="1"/>
  <c r="A36" i="3" s="1"/>
  <c r="A37" i="3" s="1"/>
  <c r="A38" i="3" s="1"/>
  <c r="A39" i="3" s="1"/>
  <c r="A40" i="3" s="1"/>
  <c r="A43" i="3" s="1"/>
  <c r="A44" i="3" s="1"/>
  <c r="A45" i="3" s="1"/>
  <c r="A46" i="3" s="1"/>
  <c r="A47" i="3" s="1"/>
  <c r="A48" i="3" s="1"/>
  <c r="A49" i="3" s="1"/>
  <c r="A50" i="3" s="1"/>
  <c r="A51" i="3" s="1"/>
  <c r="A52" i="3" s="1"/>
  <c r="A54" i="3" s="1"/>
  <c r="A55" i="3" s="1"/>
  <c r="A56" i="3" s="1"/>
  <c r="A57" i="3" s="1"/>
  <c r="A58" i="3" s="1"/>
  <c r="A59" i="3" s="1"/>
  <c r="A61" i="3" s="1"/>
  <c r="A62" i="3" s="1"/>
  <c r="A64" i="3" s="1"/>
  <c r="A65" i="3" s="1"/>
  <c r="A67" i="3" s="1"/>
  <c r="A68" i="3" s="1"/>
  <c r="CJ445" i="3"/>
  <c r="CK445" i="3" s="1"/>
  <c r="CI445" i="3"/>
  <c r="CK233" i="3"/>
  <c r="CJ232" i="3"/>
  <c r="CH158" i="3"/>
  <c r="CI232" i="3"/>
  <c r="CH231" i="3"/>
  <c r="CG24" i="4" l="1"/>
  <c r="CH24" i="4" s="1"/>
  <c r="CK26" i="4"/>
  <c r="CL26" i="4" s="1"/>
  <c r="CI23" i="4"/>
  <c r="CJ23" i="4" s="1"/>
  <c r="CK25" i="4"/>
  <c r="CL25" i="4" s="1"/>
  <c r="CI88" i="4"/>
  <c r="CJ88" i="4" s="1"/>
  <c r="CO22" i="4"/>
  <c r="CP22" i="4" s="1"/>
  <c r="CP47" i="4"/>
  <c r="CO46" i="4"/>
  <c r="CP46" i="4" s="1"/>
  <c r="CE89" i="4"/>
  <c r="CF89" i="4" s="1"/>
  <c r="CN71" i="4"/>
  <c r="CM30" i="4"/>
  <c r="CQ122" i="4"/>
  <c r="CR122" i="4" s="1"/>
  <c r="CL30" i="4"/>
  <c r="CK15" i="4"/>
  <c r="CL15" i="4" s="1"/>
  <c r="CO71" i="4"/>
  <c r="CJ14" i="4"/>
  <c r="CQ47" i="4"/>
  <c r="A89" i="3"/>
  <c r="A91" i="3" s="1"/>
  <c r="A92" i="3" s="1"/>
  <c r="A93" i="3" s="1"/>
  <c r="A94" i="3" s="1"/>
  <c r="A95" i="3" s="1"/>
  <c r="A96" i="3" s="1"/>
  <c r="A97" i="3" s="1"/>
  <c r="A99" i="3" s="1"/>
  <c r="A100" i="3" s="1"/>
  <c r="A101" i="3" s="1"/>
  <c r="A102" i="3" s="1"/>
  <c r="A103" i="3" s="1"/>
  <c r="A105" i="3" s="1"/>
  <c r="A106" i="3" s="1"/>
  <c r="A107" i="3" s="1"/>
  <c r="A108" i="3" s="1"/>
  <c r="A109" i="3" s="1"/>
  <c r="A111" i="3" s="1"/>
  <c r="A112" i="3" s="1"/>
  <c r="A113" i="3" s="1"/>
  <c r="A114" i="3" s="1"/>
  <c r="A115" i="3" s="1"/>
  <c r="A116" i="3" s="1"/>
  <c r="A117" i="3" s="1"/>
  <c r="A118" i="3" s="1"/>
  <c r="A119" i="3" s="1"/>
  <c r="A120" i="3" s="1"/>
  <c r="A121" i="3" s="1"/>
  <c r="A122" i="3" s="1"/>
  <c r="CL301" i="3"/>
  <c r="CK301" i="3"/>
  <c r="CB216" i="3"/>
  <c r="CC216" i="3" s="1"/>
  <c r="CC217" i="3"/>
  <c r="A178" i="3"/>
  <c r="CE219" i="3"/>
  <c r="CD217" i="3"/>
  <c r="CM184" i="3"/>
  <c r="CN184" i="3"/>
  <c r="CO184" i="3" s="1"/>
  <c r="CH220" i="3"/>
  <c r="CF219" i="3"/>
  <c r="CG220" i="3"/>
  <c r="CL224" i="3"/>
  <c r="CM224" i="3" s="1"/>
  <c r="CL183" i="3"/>
  <c r="CK183" i="3"/>
  <c r="CH298" i="3"/>
  <c r="CI299" i="3"/>
  <c r="CI145" i="3"/>
  <c r="CH144" i="3"/>
  <c r="CI144" i="3" s="1"/>
  <c r="CJ145" i="3"/>
  <c r="CL146" i="3"/>
  <c r="CK146" i="3"/>
  <c r="CJ231" i="3"/>
  <c r="CK232" i="3"/>
  <c r="CL302" i="3"/>
  <c r="CK302" i="3"/>
  <c r="CJ299" i="3"/>
  <c r="CC14" i="3"/>
  <c r="CC15" i="3"/>
  <c r="CE242" i="3"/>
  <c r="CD15" i="3"/>
  <c r="CI158" i="3"/>
  <c r="CH157" i="3"/>
  <c r="BY15" i="3"/>
  <c r="CK442" i="3"/>
  <c r="CJ441" i="3"/>
  <c r="CG157" i="3"/>
  <c r="CF147" i="3"/>
  <c r="CG147" i="3" s="1"/>
  <c r="CJ158" i="3"/>
  <c r="CH439" i="3"/>
  <c r="CI439" i="3" s="1"/>
  <c r="CI441" i="3"/>
  <c r="CI231" i="3"/>
  <c r="CH224" i="3"/>
  <c r="CI224" i="3" s="1"/>
  <c r="CG298" i="3"/>
  <c r="CF242" i="3"/>
  <c r="CO439" i="3"/>
  <c r="CO187" i="3"/>
  <c r="CO300" i="3"/>
  <c r="CN172" i="3"/>
  <c r="CM172" i="3"/>
  <c r="A344" i="3"/>
  <c r="A347" i="3" s="1"/>
  <c r="A350" i="3" s="1"/>
  <c r="A353" i="3" s="1"/>
  <c r="A356" i="3" s="1"/>
  <c r="A362" i="3" s="1"/>
  <c r="A367" i="3" s="1"/>
  <c r="A370" i="3" s="1"/>
  <c r="A373" i="3" s="1"/>
  <c r="A376" i="3" s="1"/>
  <c r="A379" i="3" s="1"/>
  <c r="A382" i="3" s="1"/>
  <c r="A385" i="3" s="1"/>
  <c r="A388" i="3" s="1"/>
  <c r="A391" i="3" s="1"/>
  <c r="A394" i="3" s="1"/>
  <c r="A397" i="3" s="1"/>
  <c r="A400" i="3" s="1"/>
  <c r="A403" i="3" s="1"/>
  <c r="A406" i="3" s="1"/>
  <c r="A408" i="3" s="1"/>
  <c r="A410" i="3" s="1"/>
  <c r="A413" i="3" s="1"/>
  <c r="A416" i="3" s="1"/>
  <c r="A419" i="3" s="1"/>
  <c r="A422" i="3" s="1"/>
  <c r="A425" i="3" s="1"/>
  <c r="A428" i="3" s="1"/>
  <c r="A431" i="3" s="1"/>
  <c r="A433" i="3" s="1"/>
  <c r="A439" i="3" s="1"/>
  <c r="A446" i="3" s="1"/>
  <c r="A448" i="3" s="1"/>
  <c r="A451" i="3" s="1"/>
  <c r="A454" i="3" s="1"/>
  <c r="A457" i="3" s="1"/>
  <c r="A468" i="3" s="1"/>
  <c r="A473" i="3" s="1"/>
  <c r="A476" i="3" s="1"/>
  <c r="A481" i="3" s="1"/>
  <c r="A487" i="3" s="1"/>
  <c r="A492" i="3" s="1"/>
  <c r="A495" i="3" s="1"/>
  <c r="A498" i="3" s="1"/>
  <c r="A501" i="3" s="1"/>
  <c r="A506" i="3" s="1"/>
  <c r="A512" i="3" s="1"/>
  <c r="A514" i="3" s="1"/>
  <c r="A520" i="3" s="1"/>
  <c r="A523" i="3" s="1"/>
  <c r="A526" i="3" s="1"/>
  <c r="A529" i="3" s="1"/>
  <c r="A534" i="3" s="1"/>
  <c r="A537" i="3" s="1"/>
  <c r="A545" i="3" s="1"/>
  <c r="A550" i="3" s="1"/>
  <c r="A552" i="3" s="1"/>
  <c r="A554" i="3" s="1"/>
  <c r="A560" i="3" s="1"/>
  <c r="A562" i="3" s="1"/>
  <c r="A565" i="3" s="1"/>
  <c r="A568" i="3" s="1"/>
  <c r="A571" i="3" s="1"/>
  <c r="A574" i="3" s="1"/>
  <c r="A576" i="3" s="1"/>
  <c r="A578" i="3" s="1"/>
  <c r="A584" i="3" s="1"/>
  <c r="A587" i="3" s="1"/>
  <c r="CM25" i="4" l="1"/>
  <c r="CN25" i="4" s="1"/>
  <c r="CQ22" i="4"/>
  <c r="CR22" i="4" s="1"/>
  <c r="CM26" i="4"/>
  <c r="CN26" i="4" s="1"/>
  <c r="CI24" i="4"/>
  <c r="CJ24" i="4" s="1"/>
  <c r="CK88" i="4"/>
  <c r="CL88" i="4" s="1"/>
  <c r="CK23" i="4"/>
  <c r="CL23" i="4" s="1"/>
  <c r="CQ46" i="4"/>
  <c r="CR46" i="4" s="1"/>
  <c r="CR47" i="4"/>
  <c r="CG89" i="4"/>
  <c r="CH89" i="4" s="1"/>
  <c r="CP71" i="4"/>
  <c r="CO30" i="4"/>
  <c r="CQ71" i="4"/>
  <c r="CK14" i="4"/>
  <c r="CL14" i="4" s="1"/>
  <c r="CN30" i="4"/>
  <c r="CM15" i="4"/>
  <c r="CN15" i="4" s="1"/>
  <c r="CG219" i="3"/>
  <c r="CF217" i="3"/>
  <c r="CJ220" i="3"/>
  <c r="CH219" i="3"/>
  <c r="CI220" i="3"/>
  <c r="CE217" i="3"/>
  <c r="CD216" i="3"/>
  <c r="CE216" i="3" s="1"/>
  <c r="A180" i="3"/>
  <c r="A181" i="3" s="1"/>
  <c r="A183" i="3" s="1"/>
  <c r="CM301" i="3"/>
  <c r="CN301" i="3"/>
  <c r="CO301" i="3" s="1"/>
  <c r="CK145" i="3"/>
  <c r="CJ144" i="3"/>
  <c r="CK144" i="3" s="1"/>
  <c r="CO172" i="3"/>
  <c r="CJ439" i="3"/>
  <c r="CK439" i="3" s="1"/>
  <c r="CK441" i="3"/>
  <c r="CE15" i="3"/>
  <c r="CN183" i="3"/>
  <c r="CM183" i="3"/>
  <c r="CJ298" i="3"/>
  <c r="CK299" i="3"/>
  <c r="CN302" i="3"/>
  <c r="CM302" i="3"/>
  <c r="CL299" i="3"/>
  <c r="CI298" i="3"/>
  <c r="CH242" i="3"/>
  <c r="CK158" i="3"/>
  <c r="CJ157" i="3"/>
  <c r="CD14" i="3"/>
  <c r="CE14" i="3" s="1"/>
  <c r="CL158" i="3"/>
  <c r="CG242" i="3"/>
  <c r="CF15" i="3"/>
  <c r="CI157" i="3"/>
  <c r="CH147" i="3"/>
  <c r="CI147" i="3" s="1"/>
  <c r="CJ224" i="3"/>
  <c r="CK224" i="3" s="1"/>
  <c r="CK231" i="3"/>
  <c r="CM146" i="3"/>
  <c r="CN146" i="3"/>
  <c r="CL145" i="3"/>
  <c r="CO24" i="4" l="1"/>
  <c r="CP24" i="4" s="1"/>
  <c r="CM88" i="4"/>
  <c r="CN88" i="4" s="1"/>
  <c r="CK24" i="4"/>
  <c r="CL24" i="4" s="1"/>
  <c r="CM23" i="4"/>
  <c r="CN23" i="4" s="1"/>
  <c r="CO25" i="4"/>
  <c r="CP25" i="4" s="1"/>
  <c r="CI89" i="4"/>
  <c r="CJ89" i="4" s="1"/>
  <c r="CM14" i="4"/>
  <c r="CN14" i="4" s="1"/>
  <c r="CO14" i="4" s="1"/>
  <c r="CR71" i="4"/>
  <c r="CQ30" i="4"/>
  <c r="CP30" i="4"/>
  <c r="CO15" i="4"/>
  <c r="CP15" i="4" s="1"/>
  <c r="A184" i="3"/>
  <c r="A185" i="3" s="1"/>
  <c r="A186" i="3" s="1"/>
  <c r="CI219" i="3"/>
  <c r="CH217" i="3"/>
  <c r="CK220" i="3"/>
  <c r="CL220" i="3"/>
  <c r="CJ219" i="3"/>
  <c r="CG217" i="3"/>
  <c r="CF216" i="3"/>
  <c r="CG216" i="3" s="1"/>
  <c r="CF14" i="3"/>
  <c r="CG14" i="3" s="1"/>
  <c r="CH14" i="3" s="1"/>
  <c r="CI14" i="3" s="1"/>
  <c r="CJ14" i="3" s="1"/>
  <c r="CO183" i="3"/>
  <c r="CG15" i="3"/>
  <c r="CK157" i="3"/>
  <c r="CJ147" i="3"/>
  <c r="CK147" i="3" s="1"/>
  <c r="CO146" i="3"/>
  <c r="CN145" i="3"/>
  <c r="CO302" i="3"/>
  <c r="CN299" i="3"/>
  <c r="CK298" i="3"/>
  <c r="CJ242" i="3"/>
  <c r="CM299" i="3"/>
  <c r="CL298" i="3"/>
  <c r="CI242" i="3"/>
  <c r="CH15" i="3"/>
  <c r="CM145" i="3"/>
  <c r="CL144" i="3"/>
  <c r="CM144" i="3" s="1"/>
  <c r="CM158" i="3"/>
  <c r="CL157" i="3"/>
  <c r="CN158" i="3"/>
  <c r="CO88" i="4" l="1"/>
  <c r="CP88" i="4" s="1"/>
  <c r="CQ24" i="4"/>
  <c r="CR24" i="4" s="1"/>
  <c r="CO23" i="4"/>
  <c r="CP23" i="4" s="1"/>
  <c r="CM24" i="4"/>
  <c r="CN24" i="4" s="1"/>
  <c r="CQ25" i="4"/>
  <c r="CR25" i="4" s="1"/>
  <c r="CK89" i="4"/>
  <c r="CL89" i="4" s="1"/>
  <c r="CP14" i="4"/>
  <c r="CQ14" i="4" s="1"/>
  <c r="CR14" i="4" s="1"/>
  <c r="CR30" i="4"/>
  <c r="CQ15" i="4"/>
  <c r="CR15" i="4" s="1"/>
  <c r="CJ217" i="3"/>
  <c r="CK219" i="3"/>
  <c r="CL219" i="3"/>
  <c r="CN220" i="3"/>
  <c r="CM220" i="3"/>
  <c r="CI217" i="3"/>
  <c r="CH216" i="3"/>
  <c r="CI216" i="3" s="1"/>
  <c r="A187" i="3"/>
  <c r="A190" i="3" s="1"/>
  <c r="CO299" i="3"/>
  <c r="CN298" i="3"/>
  <c r="CM298" i="3"/>
  <c r="CL242" i="3"/>
  <c r="CO145" i="3"/>
  <c r="CN144" i="3"/>
  <c r="CM157" i="3"/>
  <c r="CL147" i="3"/>
  <c r="CM147" i="3" s="1"/>
  <c r="CI15" i="3"/>
  <c r="CN157" i="3"/>
  <c r="CO158" i="3"/>
  <c r="CK242" i="3"/>
  <c r="CJ15" i="3"/>
  <c r="CK14" i="3"/>
  <c r="CL14" i="3" s="1"/>
  <c r="CQ23" i="4" l="1"/>
  <c r="CR23" i="4" s="1"/>
  <c r="CQ88" i="4"/>
  <c r="CR88" i="4" s="1"/>
  <c r="CM89" i="4"/>
  <c r="CN89" i="4" s="1"/>
  <c r="A191" i="3"/>
  <c r="A192" i="3" s="1"/>
  <c r="A193" i="3" s="1"/>
  <c r="CO220" i="3"/>
  <c r="CN219" i="3"/>
  <c r="CL217" i="3"/>
  <c r="CM219" i="3"/>
  <c r="CK217" i="3"/>
  <c r="CJ216" i="3"/>
  <c r="CK216" i="3" s="1"/>
  <c r="CO298" i="3"/>
  <c r="CN242" i="3"/>
  <c r="CK15" i="3"/>
  <c r="CO144" i="3"/>
  <c r="CM242" i="3"/>
  <c r="CL15" i="3"/>
  <c r="CO157" i="3"/>
  <c r="CN147" i="3"/>
  <c r="CM14" i="3"/>
  <c r="CN14" i="3" s="1"/>
  <c r="CO14" i="3" s="1"/>
  <c r="CO89" i="4" l="1"/>
  <c r="CP89" i="4" s="1"/>
  <c r="CM217" i="3"/>
  <c r="CL216" i="3"/>
  <c r="CM216" i="3" s="1"/>
  <c r="CN217" i="3"/>
  <c r="CO219" i="3"/>
  <c r="A194" i="3"/>
  <c r="A195" i="3" s="1"/>
  <c r="A197" i="3" s="1"/>
  <c r="A198" i="3" s="1"/>
  <c r="CO242" i="3"/>
  <c r="CN15" i="3"/>
  <c r="CO147" i="3"/>
  <c r="CM15" i="3"/>
  <c r="CQ89" i="4" l="1"/>
  <c r="CR89" i="4" s="1"/>
  <c r="CO217" i="3"/>
  <c r="CN216" i="3"/>
  <c r="CO216" i="3" s="1"/>
  <c r="CO15" i="3"/>
  <c r="L12" i="2" l="1"/>
  <c r="L14" i="2"/>
  <c r="L15" i="2"/>
  <c r="L16" i="2"/>
  <c r="L18" i="2"/>
  <c r="L19" i="2"/>
  <c r="L20" i="2"/>
  <c r="L21" i="2"/>
  <c r="L22" i="2"/>
  <c r="L23" i="2"/>
  <c r="L24" i="2"/>
  <c r="K12" i="2"/>
  <c r="K14" i="2"/>
  <c r="K15" i="2"/>
  <c r="K16" i="2"/>
  <c r="K18" i="2"/>
  <c r="K19" i="2"/>
  <c r="K20" i="2"/>
  <c r="K21" i="2"/>
  <c r="K22" i="2"/>
  <c r="K23" i="2"/>
  <c r="K24" i="2"/>
  <c r="J11" i="2"/>
  <c r="J10" i="2" s="1"/>
  <c r="J9" i="2" s="1"/>
  <c r="I13" i="2"/>
  <c r="I11" i="2" s="1"/>
  <c r="I10" i="2" s="1"/>
  <c r="I9" i="2" s="1"/>
  <c r="H13" i="2"/>
  <c r="G13" i="2"/>
  <c r="G11" i="2" s="1"/>
  <c r="G10" i="2" s="1"/>
  <c r="G9" i="2" s="1"/>
  <c r="H11" i="2"/>
  <c r="H10" i="2" s="1"/>
  <c r="H9" i="2" s="1"/>
  <c r="E20" i="2"/>
  <c r="E19" i="2" s="1"/>
  <c r="E9" i="2" s="1"/>
  <c r="F22" i="2"/>
  <c r="F20" i="2" s="1"/>
  <c r="F19" i="2" s="1"/>
  <c r="F9" i="2" s="1"/>
  <c r="D9" i="2"/>
  <c r="L9" i="2" s="1"/>
  <c r="C13" i="2"/>
  <c r="K13" i="2" s="1"/>
  <c r="L13" i="2" l="1"/>
  <c r="L11" i="2"/>
  <c r="L10" i="2"/>
  <c r="D17" i="2"/>
  <c r="L17" i="2" s="1"/>
  <c r="C17" i="2"/>
  <c r="K17" i="2" s="1"/>
  <c r="C11" i="2"/>
  <c r="K11" i="2" s="1"/>
  <c r="R24" i="2"/>
  <c r="R23" i="2"/>
  <c r="P23" i="2"/>
  <c r="M23" i="2"/>
  <c r="Q23" i="2"/>
  <c r="R22" i="2"/>
  <c r="P22" i="2"/>
  <c r="M22" i="2"/>
  <c r="Q22" i="2"/>
  <c r="R21" i="2"/>
  <c r="P21" i="2"/>
  <c r="Q21" i="2"/>
  <c r="R20" i="2"/>
  <c r="Q20" i="2"/>
  <c r="P20" i="2"/>
  <c r="R19" i="2"/>
  <c r="Q19" i="2"/>
  <c r="P19" i="2"/>
  <c r="P18" i="2"/>
  <c r="O17" i="2"/>
  <c r="M17" i="2"/>
  <c r="R16" i="2"/>
  <c r="P16" i="2"/>
  <c r="R15" i="2"/>
  <c r="P15" i="2"/>
  <c r="O13" i="2"/>
  <c r="O11" i="2" s="1"/>
  <c r="M13" i="2"/>
  <c r="CI12" i="2"/>
  <c r="M12" i="2"/>
  <c r="CI10" i="2"/>
  <c r="CI9" i="2"/>
  <c r="V7" i="2"/>
  <c r="AC7" i="2"/>
  <c r="AB5" i="2"/>
  <c r="AA5" i="2"/>
  <c r="W5" i="2"/>
  <c r="V5" i="2"/>
  <c r="U5" i="2"/>
  <c r="Z3" i="2"/>
  <c r="Z2" i="2"/>
  <c r="Z19" i="2" s="1"/>
  <c r="X2" i="2"/>
  <c r="J36" i="1"/>
  <c r="H36" i="1"/>
  <c r="J35" i="1"/>
  <c r="H35" i="1"/>
  <c r="J34" i="1"/>
  <c r="H34" i="1"/>
  <c r="E34" i="1"/>
  <c r="D34" i="1"/>
  <c r="I34" i="1" s="1"/>
  <c r="J33" i="1"/>
  <c r="H33" i="1"/>
  <c r="J32" i="1"/>
  <c r="H32" i="1"/>
  <c r="J31" i="1"/>
  <c r="H31" i="1"/>
  <c r="E31" i="1"/>
  <c r="D31" i="1"/>
  <c r="I31" i="1" s="1"/>
  <c r="J30" i="1"/>
  <c r="H30" i="1"/>
  <c r="J29" i="1"/>
  <c r="H29" i="1"/>
  <c r="J28" i="1"/>
  <c r="E28" i="1"/>
  <c r="H28" i="1" s="1"/>
  <c r="J27" i="1"/>
  <c r="E27" i="1"/>
  <c r="H27" i="1" s="1"/>
  <c r="J26" i="1"/>
  <c r="H26" i="1"/>
  <c r="J25" i="1"/>
  <c r="H25" i="1"/>
  <c r="J24" i="1"/>
  <c r="H24" i="1"/>
  <c r="J23" i="1"/>
  <c r="J22" i="1"/>
  <c r="H22" i="1"/>
  <c r="J21" i="1"/>
  <c r="H21" i="1"/>
  <c r="D21" i="1"/>
  <c r="I21" i="1" s="1"/>
  <c r="J20" i="1"/>
  <c r="I20" i="1"/>
  <c r="H20" i="1"/>
  <c r="C10" i="2" l="1"/>
  <c r="M11" i="2"/>
  <c r="M10" i="2" s="1"/>
  <c r="M9" i="2" s="1"/>
  <c r="AA6" i="2"/>
  <c r="AB6" i="2"/>
  <c r="P17" i="2"/>
  <c r="Z5" i="2"/>
  <c r="R11" i="2"/>
  <c r="P11" i="2"/>
  <c r="O10" i="2"/>
  <c r="M21" i="2"/>
  <c r="M20" i="2" s="1"/>
  <c r="AC8" i="2"/>
  <c r="P13" i="2"/>
  <c r="R13" i="2"/>
  <c r="E23" i="1"/>
  <c r="C9" i="2" l="1"/>
  <c r="K9" i="2" s="1"/>
  <c r="K10" i="2"/>
  <c r="Z6" i="2"/>
  <c r="Z8" i="2"/>
  <c r="O9" i="2"/>
  <c r="R10" i="2"/>
  <c r="Q10" i="2"/>
  <c r="P10" i="2"/>
  <c r="H23" i="1"/>
  <c r="E21" i="1"/>
  <c r="E20" i="1" s="1"/>
  <c r="R9" i="2" l="1"/>
  <c r="Q9" i="2"/>
  <c r="P9" i="2"/>
  <c r="G17" i="1"/>
  <c r="G13" i="1"/>
  <c r="G11" i="1" s="1"/>
  <c r="G10" i="1" l="1"/>
  <c r="J19" i="1"/>
  <c r="H19" i="1"/>
  <c r="R22" i="1" s="1"/>
  <c r="H18" i="1"/>
  <c r="E17" i="1"/>
  <c r="C17" i="1"/>
  <c r="H17" i="1" s="1"/>
  <c r="J16" i="1"/>
  <c r="H16" i="1"/>
  <c r="J15" i="1"/>
  <c r="H15" i="1"/>
  <c r="J13" i="1"/>
  <c r="E13" i="1"/>
  <c r="C13" i="1"/>
  <c r="CA12" i="1"/>
  <c r="E12" i="1"/>
  <c r="C12" i="1"/>
  <c r="J11" i="1"/>
  <c r="CA10" i="1"/>
  <c r="J10" i="1"/>
  <c r="CA9" i="1"/>
  <c r="G9" i="1"/>
  <c r="J9" i="1" s="1"/>
  <c r="N7" i="1"/>
  <c r="U7" i="1"/>
  <c r="U22" i="1" s="1"/>
  <c r="T5" i="1"/>
  <c r="S5" i="1"/>
  <c r="O5" i="1"/>
  <c r="N5" i="1"/>
  <c r="M5" i="1"/>
  <c r="R3" i="1"/>
  <c r="R2" i="1"/>
  <c r="R19" i="1" s="1"/>
  <c r="P2" i="1"/>
  <c r="R5" i="1" l="1"/>
  <c r="R8" i="1" s="1"/>
  <c r="T6" i="1"/>
  <c r="C11" i="1"/>
  <c r="C10" i="1" s="1"/>
  <c r="E11" i="1"/>
  <c r="E10" i="1" s="1"/>
  <c r="S6" i="1"/>
  <c r="I19" i="1"/>
  <c r="R23" i="1" s="1"/>
  <c r="H13" i="1"/>
  <c r="H11" i="1" l="1"/>
  <c r="R6" i="1"/>
  <c r="U8" i="1"/>
  <c r="D10" i="1"/>
  <c r="H10" i="1"/>
  <c r="C9" i="1"/>
  <c r="H9" i="1" s="1"/>
  <c r="E9" i="1"/>
  <c r="I10" i="1" l="1"/>
  <c r="D9" i="1"/>
  <c r="I9" i="1" s="1"/>
  <c r="CE64" i="6"/>
  <c r="CK64" i="6"/>
  <c r="CS64" i="6"/>
  <c r="BW64" i="6"/>
  <c r="CO64" i="6"/>
  <c r="CI64" i="6"/>
  <c r="CM64" i="6"/>
  <c r="CQ64" i="6"/>
  <c r="BY64" i="6"/>
  <c r="CA64" i="6"/>
  <c r="CU64" i="6"/>
  <c r="BR64" i="6"/>
  <c r="CC64" i="6"/>
  <c r="CG64" i="6"/>
  <c r="DN15" i="6"/>
  <c r="DN16" i="6"/>
  <c r="A123" i="5"/>
  <c r="A121" i="5"/>
  <c r="A122" i="5"/>
  <c r="A139" i="5"/>
  <c r="A126" i="5"/>
  <c r="A124" i="5"/>
  <c r="A125" i="5"/>
  <c r="A137" i="5"/>
  <c r="A138" i="5"/>
  <c r="A140" i="5"/>
  <c r="A120" i="5"/>
  <c r="A136" i="5"/>
  <c r="A128" i="3"/>
  <c r="A140" i="3"/>
  <c r="A129" i="3"/>
  <c r="A143" i="3"/>
  <c r="A127" i="3"/>
  <c r="A142" i="3"/>
  <c r="A124" i="3"/>
  <c r="A139" i="3"/>
  <c r="A141" i="3"/>
  <c r="A126" i="3"/>
  <c r="A123" i="3"/>
  <c r="A1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SingPC</author>
  </authors>
  <commentList>
    <comment ref="G15" authorId="0" shapeId="0" xr:uid="{00000000-0006-0000-0200-000001000000}">
      <text>
        <r>
          <rPr>
            <b/>
            <sz val="9"/>
            <color indexed="81"/>
            <rFont val="Tahoma"/>
            <family val="2"/>
          </rPr>
          <t>Administrator:chi tra nơ gốc, trả nợ quyế toán, đối úng chơng trinh mục tiêu quốc gia, khởi công mới</t>
        </r>
      </text>
    </comment>
    <comment ref="H32" authorId="1" shapeId="0" xr:uid="{00000000-0006-0000-0200-000002000000}">
      <text>
        <r>
          <rPr>
            <b/>
            <sz val="9"/>
            <color indexed="81"/>
            <rFont val="Tahoma"/>
            <family val="2"/>
          </rPr>
          <t>SingPC:</t>
        </r>
        <r>
          <rPr>
            <sz val="9"/>
            <color indexed="81"/>
            <rFont val="Tahoma"/>
            <family val="2"/>
          </rPr>
          <t xml:space="preserve">
Tăng 85,474 tại QĐ442
</t>
        </r>
      </text>
    </comment>
    <comment ref="G36" authorId="1" shapeId="0" xr:uid="{00000000-0006-0000-0200-000003000000}">
      <text>
        <r>
          <rPr>
            <b/>
            <sz val="9"/>
            <color indexed="81"/>
            <rFont val="Tahoma"/>
            <family val="2"/>
          </rPr>
          <t>SingPC:</t>
        </r>
        <r>
          <rPr>
            <sz val="9"/>
            <color indexed="81"/>
            <rFont val="Tahoma"/>
            <family val="2"/>
          </rPr>
          <t xml:space="preserve">
Giảm 80 tỷ tại QĐ442
</t>
        </r>
      </text>
    </comment>
    <comment ref="H36" authorId="1" shapeId="0" xr:uid="{00000000-0006-0000-0200-000004000000}">
      <text>
        <r>
          <rPr>
            <b/>
            <sz val="9"/>
            <color indexed="81"/>
            <rFont val="Tahoma"/>
            <family val="2"/>
          </rPr>
          <t>SingPC:</t>
        </r>
        <r>
          <rPr>
            <sz val="9"/>
            <color indexed="81"/>
            <rFont val="Tahoma"/>
            <family val="2"/>
          </rPr>
          <t xml:space="preserve">
Giảm 15 tỷ tại QĐ442</t>
        </r>
      </text>
    </comment>
    <comment ref="G37" authorId="1" shapeId="0" xr:uid="{00000000-0006-0000-0200-000005000000}">
      <text>
        <r>
          <rPr>
            <b/>
            <sz val="9"/>
            <color indexed="81"/>
            <rFont val="Tahoma"/>
            <family val="2"/>
          </rPr>
          <t>SingPC:</t>
        </r>
        <r>
          <rPr>
            <sz val="9"/>
            <color indexed="81"/>
            <rFont val="Tahoma"/>
            <family val="2"/>
          </rPr>
          <t xml:space="preserve">
+21,053 tại QĐ442
</t>
        </r>
      </text>
    </comment>
    <comment ref="H37" authorId="1" shapeId="0" xr:uid="{00000000-0006-0000-0200-000006000000}">
      <text>
        <r>
          <rPr>
            <b/>
            <sz val="9"/>
            <color indexed="81"/>
            <rFont val="Tahoma"/>
            <family val="2"/>
          </rPr>
          <t>SingPC:</t>
        </r>
        <r>
          <rPr>
            <sz val="9"/>
            <color indexed="81"/>
            <rFont val="Tahoma"/>
            <family val="2"/>
          </rPr>
          <t xml:space="preserve">
-20 tỷ tại QĐ442</t>
        </r>
      </text>
    </comment>
    <comment ref="G38" authorId="1" shapeId="0" xr:uid="{00000000-0006-0000-0200-000007000000}">
      <text>
        <r>
          <rPr>
            <b/>
            <sz val="9"/>
            <color indexed="81"/>
            <rFont val="Tahoma"/>
            <family val="2"/>
          </rPr>
          <t>SingPC:</t>
        </r>
        <r>
          <rPr>
            <sz val="9"/>
            <color indexed="81"/>
            <rFont val="Tahoma"/>
            <family val="2"/>
          </rPr>
          <t xml:space="preserve">
+27,368 tại QĐ442</t>
        </r>
      </text>
    </comment>
    <comment ref="H38" authorId="1" shapeId="0" xr:uid="{00000000-0006-0000-0200-000008000000}">
      <text>
        <r>
          <rPr>
            <b/>
            <sz val="9"/>
            <color indexed="81"/>
            <rFont val="Tahoma"/>
            <family val="2"/>
          </rPr>
          <t>SingPC:</t>
        </r>
        <r>
          <rPr>
            <sz val="9"/>
            <color indexed="81"/>
            <rFont val="Tahoma"/>
            <family val="2"/>
          </rPr>
          <t xml:space="preserve">
-26 tại QĐ442</t>
        </r>
      </text>
    </comment>
    <comment ref="H40" authorId="1" shapeId="0" xr:uid="{00000000-0006-0000-0200-000009000000}">
      <text>
        <r>
          <rPr>
            <b/>
            <sz val="9"/>
            <color indexed="81"/>
            <rFont val="Tahoma"/>
            <family val="2"/>
          </rPr>
          <t>SingPC:</t>
        </r>
        <r>
          <rPr>
            <sz val="9"/>
            <color indexed="81"/>
            <rFont val="Tahoma"/>
            <family val="2"/>
          </rPr>
          <t xml:space="preserve">
+5 tỷ tại QĐ442</t>
        </r>
      </text>
    </comment>
    <comment ref="G55" authorId="1" shapeId="0" xr:uid="{00000000-0006-0000-0200-00000A000000}">
      <text>
        <r>
          <rPr>
            <b/>
            <sz val="9"/>
            <color indexed="81"/>
            <rFont val="Tahoma"/>
            <family val="2"/>
          </rPr>
          <t>SingPC:</t>
        </r>
        <r>
          <rPr>
            <sz val="9"/>
            <color indexed="81"/>
            <rFont val="Tahoma"/>
            <family val="2"/>
          </rPr>
          <t xml:space="preserve">
+15,789 tại QĐ442</t>
        </r>
      </text>
    </comment>
    <comment ref="H55" authorId="1" shapeId="0" xr:uid="{00000000-0006-0000-0200-00000B000000}">
      <text>
        <r>
          <rPr>
            <b/>
            <sz val="9"/>
            <color indexed="81"/>
            <rFont val="Tahoma"/>
            <family val="2"/>
          </rPr>
          <t>SingPC:</t>
        </r>
        <r>
          <rPr>
            <sz val="9"/>
            <color indexed="81"/>
            <rFont val="Tahoma"/>
            <family val="2"/>
          </rPr>
          <t xml:space="preserve">
-15 tỷ tại QĐ442</t>
        </r>
      </text>
    </comment>
    <comment ref="G57" authorId="1" shapeId="0" xr:uid="{00000000-0006-0000-0200-00000C000000}">
      <text>
        <r>
          <rPr>
            <b/>
            <sz val="9"/>
            <color indexed="81"/>
            <rFont val="Tahoma"/>
            <family val="2"/>
          </rPr>
          <t>SingPC:</t>
        </r>
        <r>
          <rPr>
            <sz val="9"/>
            <color indexed="81"/>
            <rFont val="Tahoma"/>
            <family val="2"/>
          </rPr>
          <t xml:space="preserve">
+10,526 tại QĐ442</t>
        </r>
      </text>
    </comment>
    <comment ref="H57" authorId="1" shapeId="0" xr:uid="{00000000-0006-0000-0200-00000D000000}">
      <text>
        <r>
          <rPr>
            <b/>
            <sz val="9"/>
            <color indexed="81"/>
            <rFont val="Tahoma"/>
            <family val="2"/>
          </rPr>
          <t>SingPC:</t>
        </r>
        <r>
          <rPr>
            <sz val="9"/>
            <color indexed="81"/>
            <rFont val="Tahoma"/>
            <family val="2"/>
          </rPr>
          <t xml:space="preserve">
-10 tỷ tại QĐ442</t>
        </r>
      </text>
    </comment>
    <comment ref="G68" authorId="1" shapeId="0" xr:uid="{00000000-0006-0000-0200-00000E000000}">
      <text>
        <r>
          <rPr>
            <b/>
            <sz val="9"/>
            <color indexed="81"/>
            <rFont val="Tahoma"/>
            <family val="2"/>
          </rPr>
          <t>SingPC:</t>
        </r>
        <r>
          <rPr>
            <sz val="9"/>
            <color indexed="81"/>
            <rFont val="Tahoma"/>
            <family val="2"/>
          </rPr>
          <t xml:space="preserve">
+5,264 tại QĐ442</t>
        </r>
      </text>
    </comment>
    <comment ref="H68" authorId="1" shapeId="0" xr:uid="{00000000-0006-0000-0200-00000F000000}">
      <text>
        <r>
          <rPr>
            <b/>
            <sz val="9"/>
            <color indexed="81"/>
            <rFont val="Tahoma"/>
            <family val="2"/>
          </rPr>
          <t>SingPC:</t>
        </r>
        <r>
          <rPr>
            <sz val="9"/>
            <color indexed="81"/>
            <rFont val="Tahoma"/>
            <family val="2"/>
          </rPr>
          <t xml:space="preserve">
-4,474 tại QĐ442</t>
        </r>
      </text>
    </comment>
    <comment ref="G89" authorId="1" shapeId="0" xr:uid="{00000000-0006-0000-0200-000010000000}">
      <text>
        <r>
          <rPr>
            <b/>
            <sz val="9"/>
            <color indexed="81"/>
            <rFont val="Tahoma"/>
            <family val="2"/>
          </rPr>
          <t>SingPC:</t>
        </r>
        <r>
          <rPr>
            <sz val="9"/>
            <color indexed="81"/>
            <rFont val="Tahoma"/>
            <family val="2"/>
          </rPr>
          <t xml:space="preserve">
+6,350 tại QĐ442</t>
        </r>
      </text>
    </comment>
    <comment ref="H89" authorId="1" shapeId="0" xr:uid="{00000000-0006-0000-0200-000011000000}">
      <text>
        <r>
          <rPr>
            <b/>
            <sz val="9"/>
            <color indexed="81"/>
            <rFont val="Tahoma"/>
            <family val="2"/>
          </rPr>
          <t>SingPC:</t>
        </r>
        <r>
          <rPr>
            <sz val="9"/>
            <color indexed="81"/>
            <rFont val="Tahoma"/>
            <family val="2"/>
          </rPr>
          <t xml:space="preserve">
+13,052 tại QĐ442</t>
        </r>
      </text>
    </comment>
    <comment ref="G92" authorId="1" shapeId="0" xr:uid="{00000000-0006-0000-0200-000012000000}">
      <text>
        <r>
          <rPr>
            <b/>
            <sz val="9"/>
            <color indexed="81"/>
            <rFont val="Tahoma"/>
            <family val="2"/>
          </rPr>
          <t>SingPC:</t>
        </r>
        <r>
          <rPr>
            <sz val="9"/>
            <color indexed="81"/>
            <rFont val="Tahoma"/>
            <family val="2"/>
          </rPr>
          <t xml:space="preserve">
-5 tỷ QĐ442</t>
        </r>
      </text>
    </comment>
    <comment ref="H93" authorId="1" shapeId="0" xr:uid="{00000000-0006-0000-0200-000013000000}">
      <text>
        <r>
          <rPr>
            <b/>
            <sz val="9"/>
            <color indexed="81"/>
            <rFont val="Tahoma"/>
            <family val="2"/>
          </rPr>
          <t>SingPC:</t>
        </r>
        <r>
          <rPr>
            <sz val="9"/>
            <color indexed="81"/>
            <rFont val="Tahoma"/>
            <family val="2"/>
          </rPr>
          <t xml:space="preserve">
-13,052 tỷ tại QĐ442
</t>
        </r>
      </text>
    </comment>
    <comment ref="G94" authorId="1" shapeId="0" xr:uid="{00000000-0006-0000-0200-000014000000}">
      <text>
        <r>
          <rPr>
            <b/>
            <sz val="9"/>
            <color indexed="81"/>
            <rFont val="Tahoma"/>
            <family val="2"/>
          </rPr>
          <t>SingPC:</t>
        </r>
        <r>
          <rPr>
            <sz val="9"/>
            <color indexed="81"/>
            <rFont val="Tahoma"/>
            <family val="2"/>
          </rPr>
          <t xml:space="preserve">
-655 tại QĐ442</t>
        </r>
      </text>
    </comment>
    <comment ref="G95" authorId="1" shapeId="0" xr:uid="{00000000-0006-0000-0200-000015000000}">
      <text>
        <r>
          <rPr>
            <b/>
            <sz val="9"/>
            <color indexed="81"/>
            <rFont val="Tahoma"/>
            <family val="2"/>
          </rPr>
          <t>SingPC:</t>
        </r>
        <r>
          <rPr>
            <sz val="9"/>
            <color indexed="81"/>
            <rFont val="Tahoma"/>
            <family val="2"/>
          </rPr>
          <t xml:space="preserve">
+1,042 tại QĐ442</t>
        </r>
      </text>
    </comment>
    <comment ref="G96" authorId="1" shapeId="0" xr:uid="{00000000-0006-0000-0200-000016000000}">
      <text>
        <r>
          <rPr>
            <b/>
            <sz val="9"/>
            <color indexed="81"/>
            <rFont val="Tahoma"/>
            <family val="2"/>
          </rPr>
          <t>SingPC:</t>
        </r>
        <r>
          <rPr>
            <sz val="9"/>
            <color indexed="81"/>
            <rFont val="Tahoma"/>
            <family val="2"/>
          </rPr>
          <t xml:space="preserve">
+2,105 tại QĐ442</t>
        </r>
      </text>
    </comment>
    <comment ref="G103" authorId="1" shapeId="0" xr:uid="{00000000-0006-0000-0200-000017000000}">
      <text>
        <r>
          <rPr>
            <b/>
            <sz val="9"/>
            <color indexed="81"/>
            <rFont val="Tahoma"/>
            <family val="2"/>
          </rPr>
          <t>SingPC:</t>
        </r>
        <r>
          <rPr>
            <sz val="9"/>
            <color indexed="81"/>
            <rFont val="Tahoma"/>
            <family val="2"/>
          </rPr>
          <t xml:space="preserve">
-1,579 tại QĐ442
</t>
        </r>
      </text>
    </comment>
    <comment ref="G106" authorId="1" shapeId="0" xr:uid="{00000000-0006-0000-0200-000018000000}">
      <text>
        <r>
          <rPr>
            <b/>
            <sz val="9"/>
            <color indexed="81"/>
            <rFont val="Tahoma"/>
            <family val="2"/>
          </rPr>
          <t>SingPC:</t>
        </r>
        <r>
          <rPr>
            <sz val="9"/>
            <color indexed="81"/>
            <rFont val="Tahoma"/>
            <family val="2"/>
          </rPr>
          <t xml:space="preserve">
-4,211 tại QĐ442</t>
        </r>
      </text>
    </comment>
    <comment ref="G108" authorId="1" shapeId="0" xr:uid="{00000000-0006-0000-0200-000019000000}">
      <text>
        <r>
          <rPr>
            <b/>
            <sz val="9"/>
            <color indexed="81"/>
            <rFont val="Tahoma"/>
            <family val="2"/>
          </rPr>
          <t>SingPC:</t>
        </r>
        <r>
          <rPr>
            <sz val="9"/>
            <color indexed="81"/>
            <rFont val="Tahoma"/>
            <family val="2"/>
          </rPr>
          <t xml:space="preserve">
+5,263 tại QĐ442</t>
        </r>
      </text>
    </comment>
    <comment ref="G109" authorId="1" shapeId="0" xr:uid="{00000000-0006-0000-0200-00001A000000}">
      <text>
        <r>
          <rPr>
            <b/>
            <sz val="9"/>
            <color indexed="81"/>
            <rFont val="Tahoma"/>
            <family val="2"/>
          </rPr>
          <t>SingPC:</t>
        </r>
        <r>
          <rPr>
            <sz val="9"/>
            <color indexed="81"/>
            <rFont val="Tahoma"/>
            <family val="2"/>
          </rPr>
          <t xml:space="preserve">
+1,474 tại QĐ442</t>
        </r>
      </text>
    </comment>
    <comment ref="G111" authorId="1" shapeId="0" xr:uid="{00000000-0006-0000-0200-00001B000000}">
      <text>
        <r>
          <rPr>
            <b/>
            <sz val="9"/>
            <color indexed="81"/>
            <rFont val="Tahoma"/>
            <family val="2"/>
          </rPr>
          <t>SingPC:</t>
        </r>
        <r>
          <rPr>
            <sz val="9"/>
            <color indexed="81"/>
            <rFont val="Tahoma"/>
            <family val="2"/>
          </rPr>
          <t xml:space="preserve">
-1,747 tại QĐ442</t>
        </r>
      </text>
    </comment>
    <comment ref="G112" authorId="1" shapeId="0" xr:uid="{00000000-0006-0000-0200-00001C000000}">
      <text>
        <r>
          <rPr>
            <b/>
            <sz val="9"/>
            <color indexed="81"/>
            <rFont val="Tahoma"/>
            <family val="2"/>
          </rPr>
          <t>SingPC:</t>
        </r>
        <r>
          <rPr>
            <sz val="9"/>
            <color indexed="81"/>
            <rFont val="Tahoma"/>
            <family val="2"/>
          </rPr>
          <t xml:space="preserve">
-632 tr đ tại QĐ442</t>
        </r>
      </text>
    </comment>
    <comment ref="G114" authorId="1" shapeId="0" xr:uid="{00000000-0006-0000-0200-00001D000000}">
      <text>
        <r>
          <rPr>
            <b/>
            <sz val="9"/>
            <color indexed="81"/>
            <rFont val="Tahoma"/>
            <family val="2"/>
          </rPr>
          <t>SingPC:</t>
        </r>
        <r>
          <rPr>
            <sz val="9"/>
            <color indexed="81"/>
            <rFont val="Tahoma"/>
            <family val="2"/>
          </rPr>
          <t xml:space="preserve">
-1,263 tại QĐ442
</t>
        </r>
      </text>
    </comment>
    <comment ref="G115" authorId="1" shapeId="0" xr:uid="{00000000-0006-0000-0200-00001E000000}">
      <text>
        <r>
          <rPr>
            <b/>
            <sz val="9"/>
            <color indexed="81"/>
            <rFont val="Tahoma"/>
            <family val="2"/>
          </rPr>
          <t>SingPC:</t>
        </r>
        <r>
          <rPr>
            <sz val="9"/>
            <color indexed="81"/>
            <rFont val="Tahoma"/>
            <family val="2"/>
          </rPr>
          <t xml:space="preserve">
-5 tỷ QĐ442</t>
        </r>
      </text>
    </comment>
    <comment ref="G116" authorId="1" shapeId="0" xr:uid="{00000000-0006-0000-0200-00001F000000}">
      <text>
        <r>
          <rPr>
            <b/>
            <sz val="9"/>
            <color indexed="81"/>
            <rFont val="Tahoma"/>
            <family val="2"/>
          </rPr>
          <t>SingPC:</t>
        </r>
        <r>
          <rPr>
            <sz val="9"/>
            <color indexed="81"/>
            <rFont val="Tahoma"/>
            <family val="2"/>
          </rPr>
          <t xml:space="preserve">
+5,263 tại QĐ442</t>
        </r>
      </text>
    </comment>
    <comment ref="G118" authorId="1" shapeId="0" xr:uid="{00000000-0006-0000-0200-000020000000}">
      <text>
        <r>
          <rPr>
            <b/>
            <sz val="9"/>
            <color indexed="81"/>
            <rFont val="Tahoma"/>
            <family val="2"/>
          </rPr>
          <t>SingPC:</t>
        </r>
        <r>
          <rPr>
            <sz val="9"/>
            <color indexed="81"/>
            <rFont val="Tahoma"/>
            <family val="2"/>
          </rPr>
          <t xml:space="preserve">
-6,157 tại QĐ442</t>
        </r>
      </text>
    </comment>
    <comment ref="G122" authorId="1" shapeId="0" xr:uid="{00000000-0006-0000-0200-000021000000}">
      <text>
        <r>
          <rPr>
            <b/>
            <sz val="9"/>
            <color indexed="81"/>
            <rFont val="Tahoma"/>
            <family val="2"/>
          </rPr>
          <t>SingPC:</t>
        </r>
        <r>
          <rPr>
            <sz val="9"/>
            <color indexed="81"/>
            <rFont val="Tahoma"/>
            <family val="2"/>
          </rPr>
          <t xml:space="preserve">
-3,684 tỷ QĐ442</t>
        </r>
      </text>
    </comment>
    <comment ref="G128" authorId="1" shapeId="0" xr:uid="{00000000-0006-0000-0200-000022000000}">
      <text>
        <r>
          <rPr>
            <b/>
            <sz val="9"/>
            <color indexed="81"/>
            <rFont val="Tahoma"/>
            <family val="2"/>
          </rPr>
          <t>SingPC:</t>
        </r>
        <r>
          <rPr>
            <sz val="9"/>
            <color indexed="81"/>
            <rFont val="Tahoma"/>
            <family val="2"/>
          </rPr>
          <t xml:space="preserve">
+11,579 tại QĐ442</t>
        </r>
      </text>
    </comment>
    <comment ref="H128" authorId="1" shapeId="0" xr:uid="{00000000-0006-0000-0200-000023000000}">
      <text>
        <r>
          <rPr>
            <b/>
            <sz val="9"/>
            <color indexed="81"/>
            <rFont val="Tahoma"/>
            <family val="2"/>
          </rPr>
          <t>SingPC:</t>
        </r>
        <r>
          <rPr>
            <sz val="9"/>
            <color indexed="81"/>
            <rFont val="Tahoma"/>
            <family val="2"/>
          </rPr>
          <t xml:space="preserve">
+5 tỷ tại QĐ442</t>
        </r>
      </text>
    </comment>
    <comment ref="G129" authorId="1" shapeId="0" xr:uid="{00000000-0006-0000-0200-000024000000}">
      <text>
        <r>
          <rPr>
            <b/>
            <sz val="9"/>
            <color indexed="81"/>
            <rFont val="Tahoma"/>
            <family val="2"/>
          </rPr>
          <t>SingPC:</t>
        </r>
        <r>
          <rPr>
            <sz val="9"/>
            <color indexed="81"/>
            <rFont val="Tahoma"/>
            <family val="2"/>
          </rPr>
          <t xml:space="preserve">
-3,421 tỷ tại QĐ442</t>
        </r>
      </text>
    </comment>
    <comment ref="H129" authorId="1" shapeId="0" xr:uid="{00000000-0006-0000-0200-000025000000}">
      <text>
        <r>
          <rPr>
            <b/>
            <sz val="9"/>
            <color indexed="81"/>
            <rFont val="Tahoma"/>
            <family val="2"/>
          </rPr>
          <t>SingPC:</t>
        </r>
        <r>
          <rPr>
            <sz val="9"/>
            <color indexed="81"/>
            <rFont val="Tahoma"/>
            <family val="2"/>
          </rPr>
          <t xml:space="preserve">
-5 tỷ QĐ442</t>
        </r>
      </text>
    </comment>
    <comment ref="H161" authorId="1" shapeId="0" xr:uid="{00000000-0006-0000-0200-000026000000}">
      <text>
        <r>
          <rPr>
            <b/>
            <sz val="9"/>
            <color indexed="81"/>
            <rFont val="Tahoma"/>
            <family val="2"/>
          </rPr>
          <t>SingPC:</t>
        </r>
        <r>
          <rPr>
            <sz val="9"/>
            <color indexed="81"/>
            <rFont val="Tahoma"/>
            <family val="2"/>
          </rPr>
          <t xml:space="preserve">
+500 QĐ442</t>
        </r>
      </text>
    </comment>
    <comment ref="H163" authorId="1" shapeId="0" xr:uid="{00000000-0006-0000-0200-000027000000}">
      <text>
        <r>
          <rPr>
            <b/>
            <sz val="9"/>
            <color indexed="81"/>
            <rFont val="Tahoma"/>
            <family val="2"/>
          </rPr>
          <t>SingPC:</t>
        </r>
        <r>
          <rPr>
            <sz val="9"/>
            <color indexed="81"/>
            <rFont val="Tahoma"/>
            <family val="2"/>
          </rPr>
          <t xml:space="preserve">
-800 QĐ442</t>
        </r>
      </text>
    </comment>
    <comment ref="H165" authorId="1" shapeId="0" xr:uid="{00000000-0006-0000-0200-000028000000}">
      <text>
        <r>
          <rPr>
            <b/>
            <sz val="9"/>
            <color indexed="81"/>
            <rFont val="Tahoma"/>
            <family val="2"/>
          </rPr>
          <t>SingPC:</t>
        </r>
        <r>
          <rPr>
            <sz val="9"/>
            <color indexed="81"/>
            <rFont val="Tahoma"/>
            <family val="2"/>
          </rPr>
          <t xml:space="preserve">
+1,250 tại QĐ442</t>
        </r>
      </text>
    </comment>
    <comment ref="H170" authorId="1" shapeId="0" xr:uid="{00000000-0006-0000-0200-000029000000}">
      <text>
        <r>
          <rPr>
            <b/>
            <sz val="9"/>
            <color indexed="81"/>
            <rFont val="Tahoma"/>
            <family val="2"/>
          </rPr>
          <t>SingPC:</t>
        </r>
        <r>
          <rPr>
            <sz val="9"/>
            <color indexed="81"/>
            <rFont val="Tahoma"/>
            <family val="2"/>
          </rPr>
          <t xml:space="preserve">
-5 tỷ QĐ442</t>
        </r>
      </text>
    </comment>
    <comment ref="H171" authorId="1" shapeId="0" xr:uid="{00000000-0006-0000-0200-00002A000000}">
      <text>
        <r>
          <rPr>
            <b/>
            <sz val="9"/>
            <color indexed="81"/>
            <rFont val="Tahoma"/>
            <family val="2"/>
          </rPr>
          <t>SingPC:</t>
        </r>
        <r>
          <rPr>
            <sz val="9"/>
            <color indexed="81"/>
            <rFont val="Tahoma"/>
            <family val="2"/>
          </rPr>
          <t xml:space="preserve">
+4 tỷ QĐ442</t>
        </r>
      </text>
    </comment>
    <comment ref="H172" authorId="1" shapeId="0" xr:uid="{00000000-0006-0000-0200-00002B000000}">
      <text>
        <r>
          <rPr>
            <b/>
            <sz val="9"/>
            <color indexed="81"/>
            <rFont val="Tahoma"/>
            <family val="2"/>
          </rPr>
          <t>SingPC:</t>
        </r>
        <r>
          <rPr>
            <sz val="9"/>
            <color indexed="81"/>
            <rFont val="Tahoma"/>
            <family val="2"/>
          </rPr>
          <t xml:space="preserve">
-500tr tại QĐ442</t>
        </r>
      </text>
    </comment>
    <comment ref="H173" authorId="1" shapeId="0" xr:uid="{00000000-0006-0000-0200-00002C000000}">
      <text>
        <r>
          <rPr>
            <b/>
            <sz val="9"/>
            <color indexed="81"/>
            <rFont val="Tahoma"/>
            <family val="2"/>
          </rPr>
          <t>SingPC:</t>
        </r>
        <r>
          <rPr>
            <sz val="9"/>
            <color indexed="81"/>
            <rFont val="Tahoma"/>
            <family val="2"/>
          </rPr>
          <t xml:space="preserve">
-2,750 tại QĐ442</t>
        </r>
      </text>
    </comment>
    <comment ref="H183" authorId="1" shapeId="0" xr:uid="{00000000-0006-0000-0200-00002D000000}">
      <text>
        <r>
          <rPr>
            <b/>
            <sz val="9"/>
            <color indexed="81"/>
            <rFont val="Tahoma"/>
            <family val="2"/>
          </rPr>
          <t>SingPC:</t>
        </r>
        <r>
          <rPr>
            <sz val="9"/>
            <color indexed="81"/>
            <rFont val="Tahoma"/>
            <family val="2"/>
          </rPr>
          <t xml:space="preserve">
-100tr QĐ442</t>
        </r>
      </text>
    </comment>
    <comment ref="H185" authorId="1" shapeId="0" xr:uid="{00000000-0006-0000-0200-00002E000000}">
      <text>
        <r>
          <rPr>
            <b/>
            <sz val="9"/>
            <color indexed="81"/>
            <rFont val="Tahoma"/>
            <family val="2"/>
          </rPr>
          <t>SingPC:</t>
        </r>
        <r>
          <rPr>
            <sz val="9"/>
            <color indexed="81"/>
            <rFont val="Tahoma"/>
            <family val="2"/>
          </rPr>
          <t xml:space="preserve">
-100tr QĐ442</t>
        </r>
      </text>
    </comment>
    <comment ref="H191" authorId="1" shapeId="0" xr:uid="{00000000-0006-0000-0200-00002F000000}">
      <text>
        <r>
          <rPr>
            <b/>
            <sz val="9"/>
            <color indexed="81"/>
            <rFont val="Tahoma"/>
            <family val="2"/>
          </rPr>
          <t>SingPC:</t>
        </r>
        <r>
          <rPr>
            <sz val="9"/>
            <color indexed="81"/>
            <rFont val="Tahoma"/>
            <family val="2"/>
          </rPr>
          <t xml:space="preserve">
+1,500 tỷ tại QĐ442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SingPC</author>
  </authors>
  <commentList>
    <comment ref="H29" authorId="0" shapeId="0" xr:uid="{00000000-0006-0000-0300-000001000000}">
      <text>
        <r>
          <rPr>
            <b/>
            <sz val="9"/>
            <color indexed="81"/>
            <rFont val="Tahoma"/>
            <family val="2"/>
          </rPr>
          <t>SingPC:</t>
        </r>
        <r>
          <rPr>
            <sz val="9"/>
            <color indexed="81"/>
            <rFont val="Tahoma"/>
            <family val="2"/>
          </rPr>
          <t xml:space="preserve">
Tăng 85,474 tại QĐ442
</t>
        </r>
      </text>
    </comment>
    <comment ref="G33" authorId="0" shapeId="0" xr:uid="{00000000-0006-0000-0300-000002000000}">
      <text>
        <r>
          <rPr>
            <b/>
            <sz val="9"/>
            <color indexed="81"/>
            <rFont val="Tahoma"/>
            <family val="2"/>
          </rPr>
          <t>SingPC:</t>
        </r>
        <r>
          <rPr>
            <sz val="9"/>
            <color indexed="81"/>
            <rFont val="Tahoma"/>
            <family val="2"/>
          </rPr>
          <t xml:space="preserve">
Giảm 80 tỷ tại QĐ442
</t>
        </r>
      </text>
    </comment>
    <comment ref="H33" authorId="0" shapeId="0" xr:uid="{00000000-0006-0000-0300-000003000000}">
      <text>
        <r>
          <rPr>
            <b/>
            <sz val="9"/>
            <color indexed="81"/>
            <rFont val="Tahoma"/>
            <family val="2"/>
          </rPr>
          <t>SingPC:</t>
        </r>
        <r>
          <rPr>
            <sz val="9"/>
            <color indexed="81"/>
            <rFont val="Tahoma"/>
            <family val="2"/>
          </rPr>
          <t xml:space="preserve">
Giảm 15 tỷ tại QĐ442</t>
        </r>
      </text>
    </comment>
    <comment ref="G34" authorId="0" shapeId="0" xr:uid="{00000000-0006-0000-0300-000004000000}">
      <text>
        <r>
          <rPr>
            <b/>
            <sz val="9"/>
            <color indexed="81"/>
            <rFont val="Tahoma"/>
            <family val="2"/>
          </rPr>
          <t>SingPC:</t>
        </r>
        <r>
          <rPr>
            <sz val="9"/>
            <color indexed="81"/>
            <rFont val="Tahoma"/>
            <family val="2"/>
          </rPr>
          <t xml:space="preserve">
+21,053 tại QĐ442
</t>
        </r>
      </text>
    </comment>
    <comment ref="H34" authorId="0" shapeId="0" xr:uid="{00000000-0006-0000-0300-000005000000}">
      <text>
        <r>
          <rPr>
            <b/>
            <sz val="9"/>
            <color indexed="81"/>
            <rFont val="Tahoma"/>
            <family val="2"/>
          </rPr>
          <t>SingPC:</t>
        </r>
        <r>
          <rPr>
            <sz val="9"/>
            <color indexed="81"/>
            <rFont val="Tahoma"/>
            <family val="2"/>
          </rPr>
          <t xml:space="preserve">
-20 tỷ tại QĐ442</t>
        </r>
      </text>
    </comment>
    <comment ref="G35" authorId="0" shapeId="0" xr:uid="{00000000-0006-0000-0300-000006000000}">
      <text>
        <r>
          <rPr>
            <b/>
            <sz val="9"/>
            <color indexed="81"/>
            <rFont val="Tahoma"/>
            <family val="2"/>
          </rPr>
          <t>SingPC:</t>
        </r>
        <r>
          <rPr>
            <sz val="9"/>
            <color indexed="81"/>
            <rFont val="Tahoma"/>
            <family val="2"/>
          </rPr>
          <t xml:space="preserve">
+27,368 tại QĐ442</t>
        </r>
      </text>
    </comment>
    <comment ref="H35" authorId="0" shapeId="0" xr:uid="{00000000-0006-0000-0300-000007000000}">
      <text>
        <r>
          <rPr>
            <b/>
            <sz val="9"/>
            <color indexed="81"/>
            <rFont val="Tahoma"/>
            <family val="2"/>
          </rPr>
          <t>SingPC:</t>
        </r>
        <r>
          <rPr>
            <sz val="9"/>
            <color indexed="81"/>
            <rFont val="Tahoma"/>
            <family val="2"/>
          </rPr>
          <t xml:space="preserve">
-26 tại QĐ442</t>
        </r>
      </text>
    </comment>
    <comment ref="H37" authorId="0" shapeId="0" xr:uid="{00000000-0006-0000-0300-000008000000}">
      <text>
        <r>
          <rPr>
            <b/>
            <sz val="9"/>
            <color indexed="81"/>
            <rFont val="Tahoma"/>
            <family val="2"/>
          </rPr>
          <t>SingPC:</t>
        </r>
        <r>
          <rPr>
            <sz val="9"/>
            <color indexed="81"/>
            <rFont val="Tahoma"/>
            <family val="2"/>
          </rPr>
          <t xml:space="preserve">
+5 tỷ tại QĐ442</t>
        </r>
      </text>
    </comment>
    <comment ref="G52" authorId="0" shapeId="0" xr:uid="{00000000-0006-0000-0300-000009000000}">
      <text>
        <r>
          <rPr>
            <b/>
            <sz val="9"/>
            <color indexed="81"/>
            <rFont val="Tahoma"/>
            <family val="2"/>
          </rPr>
          <t>SingPC:</t>
        </r>
        <r>
          <rPr>
            <sz val="9"/>
            <color indexed="81"/>
            <rFont val="Tahoma"/>
            <family val="2"/>
          </rPr>
          <t xml:space="preserve">
+15,789 tại QĐ442</t>
        </r>
      </text>
    </comment>
    <comment ref="H52" authorId="0" shapeId="0" xr:uid="{00000000-0006-0000-0300-00000A000000}">
      <text>
        <r>
          <rPr>
            <b/>
            <sz val="9"/>
            <color indexed="81"/>
            <rFont val="Tahoma"/>
            <family val="2"/>
          </rPr>
          <t>SingPC:</t>
        </r>
        <r>
          <rPr>
            <sz val="9"/>
            <color indexed="81"/>
            <rFont val="Tahoma"/>
            <family val="2"/>
          </rPr>
          <t xml:space="preserve">
-15 tỷ tại QĐ442</t>
        </r>
      </text>
    </comment>
    <comment ref="G54" authorId="0" shapeId="0" xr:uid="{00000000-0006-0000-0300-00000B000000}">
      <text>
        <r>
          <rPr>
            <b/>
            <sz val="9"/>
            <color indexed="81"/>
            <rFont val="Tahoma"/>
            <family val="2"/>
          </rPr>
          <t>SingPC:</t>
        </r>
        <r>
          <rPr>
            <sz val="9"/>
            <color indexed="81"/>
            <rFont val="Tahoma"/>
            <family val="2"/>
          </rPr>
          <t xml:space="preserve">
+10,526 tại QĐ442</t>
        </r>
      </text>
    </comment>
    <comment ref="H54" authorId="0" shapeId="0" xr:uid="{00000000-0006-0000-0300-00000C000000}">
      <text>
        <r>
          <rPr>
            <b/>
            <sz val="9"/>
            <color indexed="81"/>
            <rFont val="Tahoma"/>
            <family val="2"/>
          </rPr>
          <t>SingPC:</t>
        </r>
        <r>
          <rPr>
            <sz val="9"/>
            <color indexed="81"/>
            <rFont val="Tahoma"/>
            <family val="2"/>
          </rPr>
          <t xml:space="preserve">
-10 tỷ tại QĐ442</t>
        </r>
      </text>
    </comment>
    <comment ref="G65" authorId="0" shapeId="0" xr:uid="{00000000-0006-0000-0300-00000D000000}">
      <text>
        <r>
          <rPr>
            <b/>
            <sz val="9"/>
            <color indexed="81"/>
            <rFont val="Tahoma"/>
            <family val="2"/>
          </rPr>
          <t>SingPC:</t>
        </r>
        <r>
          <rPr>
            <sz val="9"/>
            <color indexed="81"/>
            <rFont val="Tahoma"/>
            <family val="2"/>
          </rPr>
          <t xml:space="preserve">
+5,264 tại QĐ442</t>
        </r>
      </text>
    </comment>
    <comment ref="H65" authorId="0" shapeId="0" xr:uid="{00000000-0006-0000-0300-00000E000000}">
      <text>
        <r>
          <rPr>
            <b/>
            <sz val="9"/>
            <color indexed="81"/>
            <rFont val="Tahoma"/>
            <family val="2"/>
          </rPr>
          <t>SingPC:</t>
        </r>
        <r>
          <rPr>
            <sz val="9"/>
            <color indexed="81"/>
            <rFont val="Tahoma"/>
            <family val="2"/>
          </rPr>
          <t xml:space="preserve">
-4,474 tại QĐ442</t>
        </r>
      </text>
    </comment>
    <comment ref="G86" authorId="0" shapeId="0" xr:uid="{00000000-0006-0000-0300-00000F000000}">
      <text>
        <r>
          <rPr>
            <b/>
            <sz val="9"/>
            <color indexed="81"/>
            <rFont val="Tahoma"/>
            <family val="2"/>
          </rPr>
          <t>SingPC:</t>
        </r>
        <r>
          <rPr>
            <sz val="9"/>
            <color indexed="81"/>
            <rFont val="Tahoma"/>
            <family val="2"/>
          </rPr>
          <t xml:space="preserve">
+6,350 tại QĐ442</t>
        </r>
      </text>
    </comment>
    <comment ref="H86" authorId="0" shapeId="0" xr:uid="{00000000-0006-0000-0300-000010000000}">
      <text>
        <r>
          <rPr>
            <b/>
            <sz val="9"/>
            <color indexed="81"/>
            <rFont val="Tahoma"/>
            <family val="2"/>
          </rPr>
          <t>SingPC:</t>
        </r>
        <r>
          <rPr>
            <sz val="9"/>
            <color indexed="81"/>
            <rFont val="Tahoma"/>
            <family val="2"/>
          </rPr>
          <t xml:space="preserve">
+13,052 tại QĐ442</t>
        </r>
      </text>
    </comment>
    <comment ref="G89" authorId="0" shapeId="0" xr:uid="{00000000-0006-0000-0300-000011000000}">
      <text>
        <r>
          <rPr>
            <b/>
            <sz val="9"/>
            <color indexed="81"/>
            <rFont val="Tahoma"/>
            <family val="2"/>
          </rPr>
          <t>SingPC:</t>
        </r>
        <r>
          <rPr>
            <sz val="9"/>
            <color indexed="81"/>
            <rFont val="Tahoma"/>
            <family val="2"/>
          </rPr>
          <t xml:space="preserve">
-5 tỷ QĐ442</t>
        </r>
      </text>
    </comment>
    <comment ref="H90" authorId="0" shapeId="0" xr:uid="{00000000-0006-0000-0300-000012000000}">
      <text>
        <r>
          <rPr>
            <b/>
            <sz val="9"/>
            <color indexed="81"/>
            <rFont val="Tahoma"/>
            <family val="2"/>
          </rPr>
          <t>SingPC:</t>
        </r>
        <r>
          <rPr>
            <sz val="9"/>
            <color indexed="81"/>
            <rFont val="Tahoma"/>
            <family val="2"/>
          </rPr>
          <t xml:space="preserve">
-13,052 tỷ tại QĐ442
</t>
        </r>
      </text>
    </comment>
    <comment ref="G91" authorId="0" shapeId="0" xr:uid="{00000000-0006-0000-0300-000013000000}">
      <text>
        <r>
          <rPr>
            <b/>
            <sz val="9"/>
            <color indexed="81"/>
            <rFont val="Tahoma"/>
            <family val="2"/>
          </rPr>
          <t>SingPC:</t>
        </r>
        <r>
          <rPr>
            <sz val="9"/>
            <color indexed="81"/>
            <rFont val="Tahoma"/>
            <family val="2"/>
          </rPr>
          <t xml:space="preserve">
-655 tại QĐ442</t>
        </r>
      </text>
    </comment>
    <comment ref="G92" authorId="0" shapeId="0" xr:uid="{00000000-0006-0000-0300-000014000000}">
      <text>
        <r>
          <rPr>
            <b/>
            <sz val="9"/>
            <color indexed="81"/>
            <rFont val="Tahoma"/>
            <family val="2"/>
          </rPr>
          <t>SingPC:</t>
        </r>
        <r>
          <rPr>
            <sz val="9"/>
            <color indexed="81"/>
            <rFont val="Tahoma"/>
            <family val="2"/>
          </rPr>
          <t xml:space="preserve">
+1,042 tại QĐ442</t>
        </r>
      </text>
    </comment>
    <comment ref="G93" authorId="0" shapeId="0" xr:uid="{00000000-0006-0000-0300-000015000000}">
      <text>
        <r>
          <rPr>
            <b/>
            <sz val="9"/>
            <color indexed="81"/>
            <rFont val="Tahoma"/>
            <family val="2"/>
          </rPr>
          <t>SingPC:</t>
        </r>
        <r>
          <rPr>
            <sz val="9"/>
            <color indexed="81"/>
            <rFont val="Tahoma"/>
            <family val="2"/>
          </rPr>
          <t xml:space="preserve">
+2,105 tại QĐ442</t>
        </r>
      </text>
    </comment>
    <comment ref="G100" authorId="0" shapeId="0" xr:uid="{00000000-0006-0000-0300-000016000000}">
      <text>
        <r>
          <rPr>
            <b/>
            <sz val="9"/>
            <color indexed="81"/>
            <rFont val="Tahoma"/>
            <family val="2"/>
          </rPr>
          <t>SingPC:</t>
        </r>
        <r>
          <rPr>
            <sz val="9"/>
            <color indexed="81"/>
            <rFont val="Tahoma"/>
            <family val="2"/>
          </rPr>
          <t xml:space="preserve">
-1,579 tại QĐ442
</t>
        </r>
      </text>
    </comment>
    <comment ref="G103" authorId="0" shapeId="0" xr:uid="{00000000-0006-0000-0300-000017000000}">
      <text>
        <r>
          <rPr>
            <b/>
            <sz val="9"/>
            <color indexed="81"/>
            <rFont val="Tahoma"/>
            <family val="2"/>
          </rPr>
          <t>SingPC:</t>
        </r>
        <r>
          <rPr>
            <sz val="9"/>
            <color indexed="81"/>
            <rFont val="Tahoma"/>
            <family val="2"/>
          </rPr>
          <t xml:space="preserve">
-4,211 tại QĐ442</t>
        </r>
      </text>
    </comment>
    <comment ref="G105" authorId="0" shapeId="0" xr:uid="{00000000-0006-0000-0300-000018000000}">
      <text>
        <r>
          <rPr>
            <b/>
            <sz val="9"/>
            <color indexed="81"/>
            <rFont val="Tahoma"/>
            <family val="2"/>
          </rPr>
          <t>SingPC:</t>
        </r>
        <r>
          <rPr>
            <sz val="9"/>
            <color indexed="81"/>
            <rFont val="Tahoma"/>
            <family val="2"/>
          </rPr>
          <t xml:space="preserve">
+5,263 tại QĐ442</t>
        </r>
      </text>
    </comment>
    <comment ref="G106" authorId="0" shapeId="0" xr:uid="{00000000-0006-0000-0300-000019000000}">
      <text>
        <r>
          <rPr>
            <b/>
            <sz val="9"/>
            <color indexed="81"/>
            <rFont val="Tahoma"/>
            <family val="2"/>
          </rPr>
          <t>SingPC:</t>
        </r>
        <r>
          <rPr>
            <sz val="9"/>
            <color indexed="81"/>
            <rFont val="Tahoma"/>
            <family val="2"/>
          </rPr>
          <t xml:space="preserve">
+1,474 tại QĐ442</t>
        </r>
      </text>
    </comment>
    <comment ref="G108" authorId="0" shapeId="0" xr:uid="{00000000-0006-0000-0300-00001A000000}">
      <text>
        <r>
          <rPr>
            <b/>
            <sz val="9"/>
            <color indexed="81"/>
            <rFont val="Tahoma"/>
            <family val="2"/>
          </rPr>
          <t>SingPC:</t>
        </r>
        <r>
          <rPr>
            <sz val="9"/>
            <color indexed="81"/>
            <rFont val="Tahoma"/>
            <family val="2"/>
          </rPr>
          <t xml:space="preserve">
-1,747 tại QĐ442</t>
        </r>
      </text>
    </comment>
    <comment ref="G109" authorId="0" shapeId="0" xr:uid="{00000000-0006-0000-0300-00001B000000}">
      <text>
        <r>
          <rPr>
            <b/>
            <sz val="9"/>
            <color indexed="81"/>
            <rFont val="Tahoma"/>
            <family val="2"/>
          </rPr>
          <t>SingPC:</t>
        </r>
        <r>
          <rPr>
            <sz val="9"/>
            <color indexed="81"/>
            <rFont val="Tahoma"/>
            <family val="2"/>
          </rPr>
          <t xml:space="preserve">
-632 tr đ tại QĐ442</t>
        </r>
      </text>
    </comment>
    <comment ref="G111" authorId="0" shapeId="0" xr:uid="{00000000-0006-0000-0300-00001C000000}">
      <text>
        <r>
          <rPr>
            <b/>
            <sz val="9"/>
            <color indexed="81"/>
            <rFont val="Tahoma"/>
            <family val="2"/>
          </rPr>
          <t>SingPC:</t>
        </r>
        <r>
          <rPr>
            <sz val="9"/>
            <color indexed="81"/>
            <rFont val="Tahoma"/>
            <family val="2"/>
          </rPr>
          <t xml:space="preserve">
-1,263 tại QĐ442
</t>
        </r>
      </text>
    </comment>
    <comment ref="G112" authorId="0" shapeId="0" xr:uid="{00000000-0006-0000-0300-00001D000000}">
      <text>
        <r>
          <rPr>
            <b/>
            <sz val="9"/>
            <color indexed="81"/>
            <rFont val="Tahoma"/>
            <family val="2"/>
          </rPr>
          <t>SingPC:</t>
        </r>
        <r>
          <rPr>
            <sz val="9"/>
            <color indexed="81"/>
            <rFont val="Tahoma"/>
            <family val="2"/>
          </rPr>
          <t xml:space="preserve">
-5 tỷ QĐ442</t>
        </r>
      </text>
    </comment>
    <comment ref="G113" authorId="0" shapeId="0" xr:uid="{00000000-0006-0000-0300-00001E000000}">
      <text>
        <r>
          <rPr>
            <b/>
            <sz val="9"/>
            <color indexed="81"/>
            <rFont val="Tahoma"/>
            <family val="2"/>
          </rPr>
          <t>SingPC:</t>
        </r>
        <r>
          <rPr>
            <sz val="9"/>
            <color indexed="81"/>
            <rFont val="Tahoma"/>
            <family val="2"/>
          </rPr>
          <t xml:space="preserve">
+5,263 tại QĐ442</t>
        </r>
      </text>
    </comment>
    <comment ref="G115" authorId="0" shapeId="0" xr:uid="{00000000-0006-0000-0300-00001F000000}">
      <text>
        <r>
          <rPr>
            <b/>
            <sz val="9"/>
            <color indexed="81"/>
            <rFont val="Tahoma"/>
            <family val="2"/>
          </rPr>
          <t>SingPC:</t>
        </r>
        <r>
          <rPr>
            <sz val="9"/>
            <color indexed="81"/>
            <rFont val="Tahoma"/>
            <family val="2"/>
          </rPr>
          <t xml:space="preserve">
-6,157 tại QĐ442</t>
        </r>
      </text>
    </comment>
    <comment ref="G119" authorId="0" shapeId="0" xr:uid="{00000000-0006-0000-0300-000020000000}">
      <text>
        <r>
          <rPr>
            <b/>
            <sz val="9"/>
            <color indexed="81"/>
            <rFont val="Tahoma"/>
            <family val="2"/>
          </rPr>
          <t>SingPC:</t>
        </r>
        <r>
          <rPr>
            <sz val="9"/>
            <color indexed="81"/>
            <rFont val="Tahoma"/>
            <family val="2"/>
          </rPr>
          <t xml:space="preserve">
-3,684 tỷ QĐ442</t>
        </r>
      </text>
    </comment>
    <comment ref="G125" authorId="0" shapeId="0" xr:uid="{00000000-0006-0000-0300-000021000000}">
      <text>
        <r>
          <rPr>
            <b/>
            <sz val="9"/>
            <color indexed="81"/>
            <rFont val="Tahoma"/>
            <family val="2"/>
          </rPr>
          <t>SingPC:</t>
        </r>
        <r>
          <rPr>
            <sz val="9"/>
            <color indexed="81"/>
            <rFont val="Tahoma"/>
            <family val="2"/>
          </rPr>
          <t xml:space="preserve">
+11,579 tại QĐ442</t>
        </r>
      </text>
    </comment>
    <comment ref="H125" authorId="0" shapeId="0" xr:uid="{00000000-0006-0000-0300-000022000000}">
      <text>
        <r>
          <rPr>
            <b/>
            <sz val="9"/>
            <color indexed="81"/>
            <rFont val="Tahoma"/>
            <family val="2"/>
          </rPr>
          <t>SingPC:</t>
        </r>
        <r>
          <rPr>
            <sz val="9"/>
            <color indexed="81"/>
            <rFont val="Tahoma"/>
            <family val="2"/>
          </rPr>
          <t xml:space="preserve">
+5 tỷ tại QĐ442</t>
        </r>
      </text>
    </comment>
    <comment ref="G126" authorId="0" shapeId="0" xr:uid="{00000000-0006-0000-0300-000023000000}">
      <text>
        <r>
          <rPr>
            <b/>
            <sz val="9"/>
            <color indexed="81"/>
            <rFont val="Tahoma"/>
            <family val="2"/>
          </rPr>
          <t>SingPC:</t>
        </r>
        <r>
          <rPr>
            <sz val="9"/>
            <color indexed="81"/>
            <rFont val="Tahoma"/>
            <family val="2"/>
          </rPr>
          <t xml:space="preserve">
-3,421 tỷ tại QĐ442</t>
        </r>
      </text>
    </comment>
    <comment ref="H126" authorId="0" shapeId="0" xr:uid="{00000000-0006-0000-0300-000024000000}">
      <text>
        <r>
          <rPr>
            <b/>
            <sz val="9"/>
            <color indexed="81"/>
            <rFont val="Tahoma"/>
            <family val="2"/>
          </rPr>
          <t>SingPC:</t>
        </r>
        <r>
          <rPr>
            <sz val="9"/>
            <color indexed="81"/>
            <rFont val="Tahoma"/>
            <family val="2"/>
          </rPr>
          <t xml:space="preserve">
-5 tỷ QĐ442</t>
        </r>
      </text>
    </comment>
    <comment ref="H158" authorId="0" shapeId="0" xr:uid="{00000000-0006-0000-0300-000025000000}">
      <text>
        <r>
          <rPr>
            <b/>
            <sz val="9"/>
            <color indexed="81"/>
            <rFont val="Tahoma"/>
            <family val="2"/>
          </rPr>
          <t>SingPC:</t>
        </r>
        <r>
          <rPr>
            <sz val="9"/>
            <color indexed="81"/>
            <rFont val="Tahoma"/>
            <family val="2"/>
          </rPr>
          <t xml:space="preserve">
+500 QĐ442</t>
        </r>
      </text>
    </comment>
    <comment ref="H160" authorId="0" shapeId="0" xr:uid="{00000000-0006-0000-0300-000026000000}">
      <text>
        <r>
          <rPr>
            <b/>
            <sz val="9"/>
            <color indexed="81"/>
            <rFont val="Tahoma"/>
            <family val="2"/>
          </rPr>
          <t>SingPC:</t>
        </r>
        <r>
          <rPr>
            <sz val="9"/>
            <color indexed="81"/>
            <rFont val="Tahoma"/>
            <family val="2"/>
          </rPr>
          <t xml:space="preserve">
-800 QĐ442</t>
        </r>
      </text>
    </comment>
    <comment ref="H162" authorId="0" shapeId="0" xr:uid="{00000000-0006-0000-0300-000027000000}">
      <text>
        <r>
          <rPr>
            <b/>
            <sz val="9"/>
            <color indexed="81"/>
            <rFont val="Tahoma"/>
            <family val="2"/>
          </rPr>
          <t>SingPC:</t>
        </r>
        <r>
          <rPr>
            <sz val="9"/>
            <color indexed="81"/>
            <rFont val="Tahoma"/>
            <family val="2"/>
          </rPr>
          <t xml:space="preserve">
+1,250 tại QĐ442</t>
        </r>
      </text>
    </comment>
    <comment ref="H167" authorId="0" shapeId="0" xr:uid="{00000000-0006-0000-0300-000028000000}">
      <text>
        <r>
          <rPr>
            <b/>
            <sz val="9"/>
            <color indexed="81"/>
            <rFont val="Tahoma"/>
            <family val="2"/>
          </rPr>
          <t>SingPC:</t>
        </r>
        <r>
          <rPr>
            <sz val="9"/>
            <color indexed="81"/>
            <rFont val="Tahoma"/>
            <family val="2"/>
          </rPr>
          <t xml:space="preserve">
-5 tỷ QĐ442</t>
        </r>
      </text>
    </comment>
    <comment ref="H168" authorId="0" shapeId="0" xr:uid="{00000000-0006-0000-0300-000029000000}">
      <text>
        <r>
          <rPr>
            <b/>
            <sz val="9"/>
            <color indexed="81"/>
            <rFont val="Tahoma"/>
            <family val="2"/>
          </rPr>
          <t>SingPC:</t>
        </r>
        <r>
          <rPr>
            <sz val="9"/>
            <color indexed="81"/>
            <rFont val="Tahoma"/>
            <family val="2"/>
          </rPr>
          <t xml:space="preserve">
+4 tỷ QĐ442</t>
        </r>
      </text>
    </comment>
    <comment ref="H169" authorId="0" shapeId="0" xr:uid="{00000000-0006-0000-0300-00002A000000}">
      <text>
        <r>
          <rPr>
            <b/>
            <sz val="9"/>
            <color indexed="81"/>
            <rFont val="Tahoma"/>
            <family val="2"/>
          </rPr>
          <t>SingPC:</t>
        </r>
        <r>
          <rPr>
            <sz val="9"/>
            <color indexed="81"/>
            <rFont val="Tahoma"/>
            <family val="2"/>
          </rPr>
          <t xml:space="preserve">
-500tr tại QĐ442</t>
        </r>
      </text>
    </comment>
    <comment ref="H170" authorId="0" shapeId="0" xr:uid="{00000000-0006-0000-0300-00002B000000}">
      <text>
        <r>
          <rPr>
            <b/>
            <sz val="9"/>
            <color indexed="81"/>
            <rFont val="Tahoma"/>
            <family val="2"/>
          </rPr>
          <t>SingPC:</t>
        </r>
        <r>
          <rPr>
            <sz val="9"/>
            <color indexed="81"/>
            <rFont val="Tahoma"/>
            <family val="2"/>
          </rPr>
          <t xml:space="preserve">
-2,750 tại QĐ442</t>
        </r>
      </text>
    </comment>
    <comment ref="H180" authorId="0" shapeId="0" xr:uid="{00000000-0006-0000-0300-00002C000000}">
      <text>
        <r>
          <rPr>
            <b/>
            <sz val="9"/>
            <color indexed="81"/>
            <rFont val="Tahoma"/>
            <family val="2"/>
          </rPr>
          <t>SingPC:</t>
        </r>
        <r>
          <rPr>
            <sz val="9"/>
            <color indexed="81"/>
            <rFont val="Tahoma"/>
            <family val="2"/>
          </rPr>
          <t xml:space="preserve">
-100tr QĐ442</t>
        </r>
      </text>
    </comment>
    <comment ref="H182" authorId="0" shapeId="0" xr:uid="{00000000-0006-0000-0300-00002D000000}">
      <text>
        <r>
          <rPr>
            <b/>
            <sz val="9"/>
            <color indexed="81"/>
            <rFont val="Tahoma"/>
            <family val="2"/>
          </rPr>
          <t>SingPC:</t>
        </r>
        <r>
          <rPr>
            <sz val="9"/>
            <color indexed="81"/>
            <rFont val="Tahoma"/>
            <family val="2"/>
          </rPr>
          <t xml:space="preserve">
-100tr QĐ442</t>
        </r>
      </text>
    </comment>
    <comment ref="H188" authorId="0" shapeId="0" xr:uid="{00000000-0006-0000-0300-00002E000000}">
      <text>
        <r>
          <rPr>
            <b/>
            <sz val="9"/>
            <color indexed="81"/>
            <rFont val="Tahoma"/>
            <family val="2"/>
          </rPr>
          <t>SingPC:</t>
        </r>
        <r>
          <rPr>
            <sz val="9"/>
            <color indexed="81"/>
            <rFont val="Tahoma"/>
            <family val="2"/>
          </rPr>
          <t xml:space="preserve">
+1,500 tỷ tại QĐ442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G14" authorId="0" shapeId="0" xr:uid="{00000000-0006-0000-0400-000001000000}">
      <text>
        <r>
          <rPr>
            <b/>
            <sz val="9"/>
            <color indexed="81"/>
            <rFont val="Tahoma"/>
            <family val="2"/>
          </rPr>
          <t>Administrator:chi tra nơ gốc, trả nợ quyế toán, đối úng chơng trinh mục tiêu quốc gia, khởi công mới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G15" authorId="0" shapeId="0" xr:uid="{00000000-0006-0000-0700-000001000000}">
      <text>
        <r>
          <rPr>
            <b/>
            <sz val="9"/>
            <color indexed="81"/>
            <rFont val="Tahoma"/>
            <family val="2"/>
          </rPr>
          <t>Administrator:chi tra nơ gốc, trả nợ quyế toán, đối úng chơng trinh mục tiêu quốc gia, khởi công mới</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<sst xmlns="http://schemas.openxmlformats.org/spreadsheetml/2006/main" count="2704" uniqueCount="559">
  <si>
    <t>Phụ lục 1 - Tổng hợp</t>
  </si>
  <si>
    <t>Số thông báo</t>
  </si>
  <si>
    <t>Tổng</t>
  </si>
  <si>
    <t>Tỉnh có</t>
  </si>
  <si>
    <t>Xã</t>
  </si>
  <si>
    <t>Số mới</t>
  </si>
  <si>
    <t>TÌNH HÌNH GIẢI NGÂN VỐN ĐẦU TƯ CÔNG NĂM 2026</t>
  </si>
  <si>
    <t>XDCB tập trung</t>
  </si>
  <si>
    <t>(Kèm theo Báo cáo số        /BC-STC ngày      /7/2026 của Sở Tài chính)</t>
  </si>
  <si>
    <t>XSKT</t>
  </si>
  <si>
    <t>Đơn vị: Triệu đồng</t>
  </si>
  <si>
    <t>STT</t>
  </si>
  <si>
    <t>Chương trình/Nhiệm vụ/Dự án</t>
  </si>
  <si>
    <t>Kế hoạch đầu tư công năm 2026 Thủ tướng Chính phủ giao</t>
  </si>
  <si>
    <t xml:space="preserve">Kế hoạch đầu tư công năm 2026 TTCP giao sau khi tiết kiệm 5% </t>
  </si>
  <si>
    <t>Giải ngân đến ngày 31/5/2026</t>
  </si>
  <si>
    <t>Giá trị giải ngân tăng thêm trong tháng 6</t>
  </si>
  <si>
    <t>Ghi chú</t>
  </si>
  <si>
    <t>Giá trị</t>
  </si>
  <si>
    <t>Tỷ  lệ giải ngân so với KH vốn Thủ tướng giao</t>
  </si>
  <si>
    <t>Tỷ  lệ giải ngân so với KH vốn sau khi tiết kiệm 5%</t>
  </si>
  <si>
    <t>nstw</t>
  </si>
  <si>
    <t>1</t>
  </si>
  <si>
    <t>Tổng đtc 2026</t>
  </si>
  <si>
    <t>TỔNG SỐ</t>
  </si>
  <si>
    <t>A</t>
  </si>
  <si>
    <t>NGÂN SÁCH TRUNG ƯƠNG</t>
  </si>
  <si>
    <t>I</t>
  </si>
  <si>
    <t>Vốn trong nước</t>
  </si>
  <si>
    <t>*</t>
  </si>
  <si>
    <t>Vốn thực hiện các Chương trình MTQG</t>
  </si>
  <si>
    <t>**</t>
  </si>
  <si>
    <t>Vốn đầu tư theo ngành, lĩnh vực</t>
  </si>
  <si>
    <t xml:space="preserve">Trong đó: </t>
  </si>
  <si>
    <t>-</t>
  </si>
  <si>
    <t xml:space="preserve">Dự án chuyển tiếp từ giai đoạn 2021-2025 sang giai đoạn 2026-2030 theo ngành, lĩnh vực </t>
  </si>
  <si>
    <t>Đầu tư xây dựng trường liên cấp TH-THCS tại các xã biên giới đất liền</t>
  </si>
  <si>
    <t>II</t>
  </si>
  <si>
    <t>Vốn nước ngoài</t>
  </si>
  <si>
    <t>B</t>
  </si>
  <si>
    <t>NGÂN SÁCH ĐỊA PHƯƠNG</t>
  </si>
  <si>
    <t>Kiểm tra</t>
  </si>
  <si>
    <t>XDCB</t>
  </si>
  <si>
    <t>Giải ngân đến ngày 23/7/2026</t>
  </si>
  <si>
    <t>B.1</t>
  </si>
  <si>
    <t>Vốn trong kế hoạch</t>
  </si>
  <si>
    <t>Nguồn xây dựng cơ bản tập trung</t>
  </si>
  <si>
    <t xml:space="preserve">Vốn phân cấp cho các địa phương </t>
  </si>
  <si>
    <t>Đất</t>
  </si>
  <si>
    <t>2</t>
  </si>
  <si>
    <t xml:space="preserve">Bố trí cho các chương trình, nhiệm vụ, dự án của tỉnh </t>
  </si>
  <si>
    <t>2.1</t>
  </si>
  <si>
    <t>Chi trả nợ gốc (**)</t>
  </si>
  <si>
    <t>2.2</t>
  </si>
  <si>
    <t xml:space="preserve">Bố trí vốn quyết toán dự án hoàn thành </t>
  </si>
  <si>
    <t>2.3</t>
  </si>
  <si>
    <t>Vốn đối ứng thực hiện các chương trình mục tiêu quốc gia</t>
  </si>
  <si>
    <t>2.4</t>
  </si>
  <si>
    <t xml:space="preserve">Bố trí vốn đối ứng ODA </t>
  </si>
  <si>
    <t>2.5</t>
  </si>
  <si>
    <t>Bố trí vốn chuyển tiếp cho các dự án chuyển tiếp từ giai đoạn 2021-2025 sang năm 2026</t>
  </si>
  <si>
    <t>2.6</t>
  </si>
  <si>
    <t>Chuẩn bị đầu tư</t>
  </si>
  <si>
    <t>2.7</t>
  </si>
  <si>
    <t>Khởi công mới năm 2026</t>
  </si>
  <si>
    <t>Nguồn thu sử dụng đất</t>
  </si>
  <si>
    <t>Giao địa phương thu - chi nguồn thu tiền sử dụng đất (*)</t>
  </si>
  <si>
    <t>III</t>
  </si>
  <si>
    <t>Nguồn xổ số kiến thiết</t>
  </si>
  <si>
    <t>B.2</t>
  </si>
  <si>
    <t>Vốn ngoài kế hoạch (vốn từ nguồn tăng thu tiết kiệm chi, vốn dự phòng, vốn xã tự bố trí…)</t>
  </si>
  <si>
    <t>Kế hoạch đầu tư công năm 2026 do HĐND tỉnh giao</t>
  </si>
  <si>
    <t xml:space="preserve">Kế hoạch đầu tư công năm 2026 Thủ tướng Chính phủ giao đầu  năm </t>
  </si>
  <si>
    <t>Điều chỉnh, bổ sung trong năm</t>
  </si>
  <si>
    <t>Điều chỉnh giảm  NSTW (QĐ số 1342/QĐ-TTg ngày 21/7/2026 của TTCP; QĐ số 1948/QĐ-TTg  ngày 30/7/2026 của Chủ tịch UBND tỉnh)</t>
  </si>
  <si>
    <t>Giao bổ sung NSTW thực hiện các trường biên giới (QĐ số 1003/QĐ-TTg ngày 18/6/2026 của TTCP; QĐ số 417/QĐ-UBND ngày 18/6/2026 của UBND tỉnh)</t>
  </si>
  <si>
    <t>Giao NSTW thực hiện Chương trình MTQG phát triển văn hóa (QĐ số 1039/QĐ-TTg ngày 11/6/2026 của TTCP)</t>
  </si>
  <si>
    <t>Giao NSTW thực hiện Chương trình MTQG nông thôn mới (QĐ số 1278/QĐ-TTg ngày 14/7/2026)</t>
  </si>
  <si>
    <t>Kế hoạch đầu tư công năm 2026 do HĐND tỉnh giao sau tiết kiệm 5%</t>
  </si>
  <si>
    <t>Kế hoạch đầu tư công năm 2026 Thủ tướng Chính phủ giao đến hiện tại</t>
  </si>
  <si>
    <t>Hội đồng nhân dân tỉnh giao cao hơn trung ương giao 52.360 triệu đồng</t>
  </si>
  <si>
    <t xml:space="preserve">Kế hoạch đầu tư công năm 2026 Thủ tướng Chính phủ giao đến hiện tại sau khi tiết kiệm 5% </t>
  </si>
  <si>
    <t>Phụ lục 2</t>
  </si>
  <si>
    <t xml:space="preserve">Chi tiết theo từng chủ đầu tư </t>
  </si>
  <si>
    <t>Đơn vị tính: triệu đồng</t>
  </si>
  <si>
    <t>TT</t>
  </si>
  <si>
    <t>Đầu mối giao kế hoạch/Tên dự án</t>
  </si>
  <si>
    <t>MSDA</t>
  </si>
  <si>
    <t>Kế hoạch vốn giao năm 2026</t>
  </si>
  <si>
    <t>Tổng số nhập TABMIS</t>
  </si>
  <si>
    <t>Lũy kế giải ngân đến ngày 28/2/2026</t>
  </si>
  <si>
    <t>Tỷ lệ giải ngân đến ngày 28/2/2026</t>
  </si>
  <si>
    <t>Lũy kế giải ngân đến ngày 31/3/2026</t>
  </si>
  <si>
    <t>Lũy kế giải ngân đến ngày 10/4/2026</t>
  </si>
  <si>
    <t>Lũy kế giải ngân đến ngày 17/4/2026</t>
  </si>
  <si>
    <t>Lũy kế giải ngân đến ngày 22/4/2026</t>
  </si>
  <si>
    <t>Lũy kế giải ngân đến ngày 30/4/2026</t>
  </si>
  <si>
    <t>Lũy kế giải ngân đến ngày 08/5/2026</t>
  </si>
  <si>
    <t>Lũy kế giải ngân đến ngày 18/5/2026</t>
  </si>
  <si>
    <t>Lũy kế giải ngân đến ngày 22/5/2026</t>
  </si>
  <si>
    <t>Lũy kế giải ngân đến ngày 31/5/2026</t>
  </si>
  <si>
    <t>Lũy kế giải ngân đến ngày 05/6/2026</t>
  </si>
  <si>
    <t>Lũy kế giải ngân đến ngày 11/6/2026</t>
  </si>
  <si>
    <t>Lũy kế giải ngân đến ngày 18/6/2026</t>
  </si>
  <si>
    <t>Lũy kế giải ngân đến ngày 25/6/2026</t>
  </si>
  <si>
    <t>Lũy kế giải ngân đến ngày 30/6/2026</t>
  </si>
  <si>
    <t>Lũy kế giải ngân đến ngày 23/7/2026</t>
  </si>
  <si>
    <t>Số vốn giải ngân thêm trong tháng 03/2026</t>
  </si>
  <si>
    <t>KH TIẾN ĐỘ GIẢI NGÂN</t>
  </si>
  <si>
    <t>Kế hoạch tiến độ giải ngân đến ngày 31/03 (KH số 33/KH-UBND)</t>
  </si>
  <si>
    <t>Kế hoạch tiến độ giải ngân đến ngày 30/4 (KH số 33/KH-UBND)</t>
  </si>
  <si>
    <t>Giải ngân tăng thêm từ ngày 18/6 đến 25/6</t>
  </si>
  <si>
    <t>Ghi chú riêng</t>
  </si>
  <si>
    <t>Check số tháng sau &gt; tháng trước</t>
  </si>
  <si>
    <t>Check số nguồn NSĐP &lt; 95%</t>
  </si>
  <si>
    <t>Check thiếu số giải ngân</t>
  </si>
  <si>
    <t>ĐĂNG KÝ</t>
  </si>
  <si>
    <t>Kế hoạch vốn được triển khai (100% NSTW, 95% NSĐP)</t>
  </si>
  <si>
    <t>Tỷ lệ so với kế hoạch được triển khai giải ngân</t>
  </si>
  <si>
    <t>Giải ngân đến ngày 31/01</t>
  </si>
  <si>
    <t>Giải ngân đến ngày 28/02</t>
  </si>
  <si>
    <t>Giải ngân đến ngày 31/5</t>
  </si>
  <si>
    <t>Giải ngân đến ngày 30/6</t>
  </si>
  <si>
    <t>Giải ngân đến ngày 31/7</t>
  </si>
  <si>
    <t>Giải ngân đến ngày 31/8</t>
  </si>
  <si>
    <t>Giải ngân đến ngày 30/9</t>
  </si>
  <si>
    <t>Giải ngân đến ngày 31/10</t>
  </si>
  <si>
    <t>Giải ngân đến ngày 30/11</t>
  </si>
  <si>
    <t>Giải ngân đến ngày 31/12</t>
  </si>
  <si>
    <t>Giải ngân đến ngày 31/01/2027</t>
  </si>
  <si>
    <t>Tổng số</t>
  </si>
  <si>
    <t>Trong đó</t>
  </si>
  <si>
    <t>VLOOKUP KBNN</t>
  </si>
  <si>
    <t>Vốn 
NSTW</t>
  </si>
  <si>
    <t>Vốn 
NSĐP</t>
  </si>
  <si>
    <t>Vốn NSĐP bao gồm:</t>
  </si>
  <si>
    <t>đã gửi</t>
  </si>
  <si>
    <t>Chưa gửi</t>
  </si>
  <si>
    <t>Nguồn thu tiền SDĐ</t>
  </si>
  <si>
    <t>Tiền Đất nhập TAB</t>
  </si>
  <si>
    <t>XSKT nhập TAB</t>
  </si>
  <si>
    <t>Thu từ sắp xếp lại, xử lý nhà, đất thuộc sở hữu NN</t>
  </si>
  <si>
    <t>Tiền nhà nhập TAB</t>
  </si>
  <si>
    <t>Tỷ lệ so với KH (%)</t>
  </si>
  <si>
    <t>Tỷ lệ so với KH sau tiết kiệm 5% NSĐP</t>
  </si>
  <si>
    <t>Tỷ lệ (%)</t>
  </si>
  <si>
    <t>Có gửi văn bản</t>
  </si>
  <si>
    <t>Gửi dự thảo</t>
  </si>
  <si>
    <t>3=4+5</t>
  </si>
  <si>
    <t>5=6+7+8</t>
  </si>
  <si>
    <t>12=11/3</t>
  </si>
  <si>
    <t>PHÂN BỔ CHI TIẾT CHO CÁC DỰ ÁN</t>
  </si>
  <si>
    <t>Sở, ban, ngành tỉnh</t>
  </si>
  <si>
    <t>BQLDA ĐTXD các công trình Giao thông tỉnh</t>
  </si>
  <si>
    <t>Quyết toán dự án hoàn thành</t>
  </si>
  <si>
    <t>Dự án nguồn NSTW</t>
  </si>
  <si>
    <t>Nâng cấp, cải tạo quốc lộ 24B đoạn Km23 - Km29</t>
  </si>
  <si>
    <t>Dự án của tỉnh</t>
  </si>
  <si>
    <t>Thành phần II, đoạn Bình Long - cảng Dung Quất (giai đoạn 2)</t>
  </si>
  <si>
    <t>Kè chống sạt lở kết hợp đường cứu hộ, cứu nạn di dân tái định cư, neo đậu tàu thuyền - đập Cà Ninh hạ lưu sông Trà Bồng phục vụ KKT Dung Quất, huyện Bình Sơn (giai đoạn 1)</t>
  </si>
  <si>
    <t>Tuyến đường giao thông trục chính nối Trung tâm phía Bắc và phía Nam đô thị Vạn Tường</t>
  </si>
  <si>
    <t>Đập dâng hạ lưu sông Trà Khúc</t>
  </si>
  <si>
    <t>Đường nối từ cầu Thạch Bích đến Tịnh Phong</t>
  </si>
  <si>
    <t>Đường ven biển Dung Quất - Sa Huỳnh, giai đoạn IIa, thành phần 1</t>
  </si>
  <si>
    <t xml:space="preserve">Đường ven biển Dung Quất – Sa Huỳnh, giai đoạn IIb
</t>
  </si>
  <si>
    <t>Các tuyến đường trục vào KCN nặng Dung Quất Phía Đông</t>
  </si>
  <si>
    <t>Tuyến đường trục liên cảng Dung Quất 1</t>
  </si>
  <si>
    <t>Đường nối Quốc lộ 1A đến đường Hoàng Sa - Dốc Sỏi (giai đoạn 1)</t>
  </si>
  <si>
    <t>Đường Hoàng Sa - Dốc Sỏi</t>
  </si>
  <si>
    <t>Kè chống sạt lở và tôn tạo cảnh quan bờ Nam sông Trà Khúc (Cầu Trà Khúc 1 - Bến Tam Thương)</t>
  </si>
  <si>
    <t>Nâng cấp, mở rộng hệ thống hạ tầng giao thông trên địa bàn KKT Dung Quất</t>
  </si>
  <si>
    <t>Cầu Trà Khúc 1</t>
  </si>
  <si>
    <t>Đê chắn cát, giảm sóng và Nạo vét thông luồng và Khu neo đậu tránh bão cảng cá Sa Huỳnh</t>
  </si>
  <si>
    <t>Nâng cấp, mở rộng hệ thống tiêu Suối Kinh, chống ngập úng xã Tịnh Thọ và KCN Vsip</t>
  </si>
  <si>
    <t>Sửa chữa, mở rộng kênh tưới hồ chứa nước Tuyền Tung, huyện Bình Sơn</t>
  </si>
  <si>
    <t>Đầu tư xây dựng kè chống sạt lở kết hợp tạo quỹ đất bờ Bắc sông Trà Khúc, đoạn qua xã Tịnh An và xã Tịnh Long, thành phố Quảng Ngãi</t>
  </si>
  <si>
    <t>Đầu tư xây dựng kè chống sạt lở kết hợp tạo quỹ đất bờ Bắc sông Trà Khúc, đoạn qua xã Tịnh Long và xã Tịnh Khê, thành phố Quảng Ngãi</t>
  </si>
  <si>
    <t>8018457</t>
  </si>
  <si>
    <t>Dự án của huyện chuyển về tỉnh</t>
  </si>
  <si>
    <t>Bình Sơn</t>
  </si>
  <si>
    <t>Dự án Đường vành đai Tây Bắc thị trấn Châu Ổ</t>
  </si>
  <si>
    <t>Cầu Thạch An (Bình Minh - Bình Mỹ)</t>
  </si>
  <si>
    <t>Xây dựng cơ sở hạ tầng khu tái định cư Vạn Tường</t>
  </si>
  <si>
    <t>Dự án Đường từ ĐT.621 đi Lê Ngung</t>
  </si>
  <si>
    <t>Nghĩa trang Phố Tinh, xã Bình Phước</t>
  </si>
  <si>
    <t>Trường THCS xã Bình Trung; Hạng mục: Khối phòng học tập, hành chính quản trị, hỗ trợ học tập 3 tầng</t>
  </si>
  <si>
    <t>Xây dựng hệ thống xử lý nước thải tập trung cụm công nghiệp Bình Nguyên</t>
  </si>
  <si>
    <t>Dự án Trồng cây xanh cụm công nghiệp Bình Nguyên</t>
  </si>
  <si>
    <t>Cải tạo, mở rộng chỉnh trang khuôn viên cây xanh Nghĩa trang liệt sỹ huyện và Nhà ghi ơn mẹ Việt Nam Anh Hùng</t>
  </si>
  <si>
    <t>Nhà sinh hoạt cộng đồng kết hợp tránh bão thôn Tây Phước</t>
  </si>
  <si>
    <t>Sơn Tịnh</t>
  </si>
  <si>
    <t>Tuyến N9 Trung tâm huyện lỵ Sơn Tịnh (mới)</t>
  </si>
  <si>
    <t>Nâng cấp, mở rộng tuyến đường Trường Xuân - Quốc lộ 24B - Tịnh Thọ (Bình Hiệp - Tịnh Trà) (ĐH 20)</t>
  </si>
  <si>
    <t>Trung tâm văn hóa (giai đoạn 2)</t>
  </si>
  <si>
    <t>Tuyến đường trục ngang N3 theo đồ án quy hoạch chung đô thị mới Sơn Tịnh</t>
  </si>
  <si>
    <t xml:space="preserve">Tuyến đường huyện ĐH.15 (Bình Hiệp - Tịnh Trà) </t>
  </si>
  <si>
    <t>Tuyến N15 trung tâm huyện lỵ Sơn Tịnh mới</t>
  </si>
  <si>
    <t>Sơn Hà</t>
  </si>
  <si>
    <t>Đường ĐH77 (Di Lăng-Sơn Bao)</t>
  </si>
  <si>
    <t>Đường tránh Tây thị trấn Di Lăng</t>
  </si>
  <si>
    <t>Sơn Tây</t>
  </si>
  <si>
    <t>Kè chống sạt lở TT huyện</t>
  </si>
  <si>
    <t>Cầu Sơn Mùa và đường vào hai đầu cầu</t>
  </si>
  <si>
    <t>Trà Bồng</t>
  </si>
  <si>
    <t>Nhà công vụ Công an huyện</t>
  </si>
  <si>
    <t>Tuyến đường Trà Thanh, huyện Trà Bồng đi Trà Giáp, huyện Bắc Trà My, tỉnh Quảng Nam</t>
  </si>
  <si>
    <t>BQLDA ĐTXD các công trình Dân dụng và Công nghiệp tỉnh</t>
  </si>
  <si>
    <t>Nâng cấp, cải tạo sân vận động tỉnh và đường vành đai xung quanh sân vận động</t>
  </si>
  <si>
    <t>Đầu tư sửa chữa, cải tạo, nâng cấp xây dựng cơ sở vật chất và mua sắm trang thiết bị y tế của ngành Y tế</t>
  </si>
  <si>
    <t>Trường Chính trị tỉnh (giai đoạn 2)</t>
  </si>
  <si>
    <t>Trường THPT Lý Sơn</t>
  </si>
  <si>
    <t>Xây dựng cơ sở hạ tầng khu tái định cư và khu nghĩa địa cải táng mồ mả phục vụ các dự án tại Khu công nghiệp, dịch vụ, đô thị Bình Thanh</t>
  </si>
  <si>
    <t>Hệ thống thu gom, xử lý nước mưa, nước thải thành phố Quảng Ngãi lưu vực phía Nam hạ lưu sông Trà Khúc</t>
  </si>
  <si>
    <t xml:space="preserve">Công viên Cây xanh Thạch Bích </t>
  </si>
  <si>
    <t>Nâng cấp Bệnh viện đa khoa tỉnh (Hạng mục: Khoa Y học nhiệt đới, Khoa Ung Bướu, Khoa Phục hồi chức năng, Khoa thận nhân tạo, Khoa ngoại lẻ, Kho lưu trữ hồ sơ, Kho hành chính)</t>
  </si>
  <si>
    <t>Minh Long</t>
  </si>
  <si>
    <t>Đường và kè chống sạt lở từ xóm mới  đến suối Tía, xã Long Hiệp, huyện Minh Long</t>
  </si>
  <si>
    <t>Kè sạt lở bờ tả sông Phước Giang (Đoạn từ Đập Suối Lớn đến cầu Long Mai)</t>
  </si>
  <si>
    <t>Xây dựng 04 phòng học Trường THCS Long Sơn</t>
  </si>
  <si>
    <t>Đức Phổ</t>
  </si>
  <si>
    <t>Đường Huỳnh Công Thiệu nối dài</t>
  </si>
  <si>
    <t>7937540</t>
  </si>
  <si>
    <t>Hệ thống thoát nước khu vực đô thị (từ cầu Bàu đến sông Rớ)</t>
  </si>
  <si>
    <t>7972547</t>
  </si>
  <si>
    <t>Nâng cấp, mở rộng tuyến đường Mỹ Trang - Phổ Khánh</t>
  </si>
  <si>
    <t>8009129</t>
  </si>
  <si>
    <t>Khắc phục các điểm sạt lở bờ sông Trà Câu đoạn qua phường Phổ Minh, thị xã Đức Phổ</t>
  </si>
  <si>
    <t>8129871</t>
  </si>
  <si>
    <t>Tư Nghĩa</t>
  </si>
  <si>
    <t>Mở rộng CCN La Hà, huyện Tư Nghĩa</t>
  </si>
  <si>
    <t>Sửa chữa, nâng cấp dự án đường Nghĩa Thuận - Nghĩa Thọ - đèo Chim Hút</t>
  </si>
  <si>
    <t>8036966</t>
  </si>
  <si>
    <t>Đường Phan Đình Phùng nối dài (đoạn từ KDC Phú Sơn đến đường dẫn cao tốc)</t>
  </si>
  <si>
    <t>Nâng cấp, sửa chữa hội trường và trụ sở làm việc Huyện uỷ Tư Nghĩa</t>
  </si>
  <si>
    <t>8093685</t>
  </si>
  <si>
    <t>Trường Mầm non thị trấn Sông Vệ</t>
  </si>
  <si>
    <t>Trường mầm non Nghĩa Thắng</t>
  </si>
  <si>
    <t>Đường Trương Quang Giao, huyện Tư Nghĩa</t>
  </si>
  <si>
    <t>Nghĩa Hành</t>
  </si>
  <si>
    <t>Nâng cấp đường huyện ĐH.56C (Hành Minh - Hành Đức - Hành Phước)</t>
  </si>
  <si>
    <t>7926391</t>
  </si>
  <si>
    <t>Hồ chứa nước Suối Đá</t>
  </si>
  <si>
    <t>Đường tránh đông huyện Nghĩa Hành</t>
  </si>
  <si>
    <t>Kè chống sạt lở sông Phước Giang, đoạn qua thị trấn Chợ Chùa</t>
  </si>
  <si>
    <t>Khắc phục sạt lở đoạn bờ Sông Vệ, thôn Phú Lâm Tây, xã Hành Thiện</t>
  </si>
  <si>
    <t>Mộ Đức</t>
  </si>
  <si>
    <t>Tuyến đầu nối các tuyến đường nội thị</t>
  </si>
  <si>
    <t>7696668</t>
  </si>
  <si>
    <t>Tuyến đường Đông Thị trấn (đường nội thị), huyện Mộ Đức</t>
  </si>
  <si>
    <t>7620909</t>
  </si>
  <si>
    <t>Tuyến đường Đức Tân (Quẹo Thừa Xuân) - Quốc lộ 24 (đoạn nội thị)</t>
  </si>
  <si>
    <t>Sửa chữa, nâng cấp tuyến đường Phước An - Phước Mỹ, xã Đức Hòa</t>
  </si>
  <si>
    <t>Kè gia cố thượng lưu Cầu cây da, xã Đức Phú</t>
  </si>
  <si>
    <t>8163570</t>
  </si>
  <si>
    <t>TP Quảng Ngãi</t>
  </si>
  <si>
    <t>Đường Nguyễn Tự Tân (đoạn từ đường Trương Định đến đường Trần Thái Tông)</t>
  </si>
  <si>
    <t>7045509</t>
  </si>
  <si>
    <t>Đường Trần Quý Hai (đoạn từ đường Ngô Sĩ Liên đến đường Hùng Vương)</t>
  </si>
  <si>
    <t>7609993</t>
  </si>
  <si>
    <t>Đường Trương Quang Cận thành phố Quảng Ngãi (đoạn từ đường Lê Đại Hành đến đường Lương Thế Vinh)</t>
  </si>
  <si>
    <t>7469469</t>
  </si>
  <si>
    <t>Đường Nguyễn Cư Trinh và đoạn nối dài từ đường Mạc Đĩnh Chi tới đường Phan Bội Châu</t>
  </si>
  <si>
    <t>7819500</t>
  </si>
  <si>
    <t>Đường Lê Thánh Tôn, thành phố Quảng Ngãi (đoạn từ đường Đinh Tiên Hoàng đến Ngã Tư Ba La)</t>
  </si>
  <si>
    <t>7427966</t>
  </si>
  <si>
    <t xml:space="preserve">Mở rộng nút giao thông ngã 5 cũ, thành phố Quảng Ngãi </t>
  </si>
  <si>
    <t>Đầu tư, nâng cấp các Trường THCS trên địa bàn thành phố</t>
  </si>
  <si>
    <t>Nâng cấp, chỉnh trang các trục đường chính trên địa bàn thành phố (thực hiện đầu tư, cải tạo các hạng mục: Nền mặt đường, vỉa hè, hệ thống thoát nước)</t>
  </si>
  <si>
    <t>7975817</t>
  </si>
  <si>
    <t>Đường Trà Bồng Khởi Nghĩa, thành phố Quảng Ngãi (Đoạn từ đường Cách Mạng Tháng Tám đến đường Quang Trung)</t>
  </si>
  <si>
    <t>8014360</t>
  </si>
  <si>
    <t>Đường Nguyễn Hữu Cảnh</t>
  </si>
  <si>
    <t>7963772</t>
  </si>
  <si>
    <t>Tuyến đường nối từ đường Trần Anh Tông đến KDC 623C Nghĩa Dũng</t>
  </si>
  <si>
    <t>7975816</t>
  </si>
  <si>
    <t>Đầu tư các vườn hoa, cây xanh trên địa bàn thành phố Quảng Ngãi</t>
  </si>
  <si>
    <t>7975823</t>
  </si>
  <si>
    <t>Nâng cấp, chỉnh trang trục đường Phạm Văn Đồng và Quảng trường thành phố</t>
  </si>
  <si>
    <t>7770326</t>
  </si>
  <si>
    <t>Nâng cấp, sửa chữa các tuyến đường BTXM và hệ thống thoát nước trên địa bàn thành phố Quảng Ngãi</t>
  </si>
  <si>
    <t>Đầu tư, nâng cấp các Trường Tiểu học trên địa bàn thành phố</t>
  </si>
  <si>
    <t>Đầu tư, nâng cấp các Trường Mầm non trên địa bàn thành phố</t>
  </si>
  <si>
    <t>Xây dựng Trường TH &amp; THCS Chu Văn An, thành phố Quảng Ngãi</t>
  </si>
  <si>
    <t>Nghĩa Trang nhân dân thành phố Quảng Ngãi</t>
  </si>
  <si>
    <t>Đầu tư, nâng cấp hệ thống điện chiếu sáng công cộng các tuyến đường và thôn hẻm phố trên địa bàn thành phố</t>
  </si>
  <si>
    <t>8025079</t>
  </si>
  <si>
    <t>BQLDA đầu tư Tây Quảng Ngãi</t>
  </si>
  <si>
    <t>Đầu tư xây dựng cải tạo, nâng cấp Tỉnh lộ 676 nối huyện Kon Plông, tỉnh Kon Tum với các huyện Sơn Tây, Sơn Hà, tỉnh Quảng Ngãi</t>
  </si>
  <si>
    <t>Nâng cấp mở rộng Tỉnh lộ 671 đoạn từ Km49+500- Km52 (giao với đường Hồ Chí Minh)</t>
  </si>
  <si>
    <t>Xây dựng cầu và đường hai đầu cầu từ bến du lịch xã Ia Chim, thành phố Kon Tum (Tỉnh lộ 671) đến đường giao thông kết nối với Tỉnh lộ 675A xã Ya Ly huyện Sa Thầy</t>
  </si>
  <si>
    <t>Đường Trường Chinh (đoạn từ đường Phan Đình Phùng đến đường Đào Duy Từ - phạm vi cầu nối qua sông Đăk Bla)</t>
  </si>
  <si>
    <t>Đường dẫn vào cầu số 03 qua sông Đăk Bla gắn với chỉnh trang đô thị</t>
  </si>
  <si>
    <t>Trụ sở làm việc của Ủy ban nhân dân tỉnh, các sở, ban ngành và các hạng mục phụ trợ</t>
  </si>
  <si>
    <t>Đường Trục chính phía Tây thành phố Kon Tum</t>
  </si>
  <si>
    <t>Trường phổ thông nội trú liên cấp tiểu học - trung học cơ sở xã Mô Rai</t>
  </si>
  <si>
    <t>Trường phổ thông nội trú liên cấp tiểu học - trung học cơ sở xã Dục Nông</t>
  </si>
  <si>
    <t>Trường phổ thông nội trú liên cấp tiểu học - trung học cơ sở xã Rờ Kơi</t>
  </si>
  <si>
    <t>Trường phổ thông nội trú liên cấp tiểu học - trung học cơ sở xã Sa Loong</t>
  </si>
  <si>
    <t>Sửa chữa nâng cấp Đập Đăk Cấm, thành phố Kon Tum</t>
  </si>
  <si>
    <t>Ban Quản lý Khu kinh tế Dung Quất và các Khu công nghiệp Quảng Ngãi</t>
  </si>
  <si>
    <t>Chỉnh trang đô thị, tạo quỹ đất để thực hiện quy hoạch Khu công nghiệp Sao Mai</t>
  </si>
  <si>
    <t>Trung tâm phát triển Quỹ đất tỉnh</t>
  </si>
  <si>
    <t>Khu dân cư Yên Phú</t>
  </si>
  <si>
    <t>7243547</t>
  </si>
  <si>
    <t>Khu Tái định cư kết hợp phát triển quỹ đất phục vụ xây dựng hệ thống đê bao nhằm ứng phó với biến đổi khí hậu tại xã Tịnh Kỳ, thành phố Quảng Ngãi</t>
  </si>
  <si>
    <t>Khu dân cư Tịnh Kỳ giai đoạn 2</t>
  </si>
  <si>
    <t>Khu dân cư phía Bắc Đường Huỳnh Thúc Kháng</t>
  </si>
  <si>
    <t>Kè và Khu dân cư nam sông Vệ</t>
  </si>
  <si>
    <t>7628096</t>
  </si>
  <si>
    <t>Khu dân cư phía Nam đường Hai Bà Trưng (giai đoạn 1)</t>
  </si>
  <si>
    <t>Đường Chu Văn An và khu dân cư (đoạn từ đường Ngô Sỹ Liên đến đường Hai Bà Trưng)</t>
  </si>
  <si>
    <t>Khu dân cư phục vụ tái định cư Khu II Đê bao, thành phố Quảng Ngãi</t>
  </si>
  <si>
    <t>Dự án gia hạn thời gian bố trí vốn</t>
  </si>
  <si>
    <t>Khu dân cư phục vụ tái định cư trên địa bàn thành phố Quảng Ngãi - 0,8ha</t>
  </si>
  <si>
    <t>Khu dân cư thôn Tân An, xã Nghĩa An</t>
  </si>
  <si>
    <t>Khu dân cư phân khu OM9, OM10 tại Trung tâm huyện lỵ Sơn Tịnh</t>
  </si>
  <si>
    <t>Khu dân cư Đồng Trước, thôn Thọ Lộc Bắc và thôn Hà Nhai Nam, xã Tịnh Hà</t>
  </si>
  <si>
    <t>Khu dân cư OM6 tại trung tâm huyện lỵ Sơn Tịnh mới (giai đoạn 2)</t>
  </si>
  <si>
    <t>Khu Thương mại - Dịch vụ và dân cư Tịnh Phong</t>
  </si>
  <si>
    <t>Khu tái định cư Vũng Thảo, thôn Thọ Trung, xã Tịnh Thọ (giai đoạn 1)</t>
  </si>
  <si>
    <t>Hạ tầng kỹ thuật Khu dân cư Đồng Miễu tại Trung tâm huyện lỵ huyện Sơn Tịnh mới (giai đoạn 1)</t>
  </si>
  <si>
    <t>Khu dân cư dọc đường Cụm Công nghiệp La Hà - Nghĩa Thương</t>
  </si>
  <si>
    <t>KDC phía Đông đường trục chính phía Tây trung tâm thị trấn Sông Vệ</t>
  </si>
  <si>
    <t>Khu dân cư, công viên, hồ điều hòa và quảng trường huyện Tư Nghĩa</t>
  </si>
  <si>
    <t>KDC phía Tây trụ sở Công an huyện Tư Nghĩa</t>
  </si>
  <si>
    <t>Khu dân cư đường Phạm Hữu Nhật</t>
  </si>
  <si>
    <t>Khu dân cư phía Nam đường Lê Thánh Tôn</t>
  </si>
  <si>
    <t>Xây dựng cơ sở hạ tầng khu tái định cư xã Sơn Bua, huyện Sơn Tây</t>
  </si>
  <si>
    <t>Xây dựng HTKT Khu đất tại vị trí  DC3, DC4 thuộc đồ án quy hoạch chi tiết 1/500 khu dân cư Cà Tu (giai đoạn 1)</t>
  </si>
  <si>
    <t>Khu dân cư Gò Dép</t>
  </si>
  <si>
    <t>Mở rộng tuyến đường nội thị và KDC Nam cầu Vĩnh Phú</t>
  </si>
  <si>
    <t>Khu thương mại dịch vụ và khu dân cư Nam Quán Hồng, xã  Đức Phong</t>
  </si>
  <si>
    <t xml:space="preserve">KDC Đường QL1A-đường Đông thị trấn Mộ Đức (nút N5) </t>
  </si>
  <si>
    <t>Khu dân cư Vườn Quán, xã Đức Thạnh</t>
  </si>
  <si>
    <t>Khu dân cư Vĩnh Thành xã Đức Minh</t>
  </si>
  <si>
    <t>Dự án chuyển tiếp theo tiến độ</t>
  </si>
  <si>
    <t>Khu đô thị - Dịch vụ Mỹ Khê</t>
  </si>
  <si>
    <t>Khu dân cư kết hợp chỉnh trang đô thị tại phường Trương Quang Trọng, thành phố Quảng Ngãi</t>
  </si>
  <si>
    <t>Khu dân cư phía Nam đường Trần Văn Trà</t>
  </si>
  <si>
    <t>Đầu tư hạ tầng tại khu đất quy hoạch xây dựng chợ Thu Lộ, phường Trần Phú</t>
  </si>
  <si>
    <t>Khắc phục hậu quả thiên tai, sạt lở khu dân cư Đăk Dép, xã Sơn Màu, huyện Sơn Tây</t>
  </si>
  <si>
    <t>Khu dân cư và tái định cư thị trấn Mộ Đức</t>
  </si>
  <si>
    <t>Khu dân cư phía Tây chợ Thạch Trụ, xã Đức Lân</t>
  </si>
  <si>
    <t>Bộ Chỉ huy Quân sự tỉnh</t>
  </si>
  <si>
    <t>Khu căn cứ Hậu cần - Kỹ thuật</t>
  </si>
  <si>
    <t>Đường hầm Sở chỉ huy cơ bản huyện Ia H'drai</t>
  </si>
  <si>
    <t>Hải đội Dân quân thường trực (Giai đoạn 2)</t>
  </si>
  <si>
    <t>Đường Hầm Sở chỉ huy cơ bản thị xã Đức phổ</t>
  </si>
  <si>
    <t>Công an tỉnh</t>
  </si>
  <si>
    <t xml:space="preserve">Xây dựng trụ sở làm việc cho Công an xã trên địa bàn tỉnh Quảng Ngãi </t>
  </si>
  <si>
    <t>Sở Xây dựng</t>
  </si>
  <si>
    <t>Đầu tư xây dựng cải tạo, nâng cấp Tỉnh lộ 675 đoạn từ Km0 - Km24</t>
  </si>
  <si>
    <t>Sửa chữa nền, mặt đường, công trình thoát nước, an toàn giao thông đoạn từ Km0 - Km39+500, Tỉnh lộ 673</t>
  </si>
  <si>
    <t>7909744</t>
  </si>
  <si>
    <t>Sở Văn hóa, Thể thao và Du lịch</t>
  </si>
  <si>
    <t>Tôn tạo di tích Quốc gia Khu chứng tích Sơn Mỹ</t>
  </si>
  <si>
    <t>Sở Y tế</t>
  </si>
  <si>
    <t>Nâng cấp bệnh viện Đa khoa tỉnh Kon Tum từ bệnh viện hạng II lên bệnh viện hạng I quy mô 750 giường (giai đoạn 2)</t>
  </si>
  <si>
    <t>Dự án đối ứng ODA</t>
  </si>
  <si>
    <t>Dự án chuyển tiếp</t>
  </si>
  <si>
    <t>Chương trình đầu tư phát triển mạng lưới y tế cơ sở vùng khó khăn tỉnh Kon Tum</t>
  </si>
  <si>
    <t>Sở Nông nghiệp và Môi trường</t>
  </si>
  <si>
    <t>Bảo vệ, khôi phục và phát triển rừng bền vững trên địa bàn tỉnh Kon Tum giai đoạn 2021-2025</t>
  </si>
  <si>
    <t>7910949</t>
  </si>
  <si>
    <t>Nâng cấp, mở rộng khu neo đậu tránh trú bão kết hợp cảng cá Tịnh Hòa, tỉnh Quảng Ngãi</t>
  </si>
  <si>
    <t>Hiện đại hóa thủy lợi thích ứng biến đổi khí hậu tỉnh Kon Tum</t>
  </si>
  <si>
    <t>Dự án chuẩn bị đầu tư</t>
  </si>
  <si>
    <t>Phát triển hạ tầng chuỗi gía trị nông nghiệp thông minh thích ứng với biến đổi khí hậu tỉnh Kon Tum</t>
  </si>
  <si>
    <t>Bảo vệ, phục hồi và phát triển rừng bền vững ở Tây Nguyên - Hợp phần tỉnh Kon Tum</t>
  </si>
  <si>
    <t>Sở Giáo dục và Đào tạo</t>
  </si>
  <si>
    <t>Bổ sung thiết bị cho các trường theo chương trình giáo dục phổ thông năm 2018</t>
  </si>
  <si>
    <t>7919810</t>
  </si>
  <si>
    <t>BQL Vườn quốc gia Chư Mom Ray</t>
  </si>
  <si>
    <t>Nâng cao năng lực trong công tác trồng, quản lý, bảo vệ rừng bền vững gắn với phát triển sinh kế đồng bào dân tộc thiểu số tại Vườn quốc gia Chư Mom Ray tỉnh Kon Tum</t>
  </si>
  <si>
    <t>Các địa phương</t>
  </si>
  <si>
    <t>UBND xã Bình Sơn</t>
  </si>
  <si>
    <t xml:space="preserve">Vốn phân cấp </t>
  </si>
  <si>
    <t>Nguồn thu tiền sử dụng đất giao địa phương tự thu - chi</t>
  </si>
  <si>
    <t>UBND xã Vạn Tường</t>
  </si>
  <si>
    <t>UBND phường Cẩm Thành</t>
  </si>
  <si>
    <t>UBND phường Nghĩa Lộ</t>
  </si>
  <si>
    <t>Hỗ trợ có mục tiêu</t>
  </si>
  <si>
    <t>Xây dựng mới Nhà văn hóa tổ 05, phường Trần Phú</t>
  </si>
  <si>
    <t>UBND phường Trương Quang Trọng</t>
  </si>
  <si>
    <t>Nâng cấp mặt đường và đầu tư hệ thống thoát nước tuyến Võ Nguyên giáp - Khu dân cư Điền Viên, xã Tịnh Ấn Tây (cũ)</t>
  </si>
  <si>
    <t>UBND phường Kon Tum</t>
  </si>
  <si>
    <t>Hệ thống thoát nước, vỉa hè các tuyến đường nội thành, thành phố Kon Tum</t>
  </si>
  <si>
    <t>Dự án đầu tư chỉnh trang đô thị, tạo quỹ đất để thực hiện quy hoạch Tổ hợp khách sạn, trung tâm thương mại, dịch vụ tại phường Thống Nhất, thành phố Kon Tum, tỉnh Kon Tum</t>
  </si>
  <si>
    <t>Cải tạo, nâng cấp đường Hai Bà Trưng (đoạn Trần Hưng Đạo - cầu nhà máy đường), thành phố Kon Tum</t>
  </si>
  <si>
    <t>UBND xã Kon Plông</t>
  </si>
  <si>
    <t>UBND xã Bình Minh</t>
  </si>
  <si>
    <t>UBND xã Bình Chương</t>
  </si>
  <si>
    <t>UBND xã Đông Sơn</t>
  </si>
  <si>
    <t>UBND xã Trà Bồng</t>
  </si>
  <si>
    <t>UBND xã Đông Trà Bồng</t>
  </si>
  <si>
    <t>UBND xã Tây Trà</t>
  </si>
  <si>
    <t>UBND xã Thanh Bồng</t>
  </si>
  <si>
    <t>UBND xã Cà Đam</t>
  </si>
  <si>
    <t>UBND xã Tây Trà Bồng</t>
  </si>
  <si>
    <t>UBND xã An Phú</t>
  </si>
  <si>
    <t>Nâng cấp mặt đường và đầu tư hệ thống thoát nước từ ông Bùi Văn Trà đến trường Tiểu học, xã Nghĩa Dõng</t>
  </si>
  <si>
    <t>Nâng cấp mặt đường và đầu tư hệ thống thoát nước từ nhà ông Lê Văn Thuận đến Ninh Thị Vĩnh kết nối mương đến đường Trần Anh Tông, xã Nghĩa Dõng</t>
  </si>
  <si>
    <t>Nâng cấp trung tâm văn hóa - thể thao xã Nghĩa An</t>
  </si>
  <si>
    <t>UBND xã Tịnh Khê</t>
  </si>
  <si>
    <t>BTXM các tuyến đường giao thông nông thôn và hệ thống thoát nước trên địa bàn xã Tịnh Thiện</t>
  </si>
  <si>
    <t xml:space="preserve"> Nâng cấp mở rộng tuyến đường và hệ thống thoát nước từ Quốc lộ 24 B đến nhà văn hóa rẽ cổng chào  thôn Mỹ Lại, xã Tịnh Khê</t>
  </si>
  <si>
    <t>Sửa chữa, cải tạo Bảng bia di tích Thành cổ Châu Sa</t>
  </si>
  <si>
    <t>Nâng cấp, sửa chữa di tích lịch sử Nhà lưu niệm Trương Quang Giao, xã Tịnh Khê</t>
  </si>
  <si>
    <t>Sửa chữa, nâng cấp Nhà văn hóa các thôn của xã Tịnh Châu</t>
  </si>
  <si>
    <t>UBND xã Trường Giang</t>
  </si>
  <si>
    <t>UBND xã Ba Gia</t>
  </si>
  <si>
    <t>UBND xã Sơn Tịnh</t>
  </si>
  <si>
    <t>UBND xã Thọ Phong</t>
  </si>
  <si>
    <t>UBND xã Tư Nghĩa</t>
  </si>
  <si>
    <t>UBND xã Vệ Giang</t>
  </si>
  <si>
    <t>UBND xã Nghĩa Giang</t>
  </si>
  <si>
    <t>UBND xã Trà Giang</t>
  </si>
  <si>
    <t>UBND xã Nghĩa Hành</t>
  </si>
  <si>
    <t>UBND xã Đình Cương</t>
  </si>
  <si>
    <t>UBND xã Thiện Tín</t>
  </si>
  <si>
    <t>UBND xã Phước Giang</t>
  </si>
  <si>
    <t>UBND xã Minh Long</t>
  </si>
  <si>
    <t>UBND xã Sơn Mai</t>
  </si>
  <si>
    <t>UBND xã Long Phụng</t>
  </si>
  <si>
    <t>Vùng sản xuất nông nghiệp xứ đồng Bờ Sông</t>
  </si>
  <si>
    <t>Vùng sản xuất nông nghiệp Bốn Mẫu và Mẫu Trại</t>
  </si>
  <si>
    <t>UBND xã Mỏ Cày</t>
  </si>
  <si>
    <t>Vùng sản xuất nông nghiệp núi Hoài An, Văn Bân</t>
  </si>
  <si>
    <t>UBND xã Mộ Đức</t>
  </si>
  <si>
    <t>UBND xã Lân Phong</t>
  </si>
  <si>
    <t>UBND phường Trà Câu</t>
  </si>
  <si>
    <t>UBND phường Đức Phổ</t>
  </si>
  <si>
    <t>UBND phường Sa Huỳnh</t>
  </si>
  <si>
    <t>UBND xã Nguyễn Nghiêm</t>
  </si>
  <si>
    <t xml:space="preserve"> UBND xã Khánh Cường</t>
  </si>
  <si>
    <t>UBND xã Ba Vì</t>
  </si>
  <si>
    <t>UBND xã Ba Tô</t>
  </si>
  <si>
    <t>UBND xã Ba Dinh</t>
  </si>
  <si>
    <t>UBND xã Ba Tơ</t>
  </si>
  <si>
    <t>UBND xã Ba Vinh</t>
  </si>
  <si>
    <t>UBND xã Ba Động</t>
  </si>
  <si>
    <t>UBND xã Đặng Thùy Trâm</t>
  </si>
  <si>
    <t>UBND xã Ba Xa</t>
  </si>
  <si>
    <t>UBND xã Sơn Hạ</t>
  </si>
  <si>
    <t>UBND xã Sơn Linh</t>
  </si>
  <si>
    <t>UBND xã Sơn Hà</t>
  </si>
  <si>
    <t>UBND xã Sơn Thủy</t>
  </si>
  <si>
    <t>UBND xã Sơn Kỳ</t>
  </si>
  <si>
    <t>UBND xã Sơn Tây</t>
  </si>
  <si>
    <t>UBND xã Sơn Tây Thượng</t>
  </si>
  <si>
    <t xml:space="preserve"> UBND xã Sơn Tây Hạ</t>
  </si>
  <si>
    <t>UBND đặc khu Lý Sơn</t>
  </si>
  <si>
    <t xml:space="preserve">Hệ thống trữ nước sinh hoạt, kết hợp tưới tiết kiệm nước cho nông nghiệp đảo Lý Sơn </t>
  </si>
  <si>
    <t>UBND xã Măng Đen</t>
  </si>
  <si>
    <t>Nâng cấp, mở rộng đường Trần Hưng Đạo</t>
  </si>
  <si>
    <t>Cải tạo, chỉnh trang hồ Đăk Ke</t>
  </si>
  <si>
    <t>UBND xã Măng Bút</t>
  </si>
  <si>
    <t>UBND xã Đăk Kôi</t>
  </si>
  <si>
    <t>UBND xã Kon Braih</t>
  </si>
  <si>
    <t>UBND xã Đăk Rve</t>
  </si>
  <si>
    <t>UBND phường Đăk Cấm</t>
  </si>
  <si>
    <t>Đường vào Trụ sở làm việc các cơ quan thành phố Kon Tum</t>
  </si>
  <si>
    <t>Đầu tư cơ sở hạ tầng kỹ thuật Cụm công nghiệp -Tiểu thủ công nghiệp phường Ngô Mây và xã Đăk Cấm, thành phố Kon Tum</t>
  </si>
  <si>
    <t>Chỉnh trang đô thị dọc tuyến đường Hồ Chí Minh tại thôn Thanh Trung, phường Ngô Mây, thành phố Kon Tum</t>
  </si>
  <si>
    <t>Đầu tư cơ sở hạ tầng khu tái định cư kết hợp với mở rộng, phát triển khu dân cư phía Bắc phường Duy Tân, thành phố Kon Tum</t>
  </si>
  <si>
    <t>Đầu tư xây dựng trụ sở làm việc các cơ quan thành phố Kon Tum</t>
  </si>
  <si>
    <t>Đường Ngô Thì Nhậm (đoạn Urê - Đinh Công Tráng), phường Duy Tân, thành phố Kon Tum</t>
  </si>
  <si>
    <t>Chỉnh trang đô thị đầu tư hạ tầng Khu đô thị mới phía Bắc Duy Tân, thành phố Kon Tum</t>
  </si>
  <si>
    <t>UBND phường Đăk Bla</t>
  </si>
  <si>
    <t>Mở rộng không gian đô thị phường Nguyễn Trãi, thành phố Kon Tum kết hợp với khai thác quỹ đất.</t>
  </si>
  <si>
    <t>UBND xã Ngọk Bay</t>
  </si>
  <si>
    <t>UBND xã Ia Chim</t>
  </si>
  <si>
    <t>Đường từ thôn Tân An, xã Ia Chim đi xã Hòa Bình, thành phố Kon Tum</t>
  </si>
  <si>
    <t>UBND xã Đăk Rơ Wa</t>
  </si>
  <si>
    <t>Đầu tư chỉnh trang đô thị, tạo quỹ đất để thực hiện quy hoạch Khu du lịch - đô thị sinh thái nghỉ dưỡng kết hợp thể thao tại xã Đăk Rơ Wa, thành phố Kon Tum, tỉnh Kon Tum</t>
  </si>
  <si>
    <t xml:space="preserve">Đầu tư kết cấu hạ tầng tái định cư các công trình trên địa bàn thành phố Kon Tum hết hợp với mở rộng, phát triển khu dân cư </t>
  </si>
  <si>
    <t>UBND xã Sa Thầy</t>
  </si>
  <si>
    <t>Đầu tư kết cấu hạ tầng khu dân cư dọc tuyến đường Điện Biên Phủ và đường Trần Quốc Toản, thị trấn Sa Thầy</t>
  </si>
  <si>
    <t>UBND xã Sa Bình</t>
  </si>
  <si>
    <t>UBND xã Ya Ly</t>
  </si>
  <si>
    <t>UBND xã Rờ Kơi</t>
  </si>
  <si>
    <t>UBND xã Mô Rai</t>
  </si>
  <si>
    <t xml:space="preserve">Đầu tư cơ sở hạ tầng phục vụ giãn dân tại làng Xộp, xã Mô Rai, huyện Sa Thầy </t>
  </si>
  <si>
    <t>UBND xã Ia Tơi</t>
  </si>
  <si>
    <t>Đường từ thôn 1 đi thôn 9 xã Ia Tơi</t>
  </si>
  <si>
    <t>Dự án nguồn NSĐP</t>
  </si>
  <si>
    <t>UBND xã Ia Đal</t>
  </si>
  <si>
    <t>UBND xã Đăk Pxi</t>
  </si>
  <si>
    <t>Đường từ Quốc lộ 40B huyện Tu Mơ Rông đi thôn 8 xã Đăk Pxi, huyện Đăk Hà (Đoạn qua địa phận huyện Đăk Hà)</t>
  </si>
  <si>
    <t>UBND xã Đăk Mar</t>
  </si>
  <si>
    <t>UBND xã Đăk Ui</t>
  </si>
  <si>
    <t>UBND xã Ngọk Réo</t>
  </si>
  <si>
    <t>UBND xã Đăk Hà</t>
  </si>
  <si>
    <t>Di tích lịch sử cách mạng Điểm cao 601</t>
  </si>
  <si>
    <t>UBND xã Ngọk Tụ</t>
  </si>
  <si>
    <t>UBND xã Đăk Tô</t>
  </si>
  <si>
    <t>Kè chống sạt lở sông Đăk Tờ Kan (đoạn cầu 42), huyện Đăk Tô</t>
  </si>
  <si>
    <t>Trường Trung học cơ sở Lương Thế Vinh; Hạng mục: Nhà hiệu bộ và hạng mục phụ trợ</t>
  </si>
  <si>
    <t>UBND xã Kon Đào</t>
  </si>
  <si>
    <t>Nâng cấp, mở rộng đường ĐH51 (đường liên xã Kon Đào - Văn Lem)</t>
  </si>
  <si>
    <t>UBND xã Đăk Sao</t>
  </si>
  <si>
    <t>UBND xã Đăk Tờ Kan</t>
  </si>
  <si>
    <t>UBND xã Tu Mơ Rông</t>
  </si>
  <si>
    <t>Đường từ Quốc lộ 40B huyện Tu Mơ Rông đi thôn 8 xã Đăk Pxi, huyện Đăk Hà (Đoạn qua địa phận huyện Tu Mơ Rông)</t>
  </si>
  <si>
    <t>UBND xã Măng Ri</t>
  </si>
  <si>
    <t>UBND xã Bờ Y</t>
  </si>
  <si>
    <t>UBND xã Sa Loong</t>
  </si>
  <si>
    <t xml:space="preserve"> UBND xã Dục Nông</t>
  </si>
  <si>
    <t>UBND xã Xốp</t>
  </si>
  <si>
    <t>UBND xã Ngọc Linh</t>
  </si>
  <si>
    <t>UBND xã Đăk Plô</t>
  </si>
  <si>
    <t>UBND xã Đăk Pék</t>
  </si>
  <si>
    <t>Cầu 16/5 thị trấn Đăk Glei huyện Đăk Glei</t>
  </si>
  <si>
    <t>Đường từ trung tâm thị trấn ĐăkGlei đến Trung tâm xã Xốp huyện ĐăkGlei</t>
  </si>
  <si>
    <t>UBND xã Đăk Môn</t>
  </si>
  <si>
    <t>UBND xã Đăk Long</t>
  </si>
  <si>
    <t>Kế hoạch vốn giao năm 2026 sau tiết kiệm 5% ngân sách địa phương</t>
  </si>
  <si>
    <t>Kế hoạch vốn ngoài kế hoạch của tỉnh đến hiện tại là 497.828 triệu đồng (vốn từ nguồn tăng thu tiết kiệm chi, vốn dự phòng, vốn xã tự bố trí…)</t>
  </si>
  <si>
    <t>Đánh giá so với tỷ lệ bình quân chung của tỉnh (30,9%)</t>
  </si>
  <si>
    <t>Đánh giá so với tỷ lệ bình quân chung của cả nước (38,5%)</t>
  </si>
  <si>
    <t>Sắp xếp theo thứ tự cao đến thấp</t>
  </si>
  <si>
    <t>Lũy kế giải ngân đến ngày 31/7/2026</t>
  </si>
  <si>
    <t>Đánh giá so với tỷ lệ bình quân chung của cả nước sau tiết kiệm (43,8%)</t>
  </si>
  <si>
    <t>Đánh giá so với tỷ lệ bình quân chung của tỉnh sau tiết kiệm (34,7%)</t>
  </si>
  <si>
    <t>TỔNG SỐ PHÂN BỔ CHI TIẾT CHO CÁC CHỦ ĐẦU TƯ</t>
  </si>
  <si>
    <t>Các chủ đầu tư thuộc Tổ công tác số 1</t>
  </si>
  <si>
    <t>Các chủ đầu tư thuộc Tổ công tác số 2</t>
  </si>
  <si>
    <t>Phụ lục 1</t>
  </si>
  <si>
    <t>(Kèm theo Báo cáo số        /BC-STC ngày    /8/2026 của Sở Tài chính)</t>
  </si>
  <si>
    <t>Lũy kế giải ngân đến ngày 06/8/2026</t>
  </si>
  <si>
    <t>Đánh giá so với tỷ lệ bình quân chung của cả nước (42,7%)</t>
  </si>
  <si>
    <t>Lũy kế giải ngân đến ngày 13/8/2026</t>
  </si>
  <si>
    <t>Giá trị giải ngân tăng thêm từ ngày 07/8-13/8</t>
  </si>
  <si>
    <t>lệnh chi</t>
  </si>
  <si>
    <t>12.8</t>
  </si>
  <si>
    <t>13.8</t>
  </si>
  <si>
    <t>Đánh giá so với tỷ lệ bình quân chung của tỉnh sau tiết kiệm (36,5%)</t>
  </si>
  <si>
    <t>(Kèm theo Báo cáo số        /BC-UBND ngày    /6/2026 của Ủy ban nhân dân tỉnh)</t>
  </si>
  <si>
    <t>NSTW</t>
  </si>
  <si>
    <t>NSĐP</t>
  </si>
  <si>
    <t>Tổng cộng</t>
  </si>
  <si>
    <t>NSĐP cấp xã</t>
  </si>
  <si>
    <t>NSĐP cấp tỉnh</t>
  </si>
  <si>
    <t>Tổng NSNN</t>
  </si>
  <si>
    <t>Đơn vị</t>
  </si>
  <si>
    <t>ĐVT: Triệu đồng</t>
  </si>
  <si>
    <t>TỔNG CỘNG</t>
  </si>
  <si>
    <t>3=4+5+6</t>
  </si>
  <si>
    <t>7=8+9+10</t>
  </si>
  <si>
    <t>Vốn đầu tư</t>
  </si>
  <si>
    <t>Giải ngân đến 16/10/2026</t>
  </si>
  <si>
    <t xml:space="preserve">Kinh phí phân bổ năm 2026 </t>
  </si>
  <si>
    <t>TỔNG HỢP KINH PHÍ CHƯƠNG TRÌNH MTQG XÂY DỰNG NÔNG THÔN MỚI,
GIẢM NGHÈO BỀN VỮNG VÀ PHÁT TRIỂN KTXH VÙNG ĐỒNG BÀO DTTS VÀ MN  NĂM 2026
CỦA TRƯỜNG CAO ĐẲNG KON TUM</t>
  </si>
  <si>
    <t>Quyết định số 2161/QĐ-CĐKT ngày 29/9/2026</t>
  </si>
  <si>
    <t>Dự án đầu tư, cải tạo các công trình phục vụ người học, nhà giáo và mua sắm bổ sung thiết bị đáp ứng mục tiêu xây dựng Trường Cao đẳng Kon Tum trở thành trường cao đẳng chất lượng cao giai đoạn 2026 - 2030</t>
  </si>
  <si>
    <t>1.1</t>
  </si>
  <si>
    <t xml:space="preserve">Nội dung thành phần 04: Phát triển nguồn nhân lực và hỗ trợ tạo việc làm bền vững </t>
  </si>
  <si>
    <t>Nội dung 03: Đầu tư xây mới; đầu tư cải tạo, nâng cấp; đầu tư cơ sở vật chất, trang thiết bị đào tạo cho cơ sở giáo dục nghề nghiệp (gồm: trường cao đẳng, trường trung cấp, trường trung học nghề), trung tâm giáo dục nghề nghiệp, trung tâm giáo dục nghề nghiệp - giáo dục thường xuyên, trung tâm giáo dục thường xuyên tham gia đào tạo nghề theo hướng hiện đại, chuẩn hóa và số hóa để đáp ứng yêu cầu đào tạo nghề tại chỗ, tập trung, ưu tiên hỗ trợ đầu tư trên địa bàn các xã, thôn đặc biệt khó khăn, an toàn khu, biên giới và hải đảo. Phát triển giáo dục nghề nghiệp; đổi mới toàn diện, nâng cao chất lượng và hiệu quả đào tạo nghề cho lao động vùng đồng bào DTTS&amp;MN, lao động nông thôn, lao động nghèo khu vực đô thị. Tăng cường liên kết cơ sở đào tạo với doanh nghiệp, hợp tác xã và thị trường lao động để thúc đẩy việc làm và khởi nghiệp cho lao động nông thôn</t>
  </si>
  <si>
    <t>Quyết định số 2161/QĐ-CĐKT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</si>
</sst>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_(* #,##0_);_(* \(#,##0\);_(* &quot;-&quot;??_);_(@_)"/>
    <numFmt numFmtId="166" formatCode="0.0%"/>
    <numFmt numFmtId="167" formatCode="#,##0.000"/>
    <numFmt numFmtId="168" formatCode="0.0"/>
    <numFmt numFmtId="169" formatCode="_-* #,##0_-;\-* #,##0_-;_-* &quot;-&quot;??_-;_-@_-"/>
  </numFmts>
  <fonts count="61" x14ac:knownFonts="1">
    <font>
      <sz val="11"/>
      <color theme="1"/>
      <name val="Calibri"/>
      <family val="2"/>
      <scheme val="minor"/>
    </font>
    <font>
      <sz val="11"/>
      <color theme="1"/>
      <name val="Calibri"/>
      <family val="2"/>
      <scheme val="minor"/>
    </font>
    <font>
      <sz val="10"/>
      <name val="Arial"/>
      <family val="2"/>
    </font>
    <font>
      <b/>
      <sz val="16"/>
      <name val="Times New Roman"/>
      <family val="1"/>
    </font>
    <font>
      <b/>
      <sz val="14"/>
      <color indexed="8"/>
      <name val="Times New Roman"/>
      <family val="1"/>
    </font>
    <font>
      <sz val="14"/>
      <color theme="1"/>
      <name val="Times New Roman"/>
      <family val="1"/>
    </font>
    <font>
      <sz val="14"/>
      <color indexed="8"/>
      <name val="Times New Roman"/>
      <family val="1"/>
    </font>
    <font>
      <b/>
      <sz val="16"/>
      <color indexed="8"/>
      <name val="Times New Roman"/>
      <family val="1"/>
    </font>
    <font>
      <i/>
      <sz val="16"/>
      <color indexed="8"/>
      <name val="Times New Roman"/>
      <family val="1"/>
    </font>
    <font>
      <i/>
      <sz val="14"/>
      <color indexed="8"/>
      <name val="Times New Roman"/>
      <family val="1"/>
    </font>
    <font>
      <b/>
      <sz val="13"/>
      <color indexed="8"/>
      <name val="Times New Roman"/>
      <family val="1"/>
    </font>
    <font>
      <sz val="13"/>
      <color indexed="8"/>
      <name val="Times New Roman"/>
      <family val="1"/>
    </font>
    <font>
      <b/>
      <sz val="14"/>
      <color rgb="FF000000"/>
      <name val="Times New Roman"/>
      <family val="1"/>
    </font>
    <font>
      <sz val="11"/>
      <color indexed="8"/>
      <name val="Calibri"/>
      <family val="2"/>
    </font>
    <font>
      <b/>
      <sz val="12"/>
      <color theme="1"/>
      <name val="Times New Roman"/>
      <family val="1"/>
    </font>
    <font>
      <b/>
      <sz val="13"/>
      <name val="Times New Roman"/>
      <family val="1"/>
    </font>
    <font>
      <i/>
      <sz val="13"/>
      <color indexed="8"/>
      <name val="Times New Roman"/>
      <family val="1"/>
    </font>
    <font>
      <sz val="13"/>
      <color theme="1"/>
      <name val="Times New Roman"/>
      <family val="1"/>
    </font>
    <font>
      <b/>
      <sz val="13"/>
      <color theme="1"/>
      <name val="Times New Roman"/>
      <family val="1"/>
    </font>
    <font>
      <b/>
      <sz val="13"/>
      <color rgb="FF000000"/>
      <name val="Times New Roman"/>
      <family val="1"/>
    </font>
    <font>
      <sz val="13"/>
      <name val="Times New Roman"/>
      <family val="1"/>
    </font>
    <font>
      <sz val="12"/>
      <color theme="1"/>
      <name val="Times New Roman"/>
      <family val="1"/>
    </font>
    <font>
      <sz val="13"/>
      <color rgb="FFFF0000"/>
      <name val="Times New Roman"/>
      <family val="1"/>
    </font>
    <font>
      <sz val="13"/>
      <color rgb="FF000000"/>
      <name val="Times New Roman"/>
      <family val="1"/>
    </font>
    <font>
      <b/>
      <sz val="14"/>
      <color theme="1"/>
      <name val="Times New Roman"/>
      <family val="1"/>
    </font>
    <font>
      <sz val="12"/>
      <name val="Calibri"/>
      <family val="2"/>
      <scheme val="minor"/>
    </font>
    <font>
      <b/>
      <sz val="16"/>
      <color theme="1"/>
      <name val="Times New Roman"/>
      <family val="1"/>
    </font>
    <font>
      <i/>
      <sz val="14"/>
      <color theme="1"/>
      <name val="Times New Roman"/>
      <family val="1"/>
    </font>
    <font>
      <i/>
      <sz val="12"/>
      <color theme="1"/>
      <name val="Times New Roman"/>
      <family val="1"/>
    </font>
    <font>
      <i/>
      <sz val="8"/>
      <color theme="1"/>
      <name val="Times New Roman"/>
      <family val="1"/>
    </font>
    <font>
      <b/>
      <sz val="10"/>
      <name val="Times New Roman"/>
      <family val="1"/>
    </font>
    <font>
      <b/>
      <sz val="10"/>
      <color rgb="FFFF0000"/>
      <name val="Times New Roman"/>
      <family val="1"/>
    </font>
    <font>
      <sz val="10"/>
      <name val="Calibri"/>
      <family val="2"/>
      <scheme val="minor"/>
    </font>
    <font>
      <b/>
      <sz val="10"/>
      <color theme="1"/>
      <name val="Times New Roman"/>
      <family val="1"/>
    </font>
    <font>
      <b/>
      <i/>
      <sz val="10"/>
      <name val="Times New Roman"/>
      <family val="1"/>
    </font>
    <font>
      <i/>
      <sz val="10"/>
      <name val="Times New Roman"/>
      <family val="1"/>
    </font>
    <font>
      <sz val="10"/>
      <name val="Times New Roman"/>
      <family val="1"/>
    </font>
    <font>
      <sz val="11"/>
      <name val="Calibri"/>
      <family val="2"/>
      <scheme val="minor"/>
    </font>
    <font>
      <b/>
      <sz val="11"/>
      <name val="Calibri"/>
      <family val="2"/>
      <scheme val="minor"/>
    </font>
    <font>
      <b/>
      <sz val="12"/>
      <name val="Calibri"/>
      <family val="2"/>
      <scheme val="minor"/>
    </font>
    <font>
      <sz val="11"/>
      <color theme="1"/>
      <name val="Calibri"/>
      <family val="2"/>
      <charset val="163"/>
      <scheme val="minor"/>
    </font>
    <font>
      <sz val="12"/>
      <name val="Times New Roman"/>
      <family val="1"/>
    </font>
    <font>
      <i/>
      <sz val="12"/>
      <name val="Calibri"/>
      <family val="2"/>
      <scheme val="minor"/>
    </font>
    <font>
      <i/>
      <sz val="11"/>
      <name val="Calibri"/>
      <family val="2"/>
      <scheme val="minor"/>
    </font>
    <font>
      <i/>
      <sz val="10"/>
      <color rgb="FFFF0000"/>
      <name val="Times New Roman"/>
      <family val="1"/>
    </font>
    <font>
      <b/>
      <i/>
      <sz val="12"/>
      <name val="Calibri"/>
      <family val="2"/>
      <scheme val="minor"/>
    </font>
    <font>
      <i/>
      <sz val="12"/>
      <color rgb="FFFF0000"/>
      <name val="Calibri"/>
      <family val="2"/>
      <scheme val="minor"/>
    </font>
    <font>
      <b/>
      <sz val="9"/>
      <color indexed="81"/>
      <name val="Tahoma"/>
      <family val="2"/>
    </font>
    <font>
      <sz val="9"/>
      <color indexed="81"/>
      <name val="Tahoma"/>
      <family val="2"/>
    </font>
    <font>
      <b/>
      <sz val="12"/>
      <name val="Calibri"/>
      <family val="2"/>
      <charset val="163"/>
      <scheme val="minor"/>
    </font>
    <font>
      <sz val="11"/>
      <color theme="1"/>
      <name val="Times New Roman"/>
      <family val="1"/>
    </font>
    <font>
      <sz val="11"/>
      <name val="Times New Roman"/>
      <family val="1"/>
    </font>
    <font>
      <sz val="10"/>
      <color rgb="FF000000"/>
      <name val="Calibri"/>
      <family val="2"/>
      <scheme val="minor"/>
    </font>
    <font>
      <sz val="12"/>
      <name val="Calibri"/>
      <family val="2"/>
      <charset val="163"/>
      <scheme val="minor"/>
    </font>
    <font>
      <sz val="12"/>
      <name val="Times New Roman"/>
      <family val="1"/>
      <charset val="163"/>
    </font>
    <font>
      <b/>
      <sz val="12"/>
      <name val="Times New Roman"/>
      <family val="1"/>
    </font>
    <font>
      <b/>
      <sz val="11"/>
      <color theme="1"/>
      <name val="Times New Roman"/>
      <family val="1"/>
    </font>
    <font>
      <i/>
      <sz val="11"/>
      <color theme="1"/>
      <name val="Times New Roman"/>
      <family val="1"/>
    </font>
    <font>
      <b/>
      <i/>
      <sz val="11"/>
      <color theme="1"/>
      <name val="Times New Roman"/>
      <family val="1"/>
    </font>
    <font>
      <i/>
      <sz val="11"/>
      <name val="Times New Roman"/>
      <family val="1"/>
    </font>
    <font>
      <b/>
      <sz val="12"/>
      <name val="Times New Roman"/>
      <family val="1"/>
      <charset val="163"/>
    </font>
  </fonts>
  <fills count="10">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bgColor indexed="64"/>
      </patternFill>
    </fill>
    <fill>
      <patternFill patternType="solid">
        <fgColor theme="9"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rgb="FF000000"/>
      </left>
      <right style="thin">
        <color rgb="FF000000"/>
      </right>
      <top style="hair">
        <color rgb="FF000000"/>
      </top>
      <bottom style="hair">
        <color rgb="FF000000"/>
      </bottom>
      <diagonal/>
    </border>
    <border>
      <left style="thin">
        <color indexed="64"/>
      </left>
      <right style="thin">
        <color indexed="64"/>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rgb="FF000000"/>
      </left>
      <right/>
      <top style="hair">
        <color rgb="FF000000"/>
      </top>
      <bottom style="hair">
        <color rgb="FF000000"/>
      </bottom>
      <diagonal/>
    </border>
    <border>
      <left style="thin">
        <color indexed="64"/>
      </left>
      <right style="thin">
        <color indexed="64"/>
      </right>
      <top style="hair">
        <color indexed="64"/>
      </top>
      <bottom style="thin">
        <color indexed="64"/>
      </bottom>
      <diagonal/>
    </border>
    <border>
      <left style="medium">
        <color rgb="FF000000"/>
      </left>
      <right style="medium">
        <color rgb="FF000000"/>
      </right>
      <top style="dotted">
        <color rgb="FF000000"/>
      </top>
      <bottom style="dotted">
        <color rgb="FF000000"/>
      </bottom>
      <diagonal/>
    </border>
    <border>
      <left style="medium">
        <color rgb="FFCCCCCC"/>
      </left>
      <right style="medium">
        <color rgb="FF000000"/>
      </right>
      <top style="dotted">
        <color rgb="FF000000"/>
      </top>
      <bottom style="dotted">
        <color rgb="FF000000"/>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1" fillId="0" borderId="0" applyFont="0" applyFill="0" applyBorder="0" applyAlignment="0" applyProtection="0"/>
    <xf numFmtId="43" fontId="13" fillId="0" borderId="0" applyFont="0" applyFill="0" applyBorder="0" applyAlignment="0" applyProtection="0"/>
    <xf numFmtId="0" fontId="40" fillId="0" borderId="0"/>
    <xf numFmtId="0" fontId="52" fillId="0" borderId="0"/>
  </cellStyleXfs>
  <cellXfs count="509">
    <xf numFmtId="0" fontId="0" fillId="0" borderId="0" xfId="0"/>
    <xf numFmtId="2" fontId="4" fillId="0" borderId="1" xfId="0" applyNumberFormat="1" applyFont="1" applyBorder="1" applyAlignment="1">
      <alignment horizontal="right" vertical="top" wrapText="1"/>
    </xf>
    <xf numFmtId="2" fontId="4" fillId="0" borderId="1" xfId="0" applyNumberFormat="1" applyFont="1" applyBorder="1" applyAlignment="1">
      <alignment horizontal="center" vertical="top" wrapText="1"/>
    </xf>
    <xf numFmtId="0" fontId="5" fillId="0" borderId="0" xfId="0" applyFont="1" applyAlignment="1">
      <alignment vertical="center" wrapText="1" readingOrder="1"/>
    </xf>
    <xf numFmtId="0" fontId="6" fillId="0" borderId="0" xfId="0" applyFont="1" applyAlignment="1">
      <alignment vertical="center" wrapText="1"/>
    </xf>
    <xf numFmtId="2" fontId="4" fillId="0" borderId="1" xfId="0" applyNumberFormat="1" applyFont="1" applyBorder="1" applyAlignment="1">
      <alignment vertical="top" wrapText="1"/>
    </xf>
    <xf numFmtId="165" fontId="6" fillId="0" borderId="1" xfId="4" applyNumberFormat="1" applyFont="1" applyBorder="1" applyAlignment="1">
      <alignment horizontal="center" vertical="top" wrapText="1"/>
    </xf>
    <xf numFmtId="165" fontId="4" fillId="0" borderId="0" xfId="0" applyNumberFormat="1" applyFont="1" applyAlignment="1">
      <alignment vertical="center" wrapText="1"/>
    </xf>
    <xf numFmtId="0" fontId="4" fillId="0" borderId="0" xfId="0" applyFont="1" applyAlignment="1">
      <alignment vertical="center" wrapText="1"/>
    </xf>
    <xf numFmtId="165" fontId="4" fillId="0" borderId="1" xfId="4" applyNumberFormat="1" applyFont="1" applyBorder="1" applyAlignment="1">
      <alignment horizontal="left" vertical="top" wrapText="1"/>
    </xf>
    <xf numFmtId="0" fontId="9" fillId="0" borderId="0" xfId="0" applyFont="1" applyAlignment="1">
      <alignment horizontal="center" vertical="center" wrapText="1"/>
    </xf>
    <xf numFmtId="2" fontId="6" fillId="0" borderId="1" xfId="0" applyNumberFormat="1" applyFont="1" applyBorder="1" applyAlignment="1">
      <alignment vertical="top" wrapText="1"/>
    </xf>
    <xf numFmtId="165" fontId="4" fillId="0" borderId="1" xfId="4" applyNumberFormat="1" applyFont="1" applyBorder="1" applyAlignment="1">
      <alignment horizontal="center" vertical="top" wrapText="1"/>
    </xf>
    <xf numFmtId="165" fontId="6" fillId="0" borderId="0" xfId="1" applyNumberFormat="1" applyFont="1" applyAlignment="1">
      <alignment vertical="center" wrapText="1"/>
    </xf>
    <xf numFmtId="0" fontId="10" fillId="0" borderId="1" xfId="0" applyFont="1" applyBorder="1" applyAlignment="1">
      <alignment horizontal="center" vertical="center" wrapText="1"/>
    </xf>
    <xf numFmtId="0" fontId="11" fillId="0" borderId="0" xfId="0" applyFont="1" applyAlignment="1">
      <alignment horizontal="center" vertical="center" wrapText="1"/>
    </xf>
    <xf numFmtId="165" fontId="11" fillId="0" borderId="0" xfId="0" applyNumberFormat="1" applyFont="1" applyAlignment="1">
      <alignment horizontal="center" vertical="center" wrapText="1"/>
    </xf>
    <xf numFmtId="165" fontId="11" fillId="0" borderId="0" xfId="1" applyNumberFormat="1" applyFont="1" applyAlignment="1">
      <alignment horizontal="center" vertical="center" wrapText="1"/>
    </xf>
    <xf numFmtId="0" fontId="11" fillId="0" borderId="0" xfId="0" applyFont="1" applyAlignment="1">
      <alignment vertical="center" wrapText="1"/>
    </xf>
    <xf numFmtId="0" fontId="10" fillId="0" borderId="1" xfId="0" quotePrefix="1" applyFont="1" applyBorder="1" applyAlignment="1">
      <alignment horizontal="center" vertical="center" wrapText="1"/>
    </xf>
    <xf numFmtId="3" fontId="12" fillId="0" borderId="0" xfId="0" applyNumberFormat="1" applyFont="1"/>
    <xf numFmtId="2" fontId="10" fillId="0" borderId="1" xfId="0" quotePrefix="1" applyNumberFormat="1" applyFont="1" applyBorder="1" applyAlignment="1">
      <alignment horizontal="center" vertical="center" wrapText="1"/>
    </xf>
    <xf numFmtId="3" fontId="10" fillId="0" borderId="1" xfId="0" quotePrefix="1" applyNumberFormat="1" applyFont="1" applyBorder="1" applyAlignment="1">
      <alignment horizontal="center" vertical="center" wrapText="1"/>
    </xf>
    <xf numFmtId="2" fontId="10" fillId="0" borderId="0" xfId="0" applyNumberFormat="1" applyFont="1" applyAlignment="1">
      <alignment horizontal="center" vertical="center" wrapText="1"/>
    </xf>
    <xf numFmtId="9" fontId="10" fillId="0" borderId="0" xfId="2" applyFont="1" applyAlignment="1">
      <alignment horizontal="center" vertical="center" wrapText="1"/>
    </xf>
    <xf numFmtId="165" fontId="10" fillId="0" borderId="0" xfId="5" applyNumberFormat="1" applyFont="1" applyAlignment="1">
      <alignment horizontal="center" vertical="center" wrapText="1"/>
    </xf>
    <xf numFmtId="165" fontId="10" fillId="0" borderId="0" xfId="1" applyNumberFormat="1" applyFont="1" applyAlignment="1">
      <alignment horizontal="center" vertical="center" wrapText="1"/>
    </xf>
    <xf numFmtId="2" fontId="10" fillId="0" borderId="0" xfId="0" applyNumberFormat="1" applyFont="1" applyAlignment="1">
      <alignment vertical="center" wrapText="1"/>
    </xf>
    <xf numFmtId="2" fontId="10" fillId="0" borderId="3" xfId="0" quotePrefix="1" applyNumberFormat="1" applyFont="1" applyBorder="1" applyAlignment="1">
      <alignment horizontal="center" vertical="center" wrapText="1"/>
    </xf>
    <xf numFmtId="3" fontId="14" fillId="0" borderId="1" xfId="0" applyNumberFormat="1" applyFont="1" applyBorder="1" applyAlignment="1">
      <alignment horizontal="center" vertical="center" wrapText="1"/>
    </xf>
    <xf numFmtId="3" fontId="10" fillId="0" borderId="3" xfId="0" quotePrefix="1" applyNumberFormat="1" applyFont="1" applyBorder="1" applyAlignment="1">
      <alignment horizontal="right" vertical="top" wrapText="1"/>
    </xf>
    <xf numFmtId="166" fontId="10" fillId="0" borderId="3" xfId="2" quotePrefix="1" applyNumberFormat="1" applyFont="1" applyBorder="1" applyAlignment="1">
      <alignment horizontal="right" vertical="top" wrapText="1"/>
    </xf>
    <xf numFmtId="167" fontId="10" fillId="0" borderId="3" xfId="0" quotePrefix="1" applyNumberFormat="1" applyFont="1" applyBorder="1" applyAlignment="1">
      <alignment horizontal="right" vertical="top" wrapText="1"/>
    </xf>
    <xf numFmtId="2" fontId="15" fillId="2" borderId="5" xfId="0" quotePrefix="1" applyNumberFormat="1" applyFont="1" applyFill="1" applyBorder="1" applyAlignment="1">
      <alignment horizontal="center" vertical="center" wrapText="1"/>
    </xf>
    <xf numFmtId="3" fontId="15" fillId="2" borderId="5" xfId="0" quotePrefix="1" applyNumberFormat="1" applyFont="1" applyFill="1" applyBorder="1" applyAlignment="1">
      <alignment horizontal="center" vertical="center" wrapText="1"/>
    </xf>
    <xf numFmtId="3" fontId="15" fillId="2" borderId="5" xfId="0" quotePrefix="1" applyNumberFormat="1" applyFont="1" applyFill="1" applyBorder="1" applyAlignment="1">
      <alignment horizontal="right" vertical="top" wrapText="1"/>
    </xf>
    <xf numFmtId="166" fontId="15" fillId="2" borderId="5" xfId="2" quotePrefix="1" applyNumberFormat="1" applyFont="1" applyFill="1" applyBorder="1" applyAlignment="1">
      <alignment horizontal="right" vertical="top" wrapText="1"/>
    </xf>
    <xf numFmtId="3" fontId="15" fillId="2" borderId="5" xfId="0" quotePrefix="1" applyNumberFormat="1" applyFont="1" applyFill="1" applyBorder="1" applyAlignment="1">
      <alignment horizontal="right" vertical="center" wrapText="1"/>
    </xf>
    <xf numFmtId="2" fontId="15" fillId="0" borderId="0" xfId="0" applyNumberFormat="1" applyFont="1" applyAlignment="1">
      <alignment horizontal="center" vertical="center" wrapText="1"/>
    </xf>
    <xf numFmtId="9" fontId="15" fillId="0" borderId="0" xfId="2" applyFont="1" applyAlignment="1">
      <alignment horizontal="center" vertical="center" wrapText="1"/>
    </xf>
    <xf numFmtId="165" fontId="15" fillId="0" borderId="0" xfId="5" applyNumberFormat="1" applyFont="1" applyAlignment="1">
      <alignment horizontal="center" vertical="center" wrapText="1"/>
    </xf>
    <xf numFmtId="165" fontId="15" fillId="0" borderId="0" xfId="1" applyNumberFormat="1" applyFont="1" applyAlignment="1">
      <alignment horizontal="center" vertical="center" wrapText="1"/>
    </xf>
    <xf numFmtId="2" fontId="15" fillId="0" borderId="0" xfId="0" applyNumberFormat="1" applyFont="1" applyAlignment="1">
      <alignment vertical="center" wrapText="1"/>
    </xf>
    <xf numFmtId="2" fontId="10" fillId="0" borderId="6" xfId="0" quotePrefix="1" applyNumberFormat="1" applyFont="1" applyBorder="1" applyAlignment="1">
      <alignment horizontal="center" vertical="top" wrapText="1"/>
    </xf>
    <xf numFmtId="2" fontId="10" fillId="0" borderId="6" xfId="0" quotePrefix="1" applyNumberFormat="1" applyFont="1" applyBorder="1" applyAlignment="1">
      <alignment vertical="top" wrapText="1"/>
    </xf>
    <xf numFmtId="3" fontId="10" fillId="0" borderId="6" xfId="6" applyNumberFormat="1" applyFont="1" applyFill="1" applyBorder="1" applyAlignment="1">
      <alignment horizontal="right" vertical="top" wrapText="1"/>
    </xf>
    <xf numFmtId="166" fontId="10" fillId="0" borderId="6" xfId="2" quotePrefix="1" applyNumberFormat="1" applyFont="1" applyBorder="1" applyAlignment="1">
      <alignment horizontal="right" vertical="top" wrapText="1"/>
    </xf>
    <xf numFmtId="3" fontId="10" fillId="0" borderId="6" xfId="0" quotePrefix="1" applyNumberFormat="1" applyFont="1" applyBorder="1" applyAlignment="1">
      <alignment horizontal="right" vertical="center" wrapText="1"/>
    </xf>
    <xf numFmtId="167" fontId="10" fillId="0" borderId="6" xfId="6" applyNumberFormat="1" applyFont="1" applyFill="1" applyBorder="1" applyAlignment="1">
      <alignment horizontal="right" vertical="top" wrapText="1"/>
    </xf>
    <xf numFmtId="3" fontId="10" fillId="0" borderId="6" xfId="0" quotePrefix="1" applyNumberFormat="1" applyFont="1" applyBorder="1" applyAlignment="1">
      <alignment horizontal="right" vertical="top" wrapText="1"/>
    </xf>
    <xf numFmtId="2" fontId="16" fillId="0" borderId="6" xfId="0" quotePrefix="1" applyNumberFormat="1" applyFont="1" applyBorder="1" applyAlignment="1">
      <alignment horizontal="center" vertical="top" wrapText="1"/>
    </xf>
    <xf numFmtId="2" fontId="16" fillId="0" borderId="6" xfId="0" quotePrefix="1" applyNumberFormat="1" applyFont="1" applyBorder="1" applyAlignment="1">
      <alignment vertical="top" wrapText="1"/>
    </xf>
    <xf numFmtId="2" fontId="16" fillId="0" borderId="6" xfId="0" quotePrefix="1" applyNumberFormat="1" applyFont="1" applyBorder="1" applyAlignment="1">
      <alignment horizontal="right" vertical="top" wrapText="1"/>
    </xf>
    <xf numFmtId="3" fontId="16" fillId="0" borderId="6" xfId="6" applyNumberFormat="1" applyFont="1" applyFill="1" applyBorder="1" applyAlignment="1">
      <alignment horizontal="right" vertical="top" wrapText="1"/>
    </xf>
    <xf numFmtId="0" fontId="17" fillId="0" borderId="6" xfId="0" applyFont="1" applyBorder="1" applyAlignment="1">
      <alignment wrapText="1"/>
    </xf>
    <xf numFmtId="3" fontId="16" fillId="0" borderId="6" xfId="0" quotePrefix="1" applyNumberFormat="1" applyFont="1" applyBorder="1" applyAlignment="1">
      <alignment horizontal="right" vertical="top" wrapText="1"/>
    </xf>
    <xf numFmtId="166" fontId="16" fillId="0" borderId="6" xfId="2" quotePrefix="1" applyNumberFormat="1" applyFont="1" applyBorder="1" applyAlignment="1">
      <alignment horizontal="right" vertical="top" wrapText="1"/>
    </xf>
    <xf numFmtId="0" fontId="17" fillId="0" borderId="6" xfId="0" quotePrefix="1" applyFont="1" applyBorder="1" applyAlignment="1">
      <alignment wrapText="1"/>
    </xf>
    <xf numFmtId="2" fontId="10" fillId="0" borderId="6" xfId="0" applyNumberFormat="1" applyFont="1" applyBorder="1" applyAlignment="1">
      <alignment vertical="top" wrapText="1"/>
    </xf>
    <xf numFmtId="165" fontId="15" fillId="0" borderId="6" xfId="0" applyNumberFormat="1" applyFont="1" applyBorder="1" applyAlignment="1">
      <alignment horizontal="right" vertical="center" wrapText="1"/>
    </xf>
    <xf numFmtId="2" fontId="11" fillId="0" borderId="6" xfId="0" quotePrefix="1" applyNumberFormat="1" applyFont="1" applyBorder="1" applyAlignment="1">
      <alignment horizontal="center" vertical="top" wrapText="1"/>
    </xf>
    <xf numFmtId="2" fontId="11" fillId="0" borderId="6" xfId="0" applyNumberFormat="1" applyFont="1" applyBorder="1" applyAlignment="1">
      <alignment vertical="top" wrapText="1"/>
    </xf>
    <xf numFmtId="3" fontId="11" fillId="0" borderId="6" xfId="6" applyNumberFormat="1" applyFont="1" applyFill="1" applyBorder="1" applyAlignment="1">
      <alignment horizontal="right" vertical="top" wrapText="1"/>
    </xf>
    <xf numFmtId="2" fontId="10" fillId="2" borderId="6" xfId="0" applyNumberFormat="1" applyFont="1" applyFill="1" applyBorder="1" applyAlignment="1">
      <alignment horizontal="center" vertical="top" wrapText="1"/>
    </xf>
    <xf numFmtId="3" fontId="10" fillId="2" borderId="6" xfId="6" applyNumberFormat="1" applyFont="1" applyFill="1" applyBorder="1" applyAlignment="1">
      <alignment horizontal="left" vertical="top" wrapText="1"/>
    </xf>
    <xf numFmtId="3" fontId="15" fillId="2" borderId="6" xfId="6" applyNumberFormat="1" applyFont="1" applyFill="1" applyBorder="1" applyAlignment="1">
      <alignment horizontal="right" vertical="top" wrapText="1"/>
    </xf>
    <xf numFmtId="166" fontId="15" fillId="2" borderId="6" xfId="2" applyNumberFormat="1" applyFont="1" applyFill="1" applyBorder="1" applyAlignment="1">
      <alignment horizontal="right" vertical="top" wrapText="1"/>
    </xf>
    <xf numFmtId="2" fontId="11" fillId="2" borderId="6" xfId="0" applyNumberFormat="1" applyFont="1" applyFill="1" applyBorder="1" applyAlignment="1">
      <alignment horizontal="right" vertical="center" wrapText="1"/>
    </xf>
    <xf numFmtId="165" fontId="10" fillId="0" borderId="0" xfId="5" applyNumberFormat="1" applyFont="1" applyAlignment="1">
      <alignment vertical="top" wrapText="1"/>
    </xf>
    <xf numFmtId="2" fontId="10" fillId="0" borderId="0" xfId="0" applyNumberFormat="1" applyFont="1" applyAlignment="1">
      <alignment vertical="top" wrapText="1"/>
    </xf>
    <xf numFmtId="165" fontId="10" fillId="0" borderId="0" xfId="0" applyNumberFormat="1" applyFont="1" applyAlignment="1">
      <alignment horizontal="left" vertical="top" wrapText="1"/>
    </xf>
    <xf numFmtId="165" fontId="10" fillId="0" borderId="0" xfId="1" applyNumberFormat="1" applyFont="1" applyAlignment="1">
      <alignment vertical="top" wrapText="1"/>
    </xf>
    <xf numFmtId="2" fontId="18" fillId="0" borderId="0" xfId="0" applyNumberFormat="1" applyFont="1" applyAlignment="1">
      <alignment vertical="top" wrapText="1"/>
    </xf>
    <xf numFmtId="2" fontId="11" fillId="0" borderId="7" xfId="0" quotePrefix="1" applyNumberFormat="1" applyFont="1" applyBorder="1" applyAlignment="1">
      <alignment horizontal="center" vertical="top" wrapText="1"/>
    </xf>
    <xf numFmtId="0" fontId="20" fillId="0" borderId="7" xfId="0" applyFont="1" applyBorder="1" applyAlignment="1">
      <alignment horizontal="left" vertical="top" wrapText="1"/>
    </xf>
    <xf numFmtId="165" fontId="19" fillId="0" borderId="7" xfId="5" applyNumberFormat="1" applyFont="1" applyBorder="1" applyAlignment="1">
      <alignment vertical="top"/>
    </xf>
    <xf numFmtId="2" fontId="11" fillId="0" borderId="7" xfId="0" applyNumberFormat="1" applyFont="1" applyBorder="1" applyAlignment="1">
      <alignment horizontal="left" vertical="top" wrapText="1"/>
    </xf>
    <xf numFmtId="2" fontId="6" fillId="0" borderId="0" xfId="0" applyNumberFormat="1" applyFont="1" applyAlignment="1">
      <alignment horizontal="left" vertical="top" wrapText="1"/>
    </xf>
    <xf numFmtId="0" fontId="6" fillId="0" borderId="0" xfId="0" applyFont="1" applyAlignment="1">
      <alignment horizontal="center" vertical="center" wrapText="1"/>
    </xf>
    <xf numFmtId="3" fontId="6" fillId="0" borderId="0" xfId="0" applyNumberFormat="1" applyFont="1" applyAlignment="1">
      <alignment vertical="center" wrapText="1"/>
    </xf>
    <xf numFmtId="0" fontId="6" fillId="0" borderId="0" xfId="0" applyFont="1" applyAlignment="1">
      <alignment vertical="top" wrapText="1"/>
    </xf>
    <xf numFmtId="4" fontId="6" fillId="0" borderId="0" xfId="0" applyNumberFormat="1" applyFont="1" applyAlignment="1">
      <alignment vertical="center" wrapText="1"/>
    </xf>
    <xf numFmtId="0" fontId="21" fillId="0" borderId="8" xfId="0" applyFont="1" applyBorder="1" applyAlignment="1">
      <alignment horizontal="left" vertical="top" wrapText="1"/>
    </xf>
    <xf numFmtId="2" fontId="10" fillId="0" borderId="6" xfId="0" applyNumberFormat="1" applyFont="1" applyBorder="1" applyAlignment="1">
      <alignment horizontal="center" vertical="top" wrapText="1"/>
    </xf>
    <xf numFmtId="3" fontId="10" fillId="0" borderId="6" xfId="6" applyNumberFormat="1" applyFont="1" applyFill="1" applyBorder="1" applyAlignment="1">
      <alignment horizontal="left" vertical="top" wrapText="1"/>
    </xf>
    <xf numFmtId="3" fontId="15" fillId="0" borderId="6" xfId="6" applyNumberFormat="1" applyFont="1" applyFill="1" applyBorder="1" applyAlignment="1">
      <alignment horizontal="right" vertical="top" wrapText="1"/>
    </xf>
    <xf numFmtId="166" fontId="15" fillId="0" borderId="6" xfId="2" applyNumberFormat="1" applyFont="1" applyFill="1" applyBorder="1" applyAlignment="1">
      <alignment horizontal="right" vertical="top" wrapText="1"/>
    </xf>
    <xf numFmtId="2" fontId="11" fillId="0" borderId="6" xfId="0" applyNumberFormat="1" applyFont="1" applyBorder="1" applyAlignment="1">
      <alignment horizontal="right" vertical="center" wrapText="1"/>
    </xf>
    <xf numFmtId="165" fontId="10" fillId="0" borderId="0" xfId="5" applyNumberFormat="1" applyFont="1" applyFill="1" applyAlignment="1">
      <alignment vertical="top" wrapText="1"/>
    </xf>
    <xf numFmtId="165" fontId="10" fillId="0" borderId="0" xfId="1" applyNumberFormat="1" applyFont="1" applyFill="1" applyAlignment="1">
      <alignment vertical="top" wrapText="1"/>
    </xf>
    <xf numFmtId="3" fontId="10" fillId="0" borderId="6" xfId="6" applyNumberFormat="1" applyFont="1" applyFill="1" applyBorder="1" applyAlignment="1">
      <alignment horizontal="center" vertical="top" wrapText="1"/>
    </xf>
    <xf numFmtId="0" fontId="19" fillId="0" borderId="6" xfId="0" applyFont="1" applyBorder="1" applyAlignment="1">
      <alignment horizontal="left" vertical="top" wrapText="1"/>
    </xf>
    <xf numFmtId="0" fontId="19" fillId="0" borderId="6" xfId="0" applyFont="1" applyBorder="1" applyAlignment="1">
      <alignment horizontal="right" vertical="top" wrapText="1"/>
    </xf>
    <xf numFmtId="3" fontId="19" fillId="0" borderId="6" xfId="0" applyNumberFormat="1" applyFont="1" applyBorder="1" applyAlignment="1">
      <alignment horizontal="right" vertical="top" wrapText="1"/>
    </xf>
    <xf numFmtId="166" fontId="10" fillId="0" borderId="6" xfId="2" applyNumberFormat="1" applyFont="1" applyFill="1" applyBorder="1" applyAlignment="1">
      <alignment horizontal="right" vertical="top" wrapText="1"/>
    </xf>
    <xf numFmtId="2" fontId="10" fillId="0" borderId="0" xfId="0" applyNumberFormat="1" applyFont="1" applyAlignment="1">
      <alignment horizontal="left" vertical="top" wrapText="1"/>
    </xf>
    <xf numFmtId="165" fontId="10" fillId="0" borderId="0" xfId="1" applyNumberFormat="1" applyFont="1" applyAlignment="1">
      <alignment horizontal="left" vertical="top" wrapText="1"/>
    </xf>
    <xf numFmtId="2" fontId="11" fillId="0" borderId="0" xfId="0" applyNumberFormat="1" applyFont="1" applyAlignment="1">
      <alignment horizontal="left" vertical="top" wrapText="1"/>
    </xf>
    <xf numFmtId="2" fontId="10" fillId="0" borderId="6" xfId="0" applyNumberFormat="1" applyFont="1" applyBorder="1" applyAlignment="1">
      <alignment horizontal="right" vertical="center" wrapText="1"/>
    </xf>
    <xf numFmtId="0" fontId="20" fillId="0" borderId="6" xfId="0" applyFont="1" applyBorder="1" applyAlignment="1">
      <alignment vertical="top"/>
    </xf>
    <xf numFmtId="0" fontId="22" fillId="0" borderId="6" xfId="0" applyFont="1" applyBorder="1" applyAlignment="1">
      <alignment horizontal="right" vertical="top"/>
    </xf>
    <xf numFmtId="3" fontId="23" fillId="0" borderId="6" xfId="0" applyNumberFormat="1" applyFont="1" applyBorder="1" applyAlignment="1">
      <alignment horizontal="right" vertical="top" wrapText="1"/>
    </xf>
    <xf numFmtId="165" fontId="20" fillId="0" borderId="6" xfId="0" applyNumberFormat="1" applyFont="1" applyBorder="1" applyAlignment="1">
      <alignment horizontal="right" vertical="center" wrapText="1"/>
    </xf>
    <xf numFmtId="166" fontId="11" fillId="0" borderId="6" xfId="2" applyNumberFormat="1" applyFont="1" applyFill="1" applyBorder="1" applyAlignment="1">
      <alignment horizontal="right" vertical="top" wrapText="1"/>
    </xf>
    <xf numFmtId="165" fontId="11" fillId="0" borderId="0" xfId="1" applyNumberFormat="1" applyFont="1" applyAlignment="1">
      <alignment horizontal="left" vertical="top" wrapText="1"/>
    </xf>
    <xf numFmtId="0" fontId="20" fillId="0" borderId="6" xfId="0" applyFont="1" applyBorder="1" applyAlignment="1">
      <alignment horizontal="left" vertical="top" wrapText="1"/>
    </xf>
    <xf numFmtId="0" fontId="22" fillId="0" borderId="6" xfId="0" applyFont="1" applyBorder="1" applyAlignment="1">
      <alignment horizontal="right" vertical="top" wrapText="1"/>
    </xf>
    <xf numFmtId="2" fontId="11" fillId="0" borderId="0" xfId="0" applyNumberFormat="1" applyFont="1" applyAlignment="1">
      <alignment horizontal="right" vertical="top" wrapText="1"/>
    </xf>
    <xf numFmtId="165" fontId="11" fillId="0" borderId="0" xfId="1" applyNumberFormat="1" applyFont="1" applyAlignment="1">
      <alignment horizontal="right" vertical="top" wrapText="1"/>
    </xf>
    <xf numFmtId="0" fontId="20" fillId="0" borderId="6" xfId="0" applyFont="1" applyBorder="1" applyAlignment="1">
      <alignment vertical="top" wrapText="1"/>
    </xf>
    <xf numFmtId="1" fontId="11" fillId="0" borderId="6" xfId="0" quotePrefix="1" applyNumberFormat="1" applyFont="1" applyBorder="1" applyAlignment="1">
      <alignment horizontal="center" vertical="top" wrapText="1"/>
    </xf>
    <xf numFmtId="0" fontId="23" fillId="0" borderId="6" xfId="0" applyFont="1" applyBorder="1" applyAlignment="1">
      <alignment horizontal="right" vertical="top"/>
    </xf>
    <xf numFmtId="0" fontId="20" fillId="0" borderId="6" xfId="0" applyFont="1" applyBorder="1" applyAlignment="1">
      <alignment horizontal="right" vertical="top" wrapText="1"/>
    </xf>
    <xf numFmtId="166" fontId="23" fillId="0" borderId="6" xfId="2" applyNumberFormat="1" applyFont="1" applyBorder="1" applyAlignment="1">
      <alignment horizontal="right" vertical="top"/>
    </xf>
    <xf numFmtId="1" fontId="20" fillId="0" borderId="6" xfId="0" quotePrefix="1" applyNumberFormat="1" applyFont="1" applyBorder="1" applyAlignment="1">
      <alignment horizontal="center" vertical="top" wrapText="1"/>
    </xf>
    <xf numFmtId="3" fontId="20" fillId="0" borderId="6" xfId="0" applyNumberFormat="1" applyFont="1" applyBorder="1" applyAlignment="1">
      <alignment horizontal="right" vertical="top" wrapText="1"/>
    </xf>
    <xf numFmtId="166" fontId="20" fillId="0" borderId="6" xfId="2" applyNumberFormat="1" applyFont="1" applyFill="1" applyBorder="1" applyAlignment="1">
      <alignment horizontal="right" vertical="top" wrapText="1"/>
    </xf>
    <xf numFmtId="2" fontId="20" fillId="0" borderId="6" xfId="0" applyNumberFormat="1" applyFont="1" applyBorder="1" applyAlignment="1">
      <alignment horizontal="right" vertical="center" wrapText="1"/>
    </xf>
    <xf numFmtId="2" fontId="20" fillId="0" borderId="0" xfId="0" applyNumberFormat="1" applyFont="1" applyAlignment="1">
      <alignment horizontal="left" vertical="top" wrapText="1"/>
    </xf>
    <xf numFmtId="165" fontId="20" fillId="0" borderId="0" xfId="1" applyNumberFormat="1" applyFont="1" applyAlignment="1">
      <alignment horizontal="left" vertical="top" wrapText="1"/>
    </xf>
    <xf numFmtId="165" fontId="19" fillId="0" borderId="9" xfId="1" applyNumberFormat="1" applyFont="1" applyBorder="1" applyAlignment="1">
      <alignment horizontal="right" vertical="top"/>
    </xf>
    <xf numFmtId="3" fontId="19" fillId="0" borderId="9" xfId="0" applyNumberFormat="1" applyFont="1" applyBorder="1" applyAlignment="1">
      <alignment horizontal="right" vertical="top" wrapText="1"/>
    </xf>
    <xf numFmtId="166" fontId="10" fillId="0" borderId="9" xfId="2" applyNumberFormat="1" applyFont="1" applyFill="1" applyBorder="1" applyAlignment="1">
      <alignment horizontal="right" vertical="top" wrapText="1"/>
    </xf>
    <xf numFmtId="2" fontId="10" fillId="0" borderId="9" xfId="0" applyNumberFormat="1" applyFont="1" applyBorder="1" applyAlignment="1">
      <alignment horizontal="right" vertical="center" wrapText="1"/>
    </xf>
    <xf numFmtId="1" fontId="11" fillId="0" borderId="9" xfId="0" quotePrefix="1" applyNumberFormat="1" applyFont="1" applyBorder="1" applyAlignment="1">
      <alignment horizontal="center" vertical="top" wrapText="1"/>
    </xf>
    <xf numFmtId="0" fontId="23" fillId="0" borderId="6" xfId="0" applyFont="1" applyBorder="1" applyAlignment="1">
      <alignment horizontal="left" vertical="top" wrapText="1"/>
    </xf>
    <xf numFmtId="165" fontId="23" fillId="0" borderId="9" xfId="1" applyNumberFormat="1" applyFont="1" applyBorder="1" applyAlignment="1">
      <alignment horizontal="right" vertical="top"/>
    </xf>
    <xf numFmtId="3" fontId="23" fillId="0" borderId="9" xfId="0" applyNumberFormat="1" applyFont="1" applyBorder="1" applyAlignment="1">
      <alignment horizontal="right" vertical="top" wrapText="1"/>
    </xf>
    <xf numFmtId="166" fontId="11" fillId="0" borderId="9" xfId="2" applyNumberFormat="1" applyFont="1" applyFill="1" applyBorder="1" applyAlignment="1">
      <alignment horizontal="right" vertical="top" wrapText="1"/>
    </xf>
    <xf numFmtId="2" fontId="11" fillId="0" borderId="9" xfId="0" applyNumberFormat="1" applyFont="1" applyBorder="1" applyAlignment="1">
      <alignment horizontal="right" vertical="center" wrapText="1"/>
    </xf>
    <xf numFmtId="0" fontId="23" fillId="0" borderId="9" xfId="0" applyFont="1" applyBorder="1" applyAlignment="1">
      <alignment horizontal="right" vertical="top"/>
    </xf>
    <xf numFmtId="0" fontId="19" fillId="0" borderId="9" xfId="0" applyFont="1" applyBorder="1" applyAlignment="1">
      <alignment horizontal="right" vertical="top"/>
    </xf>
    <xf numFmtId="0" fontId="10" fillId="0" borderId="3" xfId="0" applyFont="1" applyBorder="1" applyAlignment="1">
      <alignment horizontal="center" vertical="center" wrapText="1"/>
    </xf>
    <xf numFmtId="3" fontId="10" fillId="0" borderId="9" xfId="6" applyNumberFormat="1" applyFont="1" applyFill="1" applyBorder="1" applyAlignment="1">
      <alignment horizontal="left" vertical="top" wrapText="1"/>
    </xf>
    <xf numFmtId="0" fontId="21" fillId="0" borderId="0" xfId="0" applyFont="1" applyAlignment="1">
      <alignment horizontal="left" vertical="top" wrapText="1"/>
    </xf>
    <xf numFmtId="0" fontId="17" fillId="0" borderId="6" xfId="0" quotePrefix="1" applyFont="1" applyBorder="1" applyAlignment="1">
      <alignment horizontal="left" vertical="center" wrapText="1"/>
    </xf>
    <xf numFmtId="3" fontId="10" fillId="2" borderId="6" xfId="6" applyNumberFormat="1" applyFont="1" applyFill="1" applyBorder="1" applyAlignment="1">
      <alignment horizontal="right" vertical="top" wrapText="1"/>
    </xf>
    <xf numFmtId="3" fontId="10" fillId="0" borderId="9" xfId="6" applyNumberFormat="1" applyFont="1" applyFill="1" applyBorder="1" applyAlignment="1">
      <alignment horizontal="right" vertical="top" wrapText="1"/>
    </xf>
    <xf numFmtId="3" fontId="17" fillId="0" borderId="6" xfId="0" quotePrefix="1" applyNumberFormat="1" applyFont="1" applyBorder="1" applyAlignment="1">
      <alignment wrapText="1"/>
    </xf>
    <xf numFmtId="2" fontId="10" fillId="0" borderId="9" xfId="0" applyNumberFormat="1" applyFont="1" applyBorder="1" applyAlignment="1">
      <alignment horizontal="left" vertical="center" wrapText="1"/>
    </xf>
    <xf numFmtId="165" fontId="10" fillId="0" borderId="6" xfId="1" quotePrefix="1" applyNumberFormat="1" applyFont="1" applyBorder="1" applyAlignment="1">
      <alignment vertical="top" wrapText="1"/>
    </xf>
    <xf numFmtId="165" fontId="25" fillId="0" borderId="0" xfId="1" applyNumberFormat="1" applyFont="1" applyAlignment="1">
      <alignment vertical="center"/>
    </xf>
    <xf numFmtId="0" fontId="25" fillId="0" borderId="0" xfId="0" applyFont="1" applyAlignment="1">
      <alignment vertical="center" wrapText="1"/>
    </xf>
    <xf numFmtId="0" fontId="25" fillId="0" borderId="0" xfId="0" applyFont="1" applyAlignment="1">
      <alignment horizontal="center" vertical="center"/>
    </xf>
    <xf numFmtId="0" fontId="25" fillId="0" borderId="0" xfId="0" applyFont="1" applyAlignment="1">
      <alignment vertical="center"/>
    </xf>
    <xf numFmtId="0" fontId="27" fillId="0" borderId="2" xfId="0" applyFont="1" applyBorder="1" applyAlignment="1">
      <alignment horizontal="right" vertical="center"/>
    </xf>
    <xf numFmtId="0" fontId="27" fillId="0" borderId="2" xfId="0" applyFont="1" applyBorder="1" applyAlignment="1">
      <alignment horizontal="right" vertical="center" wrapText="1"/>
    </xf>
    <xf numFmtId="165" fontId="29" fillId="0" borderId="2" xfId="0" applyNumberFormat="1" applyFont="1" applyBorder="1" applyAlignment="1">
      <alignment horizontal="right" vertical="center"/>
    </xf>
    <xf numFmtId="165" fontId="29" fillId="0" borderId="2" xfId="1" applyNumberFormat="1" applyFont="1" applyBorder="1" applyAlignment="1">
      <alignment horizontal="right" vertical="center"/>
    </xf>
    <xf numFmtId="165" fontId="27" fillId="0" borderId="2" xfId="1" applyNumberFormat="1" applyFont="1" applyBorder="1" applyAlignment="1">
      <alignment horizontal="right" vertical="center"/>
    </xf>
    <xf numFmtId="166" fontId="27" fillId="0" borderId="2" xfId="2" applyNumberFormat="1" applyFont="1" applyBorder="1" applyAlignment="1">
      <alignment horizontal="right" vertical="center"/>
    </xf>
    <xf numFmtId="9" fontId="27" fillId="0" borderId="2" xfId="2" applyFont="1" applyBorder="1" applyAlignment="1">
      <alignment horizontal="right" vertical="center"/>
    </xf>
    <xf numFmtId="0" fontId="27" fillId="0" borderId="2" xfId="0" applyFont="1" applyBorder="1" applyAlignment="1">
      <alignment horizontal="center" vertical="center"/>
    </xf>
    <xf numFmtId="0" fontId="31" fillId="0" borderId="1" xfId="0" applyFont="1" applyBorder="1" applyAlignment="1">
      <alignment horizontal="center" vertical="center" wrapText="1"/>
    </xf>
    <xf numFmtId="0" fontId="30" fillId="3" borderId="15" xfId="0" applyFont="1" applyFill="1" applyBorder="1" applyAlignment="1">
      <alignment horizontal="center" vertical="center" wrapText="1"/>
    </xf>
    <xf numFmtId="0" fontId="30" fillId="0" borderId="13" xfId="0" applyFont="1" applyBorder="1" applyAlignment="1">
      <alignment horizontal="center" vertical="center" wrapText="1"/>
    </xf>
    <xf numFmtId="0" fontId="30" fillId="0" borderId="11" xfId="0" applyFont="1" applyBorder="1" applyAlignment="1">
      <alignment vertical="center"/>
    </xf>
    <xf numFmtId="0" fontId="30" fillId="0" borderId="12" xfId="0" applyFont="1" applyBorder="1" applyAlignment="1">
      <alignment vertical="center"/>
    </xf>
    <xf numFmtId="165" fontId="32" fillId="0" borderId="0" xfId="1" applyNumberFormat="1" applyFont="1" applyAlignment="1">
      <alignment vertical="center"/>
    </xf>
    <xf numFmtId="0" fontId="30" fillId="0" borderId="0" xfId="0" applyFont="1" applyAlignment="1">
      <alignment horizontal="center" vertical="center" wrapText="1"/>
    </xf>
    <xf numFmtId="0" fontId="32" fillId="0" borderId="0" xfId="0" applyFont="1" applyAlignment="1">
      <alignment vertical="center"/>
    </xf>
    <xf numFmtId="0" fontId="30" fillId="3" borderId="0" xfId="0" applyFont="1" applyFill="1" applyAlignment="1">
      <alignment horizontal="center" vertical="center" wrapText="1"/>
    </xf>
    <xf numFmtId="0" fontId="30" fillId="0" borderId="16" xfId="0" applyFont="1" applyBorder="1" applyAlignment="1">
      <alignment horizontal="center" vertical="center" wrapText="1"/>
    </xf>
    <xf numFmtId="165" fontId="30" fillId="0" borderId="0" xfId="1" applyNumberFormat="1" applyFont="1" applyAlignment="1">
      <alignment vertical="center"/>
    </xf>
    <xf numFmtId="0" fontId="30" fillId="4" borderId="0" xfId="0" applyFont="1" applyFill="1" applyAlignment="1">
      <alignment vertical="center"/>
    </xf>
    <xf numFmtId="0" fontId="30" fillId="0" borderId="0" xfId="0" applyFont="1" applyAlignment="1">
      <alignment vertical="center"/>
    </xf>
    <xf numFmtId="0" fontId="33" fillId="5" borderId="19" xfId="0" applyFont="1" applyFill="1" applyBorder="1" applyAlignment="1">
      <alignment horizontal="left" vertical="center" wrapText="1"/>
    </xf>
    <xf numFmtId="0" fontId="30" fillId="3" borderId="2" xfId="0"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2" applyNumberFormat="1" applyFont="1" applyFill="1" applyBorder="1" applyAlignment="1">
      <alignment horizontal="center" vertical="center" wrapText="1"/>
    </xf>
    <xf numFmtId="166" fontId="30" fillId="0" borderId="3" xfId="2" applyNumberFormat="1" applyFont="1" applyFill="1" applyBorder="1" applyAlignment="1">
      <alignment horizontal="center" vertical="center" wrapText="1"/>
    </xf>
    <xf numFmtId="166" fontId="30" fillId="0" borderId="16" xfId="2" applyNumberFormat="1" applyFont="1" applyFill="1" applyBorder="1" applyAlignment="1">
      <alignment horizontal="center" vertical="center" wrapText="1"/>
    </xf>
    <xf numFmtId="0" fontId="30" fillId="0" borderId="20" xfId="0" applyFont="1" applyBorder="1" applyAlignment="1">
      <alignment horizontal="center" vertical="center" wrapText="1"/>
    </xf>
    <xf numFmtId="0" fontId="30" fillId="0" borderId="21" xfId="0" applyFont="1" applyBorder="1" applyAlignment="1">
      <alignment horizontal="center" vertical="center" wrapText="1"/>
    </xf>
    <xf numFmtId="166" fontId="30" fillId="0" borderId="4" xfId="2" applyNumberFormat="1" applyFont="1" applyFill="1" applyBorder="1" applyAlignment="1">
      <alignment horizontal="center" vertical="center" wrapText="1"/>
    </xf>
    <xf numFmtId="0" fontId="30" fillId="0" borderId="4" xfId="0" applyFont="1" applyBorder="1" applyAlignment="1">
      <alignment horizontal="center" vertical="center" wrapText="1"/>
    </xf>
    <xf numFmtId="0" fontId="30" fillId="0" borderId="1" xfId="0" applyFont="1" applyBorder="1" applyAlignment="1">
      <alignment vertical="center" wrapText="1"/>
    </xf>
    <xf numFmtId="1" fontId="30" fillId="0" borderId="5" xfId="0" applyNumberFormat="1" applyFont="1" applyBorder="1" applyAlignment="1">
      <alignment horizontal="center" vertical="center" wrapText="1"/>
    </xf>
    <xf numFmtId="0" fontId="30" fillId="0" borderId="5" xfId="0" applyFont="1" applyBorder="1" applyAlignment="1">
      <alignment horizontal="center" vertical="center" wrapText="1"/>
    </xf>
    <xf numFmtId="165" fontId="30" fillId="0" borderId="22" xfId="1" applyNumberFormat="1" applyFont="1" applyBorder="1" applyAlignment="1">
      <alignment horizontal="center" vertical="center" wrapText="1"/>
    </xf>
    <xf numFmtId="1" fontId="30" fillId="0" borderId="5" xfId="0" applyNumberFormat="1" applyFont="1" applyBorder="1" applyAlignment="1">
      <alignment horizontal="center" vertical="center"/>
    </xf>
    <xf numFmtId="165" fontId="30" fillId="0" borderId="0" xfId="1" applyNumberFormat="1" applyFont="1" applyAlignment="1">
      <alignment horizontal="center" vertical="center"/>
    </xf>
    <xf numFmtId="49" fontId="30" fillId="0" borderId="0" xfId="0" applyNumberFormat="1" applyFont="1" applyAlignment="1">
      <alignment horizontal="center" vertical="center" wrapText="1"/>
    </xf>
    <xf numFmtId="49" fontId="30" fillId="0" borderId="1" xfId="0" applyNumberFormat="1" applyFont="1" applyBorder="1" applyAlignment="1">
      <alignment horizontal="center" vertical="center"/>
    </xf>
    <xf numFmtId="49" fontId="30" fillId="0" borderId="0" xfId="0" applyNumberFormat="1" applyFont="1" applyAlignment="1">
      <alignment horizontal="center" vertical="center"/>
    </xf>
    <xf numFmtId="166" fontId="30" fillId="0" borderId="6" xfId="2" applyNumberFormat="1" applyFont="1" applyFill="1" applyBorder="1" applyAlignment="1">
      <alignment horizontal="right" vertical="center" wrapText="1"/>
    </xf>
    <xf numFmtId="9" fontId="30" fillId="0" borderId="6" xfId="2" applyFont="1" applyFill="1" applyBorder="1" applyAlignment="1">
      <alignment horizontal="right" vertical="center" wrapText="1"/>
    </xf>
    <xf numFmtId="166" fontId="35" fillId="0" borderId="6" xfId="2" applyNumberFormat="1" applyFont="1" applyFill="1" applyBorder="1" applyAlignment="1">
      <alignment horizontal="right" vertical="center" wrapText="1"/>
    </xf>
    <xf numFmtId="165" fontId="30" fillId="0" borderId="6" xfId="5" applyNumberFormat="1" applyFont="1" applyFill="1" applyBorder="1" applyAlignment="1">
      <alignment horizontal="right" vertical="center" wrapText="1"/>
    </xf>
    <xf numFmtId="165" fontId="30" fillId="0" borderId="6" xfId="1" applyNumberFormat="1" applyFont="1" applyFill="1" applyBorder="1" applyAlignment="1">
      <alignment horizontal="right" vertical="center" wrapText="1"/>
    </xf>
    <xf numFmtId="165" fontId="30" fillId="0" borderId="6" xfId="5" applyNumberFormat="1" applyFont="1" applyFill="1" applyBorder="1" applyAlignment="1">
      <alignment horizontal="center" vertical="center" wrapText="1"/>
    </xf>
    <xf numFmtId="0" fontId="30" fillId="0" borderId="6" xfId="0" applyFont="1" applyBorder="1" applyAlignment="1">
      <alignment horizontal="center" vertical="center" wrapText="1"/>
    </xf>
    <xf numFmtId="0" fontId="36" fillId="0" borderId="6" xfId="0" applyFont="1" applyBorder="1" applyAlignment="1">
      <alignment horizontal="center" vertical="center"/>
    </xf>
    <xf numFmtId="165" fontId="30" fillId="6" borderId="6" xfId="5" applyNumberFormat="1" applyFont="1" applyFill="1" applyBorder="1" applyAlignment="1">
      <alignment horizontal="right" vertical="center" wrapText="1"/>
    </xf>
    <xf numFmtId="165" fontId="30" fillId="0" borderId="6" xfId="0" applyNumberFormat="1" applyFont="1" applyBorder="1" applyAlignment="1">
      <alignment horizontal="center" vertical="center"/>
    </xf>
    <xf numFmtId="0" fontId="37" fillId="0" borderId="1" xfId="0" applyFont="1" applyBorder="1" applyAlignment="1">
      <alignment horizontal="center" vertical="center"/>
    </xf>
    <xf numFmtId="0" fontId="36" fillId="0" borderId="1" xfId="0" applyFont="1" applyBorder="1" applyAlignment="1">
      <alignment horizontal="center" vertical="center"/>
    </xf>
    <xf numFmtId="0" fontId="36" fillId="0" borderId="0" xfId="0" applyFont="1" applyAlignment="1">
      <alignment horizontal="center" vertical="center"/>
    </xf>
    <xf numFmtId="0" fontId="30" fillId="0" borderId="0" xfId="0" applyFont="1" applyAlignment="1">
      <alignment horizontal="center" vertical="center"/>
    </xf>
    <xf numFmtId="165" fontId="30" fillId="0" borderId="0" xfId="0" applyNumberFormat="1" applyFont="1" applyAlignment="1">
      <alignment horizontal="center" vertical="center"/>
    </xf>
    <xf numFmtId="166" fontId="30" fillId="0" borderId="0" xfId="2" applyNumberFormat="1" applyFont="1" applyAlignment="1">
      <alignment horizontal="center" vertical="center"/>
    </xf>
    <xf numFmtId="0" fontId="30" fillId="6" borderId="6" xfId="0" applyFont="1" applyFill="1" applyBorder="1" applyAlignment="1">
      <alignment horizontal="center" vertical="center" wrapText="1"/>
    </xf>
    <xf numFmtId="0" fontId="30" fillId="6" borderId="6" xfId="0" applyFont="1" applyFill="1" applyBorder="1" applyAlignment="1">
      <alignment horizontal="left" vertical="center" wrapText="1"/>
    </xf>
    <xf numFmtId="9" fontId="30" fillId="6" borderId="6" xfId="2" applyFont="1" applyFill="1" applyBorder="1" applyAlignment="1">
      <alignment horizontal="right" vertical="center" wrapText="1"/>
    </xf>
    <xf numFmtId="166" fontId="30" fillId="6" borderId="6" xfId="2" applyNumberFormat="1" applyFont="1" applyFill="1" applyBorder="1" applyAlignment="1">
      <alignment horizontal="right" vertical="center" wrapText="1"/>
    </xf>
    <xf numFmtId="165" fontId="30" fillId="0" borderId="6" xfId="0" applyNumberFormat="1" applyFont="1" applyBorder="1" applyAlignment="1">
      <alignment horizontal="right" vertical="center" wrapText="1"/>
    </xf>
    <xf numFmtId="165" fontId="30" fillId="6" borderId="6" xfId="1" applyNumberFormat="1" applyFont="1" applyFill="1" applyBorder="1" applyAlignment="1">
      <alignment horizontal="right" vertical="center" wrapText="1"/>
    </xf>
    <xf numFmtId="0" fontId="30" fillId="6" borderId="6" xfId="0" applyFont="1" applyFill="1" applyBorder="1" applyAlignment="1">
      <alignment horizontal="center" vertical="center"/>
    </xf>
    <xf numFmtId="0" fontId="30" fillId="0" borderId="0" xfId="0" applyFont="1" applyAlignment="1">
      <alignment vertical="center" wrapText="1"/>
    </xf>
    <xf numFmtId="165" fontId="30" fillId="0" borderId="0" xfId="0" applyNumberFormat="1" applyFont="1" applyAlignment="1">
      <alignment vertical="center"/>
    </xf>
    <xf numFmtId="0" fontId="30" fillId="0" borderId="6" xfId="0" applyFont="1" applyBorder="1" applyAlignment="1">
      <alignment horizontal="left" vertical="center" wrapText="1"/>
    </xf>
    <xf numFmtId="166" fontId="30" fillId="0" borderId="6" xfId="2" applyNumberFormat="1" applyFont="1" applyFill="1" applyBorder="1" applyAlignment="1">
      <alignment horizontal="right" vertical="center"/>
    </xf>
    <xf numFmtId="9" fontId="30" fillId="0" borderId="6" xfId="2" applyFont="1" applyFill="1" applyBorder="1" applyAlignment="1">
      <alignment horizontal="right" vertical="center"/>
    </xf>
    <xf numFmtId="0" fontId="30" fillId="0" borderId="6" xfId="0" applyFont="1" applyBorder="1" applyAlignment="1">
      <alignment horizontal="center" vertical="center"/>
    </xf>
    <xf numFmtId="165" fontId="36" fillId="0" borderId="6" xfId="5" applyNumberFormat="1" applyFont="1" applyFill="1" applyBorder="1" applyAlignment="1">
      <alignment horizontal="right" vertical="center" wrapText="1"/>
    </xf>
    <xf numFmtId="165" fontId="36" fillId="0" borderId="6" xfId="0" applyNumberFormat="1" applyFont="1" applyBorder="1" applyAlignment="1">
      <alignment horizontal="right" vertical="center" wrapText="1"/>
    </xf>
    <xf numFmtId="165" fontId="36" fillId="0" borderId="0" xfId="1" applyNumberFormat="1" applyFont="1" applyAlignment="1">
      <alignment vertical="center"/>
    </xf>
    <xf numFmtId="0" fontId="36" fillId="0" borderId="0" xfId="0" applyFont="1" applyAlignment="1">
      <alignment vertical="center" wrapText="1"/>
    </xf>
    <xf numFmtId="0" fontId="32" fillId="0" borderId="1" xfId="0" applyFont="1" applyBorder="1" applyAlignment="1">
      <alignment horizontal="center" vertical="center"/>
    </xf>
    <xf numFmtId="0" fontId="36" fillId="0" borderId="0" xfId="0" applyFont="1" applyAlignment="1">
      <alignment vertical="center"/>
    </xf>
    <xf numFmtId="165" fontId="36" fillId="0" borderId="0" xfId="0" applyNumberFormat="1" applyFont="1" applyAlignment="1">
      <alignment vertical="center"/>
    </xf>
    <xf numFmtId="0" fontId="36" fillId="0" borderId="6" xfId="0" applyFont="1" applyBorder="1" applyAlignment="1">
      <alignment horizontal="center" vertical="center" wrapText="1"/>
    </xf>
    <xf numFmtId="0" fontId="36" fillId="0" borderId="6" xfId="0" applyFont="1" applyBorder="1" applyAlignment="1">
      <alignment horizontal="left" vertical="center" wrapText="1"/>
    </xf>
    <xf numFmtId="0" fontId="36" fillId="0" borderId="6" xfId="0" applyFont="1" applyBorder="1" applyAlignment="1">
      <alignment vertical="center"/>
    </xf>
    <xf numFmtId="9" fontId="36" fillId="0" borderId="6" xfId="2" applyFont="1" applyFill="1" applyBorder="1" applyAlignment="1">
      <alignment horizontal="right" vertical="center"/>
    </xf>
    <xf numFmtId="166" fontId="36" fillId="0" borderId="6" xfId="2" applyNumberFormat="1" applyFont="1" applyFill="1" applyBorder="1" applyAlignment="1">
      <alignment horizontal="right" vertical="center"/>
    </xf>
    <xf numFmtId="165" fontId="30" fillId="0" borderId="6" xfId="1" applyNumberFormat="1" applyFont="1" applyFill="1" applyBorder="1" applyAlignment="1">
      <alignment vertical="center"/>
    </xf>
    <xf numFmtId="165" fontId="36" fillId="0" borderId="6" xfId="1" applyNumberFormat="1" applyFont="1" applyFill="1" applyBorder="1" applyAlignment="1">
      <alignment horizontal="right" vertical="center"/>
    </xf>
    <xf numFmtId="0" fontId="37" fillId="0" borderId="0" xfId="0" applyFont="1" applyAlignment="1">
      <alignment wrapText="1"/>
    </xf>
    <xf numFmtId="165" fontId="30" fillId="0" borderId="6" xfId="0" applyNumberFormat="1" applyFont="1" applyBorder="1" applyAlignment="1">
      <alignment vertical="center"/>
    </xf>
    <xf numFmtId="165" fontId="30" fillId="0" borderId="6" xfId="1" applyNumberFormat="1" applyFont="1" applyFill="1" applyBorder="1" applyAlignment="1">
      <alignment horizontal="right" vertical="center"/>
    </xf>
    <xf numFmtId="0" fontId="30" fillId="0" borderId="6" xfId="0" applyFont="1" applyBorder="1" applyAlignment="1">
      <alignment vertical="center"/>
    </xf>
    <xf numFmtId="0" fontId="37" fillId="0" borderId="0" xfId="0" applyFont="1" applyAlignment="1">
      <alignment vertical="center" wrapText="1"/>
    </xf>
    <xf numFmtId="0" fontId="37" fillId="0" borderId="0" xfId="0" applyFont="1" applyAlignment="1">
      <alignment vertical="center"/>
    </xf>
    <xf numFmtId="0" fontId="38" fillId="0" borderId="0" xfId="0" applyFont="1" applyAlignment="1">
      <alignment vertical="center"/>
    </xf>
    <xf numFmtId="0" fontId="35" fillId="0" borderId="6" xfId="0" applyFont="1" applyBorder="1" applyAlignment="1">
      <alignment vertical="center"/>
    </xf>
    <xf numFmtId="0" fontId="36" fillId="0" borderId="9" xfId="0" applyFont="1" applyBorder="1" applyAlignment="1">
      <alignment horizontal="center" vertical="center"/>
    </xf>
    <xf numFmtId="0" fontId="36" fillId="0" borderId="9" xfId="0" applyFont="1" applyBorder="1" applyAlignment="1">
      <alignment horizontal="left" vertical="center" wrapText="1"/>
    </xf>
    <xf numFmtId="165" fontId="36" fillId="0" borderId="9" xfId="5" applyNumberFormat="1" applyFont="1" applyFill="1" applyBorder="1" applyAlignment="1">
      <alignment horizontal="center" vertical="center" wrapText="1"/>
    </xf>
    <xf numFmtId="169" fontId="30" fillId="0" borderId="6" xfId="7" applyNumberFormat="1" applyFont="1" applyFill="1" applyBorder="1" applyAlignment="1">
      <alignment horizontal="right" vertical="center" wrapText="1"/>
    </xf>
    <xf numFmtId="0" fontId="30" fillId="0" borderId="6" xfId="0" applyFont="1" applyBorder="1" applyAlignment="1">
      <alignment vertical="center" wrapText="1"/>
    </xf>
    <xf numFmtId="0" fontId="36" fillId="0" borderId="6" xfId="5" applyNumberFormat="1" applyFont="1" applyFill="1" applyBorder="1" applyAlignment="1">
      <alignment horizontal="right" vertical="center" wrapText="1"/>
    </xf>
    <xf numFmtId="0" fontId="34" fillId="0" borderId="6" xfId="0" applyFont="1" applyBorder="1" applyAlignment="1">
      <alignment vertical="center"/>
    </xf>
    <xf numFmtId="0" fontId="38" fillId="0" borderId="0" xfId="0" applyFont="1" applyAlignment="1">
      <alignment vertical="center" wrapText="1"/>
    </xf>
    <xf numFmtId="165" fontId="37" fillId="0" borderId="0" xfId="0" applyNumberFormat="1" applyFont="1" applyAlignment="1">
      <alignment vertical="center"/>
    </xf>
    <xf numFmtId="165" fontId="36" fillId="0" borderId="6" xfId="1" applyNumberFormat="1" applyFont="1" applyFill="1" applyBorder="1" applyAlignment="1">
      <alignment horizontal="right" vertical="center" wrapText="1"/>
    </xf>
    <xf numFmtId="165" fontId="38" fillId="0" borderId="0" xfId="0" applyNumberFormat="1" applyFont="1" applyAlignment="1">
      <alignment vertical="center"/>
    </xf>
    <xf numFmtId="1" fontId="36" fillId="0" borderId="6" xfId="3" applyNumberFormat="1" applyFont="1" applyBorder="1" applyAlignment="1">
      <alignment vertical="center" wrapText="1"/>
    </xf>
    <xf numFmtId="0" fontId="36" fillId="0" borderId="6" xfId="3" applyFont="1" applyBorder="1" applyAlignment="1">
      <alignment vertical="center" wrapText="1"/>
    </xf>
    <xf numFmtId="1" fontId="36" fillId="0" borderId="6" xfId="0" applyNumberFormat="1" applyFont="1" applyBorder="1" applyAlignment="1">
      <alignment horizontal="left" vertical="center" wrapText="1"/>
    </xf>
    <xf numFmtId="165" fontId="30" fillId="0" borderId="6" xfId="8" applyNumberFormat="1" applyFont="1" applyFill="1" applyBorder="1" applyAlignment="1">
      <alignment horizontal="right" vertical="center" wrapText="1"/>
    </xf>
    <xf numFmtId="43" fontId="30" fillId="0" borderId="6" xfId="1" applyFont="1" applyBorder="1" applyAlignment="1">
      <alignment vertical="center"/>
    </xf>
    <xf numFmtId="0" fontId="39" fillId="0" borderId="0" xfId="0" applyFont="1" applyAlignment="1">
      <alignment vertical="center" wrapText="1"/>
    </xf>
    <xf numFmtId="0" fontId="38" fillId="0" borderId="1" xfId="0" applyFont="1" applyBorder="1" applyAlignment="1">
      <alignment horizontal="center" vertical="center"/>
    </xf>
    <xf numFmtId="0" fontId="30" fillId="0" borderId="1" xfId="0" applyFont="1" applyBorder="1" applyAlignment="1">
      <alignment horizontal="center" vertical="center"/>
    </xf>
    <xf numFmtId="0" fontId="39" fillId="0" borderId="0" xfId="0" applyFont="1" applyAlignment="1">
      <alignment vertical="center"/>
    </xf>
    <xf numFmtId="0" fontId="30" fillId="0" borderId="6" xfId="0" quotePrefix="1" applyFont="1" applyBorder="1" applyAlignment="1">
      <alignment horizontal="center" vertical="center" wrapText="1"/>
    </xf>
    <xf numFmtId="165" fontId="36" fillId="0" borderId="6" xfId="8" applyNumberFormat="1" applyFont="1" applyFill="1" applyBorder="1" applyAlignment="1">
      <alignment horizontal="right" vertical="center" wrapText="1"/>
    </xf>
    <xf numFmtId="9" fontId="36" fillId="0" borderId="6" xfId="2" applyFont="1" applyFill="1" applyBorder="1" applyAlignment="1">
      <alignment horizontal="right" vertical="center" wrapText="1"/>
    </xf>
    <xf numFmtId="0" fontId="36" fillId="0" borderId="6" xfId="3" applyFont="1" applyBorder="1" applyAlignment="1">
      <alignment horizontal="center" vertical="center" wrapText="1"/>
    </xf>
    <xf numFmtId="165" fontId="36" fillId="0" borderId="6" xfId="8" applyNumberFormat="1" applyFont="1" applyFill="1" applyBorder="1" applyAlignment="1">
      <alignment horizontal="center" vertical="center" wrapText="1"/>
    </xf>
    <xf numFmtId="3" fontId="30" fillId="0" borderId="6" xfId="0" applyNumberFormat="1" applyFont="1" applyBorder="1" applyAlignment="1">
      <alignment vertical="center" wrapText="1"/>
    </xf>
    <xf numFmtId="165" fontId="30" fillId="0" borderId="6" xfId="8" applyNumberFormat="1" applyFont="1" applyFill="1" applyBorder="1" applyAlignment="1">
      <alignment horizontal="center" vertical="center" wrapText="1"/>
    </xf>
    <xf numFmtId="165" fontId="30" fillId="0" borderId="6" xfId="1" applyNumberFormat="1" applyFont="1" applyFill="1" applyBorder="1" applyAlignment="1">
      <alignment horizontal="center" vertical="center" wrapText="1"/>
    </xf>
    <xf numFmtId="165" fontId="30" fillId="0" borderId="6" xfId="1" applyNumberFormat="1" applyFont="1" applyFill="1" applyBorder="1" applyAlignment="1">
      <alignment horizontal="left" vertical="center" wrapText="1"/>
    </xf>
    <xf numFmtId="0" fontId="30" fillId="0" borderId="6" xfId="1" applyNumberFormat="1" applyFont="1" applyFill="1" applyBorder="1" applyAlignment="1">
      <alignment horizontal="left" vertical="center" wrapText="1"/>
    </xf>
    <xf numFmtId="9" fontId="30" fillId="0" borderId="6" xfId="2" applyFont="1" applyFill="1" applyBorder="1" applyAlignment="1">
      <alignment vertical="center"/>
    </xf>
    <xf numFmtId="165" fontId="30" fillId="3" borderId="6" xfId="0" applyNumberFormat="1" applyFont="1" applyFill="1" applyBorder="1" applyAlignment="1">
      <alignment horizontal="right" vertical="center" wrapText="1"/>
    </xf>
    <xf numFmtId="166" fontId="36" fillId="0" borderId="6" xfId="2" applyNumberFormat="1" applyFont="1" applyFill="1" applyBorder="1" applyAlignment="1">
      <alignment horizontal="right" vertical="center" wrapText="1"/>
    </xf>
    <xf numFmtId="0" fontId="36" fillId="0" borderId="6" xfId="0" applyFont="1" applyBorder="1" applyAlignment="1">
      <alignment vertical="center" wrapText="1"/>
    </xf>
    <xf numFmtId="3" fontId="36" fillId="0" borderId="6" xfId="0" applyNumberFormat="1" applyFont="1" applyBorder="1" applyAlignment="1">
      <alignment vertical="center"/>
    </xf>
    <xf numFmtId="165" fontId="36" fillId="0" borderId="6" xfId="1" applyNumberFormat="1" applyFont="1" applyBorder="1" applyAlignment="1">
      <alignment vertical="center"/>
    </xf>
    <xf numFmtId="0" fontId="36" fillId="3" borderId="6" xfId="0" applyFont="1" applyFill="1" applyBorder="1" applyAlignment="1">
      <alignment vertical="center"/>
    </xf>
    <xf numFmtId="0" fontId="36" fillId="3" borderId="6" xfId="0" applyFont="1" applyFill="1" applyBorder="1" applyAlignment="1">
      <alignment horizontal="center" vertical="center"/>
    </xf>
    <xf numFmtId="0" fontId="36" fillId="3" borderId="6" xfId="0" applyFont="1" applyFill="1" applyBorder="1" applyAlignment="1">
      <alignment vertical="center" wrapText="1"/>
    </xf>
    <xf numFmtId="165" fontId="36" fillId="3" borderId="6" xfId="5" applyNumberFormat="1" applyFont="1" applyFill="1" applyBorder="1" applyAlignment="1">
      <alignment horizontal="right" vertical="center" wrapText="1"/>
    </xf>
    <xf numFmtId="165" fontId="36" fillId="3" borderId="6" xfId="8" applyNumberFormat="1" applyFont="1" applyFill="1" applyBorder="1" applyAlignment="1">
      <alignment horizontal="right" vertical="center" wrapText="1"/>
    </xf>
    <xf numFmtId="0" fontId="35" fillId="3" borderId="6" xfId="0" applyFont="1" applyFill="1" applyBorder="1" applyAlignment="1">
      <alignment vertical="center"/>
    </xf>
    <xf numFmtId="9" fontId="36" fillId="3" borderId="6" xfId="2" applyFont="1" applyFill="1" applyBorder="1" applyAlignment="1">
      <alignment horizontal="right" vertical="center"/>
    </xf>
    <xf numFmtId="166" fontId="36" fillId="3" borderId="6" xfId="2" applyNumberFormat="1" applyFont="1" applyFill="1" applyBorder="1" applyAlignment="1">
      <alignment horizontal="right" vertical="center"/>
    </xf>
    <xf numFmtId="165" fontId="36" fillId="3" borderId="6" xfId="1" applyNumberFormat="1" applyFont="1" applyFill="1" applyBorder="1" applyAlignment="1">
      <alignment horizontal="right" vertical="center"/>
    </xf>
    <xf numFmtId="0" fontId="25" fillId="3" borderId="0" xfId="0" applyFont="1" applyFill="1" applyAlignment="1">
      <alignment vertical="center" wrapText="1"/>
    </xf>
    <xf numFmtId="0" fontId="37" fillId="3" borderId="1" xfId="0" applyFont="1" applyFill="1" applyBorder="1" applyAlignment="1">
      <alignment horizontal="center" vertical="center"/>
    </xf>
    <xf numFmtId="0" fontId="36" fillId="3" borderId="1" xfId="0" applyFont="1" applyFill="1" applyBorder="1" applyAlignment="1">
      <alignment horizontal="center" vertical="center"/>
    </xf>
    <xf numFmtId="0" fontId="36" fillId="3" borderId="0" xfId="0" applyFont="1" applyFill="1" applyAlignment="1">
      <alignment horizontal="center" vertical="center"/>
    </xf>
    <xf numFmtId="0" fontId="25" fillId="3" borderId="0" xfId="0" applyFont="1" applyFill="1" applyAlignment="1">
      <alignment vertical="center"/>
    </xf>
    <xf numFmtId="165" fontId="30" fillId="3" borderId="0" xfId="0" applyNumberFormat="1" applyFont="1" applyFill="1" applyAlignment="1">
      <alignment horizontal="center" vertical="center"/>
    </xf>
    <xf numFmtId="166" fontId="30" fillId="3" borderId="0" xfId="2" applyNumberFormat="1" applyFont="1" applyFill="1" applyAlignment="1">
      <alignment horizontal="center" vertical="center"/>
    </xf>
    <xf numFmtId="168" fontId="36" fillId="0" borderId="6" xfId="0" applyNumberFormat="1" applyFont="1" applyBorder="1" applyAlignment="1">
      <alignment vertical="center"/>
    </xf>
    <xf numFmtId="0" fontId="36" fillId="0" borderId="6" xfId="9" applyFont="1" applyBorder="1" applyAlignment="1">
      <alignment vertical="center" wrapText="1"/>
    </xf>
    <xf numFmtId="0" fontId="41" fillId="0" borderId="0" xfId="0" applyFont="1" applyAlignment="1">
      <alignment vertical="center" wrapText="1"/>
    </xf>
    <xf numFmtId="0" fontId="32" fillId="0" borderId="0" xfId="0" applyFont="1" applyAlignment="1">
      <alignment vertical="center" wrapText="1"/>
    </xf>
    <xf numFmtId="9" fontId="36" fillId="7" borderId="6" xfId="2" applyFont="1" applyFill="1" applyBorder="1" applyAlignment="1">
      <alignment horizontal="right" vertical="center"/>
    </xf>
    <xf numFmtId="166" fontId="36" fillId="7" borderId="6" xfId="2" applyNumberFormat="1" applyFont="1" applyFill="1" applyBorder="1" applyAlignment="1">
      <alignment horizontal="right" vertical="center"/>
    </xf>
    <xf numFmtId="165" fontId="30" fillId="6" borderId="6" xfId="0" applyNumberFormat="1" applyFont="1" applyFill="1" applyBorder="1" applyAlignment="1">
      <alignment vertical="center"/>
    </xf>
    <xf numFmtId="165" fontId="36" fillId="7" borderId="6" xfId="1" applyNumberFormat="1" applyFont="1" applyFill="1" applyBorder="1" applyAlignment="1">
      <alignment horizontal="right" vertical="center"/>
    </xf>
    <xf numFmtId="166" fontId="30" fillId="7" borderId="6" xfId="2" applyNumberFormat="1" applyFont="1" applyFill="1" applyBorder="1" applyAlignment="1">
      <alignment horizontal="right" vertical="center"/>
    </xf>
    <xf numFmtId="165" fontId="30" fillId="7" borderId="6" xfId="1" applyNumberFormat="1" applyFont="1" applyFill="1" applyBorder="1" applyAlignment="1">
      <alignment horizontal="right" vertical="center"/>
    </xf>
    <xf numFmtId="9" fontId="30" fillId="7" borderId="6" xfId="2" applyFont="1" applyFill="1" applyBorder="1" applyAlignment="1">
      <alignment horizontal="right" vertical="center"/>
    </xf>
    <xf numFmtId="9" fontId="30" fillId="6" borderId="6" xfId="2" applyFont="1" applyFill="1" applyBorder="1" applyAlignment="1">
      <alignment horizontal="right" vertical="center"/>
    </xf>
    <xf numFmtId="166" fontId="30" fillId="6" borderId="6" xfId="2" applyNumberFormat="1" applyFont="1" applyFill="1" applyBorder="1" applyAlignment="1">
      <alignment horizontal="right" vertical="center"/>
    </xf>
    <xf numFmtId="165" fontId="30" fillId="6" borderId="6" xfId="1" applyNumberFormat="1" applyFont="1" applyFill="1" applyBorder="1" applyAlignment="1">
      <alignment horizontal="right" vertical="center"/>
    </xf>
    <xf numFmtId="0" fontId="36" fillId="6" borderId="6" xfId="0" applyFont="1" applyFill="1" applyBorder="1" applyAlignment="1">
      <alignment vertical="center"/>
    </xf>
    <xf numFmtId="165" fontId="35" fillId="0" borderId="6" xfId="1" applyNumberFormat="1" applyFont="1" applyFill="1" applyBorder="1" applyAlignment="1">
      <alignment vertical="center"/>
    </xf>
    <xf numFmtId="165" fontId="31" fillId="0" borderId="6" xfId="1" applyNumberFormat="1" applyFont="1" applyFill="1" applyBorder="1" applyAlignment="1">
      <alignment horizontal="right" vertical="center" wrapText="1"/>
    </xf>
    <xf numFmtId="0" fontId="35" fillId="0" borderId="6" xfId="0" quotePrefix="1" applyFont="1" applyBorder="1" applyAlignment="1">
      <alignment horizontal="center" vertical="center" wrapText="1"/>
    </xf>
    <xf numFmtId="0" fontId="35" fillId="0" borderId="6" xfId="0" applyFont="1" applyBorder="1" applyAlignment="1">
      <alignment vertical="center" wrapText="1"/>
    </xf>
    <xf numFmtId="165" fontId="35" fillId="0" borderId="6" xfId="1" applyNumberFormat="1" applyFont="1" applyFill="1" applyBorder="1" applyAlignment="1">
      <alignment horizontal="right" vertical="center" wrapText="1"/>
    </xf>
    <xf numFmtId="9" fontId="35" fillId="0" borderId="6" xfId="2" applyFont="1" applyFill="1" applyBorder="1" applyAlignment="1">
      <alignment horizontal="right" vertical="center"/>
    </xf>
    <xf numFmtId="166" fontId="35" fillId="0" borderId="6" xfId="2" applyNumberFormat="1" applyFont="1" applyFill="1" applyBorder="1" applyAlignment="1">
      <alignment horizontal="right" vertical="center"/>
    </xf>
    <xf numFmtId="165" fontId="35" fillId="0" borderId="6" xfId="1" applyNumberFormat="1" applyFont="1" applyFill="1" applyBorder="1" applyAlignment="1">
      <alignment horizontal="right" vertical="center"/>
    </xf>
    <xf numFmtId="9" fontId="35" fillId="0" borderId="6" xfId="0" applyNumberFormat="1" applyFont="1" applyBorder="1" applyAlignment="1">
      <alignment horizontal="right" vertical="center"/>
    </xf>
    <xf numFmtId="0" fontId="35" fillId="0" borderId="6" xfId="0" applyFont="1" applyBorder="1" applyAlignment="1">
      <alignment horizontal="center" vertical="center"/>
    </xf>
    <xf numFmtId="166" fontId="35" fillId="0" borderId="6" xfId="2" applyNumberFormat="1" applyFont="1" applyBorder="1" applyAlignment="1">
      <alignment horizontal="right" vertical="center"/>
    </xf>
    <xf numFmtId="165" fontId="30" fillId="3" borderId="6" xfId="5" applyNumberFormat="1" applyFont="1" applyFill="1" applyBorder="1" applyAlignment="1">
      <alignment horizontal="right" vertical="center" wrapText="1"/>
    </xf>
    <xf numFmtId="165" fontId="31" fillId="0" borderId="6" xfId="5" applyNumberFormat="1" applyFont="1" applyFill="1" applyBorder="1" applyAlignment="1">
      <alignment horizontal="right" vertical="center" wrapText="1"/>
    </xf>
    <xf numFmtId="0" fontId="30" fillId="3" borderId="6" xfId="0" applyFont="1" applyFill="1" applyBorder="1" applyAlignment="1">
      <alignment horizontal="center" vertical="center"/>
    </xf>
    <xf numFmtId="165" fontId="35" fillId="0" borderId="6" xfId="5" applyNumberFormat="1" applyFont="1" applyFill="1" applyBorder="1" applyAlignment="1">
      <alignment horizontal="right" vertical="center" wrapText="1"/>
    </xf>
    <xf numFmtId="1" fontId="35" fillId="0" borderId="6" xfId="0" applyNumberFormat="1" applyFont="1" applyBorder="1" applyAlignment="1">
      <alignment vertical="center" wrapText="1"/>
    </xf>
    <xf numFmtId="9" fontId="35" fillId="0" borderId="6" xfId="2" applyFont="1" applyFill="1" applyBorder="1" applyAlignment="1">
      <alignment horizontal="right" vertical="center" wrapText="1"/>
    </xf>
    <xf numFmtId="166" fontId="35" fillId="0" borderId="6" xfId="2" applyNumberFormat="1" applyFont="1" applyBorder="1" applyAlignment="1">
      <alignment horizontal="right" vertical="center" wrapText="1"/>
    </xf>
    <xf numFmtId="1" fontId="36" fillId="0" borderId="6" xfId="0" applyNumberFormat="1" applyFont="1" applyBorder="1" applyAlignment="1">
      <alignment vertical="center"/>
    </xf>
    <xf numFmtId="9" fontId="35" fillId="0" borderId="6" xfId="0" applyNumberFormat="1" applyFont="1" applyBorder="1" applyAlignment="1">
      <alignment horizontal="right" vertical="center" wrapText="1"/>
    </xf>
    <xf numFmtId="0" fontId="42" fillId="0" borderId="0" xfId="0" applyFont="1" applyAlignment="1">
      <alignment vertical="center" wrapText="1"/>
    </xf>
    <xf numFmtId="0" fontId="42" fillId="0" borderId="0" xfId="0" applyFont="1" applyAlignment="1">
      <alignment vertical="center"/>
    </xf>
    <xf numFmtId="0" fontId="36" fillId="0" borderId="6" xfId="0" applyFont="1" applyBorder="1" applyAlignment="1">
      <alignment horizontal="justify" vertical="center" wrapText="1"/>
    </xf>
    <xf numFmtId="166" fontId="36" fillId="0" borderId="6" xfId="2" applyNumberFormat="1" applyFont="1" applyBorder="1" applyAlignment="1">
      <alignment horizontal="right" vertical="center"/>
    </xf>
    <xf numFmtId="9" fontId="36" fillId="0" borderId="6" xfId="0" applyNumberFormat="1" applyFont="1" applyBorder="1" applyAlignment="1">
      <alignment horizontal="right" vertical="center"/>
    </xf>
    <xf numFmtId="166" fontId="30" fillId="0" borderId="6" xfId="2" applyNumberFormat="1" applyFont="1" applyBorder="1" applyAlignment="1">
      <alignment horizontal="right" vertical="center" wrapText="1"/>
    </xf>
    <xf numFmtId="9" fontId="30" fillId="0" borderId="6" xfId="0" applyNumberFormat="1" applyFont="1" applyBorder="1" applyAlignment="1">
      <alignment horizontal="right" vertical="center" wrapText="1"/>
    </xf>
    <xf numFmtId="166" fontId="30" fillId="0" borderId="6" xfId="2" applyNumberFormat="1" applyFont="1" applyBorder="1" applyAlignment="1">
      <alignment horizontal="right" vertical="center"/>
    </xf>
    <xf numFmtId="9" fontId="30" fillId="0" borderId="6" xfId="0" applyNumberFormat="1" applyFont="1" applyBorder="1" applyAlignment="1">
      <alignment horizontal="right" vertical="center"/>
    </xf>
    <xf numFmtId="165" fontId="30" fillId="0" borderId="6" xfId="1" applyNumberFormat="1" applyFont="1" applyFill="1" applyBorder="1" applyAlignment="1">
      <alignment horizontal="center" vertical="center"/>
    </xf>
    <xf numFmtId="3" fontId="36" fillId="0" borderId="6" xfId="0" applyNumberFormat="1" applyFont="1" applyBorder="1" applyAlignment="1">
      <alignment horizontal="right" vertical="center"/>
    </xf>
    <xf numFmtId="165" fontId="30" fillId="3" borderId="6" xfId="1" applyNumberFormat="1" applyFont="1" applyFill="1" applyBorder="1" applyAlignment="1">
      <alignment horizontal="right" vertical="center" wrapText="1"/>
    </xf>
    <xf numFmtId="165" fontId="25" fillId="0" borderId="0" xfId="0" applyNumberFormat="1" applyFont="1" applyAlignment="1">
      <alignment vertical="center"/>
    </xf>
    <xf numFmtId="3" fontId="25" fillId="0" borderId="0" xfId="0" applyNumberFormat="1" applyFont="1" applyAlignment="1">
      <alignment vertical="center"/>
    </xf>
    <xf numFmtId="4" fontId="42" fillId="0" borderId="0" xfId="0" applyNumberFormat="1" applyFont="1" applyAlignment="1">
      <alignment vertical="center"/>
    </xf>
    <xf numFmtId="43" fontId="25" fillId="0" borderId="0" xfId="0" applyNumberFormat="1" applyFont="1" applyAlignment="1">
      <alignment vertical="center"/>
    </xf>
    <xf numFmtId="165" fontId="42" fillId="0" borderId="0" xfId="0" applyNumberFormat="1" applyFont="1" applyAlignment="1">
      <alignment vertical="center"/>
    </xf>
    <xf numFmtId="0" fontId="43" fillId="0" borderId="1" xfId="0" applyFont="1" applyBorder="1" applyAlignment="1">
      <alignment horizontal="center" vertical="center"/>
    </xf>
    <xf numFmtId="0" fontId="35" fillId="0" borderId="1" xfId="0" applyFont="1" applyBorder="1" applyAlignment="1">
      <alignment horizontal="center" vertical="center"/>
    </xf>
    <xf numFmtId="0" fontId="35" fillId="0" borderId="0" xfId="0" applyFont="1" applyAlignment="1">
      <alignment horizontal="center" vertical="center"/>
    </xf>
    <xf numFmtId="0" fontId="30" fillId="8" borderId="6" xfId="0" applyFont="1" applyFill="1" applyBorder="1" applyAlignment="1">
      <alignment horizontal="center" vertical="center"/>
    </xf>
    <xf numFmtId="0" fontId="30" fillId="8" borderId="6" xfId="0" applyFont="1" applyFill="1" applyBorder="1" applyAlignment="1">
      <alignment vertical="center" wrapText="1"/>
    </xf>
    <xf numFmtId="165" fontId="35" fillId="0" borderId="6" xfId="0" applyNumberFormat="1" applyFont="1" applyBorder="1" applyAlignment="1">
      <alignment vertical="center"/>
    </xf>
    <xf numFmtId="165" fontId="31" fillId="3" borderId="6" xfId="5" applyNumberFormat="1" applyFont="1" applyFill="1" applyBorder="1" applyAlignment="1">
      <alignment horizontal="right" vertical="center" wrapText="1"/>
    </xf>
    <xf numFmtId="9" fontId="34" fillId="0" borderId="6" xfId="0" applyNumberFormat="1" applyFont="1" applyBorder="1" applyAlignment="1">
      <alignment horizontal="right" vertical="center" wrapText="1"/>
    </xf>
    <xf numFmtId="0" fontId="30" fillId="7" borderId="6" xfId="0" applyFont="1" applyFill="1" applyBorder="1" applyAlignment="1">
      <alignment horizontal="center" vertical="center"/>
    </xf>
    <xf numFmtId="37" fontId="35" fillId="0" borderId="6" xfId="1" applyNumberFormat="1" applyFont="1" applyFill="1" applyBorder="1" applyAlignment="1">
      <alignment horizontal="right" vertical="center" wrapText="1"/>
    </xf>
    <xf numFmtId="37" fontId="36" fillId="7" borderId="6" xfId="1" applyNumberFormat="1" applyFont="1" applyFill="1" applyBorder="1" applyAlignment="1">
      <alignment horizontal="right" vertical="center" wrapText="1"/>
    </xf>
    <xf numFmtId="37" fontId="35" fillId="7" borderId="6" xfId="1" applyNumberFormat="1" applyFont="1" applyFill="1" applyBorder="1" applyAlignment="1">
      <alignment horizontal="right" vertical="center" wrapText="1"/>
    </xf>
    <xf numFmtId="37" fontId="30" fillId="6" borderId="6" xfId="1" applyNumberFormat="1" applyFont="1" applyFill="1" applyBorder="1" applyAlignment="1">
      <alignment horizontal="right" vertical="center" wrapText="1"/>
    </xf>
    <xf numFmtId="9" fontId="34" fillId="0" borderId="6" xfId="2" applyFont="1" applyFill="1" applyBorder="1" applyAlignment="1">
      <alignment horizontal="right" vertical="center" wrapText="1"/>
    </xf>
    <xf numFmtId="166" fontId="34" fillId="0" borderId="6" xfId="2" applyNumberFormat="1" applyFont="1" applyFill="1" applyBorder="1" applyAlignment="1">
      <alignment horizontal="right" vertical="center" wrapText="1"/>
    </xf>
    <xf numFmtId="165" fontId="34" fillId="0" borderId="6" xfId="1" applyNumberFormat="1" applyFont="1" applyFill="1" applyBorder="1" applyAlignment="1">
      <alignment horizontal="right" vertical="center" wrapText="1"/>
    </xf>
    <xf numFmtId="165" fontId="36" fillId="0" borderId="6" xfId="0" applyNumberFormat="1" applyFont="1" applyBorder="1" applyAlignment="1">
      <alignment horizontal="center" vertical="center"/>
    </xf>
    <xf numFmtId="165" fontId="44" fillId="0" borderId="6" xfId="1" applyNumberFormat="1" applyFont="1" applyFill="1" applyBorder="1" applyAlignment="1">
      <alignment vertical="center"/>
    </xf>
    <xf numFmtId="0" fontId="42" fillId="0" borderId="0" xfId="0" applyFont="1" applyAlignment="1">
      <alignment vertical="top" wrapText="1"/>
    </xf>
    <xf numFmtId="0" fontId="37" fillId="0" borderId="1" xfId="0" applyFont="1" applyBorder="1" applyAlignment="1">
      <alignment horizontal="center" vertical="top"/>
    </xf>
    <xf numFmtId="0" fontId="36" fillId="0" borderId="1" xfId="0" applyFont="1" applyBorder="1" applyAlignment="1">
      <alignment horizontal="center" vertical="top"/>
    </xf>
    <xf numFmtId="0" fontId="42" fillId="0" borderId="0" xfId="0" applyFont="1" applyAlignment="1">
      <alignment vertical="top"/>
    </xf>
    <xf numFmtId="0" fontId="25" fillId="0" borderId="0" xfId="0" applyFont="1" applyAlignment="1">
      <alignment vertical="top" wrapText="1"/>
    </xf>
    <xf numFmtId="0" fontId="25" fillId="0" borderId="0" xfId="0" applyFont="1" applyAlignment="1">
      <alignment vertical="top"/>
    </xf>
    <xf numFmtId="165" fontId="35" fillId="0" borderId="6" xfId="1" applyNumberFormat="1" applyFont="1" applyFill="1" applyBorder="1" applyAlignment="1">
      <alignment horizontal="left" vertical="center"/>
    </xf>
    <xf numFmtId="0" fontId="35" fillId="0" borderId="6" xfId="0" applyFont="1" applyBorder="1" applyAlignment="1">
      <alignment horizontal="left" vertical="center" wrapText="1"/>
    </xf>
    <xf numFmtId="165" fontId="35" fillId="0" borderId="6" xfId="1" applyNumberFormat="1" applyFont="1" applyFill="1" applyBorder="1" applyAlignment="1">
      <alignment horizontal="left" vertical="center" wrapText="1"/>
    </xf>
    <xf numFmtId="0" fontId="35" fillId="0" borderId="6" xfId="0" applyFont="1" applyBorder="1" applyAlignment="1">
      <alignment horizontal="left" vertical="center"/>
    </xf>
    <xf numFmtId="0" fontId="36" fillId="0" borderId="6" xfId="0" applyFont="1" applyBorder="1" applyAlignment="1">
      <alignment horizontal="left" vertical="center"/>
    </xf>
    <xf numFmtId="0" fontId="25" fillId="0" borderId="0" xfId="0" applyFont="1" applyAlignment="1">
      <alignment horizontal="left" vertical="center" wrapText="1"/>
    </xf>
    <xf numFmtId="0" fontId="37" fillId="0" borderId="1" xfId="0" applyFont="1" applyBorder="1" applyAlignment="1">
      <alignment horizontal="left" vertical="center"/>
    </xf>
    <xf numFmtId="0" fontId="36" fillId="0" borderId="1" xfId="0" applyFont="1" applyBorder="1" applyAlignment="1">
      <alignment horizontal="left" vertical="center"/>
    </xf>
    <xf numFmtId="0" fontId="25" fillId="0" borderId="0" xfId="0" applyFont="1" applyAlignment="1">
      <alignment horizontal="left" vertical="center"/>
    </xf>
    <xf numFmtId="166" fontId="36" fillId="0" borderId="6" xfId="2" applyNumberFormat="1" applyFont="1" applyBorder="1" applyAlignment="1">
      <alignment horizontal="right" vertical="center" wrapText="1"/>
    </xf>
    <xf numFmtId="37" fontId="30" fillId="0" borderId="6" xfId="1" applyNumberFormat="1" applyFont="1" applyFill="1" applyBorder="1" applyAlignment="1">
      <alignment horizontal="right" vertical="center" wrapText="1"/>
    </xf>
    <xf numFmtId="9" fontId="36" fillId="0" borderId="6" xfId="0" applyNumberFormat="1" applyFont="1" applyBorder="1" applyAlignment="1">
      <alignment horizontal="right" vertical="center" wrapText="1"/>
    </xf>
    <xf numFmtId="165" fontId="36" fillId="0" borderId="0" xfId="0" applyNumberFormat="1" applyFont="1" applyAlignment="1">
      <alignment horizontal="center" vertical="center"/>
    </xf>
    <xf numFmtId="166" fontId="36" fillId="0" borderId="0" xfId="2" applyNumberFormat="1" applyFont="1" applyAlignment="1">
      <alignment horizontal="center" vertical="center"/>
    </xf>
    <xf numFmtId="165" fontId="36" fillId="0" borderId="0" xfId="1" applyNumberFormat="1" applyFont="1" applyAlignment="1">
      <alignment horizontal="center" vertical="center"/>
    </xf>
    <xf numFmtId="0" fontId="35" fillId="0" borderId="23" xfId="0" applyFont="1" applyBorder="1"/>
    <xf numFmtId="0" fontId="45" fillId="0" borderId="0" xfId="0" applyFont="1" applyAlignment="1">
      <alignment vertical="center" wrapText="1"/>
    </xf>
    <xf numFmtId="0" fontId="45" fillId="0" borderId="0" xfId="0" applyFont="1" applyAlignment="1">
      <alignment vertical="center"/>
    </xf>
    <xf numFmtId="0" fontId="37" fillId="0" borderId="0" xfId="0" applyFont="1" applyAlignment="1">
      <alignment horizontal="center" vertical="center"/>
    </xf>
    <xf numFmtId="165" fontId="36" fillId="0" borderId="24" xfId="1" applyNumberFormat="1" applyFont="1" applyFill="1" applyBorder="1" applyAlignment="1">
      <alignment vertical="center"/>
    </xf>
    <xf numFmtId="0" fontId="36" fillId="0" borderId="24" xfId="0" applyFont="1" applyBorder="1" applyAlignment="1">
      <alignment horizontal="center" vertical="center"/>
    </xf>
    <xf numFmtId="0" fontId="36" fillId="0" borderId="24" xfId="0" applyFont="1" applyBorder="1" applyAlignment="1">
      <alignment vertical="center" wrapText="1"/>
    </xf>
    <xf numFmtId="0" fontId="35" fillId="0" borderId="24" xfId="0" applyFont="1" applyBorder="1" applyAlignment="1">
      <alignment vertical="center"/>
    </xf>
    <xf numFmtId="0" fontId="36" fillId="0" borderId="24" xfId="0" applyFont="1" applyBorder="1" applyAlignment="1">
      <alignment vertical="center"/>
    </xf>
    <xf numFmtId="9" fontId="36" fillId="0" borderId="24" xfId="2" applyFont="1" applyFill="1" applyBorder="1" applyAlignment="1">
      <alignment horizontal="right" vertical="center"/>
    </xf>
    <xf numFmtId="166" fontId="36" fillId="0" borderId="24" xfId="2" applyNumberFormat="1" applyFont="1" applyFill="1" applyBorder="1" applyAlignment="1">
      <alignment horizontal="right" vertical="center"/>
    </xf>
    <xf numFmtId="165" fontId="36" fillId="0" borderId="24" xfId="1" applyNumberFormat="1" applyFont="1" applyFill="1" applyBorder="1" applyAlignment="1">
      <alignment horizontal="right" vertical="center"/>
    </xf>
    <xf numFmtId="0" fontId="44" fillId="0" borderId="0" xfId="0" applyFont="1" applyAlignment="1">
      <alignment vertical="center"/>
    </xf>
    <xf numFmtId="165" fontId="36" fillId="0" borderId="0" xfId="1" applyNumberFormat="1" applyFont="1" applyAlignment="1">
      <alignment horizontal="right" vertical="center"/>
    </xf>
    <xf numFmtId="166" fontId="36" fillId="0" borderId="0" xfId="2" applyNumberFormat="1" applyFont="1" applyAlignment="1">
      <alignment horizontal="right" vertical="center"/>
    </xf>
    <xf numFmtId="9" fontId="36" fillId="0" borderId="0" xfId="2" applyFont="1" applyAlignment="1">
      <alignment horizontal="right" vertical="center"/>
    </xf>
    <xf numFmtId="0" fontId="36" fillId="0" borderId="0" xfId="0" applyFont="1" applyAlignment="1">
      <alignment horizontal="right" vertical="center"/>
    </xf>
    <xf numFmtId="0" fontId="46" fillId="0" borderId="0" xfId="0" applyFont="1" applyAlignment="1">
      <alignment vertical="center"/>
    </xf>
    <xf numFmtId="165" fontId="25" fillId="0" borderId="0" xfId="1" applyNumberFormat="1" applyFont="1" applyAlignment="1">
      <alignment horizontal="right" vertical="center"/>
    </xf>
    <xf numFmtId="166" fontId="25" fillId="0" borderId="0" xfId="2" applyNumberFormat="1" applyFont="1" applyAlignment="1">
      <alignment horizontal="right" vertical="center"/>
    </xf>
    <xf numFmtId="9" fontId="25" fillId="0" borderId="0" xfId="2" applyFont="1" applyAlignment="1">
      <alignment horizontal="right" vertical="center"/>
    </xf>
    <xf numFmtId="0" fontId="25" fillId="0" borderId="0" xfId="0" applyFont="1" applyAlignment="1">
      <alignment horizontal="right" vertical="center"/>
    </xf>
    <xf numFmtId="165" fontId="36" fillId="0" borderId="6" xfId="1" applyNumberFormat="1" applyFont="1" applyFill="1" applyBorder="1" applyAlignment="1">
      <alignment vertical="center"/>
    </xf>
    <xf numFmtId="37" fontId="36" fillId="0" borderId="6" xfId="1" applyNumberFormat="1" applyFont="1" applyFill="1" applyBorder="1" applyAlignment="1">
      <alignment horizontal="right" vertical="center" wrapText="1"/>
    </xf>
    <xf numFmtId="165" fontId="30" fillId="0" borderId="6" xfId="1" applyNumberFormat="1" applyFont="1" applyBorder="1" applyAlignment="1">
      <alignment vertical="center"/>
    </xf>
    <xf numFmtId="3" fontId="15" fillId="0" borderId="5" xfId="0" quotePrefix="1" applyNumberFormat="1" applyFont="1" applyBorder="1" applyAlignment="1">
      <alignment horizontal="right" vertical="center" wrapText="1"/>
    </xf>
    <xf numFmtId="0" fontId="30" fillId="0" borderId="3" xfId="0" applyFont="1" applyBorder="1" applyAlignment="1">
      <alignment horizontal="center" vertical="center" wrapText="1"/>
    </xf>
    <xf numFmtId="3" fontId="33" fillId="0" borderId="25" xfId="0" applyNumberFormat="1" applyFont="1" applyBorder="1" applyAlignment="1">
      <alignment horizontal="right" vertical="center" wrapText="1"/>
    </xf>
    <xf numFmtId="3" fontId="33" fillId="0" borderId="26" xfId="0" applyNumberFormat="1" applyFont="1" applyBorder="1" applyAlignment="1">
      <alignment horizontal="right" vertical="center" wrapText="1"/>
    </xf>
    <xf numFmtId="0" fontId="33" fillId="0" borderId="26" xfId="0" applyFont="1" applyBorder="1" applyAlignment="1">
      <alignment horizontal="right" vertical="center" wrapText="1"/>
    </xf>
    <xf numFmtId="0" fontId="30" fillId="9" borderId="6" xfId="0" applyFont="1" applyFill="1" applyBorder="1" applyAlignment="1">
      <alignment horizontal="left" vertical="center" wrapText="1"/>
    </xf>
    <xf numFmtId="0" fontId="30" fillId="9" borderId="6" xfId="0" applyFont="1" applyFill="1" applyBorder="1" applyAlignment="1">
      <alignment horizontal="center" vertical="center" wrapText="1"/>
    </xf>
    <xf numFmtId="165" fontId="30" fillId="9" borderId="6" xfId="5" applyNumberFormat="1" applyFont="1" applyFill="1" applyBorder="1" applyAlignment="1">
      <alignment horizontal="right" vertical="center" wrapText="1"/>
    </xf>
    <xf numFmtId="166" fontId="30" fillId="9" borderId="6" xfId="2" applyNumberFormat="1" applyFont="1" applyFill="1" applyBorder="1" applyAlignment="1">
      <alignment horizontal="right" vertical="center" wrapText="1"/>
    </xf>
    <xf numFmtId="165" fontId="30" fillId="9" borderId="6" xfId="1" applyNumberFormat="1" applyFont="1" applyFill="1" applyBorder="1" applyAlignment="1">
      <alignment horizontal="right" vertical="center" wrapText="1"/>
    </xf>
    <xf numFmtId="9" fontId="30" fillId="9" borderId="6" xfId="2" applyFont="1" applyFill="1" applyBorder="1" applyAlignment="1">
      <alignment horizontal="right" vertical="center" wrapText="1"/>
    </xf>
    <xf numFmtId="0" fontId="30" fillId="9" borderId="6" xfId="0" applyFont="1" applyFill="1" applyBorder="1" applyAlignment="1">
      <alignment horizontal="center" vertical="center"/>
    </xf>
    <xf numFmtId="165" fontId="30" fillId="0" borderId="6" xfId="2" applyNumberFormat="1" applyFont="1" applyFill="1" applyBorder="1" applyAlignment="1">
      <alignment horizontal="right" vertical="center" wrapText="1"/>
    </xf>
    <xf numFmtId="166" fontId="30" fillId="0" borderId="0" xfId="2" applyNumberFormat="1" applyFont="1" applyAlignment="1">
      <alignment vertical="center"/>
    </xf>
    <xf numFmtId="3" fontId="0" fillId="0" borderId="0" xfId="0" applyNumberFormat="1"/>
    <xf numFmtId="165" fontId="30" fillId="3" borderId="0" xfId="1" applyNumberFormat="1" applyFont="1" applyFill="1" applyAlignment="1">
      <alignment vertical="center"/>
    </xf>
    <xf numFmtId="165" fontId="38" fillId="0" borderId="0" xfId="1" applyNumberFormat="1" applyFont="1" applyAlignment="1">
      <alignment vertical="center"/>
    </xf>
    <xf numFmtId="165" fontId="38" fillId="3" borderId="0" xfId="1" applyNumberFormat="1" applyFont="1" applyFill="1" applyAlignment="1">
      <alignment vertical="center"/>
    </xf>
    <xf numFmtId="165" fontId="31" fillId="0" borderId="0" xfId="1" applyNumberFormat="1" applyFont="1" applyAlignment="1">
      <alignment horizontal="center" vertical="center"/>
    </xf>
    <xf numFmtId="10" fontId="37" fillId="0" borderId="0" xfId="2" applyNumberFormat="1" applyFont="1" applyAlignment="1">
      <alignment vertical="center"/>
    </xf>
    <xf numFmtId="3" fontId="5" fillId="0" borderId="0" xfId="0" applyNumberFormat="1" applyFont="1"/>
    <xf numFmtId="0" fontId="49" fillId="0" borderId="0" xfId="0" applyFont="1" applyAlignment="1">
      <alignment vertical="center"/>
    </xf>
    <xf numFmtId="166" fontId="41" fillId="0" borderId="0" xfId="2" applyNumberFormat="1" applyFont="1" applyAlignment="1">
      <alignment horizontal="right" vertical="center"/>
    </xf>
    <xf numFmtId="0" fontId="51" fillId="0" borderId="0" xfId="10" applyFont="1"/>
    <xf numFmtId="0" fontId="53" fillId="0" borderId="0" xfId="0" applyFont="1" applyAlignment="1">
      <alignment horizontal="left" vertical="center"/>
    </xf>
    <xf numFmtId="0" fontId="54" fillId="0" borderId="0" xfId="0" applyFont="1" applyAlignment="1">
      <alignment horizontal="left" vertical="center" wrapText="1"/>
    </xf>
    <xf numFmtId="0" fontId="49" fillId="0" borderId="0" xfId="0" applyFont="1" applyAlignment="1">
      <alignment horizontal="right" vertical="center"/>
    </xf>
    <xf numFmtId="0" fontId="41" fillId="0" borderId="0" xfId="0" applyFont="1" applyAlignment="1">
      <alignment horizontal="right" vertical="center"/>
    </xf>
    <xf numFmtId="3" fontId="56" fillId="0" borderId="1" xfId="10" applyNumberFormat="1" applyFont="1" applyFill="1" applyBorder="1" applyAlignment="1">
      <alignment horizontal="right" vertical="center"/>
    </xf>
    <xf numFmtId="0" fontId="56" fillId="0" borderId="1" xfId="10" applyFont="1" applyFill="1" applyBorder="1" applyAlignment="1">
      <alignment horizontal="left" vertical="center"/>
    </xf>
    <xf numFmtId="3" fontId="50" fillId="0" borderId="1" xfId="10" applyNumberFormat="1" applyFont="1" applyFill="1" applyBorder="1" applyAlignment="1">
      <alignment horizontal="right" vertical="center"/>
    </xf>
    <xf numFmtId="0" fontId="50" fillId="0" borderId="1" xfId="10" applyFont="1" applyFill="1" applyBorder="1" applyAlignment="1">
      <alignment horizontal="center" vertical="center"/>
    </xf>
    <xf numFmtId="0" fontId="50" fillId="0" borderId="1" xfId="10" applyFont="1" applyFill="1" applyBorder="1" applyAlignment="1">
      <alignment horizontal="left" vertical="center" wrapText="1"/>
    </xf>
    <xf numFmtId="3" fontId="56" fillId="0" borderId="1" xfId="10" applyNumberFormat="1" applyFont="1" applyFill="1" applyBorder="1" applyAlignment="1">
      <alignment horizontal="center" vertical="center" wrapText="1"/>
    </xf>
    <xf numFmtId="0" fontId="51" fillId="0" borderId="0" xfId="10" applyFont="1" applyAlignment="1">
      <alignment wrapText="1"/>
    </xf>
    <xf numFmtId="0" fontId="57" fillId="0" borderId="1" xfId="10" applyFont="1" applyFill="1" applyBorder="1" applyAlignment="1">
      <alignment horizontal="center" vertical="center" wrapText="1"/>
    </xf>
    <xf numFmtId="3" fontId="57" fillId="0" borderId="1" xfId="10" applyNumberFormat="1" applyFont="1" applyFill="1" applyBorder="1" applyAlignment="1">
      <alignment horizontal="center" vertical="center" wrapText="1"/>
    </xf>
    <xf numFmtId="0" fontId="59" fillId="0" borderId="0" xfId="10" applyFont="1" applyAlignment="1">
      <alignment wrapText="1"/>
    </xf>
    <xf numFmtId="165" fontId="55" fillId="0" borderId="0" xfId="1" applyNumberFormat="1" applyFont="1" applyAlignment="1">
      <alignment vertical="center"/>
    </xf>
    <xf numFmtId="165" fontId="60" fillId="0" borderId="0" xfId="1" applyNumberFormat="1" applyFont="1" applyAlignment="1">
      <alignment vertical="center"/>
    </xf>
    <xf numFmtId="0" fontId="56" fillId="0" borderId="1" xfId="10" applyFont="1" applyFill="1" applyBorder="1" applyAlignment="1">
      <alignment horizontal="center" vertical="center" wrapText="1"/>
    </xf>
    <xf numFmtId="0" fontId="56" fillId="0" borderId="1" xfId="10" applyFont="1" applyFill="1" applyBorder="1" applyAlignment="1">
      <alignment horizontal="center" vertical="center"/>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21" fillId="0" borderId="0" xfId="0" applyFont="1" applyAlignment="1">
      <alignment horizontal="left" vertical="top" wrapText="1"/>
    </xf>
    <xf numFmtId="1" fontId="3" fillId="0" borderId="0" xfId="3" applyNumberFormat="1"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2" xfId="0" applyFont="1" applyBorder="1" applyAlignment="1">
      <alignment horizontal="right"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24"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right" vertical="center"/>
    </xf>
    <xf numFmtId="0" fontId="30" fillId="0" borderId="1"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21" xfId="0" applyFont="1" applyBorder="1" applyAlignment="1">
      <alignment horizontal="center" vertical="center" wrapText="1"/>
    </xf>
    <xf numFmtId="0" fontId="31" fillId="0" borderId="1" xfId="0" applyFont="1" applyBorder="1" applyAlignment="1">
      <alignment horizontal="center" vertical="center" wrapText="1"/>
    </xf>
    <xf numFmtId="165" fontId="30" fillId="0" borderId="1" xfId="1" applyNumberFormat="1" applyFont="1" applyFill="1" applyBorder="1" applyAlignment="1">
      <alignment horizontal="center" vertical="center" wrapText="1"/>
    </xf>
    <xf numFmtId="166" fontId="30" fillId="0" borderId="1"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0" xfId="0" applyFont="1" applyAlignment="1">
      <alignment horizontal="center" vertical="center" wrapText="1"/>
    </xf>
    <xf numFmtId="0" fontId="30" fillId="0" borderId="2" xfId="0" applyFont="1" applyBorder="1" applyAlignment="1">
      <alignment horizontal="center" vertical="center" wrapText="1"/>
    </xf>
    <xf numFmtId="0" fontId="32" fillId="0" borderId="0" xfId="0" applyFont="1" applyAlignment="1">
      <alignment horizontal="center" vertical="center" wrapText="1"/>
    </xf>
    <xf numFmtId="0" fontId="30" fillId="0" borderId="10" xfId="0" applyFont="1" applyBorder="1" applyAlignment="1">
      <alignment horizontal="center" vertical="center" wrapText="1"/>
    </xf>
    <xf numFmtId="0" fontId="32" fillId="0" borderId="1" xfId="0" applyFont="1" applyBorder="1" applyAlignment="1">
      <alignment horizontal="center" vertical="center"/>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30" fillId="0" borderId="12" xfId="0" applyFont="1" applyBorder="1" applyAlignment="1">
      <alignment horizontal="center" vertical="center"/>
    </xf>
    <xf numFmtId="165" fontId="30" fillId="0" borderId="16" xfId="1" applyNumberFormat="1" applyFont="1" applyBorder="1" applyAlignment="1">
      <alignment horizontal="center" vertical="center" wrapText="1"/>
    </xf>
    <xf numFmtId="0" fontId="30" fillId="3" borderId="13" xfId="0" applyFont="1" applyFill="1" applyBorder="1" applyAlignment="1">
      <alignment horizontal="center" vertical="center" wrapText="1"/>
    </xf>
    <xf numFmtId="0" fontId="30" fillId="3" borderId="15" xfId="0" applyFont="1" applyFill="1" applyBorder="1" applyAlignment="1">
      <alignment horizontal="center" vertical="center" wrapText="1"/>
    </xf>
    <xf numFmtId="0" fontId="30" fillId="3" borderId="14"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0" xfId="0" applyFont="1" applyFill="1" applyAlignment="1">
      <alignment horizontal="center" vertical="center" wrapText="1"/>
    </xf>
    <xf numFmtId="0" fontId="30" fillId="3" borderId="18"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21" xfId="0" applyFont="1" applyFill="1" applyBorder="1" applyAlignment="1">
      <alignment horizontal="center" vertical="center" wrapText="1"/>
    </xf>
    <xf numFmtId="165" fontId="30" fillId="3" borderId="1" xfId="1" applyNumberFormat="1" applyFont="1" applyFill="1" applyBorder="1" applyAlignment="1">
      <alignment horizontal="center" vertical="center" wrapText="1"/>
    </xf>
    <xf numFmtId="166" fontId="30" fillId="0" borderId="3" xfId="2" applyNumberFormat="1" applyFont="1" applyFill="1" applyBorder="1" applyAlignment="1">
      <alignment horizontal="center" vertical="center" wrapText="1"/>
    </xf>
    <xf numFmtId="166" fontId="30" fillId="0" borderId="16" xfId="2" applyNumberFormat="1" applyFont="1" applyFill="1" applyBorder="1" applyAlignment="1">
      <alignment horizontal="center" vertical="center" wrapText="1"/>
    </xf>
    <xf numFmtId="166" fontId="30" fillId="0" borderId="4" xfId="2" applyNumberFormat="1" applyFont="1" applyFill="1" applyBorder="1" applyAlignment="1">
      <alignment horizontal="center" vertical="center" wrapText="1"/>
    </xf>
    <xf numFmtId="165" fontId="30" fillId="0" borderId="3" xfId="1" applyNumberFormat="1" applyFont="1" applyFill="1" applyBorder="1" applyAlignment="1">
      <alignment horizontal="center" vertical="center" wrapText="1"/>
    </xf>
    <xf numFmtId="165" fontId="30" fillId="0" borderId="16" xfId="1" applyNumberFormat="1" applyFont="1" applyFill="1" applyBorder="1" applyAlignment="1">
      <alignment horizontal="center" vertical="center" wrapText="1"/>
    </xf>
    <xf numFmtId="165" fontId="30" fillId="0" borderId="4" xfId="1" applyNumberFormat="1" applyFont="1" applyFill="1" applyBorder="1" applyAlignment="1">
      <alignment horizontal="center" vertical="center" wrapText="1"/>
    </xf>
    <xf numFmtId="165" fontId="30" fillId="0" borderId="1" xfId="1" applyNumberFormat="1" applyFont="1" applyBorder="1" applyAlignment="1">
      <alignment horizontal="center" vertical="center" wrapText="1"/>
    </xf>
    <xf numFmtId="9" fontId="30" fillId="0" borderId="1" xfId="2" applyFont="1" applyBorder="1" applyAlignment="1">
      <alignment horizontal="center" vertical="center" wrapText="1"/>
    </xf>
    <xf numFmtId="0" fontId="14" fillId="0" borderId="0" xfId="0" applyFont="1" applyAlignment="1">
      <alignment horizontal="center" vertical="center" wrapText="1"/>
    </xf>
    <xf numFmtId="0" fontId="28" fillId="0" borderId="2" xfId="0" applyFont="1" applyBorder="1" applyAlignment="1">
      <alignment horizontal="right"/>
    </xf>
    <xf numFmtId="0" fontId="50" fillId="0" borderId="1" xfId="10" applyFont="1" applyFill="1" applyBorder="1" applyAlignment="1">
      <alignment horizontal="center" vertical="center" wrapText="1"/>
    </xf>
    <xf numFmtId="0" fontId="56" fillId="0" borderId="1" xfId="10" applyFont="1" applyFill="1" applyBorder="1" applyAlignment="1">
      <alignment horizontal="center" vertical="center"/>
    </xf>
    <xf numFmtId="0" fontId="56" fillId="0" borderId="1" xfId="10" applyFont="1" applyFill="1" applyBorder="1" applyAlignment="1">
      <alignment horizontal="center" vertical="center" wrapText="1"/>
    </xf>
    <xf numFmtId="3" fontId="56" fillId="0" borderId="1" xfId="10" applyNumberFormat="1" applyFont="1" applyFill="1" applyBorder="1" applyAlignment="1">
      <alignment horizontal="center" vertical="center"/>
    </xf>
    <xf numFmtId="0" fontId="58" fillId="0" borderId="1" xfId="10" applyFont="1" applyFill="1" applyBorder="1" applyAlignment="1">
      <alignment horizontal="center" vertical="center" wrapText="1"/>
    </xf>
  </cellXfs>
  <cellStyles count="11">
    <cellStyle name="Bình thường 2" xfId="9" xr:uid="{00000000-0005-0000-0000-000000000000}"/>
    <cellStyle name="Comma" xfId="1" builtinId="3"/>
    <cellStyle name="Comma 10 10" xfId="5" xr:uid="{00000000-0005-0000-0000-000002000000}"/>
    <cellStyle name="Comma 2 5 2" xfId="6" xr:uid="{00000000-0005-0000-0000-000003000000}"/>
    <cellStyle name="Dấu phẩy 2" xfId="7" xr:uid="{00000000-0005-0000-0000-000004000000}"/>
    <cellStyle name="Dấu phẩy 2 2" xfId="8" xr:uid="{00000000-0005-0000-0000-000005000000}"/>
    <cellStyle name="Dấu phẩy 4" xfId="4" xr:uid="{00000000-0005-0000-0000-000006000000}"/>
    <cellStyle name="Normal" xfId="0" builtinId="0"/>
    <cellStyle name="Normal 13" xfId="10" xr:uid="{00000000-0005-0000-0000-000008000000}"/>
    <cellStyle name="Normal_Bieu mau (CV )" xfId="3" xr:uid="{00000000-0005-0000-0000-000009000000}"/>
    <cellStyle name="Percent" xfId="2" builtinId="5"/>
  </cellStyles>
  <dxfs count="55">
    <dxf>
      <font>
        <b val="0"/>
        <i val="0"/>
        <color rgb="FFFF0000"/>
      </font>
    </dxf>
    <dxf>
      <font>
        <color rgb="FFFFC000"/>
      </font>
    </dxf>
    <dxf>
      <font>
        <color rgb="FFFF0000"/>
      </font>
    </dxf>
    <dxf>
      <font>
        <b val="0"/>
        <i val="0"/>
        <color rgb="FFFF0000"/>
      </font>
    </dxf>
    <dxf>
      <font>
        <color rgb="FFFFC000"/>
      </font>
    </dxf>
    <dxf>
      <font>
        <color rgb="FFFF0000"/>
      </font>
    </dxf>
    <dxf>
      <font>
        <color rgb="FFFFC000"/>
      </font>
    </dxf>
    <dxf>
      <font>
        <color rgb="FFFF0000"/>
      </font>
    </dxf>
    <dxf>
      <font>
        <b val="0"/>
        <i val="0"/>
        <color rgb="FFFF0000"/>
      </font>
    </dxf>
    <dxf>
      <font>
        <color rgb="FFFFC000"/>
      </font>
    </dxf>
    <dxf>
      <font>
        <b val="0"/>
        <i val="0"/>
        <color rgb="FFFF0000"/>
      </font>
    </dxf>
    <dxf>
      <font>
        <b val="0"/>
        <i val="0"/>
        <strike val="0"/>
        <color rgb="FFFF0000"/>
      </font>
    </dxf>
    <dxf>
      <font>
        <color rgb="FFFF0000"/>
      </font>
    </dxf>
    <dxf>
      <font>
        <b val="0"/>
        <i val="0"/>
        <color rgb="FFFF0000"/>
      </font>
    </dxf>
    <dxf>
      <font>
        <color rgb="FFFFC000"/>
      </font>
    </dxf>
    <dxf>
      <font>
        <b val="0"/>
        <i val="0"/>
        <strike val="0"/>
        <color rgb="FFFF0000"/>
      </font>
    </dxf>
    <dxf>
      <font>
        <b val="0"/>
        <i val="0"/>
        <color rgb="FFFF0000"/>
      </font>
    </dxf>
    <dxf>
      <font>
        <color rgb="FFFFC000"/>
      </font>
    </dxf>
    <dxf>
      <font>
        <color rgb="FFFF0000"/>
      </font>
    </dxf>
    <dxf>
      <font>
        <b val="0"/>
        <i val="0"/>
        <color rgb="FFFF0000"/>
      </font>
    </dxf>
    <dxf>
      <font>
        <color rgb="FFFFC000"/>
      </font>
    </dxf>
    <dxf>
      <font>
        <color rgb="FFFF0000"/>
      </font>
    </dxf>
    <dxf>
      <font>
        <b val="0"/>
        <i val="0"/>
        <color rgb="FFFF0000"/>
      </font>
    </dxf>
    <dxf>
      <font>
        <color rgb="FFFFC000"/>
      </font>
    </dxf>
    <dxf>
      <font>
        <color rgb="FFFF0000"/>
      </font>
    </dxf>
    <dxf>
      <font>
        <color rgb="FFFF0000"/>
      </font>
    </dxf>
    <dxf>
      <font>
        <b val="0"/>
        <i val="0"/>
        <color rgb="FFFF0000"/>
      </font>
    </dxf>
    <dxf>
      <font>
        <color rgb="FFFFC000"/>
      </font>
    </dxf>
    <dxf>
      <font>
        <b val="0"/>
        <i val="0"/>
        <color rgb="FFFF0000"/>
      </font>
    </dxf>
    <dxf>
      <font>
        <color rgb="FFFFC000"/>
      </font>
    </dxf>
    <dxf>
      <font>
        <b val="0"/>
        <i val="0"/>
        <strike val="0"/>
        <color rgb="FFFF0000"/>
      </font>
    </dxf>
    <dxf>
      <font>
        <b val="0"/>
        <i val="0"/>
        <color rgb="FFFF0000"/>
      </font>
    </dxf>
    <dxf>
      <font>
        <color rgb="FFFFC000"/>
      </font>
    </dxf>
    <dxf>
      <font>
        <color rgb="FFFF0000"/>
      </font>
    </dxf>
    <dxf>
      <font>
        <b val="0"/>
        <i val="0"/>
        <color rgb="FFFF0000"/>
      </font>
    </dxf>
    <dxf>
      <font>
        <color rgb="FFFFC000"/>
      </font>
    </dxf>
    <dxf>
      <font>
        <color rgb="FFFF0000"/>
      </font>
    </dxf>
    <dxf>
      <font>
        <color rgb="FFFFC000"/>
      </font>
    </dxf>
    <dxf>
      <font>
        <color rgb="FFFF0000"/>
      </font>
    </dxf>
    <dxf>
      <font>
        <b val="0"/>
        <i val="0"/>
        <color rgb="FFFF0000"/>
      </font>
    </dxf>
    <dxf>
      <font>
        <color rgb="FFFFC000"/>
      </font>
    </dxf>
    <dxf>
      <font>
        <b val="0"/>
        <i val="0"/>
        <color rgb="FFFF0000"/>
      </font>
    </dxf>
    <dxf>
      <font>
        <b val="0"/>
        <i val="0"/>
        <strike val="0"/>
        <color rgb="FFFF0000"/>
      </font>
    </dxf>
    <dxf>
      <font>
        <b val="0"/>
        <i val="0"/>
        <color rgb="FFFF0000"/>
      </font>
    </dxf>
    <dxf>
      <font>
        <color rgb="FFFFC000"/>
      </font>
    </dxf>
    <dxf>
      <font>
        <color rgb="FFFF0000"/>
      </font>
    </dxf>
    <dxf>
      <font>
        <b val="0"/>
        <i val="0"/>
        <color rgb="FFFF0000"/>
      </font>
    </dxf>
    <dxf>
      <font>
        <color rgb="FFFFC000"/>
      </font>
    </dxf>
    <dxf>
      <font>
        <color rgb="FFFF0000"/>
      </font>
    </dxf>
    <dxf>
      <font>
        <color rgb="FFFFC000"/>
      </font>
    </dxf>
    <dxf>
      <font>
        <color rgb="FFFF0000"/>
      </font>
    </dxf>
    <dxf>
      <font>
        <b val="0"/>
        <i val="0"/>
        <color rgb="FFFF0000"/>
      </font>
    </dxf>
    <dxf>
      <font>
        <color rgb="FFFFC000"/>
      </font>
    </dxf>
    <dxf>
      <font>
        <b val="0"/>
        <i val="0"/>
        <color rgb="FFFF0000"/>
      </font>
    </dxf>
    <dxf>
      <font>
        <b val="0"/>
        <i val="0"/>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37381</xdr:colOff>
      <xdr:row>0</xdr:row>
      <xdr:rowOff>697122</xdr:rowOff>
    </xdr:from>
    <xdr:to>
      <xdr:col>3</xdr:col>
      <xdr:colOff>412271</xdr:colOff>
      <xdr:row>0</xdr:row>
      <xdr:rowOff>697122</xdr:rowOff>
    </xdr:to>
    <xdr:sp macro="" textlink="">
      <xdr:nvSpPr>
        <xdr:cNvPr id="12289" name="Line 32">
          <a:extLst>
            <a:ext uri="{FF2B5EF4-FFF2-40B4-BE49-F238E27FC236}">
              <a16:creationId xmlns:a16="http://schemas.microsoft.com/office/drawing/2014/main" id="{298F05B6-4BFA-4FD7-AB23-1083AB1CDEF4}"/>
            </a:ext>
          </a:extLst>
        </xdr:cNvPr>
        <xdr:cNvSpPr>
          <a:spLocks noChangeShapeType="1"/>
        </xdr:cNvSpPr>
      </xdr:nvSpPr>
      <xdr:spPr bwMode="auto">
        <a:xfrm>
          <a:off x="4278702" y="697122"/>
          <a:ext cx="1066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p>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ngbac-prmumyd\gh\KL%20Than%20HL%2015-05-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MT"/>
      <sheetName val="PL1"/>
      <sheetName val="PL2"/>
      <sheetName val="KLTT"/>
      <sheetName val="TKT"/>
      <sheetName val="DG"/>
      <sheetName val="xedap"/>
      <sheetName val="san hang rao"/>
      <sheetName val="Ttin"/>
      <sheetName val="Dienngoai"/>
      <sheetName val="be canh"/>
      <sheetName val="ga ra"/>
      <sheetName val="Nuoct"/>
      <sheetName val="DN"/>
      <sheetName val="TLNtruc"/>
      <sheetName val="TLbe"/>
      <sheetName val="CTNUOC"/>
      <sheetName val="TL coc"/>
      <sheetName val="TL than"/>
      <sheetName val="KLchitiet"/>
      <sheetName val="GVLDHT"/>
      <sheetName val="DGCT"/>
      <sheetName val="CPLT"/>
      <sheetName val="10000000"/>
      <sheetName val="00000000"/>
      <sheetName val="00000001"/>
      <sheetName val="20000000"/>
      <sheetName val="30000000"/>
      <sheetName val="40000000"/>
      <sheetName val="XL4Test5"/>
      <sheetName val="chitimc"/>
      <sheetName val="dongia (2)"/>
      <sheetName val="LKVL-CK-HT-GD1"/>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gvl"/>
      <sheetName val="thao-go"/>
      <sheetName val="DON GIA"/>
      <sheetName val="TONGKE-HT"/>
      <sheetName val="dtxl"/>
      <sheetName val="t-h HA THE"/>
      <sheetName val="CHITIET VL-NC-TT -1p"/>
      <sheetName val="TONG HOP VL-NC TT"/>
      <sheetName val="TNHCHINH"/>
      <sheetName val="TH XL"/>
      <sheetName val="CHITIET VL-NC"/>
      <sheetName val="VC"/>
      <sheetName val="KH-Q1,Q2,01"/>
      <sheetName val="Tiepdia"/>
      <sheetName val="CHITIET VL-NC-TT-3p"/>
      <sheetName val="TDTKP"/>
      <sheetName val="TDTKP1"/>
      <sheetName val="KPVC-BD "/>
      <sheetName val="VCV-BE-TONG"/>
      <sheetName val="san_hang_rao"/>
      <sheetName val="be_canh"/>
      <sheetName val="ga_ra"/>
      <sheetName val="TL_coc"/>
      <sheetName val="TL_than"/>
      <sheetName val="san_hang_rao1"/>
      <sheetName val="be_canh1"/>
      <sheetName val="ga_ra1"/>
      <sheetName val="TL_coc1"/>
      <sheetName val="TL_than1"/>
      <sheetName val="Gia"/>
      <sheetName val="san_hang_rao2"/>
      <sheetName val="be_canh2"/>
      <sheetName val="ga_ra2"/>
      <sheetName val="TL_coc2"/>
      <sheetName val="TL_than2"/>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MTP"/>
      <sheetName val="VLNCM"/>
      <sheetName val="Chiet tinh dz35"/>
      <sheetName val="DG CANTHO"/>
      <sheetName val="Dutoan KL"/>
      <sheetName val="PT VATTU"/>
      <sheetName val="truc tiep"/>
      <sheetName val="SILICATE"/>
      <sheetName val="Chiet tinh dz22"/>
      <sheetName val="GIAVLIEU"/>
      <sheetName val="MT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I43"/>
  <sheetViews>
    <sheetView zoomScale="70" zoomScaleNormal="70" workbookViewId="0">
      <pane xSplit="2" ySplit="7" topLeftCell="C8" activePane="bottomRight" state="frozen"/>
      <selection activeCell="AA11" sqref="AA11"/>
      <selection pane="topRight" activeCell="AA11" sqref="AA11"/>
      <selection pane="bottomLeft" activeCell="AA11" sqref="AA11"/>
      <selection pane="bottomRight" activeCell="C10" activeCellId="1" sqref="E20 C10"/>
    </sheetView>
  </sheetViews>
  <sheetFormatPr defaultColWidth="6" defaultRowHeight="18.75" x14ac:dyDescent="0.25"/>
  <cols>
    <col min="1" max="1" width="6.85546875" style="78" customWidth="1"/>
    <col min="2" max="2" width="36.42578125" style="4" customWidth="1"/>
    <col min="3" max="3" width="16.5703125" style="4" customWidth="1"/>
    <col min="4" max="4" width="14" style="4" customWidth="1"/>
    <col min="5" max="6" width="14.42578125" style="4" customWidth="1"/>
    <col min="7" max="7" width="13.42578125" style="4" customWidth="1"/>
    <col min="8" max="8" width="14.28515625" style="4" customWidth="1"/>
    <col min="9" max="9" width="13.7109375" style="4" customWidth="1"/>
    <col min="10" max="10" width="15.5703125" style="4" hidden="1" customWidth="1"/>
    <col min="11" max="11" width="15.28515625" style="4" customWidth="1"/>
    <col min="12" max="12" width="19.42578125" style="4" hidden="1" customWidth="1"/>
    <col min="13" max="15" width="14.28515625" style="4" hidden="1" customWidth="1"/>
    <col min="16" max="18" width="17.85546875" style="4" hidden="1" customWidth="1"/>
    <col min="19" max="19" width="18" style="4" hidden="1" customWidth="1"/>
    <col min="20" max="20" width="1.85546875" style="4" hidden="1" customWidth="1"/>
    <col min="21" max="21" width="12.7109375" style="4" hidden="1" customWidth="1"/>
    <col min="22" max="22" width="16.5703125" style="4" hidden="1" customWidth="1"/>
    <col min="23" max="23" width="15.42578125" style="4" hidden="1" customWidth="1"/>
    <col min="24" max="24" width="18.28515625" style="4" customWidth="1"/>
    <col min="25" max="78" width="9.28515625" style="4" customWidth="1"/>
    <col min="79" max="79" width="18.28515625" style="4" customWidth="1"/>
    <col min="80" max="215" width="9.28515625" style="4" customWidth="1"/>
    <col min="216" max="217" width="6" style="4"/>
    <col min="218" max="218" width="75" style="4" customWidth="1"/>
    <col min="219" max="232" width="0" style="4" hidden="1" customWidth="1"/>
    <col min="233" max="233" width="29.7109375" style="4" customWidth="1"/>
    <col min="234" max="234" width="24.28515625" style="4" customWidth="1"/>
    <col min="235" max="235" width="34.28515625" style="4" customWidth="1"/>
    <col min="236" max="236" width="17.42578125" style="4" customWidth="1"/>
    <col min="237" max="237" width="25" style="4" customWidth="1"/>
    <col min="238" max="238" width="16.5703125" style="4" bestFit="1" customWidth="1"/>
    <col min="239" max="239" width="17.42578125" style="4" bestFit="1" customWidth="1"/>
    <col min="240" max="240" width="21.7109375" style="4" customWidth="1"/>
    <col min="241" max="471" width="9.28515625" style="4" customWidth="1"/>
    <col min="472" max="473" width="6" style="4"/>
    <col min="474" max="474" width="75" style="4" customWidth="1"/>
    <col min="475" max="488" width="0" style="4" hidden="1" customWidth="1"/>
    <col min="489" max="489" width="29.7109375" style="4" customWidth="1"/>
    <col min="490" max="490" width="24.28515625" style="4" customWidth="1"/>
    <col min="491" max="491" width="34.28515625" style="4" customWidth="1"/>
    <col min="492" max="492" width="17.42578125" style="4" customWidth="1"/>
    <col min="493" max="493" width="25" style="4" customWidth="1"/>
    <col min="494" max="494" width="16.5703125" style="4" bestFit="1" customWidth="1"/>
    <col min="495" max="495" width="17.42578125" style="4" bestFit="1" customWidth="1"/>
    <col min="496" max="496" width="21.7109375" style="4" customWidth="1"/>
    <col min="497" max="727" width="9.28515625" style="4" customWidth="1"/>
    <col min="728" max="729" width="6" style="4"/>
    <col min="730" max="730" width="75" style="4" customWidth="1"/>
    <col min="731" max="744" width="0" style="4" hidden="1" customWidth="1"/>
    <col min="745" max="745" width="29.7109375" style="4" customWidth="1"/>
    <col min="746" max="746" width="24.28515625" style="4" customWidth="1"/>
    <col min="747" max="747" width="34.28515625" style="4" customWidth="1"/>
    <col min="748" max="748" width="17.42578125" style="4" customWidth="1"/>
    <col min="749" max="749" width="25" style="4" customWidth="1"/>
    <col min="750" max="750" width="16.5703125" style="4" bestFit="1" customWidth="1"/>
    <col min="751" max="751" width="17.42578125" style="4" bestFit="1" customWidth="1"/>
    <col min="752" max="752" width="21.7109375" style="4" customWidth="1"/>
    <col min="753" max="983" width="9.28515625" style="4" customWidth="1"/>
    <col min="984" max="985" width="6" style="4"/>
    <col min="986" max="986" width="75" style="4" customWidth="1"/>
    <col min="987" max="1000" width="0" style="4" hidden="1" customWidth="1"/>
    <col min="1001" max="1001" width="29.7109375" style="4" customWidth="1"/>
    <col min="1002" max="1002" width="24.28515625" style="4" customWidth="1"/>
    <col min="1003" max="1003" width="34.28515625" style="4" customWidth="1"/>
    <col min="1004" max="1004" width="17.42578125" style="4" customWidth="1"/>
    <col min="1005" max="1005" width="25" style="4" customWidth="1"/>
    <col min="1006" max="1006" width="16.5703125" style="4" bestFit="1" customWidth="1"/>
    <col min="1007" max="1007" width="17.42578125" style="4" bestFit="1" customWidth="1"/>
    <col min="1008" max="1008" width="21.7109375" style="4" customWidth="1"/>
    <col min="1009" max="1239" width="9.28515625" style="4" customWidth="1"/>
    <col min="1240" max="1241" width="6" style="4"/>
    <col min="1242" max="1242" width="75" style="4" customWidth="1"/>
    <col min="1243" max="1256" width="0" style="4" hidden="1" customWidth="1"/>
    <col min="1257" max="1257" width="29.7109375" style="4" customWidth="1"/>
    <col min="1258" max="1258" width="24.28515625" style="4" customWidth="1"/>
    <col min="1259" max="1259" width="34.28515625" style="4" customWidth="1"/>
    <col min="1260" max="1260" width="17.42578125" style="4" customWidth="1"/>
    <col min="1261" max="1261" width="25" style="4" customWidth="1"/>
    <col min="1262" max="1262" width="16.5703125" style="4" bestFit="1" customWidth="1"/>
    <col min="1263" max="1263" width="17.42578125" style="4" bestFit="1" customWidth="1"/>
    <col min="1264" max="1264" width="21.7109375" style="4" customWidth="1"/>
    <col min="1265" max="1495" width="9.28515625" style="4" customWidth="1"/>
    <col min="1496" max="1497" width="6" style="4"/>
    <col min="1498" max="1498" width="75" style="4" customWidth="1"/>
    <col min="1499" max="1512" width="0" style="4" hidden="1" customWidth="1"/>
    <col min="1513" max="1513" width="29.7109375" style="4" customWidth="1"/>
    <col min="1514" max="1514" width="24.28515625" style="4" customWidth="1"/>
    <col min="1515" max="1515" width="34.28515625" style="4" customWidth="1"/>
    <col min="1516" max="1516" width="17.42578125" style="4" customWidth="1"/>
    <col min="1517" max="1517" width="25" style="4" customWidth="1"/>
    <col min="1518" max="1518" width="16.5703125" style="4" bestFit="1" customWidth="1"/>
    <col min="1519" max="1519" width="17.42578125" style="4" bestFit="1" customWidth="1"/>
    <col min="1520" max="1520" width="21.7109375" style="4" customWidth="1"/>
    <col min="1521" max="1751" width="9.28515625" style="4" customWidth="1"/>
    <col min="1752" max="1753" width="6" style="4"/>
    <col min="1754" max="1754" width="75" style="4" customWidth="1"/>
    <col min="1755" max="1768" width="0" style="4" hidden="1" customWidth="1"/>
    <col min="1769" max="1769" width="29.7109375" style="4" customWidth="1"/>
    <col min="1770" max="1770" width="24.28515625" style="4" customWidth="1"/>
    <col min="1771" max="1771" width="34.28515625" style="4" customWidth="1"/>
    <col min="1772" max="1772" width="17.42578125" style="4" customWidth="1"/>
    <col min="1773" max="1773" width="25" style="4" customWidth="1"/>
    <col min="1774" max="1774" width="16.5703125" style="4" bestFit="1" customWidth="1"/>
    <col min="1775" max="1775" width="17.42578125" style="4" bestFit="1" customWidth="1"/>
    <col min="1776" max="1776" width="21.7109375" style="4" customWidth="1"/>
    <col min="1777" max="2007" width="9.28515625" style="4" customWidth="1"/>
    <col min="2008" max="2009" width="6" style="4"/>
    <col min="2010" max="2010" width="75" style="4" customWidth="1"/>
    <col min="2011" max="2024" width="0" style="4" hidden="1" customWidth="1"/>
    <col min="2025" max="2025" width="29.7109375" style="4" customWidth="1"/>
    <col min="2026" max="2026" width="24.28515625" style="4" customWidth="1"/>
    <col min="2027" max="2027" width="34.28515625" style="4" customWidth="1"/>
    <col min="2028" max="2028" width="17.42578125" style="4" customWidth="1"/>
    <col min="2029" max="2029" width="25" style="4" customWidth="1"/>
    <col min="2030" max="2030" width="16.5703125" style="4" bestFit="1" customWidth="1"/>
    <col min="2031" max="2031" width="17.42578125" style="4" bestFit="1" customWidth="1"/>
    <col min="2032" max="2032" width="21.7109375" style="4" customWidth="1"/>
    <col min="2033" max="2263" width="9.28515625" style="4" customWidth="1"/>
    <col min="2264" max="2265" width="6" style="4"/>
    <col min="2266" max="2266" width="75" style="4" customWidth="1"/>
    <col min="2267" max="2280" width="0" style="4" hidden="1" customWidth="1"/>
    <col min="2281" max="2281" width="29.7109375" style="4" customWidth="1"/>
    <col min="2282" max="2282" width="24.28515625" style="4" customWidth="1"/>
    <col min="2283" max="2283" width="34.28515625" style="4" customWidth="1"/>
    <col min="2284" max="2284" width="17.42578125" style="4" customWidth="1"/>
    <col min="2285" max="2285" width="25" style="4" customWidth="1"/>
    <col min="2286" max="2286" width="16.5703125" style="4" bestFit="1" customWidth="1"/>
    <col min="2287" max="2287" width="17.42578125" style="4" bestFit="1" customWidth="1"/>
    <col min="2288" max="2288" width="21.7109375" style="4" customWidth="1"/>
    <col min="2289" max="2519" width="9.28515625" style="4" customWidth="1"/>
    <col min="2520" max="2521" width="6" style="4"/>
    <col min="2522" max="2522" width="75" style="4" customWidth="1"/>
    <col min="2523" max="2536" width="0" style="4" hidden="1" customWidth="1"/>
    <col min="2537" max="2537" width="29.7109375" style="4" customWidth="1"/>
    <col min="2538" max="2538" width="24.28515625" style="4" customWidth="1"/>
    <col min="2539" max="2539" width="34.28515625" style="4" customWidth="1"/>
    <col min="2540" max="2540" width="17.42578125" style="4" customWidth="1"/>
    <col min="2541" max="2541" width="25" style="4" customWidth="1"/>
    <col min="2542" max="2542" width="16.5703125" style="4" bestFit="1" customWidth="1"/>
    <col min="2543" max="2543" width="17.42578125" style="4" bestFit="1" customWidth="1"/>
    <col min="2544" max="2544" width="21.7109375" style="4" customWidth="1"/>
    <col min="2545" max="2775" width="9.28515625" style="4" customWidth="1"/>
    <col min="2776" max="2777" width="6" style="4"/>
    <col min="2778" max="2778" width="75" style="4" customWidth="1"/>
    <col min="2779" max="2792" width="0" style="4" hidden="1" customWidth="1"/>
    <col min="2793" max="2793" width="29.7109375" style="4" customWidth="1"/>
    <col min="2794" max="2794" width="24.28515625" style="4" customWidth="1"/>
    <col min="2795" max="2795" width="34.28515625" style="4" customWidth="1"/>
    <col min="2796" max="2796" width="17.42578125" style="4" customWidth="1"/>
    <col min="2797" max="2797" width="25" style="4" customWidth="1"/>
    <col min="2798" max="2798" width="16.5703125" style="4" bestFit="1" customWidth="1"/>
    <col min="2799" max="2799" width="17.42578125" style="4" bestFit="1" customWidth="1"/>
    <col min="2800" max="2800" width="21.7109375" style="4" customWidth="1"/>
    <col min="2801" max="3031" width="9.28515625" style="4" customWidth="1"/>
    <col min="3032" max="3033" width="6" style="4"/>
    <col min="3034" max="3034" width="75" style="4" customWidth="1"/>
    <col min="3035" max="3048" width="0" style="4" hidden="1" customWidth="1"/>
    <col min="3049" max="3049" width="29.7109375" style="4" customWidth="1"/>
    <col min="3050" max="3050" width="24.28515625" style="4" customWidth="1"/>
    <col min="3051" max="3051" width="34.28515625" style="4" customWidth="1"/>
    <col min="3052" max="3052" width="17.42578125" style="4" customWidth="1"/>
    <col min="3053" max="3053" width="25" style="4" customWidth="1"/>
    <col min="3054" max="3054" width="16.5703125" style="4" bestFit="1" customWidth="1"/>
    <col min="3055" max="3055" width="17.42578125" style="4" bestFit="1" customWidth="1"/>
    <col min="3056" max="3056" width="21.7109375" style="4" customWidth="1"/>
    <col min="3057" max="3287" width="9.28515625" style="4" customWidth="1"/>
    <col min="3288" max="3289" width="6" style="4"/>
    <col min="3290" max="3290" width="75" style="4" customWidth="1"/>
    <col min="3291" max="3304" width="0" style="4" hidden="1" customWidth="1"/>
    <col min="3305" max="3305" width="29.7109375" style="4" customWidth="1"/>
    <col min="3306" max="3306" width="24.28515625" style="4" customWidth="1"/>
    <col min="3307" max="3307" width="34.28515625" style="4" customWidth="1"/>
    <col min="3308" max="3308" width="17.42578125" style="4" customWidth="1"/>
    <col min="3309" max="3309" width="25" style="4" customWidth="1"/>
    <col min="3310" max="3310" width="16.5703125" style="4" bestFit="1" customWidth="1"/>
    <col min="3311" max="3311" width="17.42578125" style="4" bestFit="1" customWidth="1"/>
    <col min="3312" max="3312" width="21.7109375" style="4" customWidth="1"/>
    <col min="3313" max="3543" width="9.28515625" style="4" customWidth="1"/>
    <col min="3544" max="3545" width="6" style="4"/>
    <col min="3546" max="3546" width="75" style="4" customWidth="1"/>
    <col min="3547" max="3560" width="0" style="4" hidden="1" customWidth="1"/>
    <col min="3561" max="3561" width="29.7109375" style="4" customWidth="1"/>
    <col min="3562" max="3562" width="24.28515625" style="4" customWidth="1"/>
    <col min="3563" max="3563" width="34.28515625" style="4" customWidth="1"/>
    <col min="3564" max="3564" width="17.42578125" style="4" customWidth="1"/>
    <col min="3565" max="3565" width="25" style="4" customWidth="1"/>
    <col min="3566" max="3566" width="16.5703125" style="4" bestFit="1" customWidth="1"/>
    <col min="3567" max="3567" width="17.42578125" style="4" bestFit="1" customWidth="1"/>
    <col min="3568" max="3568" width="21.7109375" style="4" customWidth="1"/>
    <col min="3569" max="3799" width="9.28515625" style="4" customWidth="1"/>
    <col min="3800" max="3801" width="6" style="4"/>
    <col min="3802" max="3802" width="75" style="4" customWidth="1"/>
    <col min="3803" max="3816" width="0" style="4" hidden="1" customWidth="1"/>
    <col min="3817" max="3817" width="29.7109375" style="4" customWidth="1"/>
    <col min="3818" max="3818" width="24.28515625" style="4" customWidth="1"/>
    <col min="3819" max="3819" width="34.28515625" style="4" customWidth="1"/>
    <col min="3820" max="3820" width="17.42578125" style="4" customWidth="1"/>
    <col min="3821" max="3821" width="25" style="4" customWidth="1"/>
    <col min="3822" max="3822" width="16.5703125" style="4" bestFit="1" customWidth="1"/>
    <col min="3823" max="3823" width="17.42578125" style="4" bestFit="1" customWidth="1"/>
    <col min="3824" max="3824" width="21.7109375" style="4" customWidth="1"/>
    <col min="3825" max="4055" width="9.28515625" style="4" customWidth="1"/>
    <col min="4056" max="4057" width="6" style="4"/>
    <col min="4058" max="4058" width="75" style="4" customWidth="1"/>
    <col min="4059" max="4072" width="0" style="4" hidden="1" customWidth="1"/>
    <col min="4073" max="4073" width="29.7109375" style="4" customWidth="1"/>
    <col min="4074" max="4074" width="24.28515625" style="4" customWidth="1"/>
    <col min="4075" max="4075" width="34.28515625" style="4" customWidth="1"/>
    <col min="4076" max="4076" width="17.42578125" style="4" customWidth="1"/>
    <col min="4077" max="4077" width="25" style="4" customWidth="1"/>
    <col min="4078" max="4078" width="16.5703125" style="4" bestFit="1" customWidth="1"/>
    <col min="4079" max="4079" width="17.42578125" style="4" bestFit="1" customWidth="1"/>
    <col min="4080" max="4080" width="21.7109375" style="4" customWidth="1"/>
    <col min="4081" max="4311" width="9.28515625" style="4" customWidth="1"/>
    <col min="4312" max="4313" width="6" style="4"/>
    <col min="4314" max="4314" width="75" style="4" customWidth="1"/>
    <col min="4315" max="4328" width="0" style="4" hidden="1" customWidth="1"/>
    <col min="4329" max="4329" width="29.7109375" style="4" customWidth="1"/>
    <col min="4330" max="4330" width="24.28515625" style="4" customWidth="1"/>
    <col min="4331" max="4331" width="34.28515625" style="4" customWidth="1"/>
    <col min="4332" max="4332" width="17.42578125" style="4" customWidth="1"/>
    <col min="4333" max="4333" width="25" style="4" customWidth="1"/>
    <col min="4334" max="4334" width="16.5703125" style="4" bestFit="1" customWidth="1"/>
    <col min="4335" max="4335" width="17.42578125" style="4" bestFit="1" customWidth="1"/>
    <col min="4336" max="4336" width="21.7109375" style="4" customWidth="1"/>
    <col min="4337" max="4567" width="9.28515625" style="4" customWidth="1"/>
    <col min="4568" max="4569" width="6" style="4"/>
    <col min="4570" max="4570" width="75" style="4" customWidth="1"/>
    <col min="4571" max="4584" width="0" style="4" hidden="1" customWidth="1"/>
    <col min="4585" max="4585" width="29.7109375" style="4" customWidth="1"/>
    <col min="4586" max="4586" width="24.28515625" style="4" customWidth="1"/>
    <col min="4587" max="4587" width="34.28515625" style="4" customWidth="1"/>
    <col min="4588" max="4588" width="17.42578125" style="4" customWidth="1"/>
    <col min="4589" max="4589" width="25" style="4" customWidth="1"/>
    <col min="4590" max="4590" width="16.5703125" style="4" bestFit="1" customWidth="1"/>
    <col min="4591" max="4591" width="17.42578125" style="4" bestFit="1" customWidth="1"/>
    <col min="4592" max="4592" width="21.7109375" style="4" customWidth="1"/>
    <col min="4593" max="4823" width="9.28515625" style="4" customWidth="1"/>
    <col min="4824" max="4825" width="6" style="4"/>
    <col min="4826" max="4826" width="75" style="4" customWidth="1"/>
    <col min="4827" max="4840" width="0" style="4" hidden="1" customWidth="1"/>
    <col min="4841" max="4841" width="29.7109375" style="4" customWidth="1"/>
    <col min="4842" max="4842" width="24.28515625" style="4" customWidth="1"/>
    <col min="4843" max="4843" width="34.28515625" style="4" customWidth="1"/>
    <col min="4844" max="4844" width="17.42578125" style="4" customWidth="1"/>
    <col min="4845" max="4845" width="25" style="4" customWidth="1"/>
    <col min="4846" max="4846" width="16.5703125" style="4" bestFit="1" customWidth="1"/>
    <col min="4847" max="4847" width="17.42578125" style="4" bestFit="1" customWidth="1"/>
    <col min="4848" max="4848" width="21.7109375" style="4" customWidth="1"/>
    <col min="4849" max="5079" width="9.28515625" style="4" customWidth="1"/>
    <col min="5080" max="5081" width="6" style="4"/>
    <col min="5082" max="5082" width="75" style="4" customWidth="1"/>
    <col min="5083" max="5096" width="0" style="4" hidden="1" customWidth="1"/>
    <col min="5097" max="5097" width="29.7109375" style="4" customWidth="1"/>
    <col min="5098" max="5098" width="24.28515625" style="4" customWidth="1"/>
    <col min="5099" max="5099" width="34.28515625" style="4" customWidth="1"/>
    <col min="5100" max="5100" width="17.42578125" style="4" customWidth="1"/>
    <col min="5101" max="5101" width="25" style="4" customWidth="1"/>
    <col min="5102" max="5102" width="16.5703125" style="4" bestFit="1" customWidth="1"/>
    <col min="5103" max="5103" width="17.42578125" style="4" bestFit="1" customWidth="1"/>
    <col min="5104" max="5104" width="21.7109375" style="4" customWidth="1"/>
    <col min="5105" max="5335" width="9.28515625" style="4" customWidth="1"/>
    <col min="5336" max="5337" width="6" style="4"/>
    <col min="5338" max="5338" width="75" style="4" customWidth="1"/>
    <col min="5339" max="5352" width="0" style="4" hidden="1" customWidth="1"/>
    <col min="5353" max="5353" width="29.7109375" style="4" customWidth="1"/>
    <col min="5354" max="5354" width="24.28515625" style="4" customWidth="1"/>
    <col min="5355" max="5355" width="34.28515625" style="4" customWidth="1"/>
    <col min="5356" max="5356" width="17.42578125" style="4" customWidth="1"/>
    <col min="5357" max="5357" width="25" style="4" customWidth="1"/>
    <col min="5358" max="5358" width="16.5703125" style="4" bestFit="1" customWidth="1"/>
    <col min="5359" max="5359" width="17.42578125" style="4" bestFit="1" customWidth="1"/>
    <col min="5360" max="5360" width="21.7109375" style="4" customWidth="1"/>
    <col min="5361" max="5591" width="9.28515625" style="4" customWidth="1"/>
    <col min="5592" max="5593" width="6" style="4"/>
    <col min="5594" max="5594" width="75" style="4" customWidth="1"/>
    <col min="5595" max="5608" width="0" style="4" hidden="1" customWidth="1"/>
    <col min="5609" max="5609" width="29.7109375" style="4" customWidth="1"/>
    <col min="5610" max="5610" width="24.28515625" style="4" customWidth="1"/>
    <col min="5611" max="5611" width="34.28515625" style="4" customWidth="1"/>
    <col min="5612" max="5612" width="17.42578125" style="4" customWidth="1"/>
    <col min="5613" max="5613" width="25" style="4" customWidth="1"/>
    <col min="5614" max="5614" width="16.5703125" style="4" bestFit="1" customWidth="1"/>
    <col min="5615" max="5615" width="17.42578125" style="4" bestFit="1" customWidth="1"/>
    <col min="5616" max="5616" width="21.7109375" style="4" customWidth="1"/>
    <col min="5617" max="5847" width="9.28515625" style="4" customWidth="1"/>
    <col min="5848" max="5849" width="6" style="4"/>
    <col min="5850" max="5850" width="75" style="4" customWidth="1"/>
    <col min="5851" max="5864" width="0" style="4" hidden="1" customWidth="1"/>
    <col min="5865" max="5865" width="29.7109375" style="4" customWidth="1"/>
    <col min="5866" max="5866" width="24.28515625" style="4" customWidth="1"/>
    <col min="5867" max="5867" width="34.28515625" style="4" customWidth="1"/>
    <col min="5868" max="5868" width="17.42578125" style="4" customWidth="1"/>
    <col min="5869" max="5869" width="25" style="4" customWidth="1"/>
    <col min="5870" max="5870" width="16.5703125" style="4" bestFit="1" customWidth="1"/>
    <col min="5871" max="5871" width="17.42578125" style="4" bestFit="1" customWidth="1"/>
    <col min="5872" max="5872" width="21.7109375" style="4" customWidth="1"/>
    <col min="5873" max="6103" width="9.28515625" style="4" customWidth="1"/>
    <col min="6104" max="6105" width="6" style="4"/>
    <col min="6106" max="6106" width="75" style="4" customWidth="1"/>
    <col min="6107" max="6120" width="0" style="4" hidden="1" customWidth="1"/>
    <col min="6121" max="6121" width="29.7109375" style="4" customWidth="1"/>
    <col min="6122" max="6122" width="24.28515625" style="4" customWidth="1"/>
    <col min="6123" max="6123" width="34.28515625" style="4" customWidth="1"/>
    <col min="6124" max="6124" width="17.42578125" style="4" customWidth="1"/>
    <col min="6125" max="6125" width="25" style="4" customWidth="1"/>
    <col min="6126" max="6126" width="16.5703125" style="4" bestFit="1" customWidth="1"/>
    <col min="6127" max="6127" width="17.42578125" style="4" bestFit="1" customWidth="1"/>
    <col min="6128" max="6128" width="21.7109375" style="4" customWidth="1"/>
    <col min="6129" max="6359" width="9.28515625" style="4" customWidth="1"/>
    <col min="6360" max="6361" width="6" style="4"/>
    <col min="6362" max="6362" width="75" style="4" customWidth="1"/>
    <col min="6363" max="6376" width="0" style="4" hidden="1" customWidth="1"/>
    <col min="6377" max="6377" width="29.7109375" style="4" customWidth="1"/>
    <col min="6378" max="6378" width="24.28515625" style="4" customWidth="1"/>
    <col min="6379" max="6379" width="34.28515625" style="4" customWidth="1"/>
    <col min="6380" max="6380" width="17.42578125" style="4" customWidth="1"/>
    <col min="6381" max="6381" width="25" style="4" customWidth="1"/>
    <col min="6382" max="6382" width="16.5703125" style="4" bestFit="1" customWidth="1"/>
    <col min="6383" max="6383" width="17.42578125" style="4" bestFit="1" customWidth="1"/>
    <col min="6384" max="6384" width="21.7109375" style="4" customWidth="1"/>
    <col min="6385" max="6615" width="9.28515625" style="4" customWidth="1"/>
    <col min="6616" max="6617" width="6" style="4"/>
    <col min="6618" max="6618" width="75" style="4" customWidth="1"/>
    <col min="6619" max="6632" width="0" style="4" hidden="1" customWidth="1"/>
    <col min="6633" max="6633" width="29.7109375" style="4" customWidth="1"/>
    <col min="6634" max="6634" width="24.28515625" style="4" customWidth="1"/>
    <col min="6635" max="6635" width="34.28515625" style="4" customWidth="1"/>
    <col min="6636" max="6636" width="17.42578125" style="4" customWidth="1"/>
    <col min="6637" max="6637" width="25" style="4" customWidth="1"/>
    <col min="6638" max="6638" width="16.5703125" style="4" bestFit="1" customWidth="1"/>
    <col min="6639" max="6639" width="17.42578125" style="4" bestFit="1" customWidth="1"/>
    <col min="6640" max="6640" width="21.7109375" style="4" customWidth="1"/>
    <col min="6641" max="6871" width="9.28515625" style="4" customWidth="1"/>
    <col min="6872" max="6873" width="6" style="4"/>
    <col min="6874" max="6874" width="75" style="4" customWidth="1"/>
    <col min="6875" max="6888" width="0" style="4" hidden="1" customWidth="1"/>
    <col min="6889" max="6889" width="29.7109375" style="4" customWidth="1"/>
    <col min="6890" max="6890" width="24.28515625" style="4" customWidth="1"/>
    <col min="6891" max="6891" width="34.28515625" style="4" customWidth="1"/>
    <col min="6892" max="6892" width="17.42578125" style="4" customWidth="1"/>
    <col min="6893" max="6893" width="25" style="4" customWidth="1"/>
    <col min="6894" max="6894" width="16.5703125" style="4" bestFit="1" customWidth="1"/>
    <col min="6895" max="6895" width="17.42578125" style="4" bestFit="1" customWidth="1"/>
    <col min="6896" max="6896" width="21.7109375" style="4" customWidth="1"/>
    <col min="6897" max="7127" width="9.28515625" style="4" customWidth="1"/>
    <col min="7128" max="7129" width="6" style="4"/>
    <col min="7130" max="7130" width="75" style="4" customWidth="1"/>
    <col min="7131" max="7144" width="0" style="4" hidden="1" customWidth="1"/>
    <col min="7145" max="7145" width="29.7109375" style="4" customWidth="1"/>
    <col min="7146" max="7146" width="24.28515625" style="4" customWidth="1"/>
    <col min="7147" max="7147" width="34.28515625" style="4" customWidth="1"/>
    <col min="7148" max="7148" width="17.42578125" style="4" customWidth="1"/>
    <col min="7149" max="7149" width="25" style="4" customWidth="1"/>
    <col min="7150" max="7150" width="16.5703125" style="4" bestFit="1" customWidth="1"/>
    <col min="7151" max="7151" width="17.42578125" style="4" bestFit="1" customWidth="1"/>
    <col min="7152" max="7152" width="21.7109375" style="4" customWidth="1"/>
    <col min="7153" max="7383" width="9.28515625" style="4" customWidth="1"/>
    <col min="7384" max="7385" width="6" style="4"/>
    <col min="7386" max="7386" width="75" style="4" customWidth="1"/>
    <col min="7387" max="7400" width="0" style="4" hidden="1" customWidth="1"/>
    <col min="7401" max="7401" width="29.7109375" style="4" customWidth="1"/>
    <col min="7402" max="7402" width="24.28515625" style="4" customWidth="1"/>
    <col min="7403" max="7403" width="34.28515625" style="4" customWidth="1"/>
    <col min="7404" max="7404" width="17.42578125" style="4" customWidth="1"/>
    <col min="7405" max="7405" width="25" style="4" customWidth="1"/>
    <col min="7406" max="7406" width="16.5703125" style="4" bestFit="1" customWidth="1"/>
    <col min="7407" max="7407" width="17.42578125" style="4" bestFit="1" customWidth="1"/>
    <col min="7408" max="7408" width="21.7109375" style="4" customWidth="1"/>
    <col min="7409" max="7639" width="9.28515625" style="4" customWidth="1"/>
    <col min="7640" max="7641" width="6" style="4"/>
    <col min="7642" max="7642" width="75" style="4" customWidth="1"/>
    <col min="7643" max="7656" width="0" style="4" hidden="1" customWidth="1"/>
    <col min="7657" max="7657" width="29.7109375" style="4" customWidth="1"/>
    <col min="7658" max="7658" width="24.28515625" style="4" customWidth="1"/>
    <col min="7659" max="7659" width="34.28515625" style="4" customWidth="1"/>
    <col min="7660" max="7660" width="17.42578125" style="4" customWidth="1"/>
    <col min="7661" max="7661" width="25" style="4" customWidth="1"/>
    <col min="7662" max="7662" width="16.5703125" style="4" bestFit="1" customWidth="1"/>
    <col min="7663" max="7663" width="17.42578125" style="4" bestFit="1" customWidth="1"/>
    <col min="7664" max="7664" width="21.7109375" style="4" customWidth="1"/>
    <col min="7665" max="7895" width="9.28515625" style="4" customWidth="1"/>
    <col min="7896" max="7897" width="6" style="4"/>
    <col min="7898" max="7898" width="75" style="4" customWidth="1"/>
    <col min="7899" max="7912" width="0" style="4" hidden="1" customWidth="1"/>
    <col min="7913" max="7913" width="29.7109375" style="4" customWidth="1"/>
    <col min="7914" max="7914" width="24.28515625" style="4" customWidth="1"/>
    <col min="7915" max="7915" width="34.28515625" style="4" customWidth="1"/>
    <col min="7916" max="7916" width="17.42578125" style="4" customWidth="1"/>
    <col min="7917" max="7917" width="25" style="4" customWidth="1"/>
    <col min="7918" max="7918" width="16.5703125" style="4" bestFit="1" customWidth="1"/>
    <col min="7919" max="7919" width="17.42578125" style="4" bestFit="1" customWidth="1"/>
    <col min="7920" max="7920" width="21.7109375" style="4" customWidth="1"/>
    <col min="7921" max="8151" width="9.28515625" style="4" customWidth="1"/>
    <col min="8152" max="8153" width="6" style="4"/>
    <col min="8154" max="8154" width="75" style="4" customWidth="1"/>
    <col min="8155" max="8168" width="0" style="4" hidden="1" customWidth="1"/>
    <col min="8169" max="8169" width="29.7109375" style="4" customWidth="1"/>
    <col min="8170" max="8170" width="24.28515625" style="4" customWidth="1"/>
    <col min="8171" max="8171" width="34.28515625" style="4" customWidth="1"/>
    <col min="8172" max="8172" width="17.42578125" style="4" customWidth="1"/>
    <col min="8173" max="8173" width="25" style="4" customWidth="1"/>
    <col min="8174" max="8174" width="16.5703125" style="4" bestFit="1" customWidth="1"/>
    <col min="8175" max="8175" width="17.42578125" style="4" bestFit="1" customWidth="1"/>
    <col min="8176" max="8176" width="21.7109375" style="4" customWidth="1"/>
    <col min="8177" max="8407" width="9.28515625" style="4" customWidth="1"/>
    <col min="8408" max="8409" width="6" style="4"/>
    <col min="8410" max="8410" width="75" style="4" customWidth="1"/>
    <col min="8411" max="8424" width="0" style="4" hidden="1" customWidth="1"/>
    <col min="8425" max="8425" width="29.7109375" style="4" customWidth="1"/>
    <col min="8426" max="8426" width="24.28515625" style="4" customWidth="1"/>
    <col min="8427" max="8427" width="34.28515625" style="4" customWidth="1"/>
    <col min="8428" max="8428" width="17.42578125" style="4" customWidth="1"/>
    <col min="8429" max="8429" width="25" style="4" customWidth="1"/>
    <col min="8430" max="8430" width="16.5703125" style="4" bestFit="1" customWidth="1"/>
    <col min="8431" max="8431" width="17.42578125" style="4" bestFit="1" customWidth="1"/>
    <col min="8432" max="8432" width="21.7109375" style="4" customWidth="1"/>
    <col min="8433" max="8663" width="9.28515625" style="4" customWidth="1"/>
    <col min="8664" max="8665" width="6" style="4"/>
    <col min="8666" max="8666" width="75" style="4" customWidth="1"/>
    <col min="8667" max="8680" width="0" style="4" hidden="1" customWidth="1"/>
    <col min="8681" max="8681" width="29.7109375" style="4" customWidth="1"/>
    <col min="8682" max="8682" width="24.28515625" style="4" customWidth="1"/>
    <col min="8683" max="8683" width="34.28515625" style="4" customWidth="1"/>
    <col min="8684" max="8684" width="17.42578125" style="4" customWidth="1"/>
    <col min="8685" max="8685" width="25" style="4" customWidth="1"/>
    <col min="8686" max="8686" width="16.5703125" style="4" bestFit="1" customWidth="1"/>
    <col min="8687" max="8687" width="17.42578125" style="4" bestFit="1" customWidth="1"/>
    <col min="8688" max="8688" width="21.7109375" style="4" customWidth="1"/>
    <col min="8689" max="8919" width="9.28515625" style="4" customWidth="1"/>
    <col min="8920" max="8921" width="6" style="4"/>
    <col min="8922" max="8922" width="75" style="4" customWidth="1"/>
    <col min="8923" max="8936" width="0" style="4" hidden="1" customWidth="1"/>
    <col min="8937" max="8937" width="29.7109375" style="4" customWidth="1"/>
    <col min="8938" max="8938" width="24.28515625" style="4" customWidth="1"/>
    <col min="8939" max="8939" width="34.28515625" style="4" customWidth="1"/>
    <col min="8940" max="8940" width="17.42578125" style="4" customWidth="1"/>
    <col min="8941" max="8941" width="25" style="4" customWidth="1"/>
    <col min="8942" max="8942" width="16.5703125" style="4" bestFit="1" customWidth="1"/>
    <col min="8943" max="8943" width="17.42578125" style="4" bestFit="1" customWidth="1"/>
    <col min="8944" max="8944" width="21.7109375" style="4" customWidth="1"/>
    <col min="8945" max="9175" width="9.28515625" style="4" customWidth="1"/>
    <col min="9176" max="9177" width="6" style="4"/>
    <col min="9178" max="9178" width="75" style="4" customWidth="1"/>
    <col min="9179" max="9192" width="0" style="4" hidden="1" customWidth="1"/>
    <col min="9193" max="9193" width="29.7109375" style="4" customWidth="1"/>
    <col min="9194" max="9194" width="24.28515625" style="4" customWidth="1"/>
    <col min="9195" max="9195" width="34.28515625" style="4" customWidth="1"/>
    <col min="9196" max="9196" width="17.42578125" style="4" customWidth="1"/>
    <col min="9197" max="9197" width="25" style="4" customWidth="1"/>
    <col min="9198" max="9198" width="16.5703125" style="4" bestFit="1" customWidth="1"/>
    <col min="9199" max="9199" width="17.42578125" style="4" bestFit="1" customWidth="1"/>
    <col min="9200" max="9200" width="21.7109375" style="4" customWidth="1"/>
    <col min="9201" max="9431" width="9.28515625" style="4" customWidth="1"/>
    <col min="9432" max="9433" width="6" style="4"/>
    <col min="9434" max="9434" width="75" style="4" customWidth="1"/>
    <col min="9435" max="9448" width="0" style="4" hidden="1" customWidth="1"/>
    <col min="9449" max="9449" width="29.7109375" style="4" customWidth="1"/>
    <col min="9450" max="9450" width="24.28515625" style="4" customWidth="1"/>
    <col min="9451" max="9451" width="34.28515625" style="4" customWidth="1"/>
    <col min="9452" max="9452" width="17.42578125" style="4" customWidth="1"/>
    <col min="9453" max="9453" width="25" style="4" customWidth="1"/>
    <col min="9454" max="9454" width="16.5703125" style="4" bestFit="1" customWidth="1"/>
    <col min="9455" max="9455" width="17.42578125" style="4" bestFit="1" customWidth="1"/>
    <col min="9456" max="9456" width="21.7109375" style="4" customWidth="1"/>
    <col min="9457" max="9687" width="9.28515625" style="4" customWidth="1"/>
    <col min="9688" max="9689" width="6" style="4"/>
    <col min="9690" max="9690" width="75" style="4" customWidth="1"/>
    <col min="9691" max="9704" width="0" style="4" hidden="1" customWidth="1"/>
    <col min="9705" max="9705" width="29.7109375" style="4" customWidth="1"/>
    <col min="9706" max="9706" width="24.28515625" style="4" customWidth="1"/>
    <col min="9707" max="9707" width="34.28515625" style="4" customWidth="1"/>
    <col min="9708" max="9708" width="17.42578125" style="4" customWidth="1"/>
    <col min="9709" max="9709" width="25" style="4" customWidth="1"/>
    <col min="9710" max="9710" width="16.5703125" style="4" bestFit="1" customWidth="1"/>
    <col min="9711" max="9711" width="17.42578125" style="4" bestFit="1" customWidth="1"/>
    <col min="9712" max="9712" width="21.7109375" style="4" customWidth="1"/>
    <col min="9713" max="9943" width="9.28515625" style="4" customWidth="1"/>
    <col min="9944" max="9945" width="6" style="4"/>
    <col min="9946" max="9946" width="75" style="4" customWidth="1"/>
    <col min="9947" max="9960" width="0" style="4" hidden="1" customWidth="1"/>
    <col min="9961" max="9961" width="29.7109375" style="4" customWidth="1"/>
    <col min="9962" max="9962" width="24.28515625" style="4" customWidth="1"/>
    <col min="9963" max="9963" width="34.28515625" style="4" customWidth="1"/>
    <col min="9964" max="9964" width="17.42578125" style="4" customWidth="1"/>
    <col min="9965" max="9965" width="25" style="4" customWidth="1"/>
    <col min="9966" max="9966" width="16.5703125" style="4" bestFit="1" customWidth="1"/>
    <col min="9967" max="9967" width="17.42578125" style="4" bestFit="1" customWidth="1"/>
    <col min="9968" max="9968" width="21.7109375" style="4" customWidth="1"/>
    <col min="9969" max="10199" width="9.28515625" style="4" customWidth="1"/>
    <col min="10200" max="10201" width="6" style="4"/>
    <col min="10202" max="10202" width="75" style="4" customWidth="1"/>
    <col min="10203" max="10216" width="0" style="4" hidden="1" customWidth="1"/>
    <col min="10217" max="10217" width="29.7109375" style="4" customWidth="1"/>
    <col min="10218" max="10218" width="24.28515625" style="4" customWidth="1"/>
    <col min="10219" max="10219" width="34.28515625" style="4" customWidth="1"/>
    <col min="10220" max="10220" width="17.42578125" style="4" customWidth="1"/>
    <col min="10221" max="10221" width="25" style="4" customWidth="1"/>
    <col min="10222" max="10222" width="16.5703125" style="4" bestFit="1" customWidth="1"/>
    <col min="10223" max="10223" width="17.42578125" style="4" bestFit="1" customWidth="1"/>
    <col min="10224" max="10224" width="21.7109375" style="4" customWidth="1"/>
    <col min="10225" max="10455" width="9.28515625" style="4" customWidth="1"/>
    <col min="10456" max="10457" width="6" style="4"/>
    <col min="10458" max="10458" width="75" style="4" customWidth="1"/>
    <col min="10459" max="10472" width="0" style="4" hidden="1" customWidth="1"/>
    <col min="10473" max="10473" width="29.7109375" style="4" customWidth="1"/>
    <col min="10474" max="10474" width="24.28515625" style="4" customWidth="1"/>
    <col min="10475" max="10475" width="34.28515625" style="4" customWidth="1"/>
    <col min="10476" max="10476" width="17.42578125" style="4" customWidth="1"/>
    <col min="10477" max="10477" width="25" style="4" customWidth="1"/>
    <col min="10478" max="10478" width="16.5703125" style="4" bestFit="1" customWidth="1"/>
    <col min="10479" max="10479" width="17.42578125" style="4" bestFit="1" customWidth="1"/>
    <col min="10480" max="10480" width="21.7109375" style="4" customWidth="1"/>
    <col min="10481" max="10711" width="9.28515625" style="4" customWidth="1"/>
    <col min="10712" max="10713" width="6" style="4"/>
    <col min="10714" max="10714" width="75" style="4" customWidth="1"/>
    <col min="10715" max="10728" width="0" style="4" hidden="1" customWidth="1"/>
    <col min="10729" max="10729" width="29.7109375" style="4" customWidth="1"/>
    <col min="10730" max="10730" width="24.28515625" style="4" customWidth="1"/>
    <col min="10731" max="10731" width="34.28515625" style="4" customWidth="1"/>
    <col min="10732" max="10732" width="17.42578125" style="4" customWidth="1"/>
    <col min="10733" max="10733" width="25" style="4" customWidth="1"/>
    <col min="10734" max="10734" width="16.5703125" style="4" bestFit="1" customWidth="1"/>
    <col min="10735" max="10735" width="17.42578125" style="4" bestFit="1" customWidth="1"/>
    <col min="10736" max="10736" width="21.7109375" style="4" customWidth="1"/>
    <col min="10737" max="10967" width="9.28515625" style="4" customWidth="1"/>
    <col min="10968" max="10969" width="6" style="4"/>
    <col min="10970" max="10970" width="75" style="4" customWidth="1"/>
    <col min="10971" max="10984" width="0" style="4" hidden="1" customWidth="1"/>
    <col min="10985" max="10985" width="29.7109375" style="4" customWidth="1"/>
    <col min="10986" max="10986" width="24.28515625" style="4" customWidth="1"/>
    <col min="10987" max="10987" width="34.28515625" style="4" customWidth="1"/>
    <col min="10988" max="10988" width="17.42578125" style="4" customWidth="1"/>
    <col min="10989" max="10989" width="25" style="4" customWidth="1"/>
    <col min="10990" max="10990" width="16.5703125" style="4" bestFit="1" customWidth="1"/>
    <col min="10991" max="10991" width="17.42578125" style="4" bestFit="1" customWidth="1"/>
    <col min="10992" max="10992" width="21.7109375" style="4" customWidth="1"/>
    <col min="10993" max="11223" width="9.28515625" style="4" customWidth="1"/>
    <col min="11224" max="11225" width="6" style="4"/>
    <col min="11226" max="11226" width="75" style="4" customWidth="1"/>
    <col min="11227" max="11240" width="0" style="4" hidden="1" customWidth="1"/>
    <col min="11241" max="11241" width="29.7109375" style="4" customWidth="1"/>
    <col min="11242" max="11242" width="24.28515625" style="4" customWidth="1"/>
    <col min="11243" max="11243" width="34.28515625" style="4" customWidth="1"/>
    <col min="11244" max="11244" width="17.42578125" style="4" customWidth="1"/>
    <col min="11245" max="11245" width="25" style="4" customWidth="1"/>
    <col min="11246" max="11246" width="16.5703125" style="4" bestFit="1" customWidth="1"/>
    <col min="11247" max="11247" width="17.42578125" style="4" bestFit="1" customWidth="1"/>
    <col min="11248" max="11248" width="21.7109375" style="4" customWidth="1"/>
    <col min="11249" max="11479" width="9.28515625" style="4" customWidth="1"/>
    <col min="11480" max="11481" width="6" style="4"/>
    <col min="11482" max="11482" width="75" style="4" customWidth="1"/>
    <col min="11483" max="11496" width="0" style="4" hidden="1" customWidth="1"/>
    <col min="11497" max="11497" width="29.7109375" style="4" customWidth="1"/>
    <col min="11498" max="11498" width="24.28515625" style="4" customWidth="1"/>
    <col min="11499" max="11499" width="34.28515625" style="4" customWidth="1"/>
    <col min="11500" max="11500" width="17.42578125" style="4" customWidth="1"/>
    <col min="11501" max="11501" width="25" style="4" customWidth="1"/>
    <col min="11502" max="11502" width="16.5703125" style="4" bestFit="1" customWidth="1"/>
    <col min="11503" max="11503" width="17.42578125" style="4" bestFit="1" customWidth="1"/>
    <col min="11504" max="11504" width="21.7109375" style="4" customWidth="1"/>
    <col min="11505" max="11735" width="9.28515625" style="4" customWidth="1"/>
    <col min="11736" max="11737" width="6" style="4"/>
    <col min="11738" max="11738" width="75" style="4" customWidth="1"/>
    <col min="11739" max="11752" width="0" style="4" hidden="1" customWidth="1"/>
    <col min="11753" max="11753" width="29.7109375" style="4" customWidth="1"/>
    <col min="11754" max="11754" width="24.28515625" style="4" customWidth="1"/>
    <col min="11755" max="11755" width="34.28515625" style="4" customWidth="1"/>
    <col min="11756" max="11756" width="17.42578125" style="4" customWidth="1"/>
    <col min="11757" max="11757" width="25" style="4" customWidth="1"/>
    <col min="11758" max="11758" width="16.5703125" style="4" bestFit="1" customWidth="1"/>
    <col min="11759" max="11759" width="17.42578125" style="4" bestFit="1" customWidth="1"/>
    <col min="11760" max="11760" width="21.7109375" style="4" customWidth="1"/>
    <col min="11761" max="11991" width="9.28515625" style="4" customWidth="1"/>
    <col min="11992" max="11993" width="6" style="4"/>
    <col min="11994" max="11994" width="75" style="4" customWidth="1"/>
    <col min="11995" max="12008" width="0" style="4" hidden="1" customWidth="1"/>
    <col min="12009" max="12009" width="29.7109375" style="4" customWidth="1"/>
    <col min="12010" max="12010" width="24.28515625" style="4" customWidth="1"/>
    <col min="12011" max="12011" width="34.28515625" style="4" customWidth="1"/>
    <col min="12012" max="12012" width="17.42578125" style="4" customWidth="1"/>
    <col min="12013" max="12013" width="25" style="4" customWidth="1"/>
    <col min="12014" max="12014" width="16.5703125" style="4" bestFit="1" customWidth="1"/>
    <col min="12015" max="12015" width="17.42578125" style="4" bestFit="1" customWidth="1"/>
    <col min="12016" max="12016" width="21.7109375" style="4" customWidth="1"/>
    <col min="12017" max="12247" width="9.28515625" style="4" customWidth="1"/>
    <col min="12248" max="12249" width="6" style="4"/>
    <col min="12250" max="12250" width="75" style="4" customWidth="1"/>
    <col min="12251" max="12264" width="0" style="4" hidden="1" customWidth="1"/>
    <col min="12265" max="12265" width="29.7109375" style="4" customWidth="1"/>
    <col min="12266" max="12266" width="24.28515625" style="4" customWidth="1"/>
    <col min="12267" max="12267" width="34.28515625" style="4" customWidth="1"/>
    <col min="12268" max="12268" width="17.42578125" style="4" customWidth="1"/>
    <col min="12269" max="12269" width="25" style="4" customWidth="1"/>
    <col min="12270" max="12270" width="16.5703125" style="4" bestFit="1" customWidth="1"/>
    <col min="12271" max="12271" width="17.42578125" style="4" bestFit="1" customWidth="1"/>
    <col min="12272" max="12272" width="21.7109375" style="4" customWidth="1"/>
    <col min="12273" max="12503" width="9.28515625" style="4" customWidth="1"/>
    <col min="12504" max="12505" width="6" style="4"/>
    <col min="12506" max="12506" width="75" style="4" customWidth="1"/>
    <col min="12507" max="12520" width="0" style="4" hidden="1" customWidth="1"/>
    <col min="12521" max="12521" width="29.7109375" style="4" customWidth="1"/>
    <col min="12522" max="12522" width="24.28515625" style="4" customWidth="1"/>
    <col min="12523" max="12523" width="34.28515625" style="4" customWidth="1"/>
    <col min="12524" max="12524" width="17.42578125" style="4" customWidth="1"/>
    <col min="12525" max="12525" width="25" style="4" customWidth="1"/>
    <col min="12526" max="12526" width="16.5703125" style="4" bestFit="1" customWidth="1"/>
    <col min="12527" max="12527" width="17.42578125" style="4" bestFit="1" customWidth="1"/>
    <col min="12528" max="12528" width="21.7109375" style="4" customWidth="1"/>
    <col min="12529" max="12759" width="9.28515625" style="4" customWidth="1"/>
    <col min="12760" max="12761" width="6" style="4"/>
    <col min="12762" max="12762" width="75" style="4" customWidth="1"/>
    <col min="12763" max="12776" width="0" style="4" hidden="1" customWidth="1"/>
    <col min="12777" max="12777" width="29.7109375" style="4" customWidth="1"/>
    <col min="12778" max="12778" width="24.28515625" style="4" customWidth="1"/>
    <col min="12779" max="12779" width="34.28515625" style="4" customWidth="1"/>
    <col min="12780" max="12780" width="17.42578125" style="4" customWidth="1"/>
    <col min="12781" max="12781" width="25" style="4" customWidth="1"/>
    <col min="12782" max="12782" width="16.5703125" style="4" bestFit="1" customWidth="1"/>
    <col min="12783" max="12783" width="17.42578125" style="4" bestFit="1" customWidth="1"/>
    <col min="12784" max="12784" width="21.7109375" style="4" customWidth="1"/>
    <col min="12785" max="13015" width="9.28515625" style="4" customWidth="1"/>
    <col min="13016" max="13017" width="6" style="4"/>
    <col min="13018" max="13018" width="75" style="4" customWidth="1"/>
    <col min="13019" max="13032" width="0" style="4" hidden="1" customWidth="1"/>
    <col min="13033" max="13033" width="29.7109375" style="4" customWidth="1"/>
    <col min="13034" max="13034" width="24.28515625" style="4" customWidth="1"/>
    <col min="13035" max="13035" width="34.28515625" style="4" customWidth="1"/>
    <col min="13036" max="13036" width="17.42578125" style="4" customWidth="1"/>
    <col min="13037" max="13037" width="25" style="4" customWidth="1"/>
    <col min="13038" max="13038" width="16.5703125" style="4" bestFit="1" customWidth="1"/>
    <col min="13039" max="13039" width="17.42578125" style="4" bestFit="1" customWidth="1"/>
    <col min="13040" max="13040" width="21.7109375" style="4" customWidth="1"/>
    <col min="13041" max="13271" width="9.28515625" style="4" customWidth="1"/>
    <col min="13272" max="13273" width="6" style="4"/>
    <col min="13274" max="13274" width="75" style="4" customWidth="1"/>
    <col min="13275" max="13288" width="0" style="4" hidden="1" customWidth="1"/>
    <col min="13289" max="13289" width="29.7109375" style="4" customWidth="1"/>
    <col min="13290" max="13290" width="24.28515625" style="4" customWidth="1"/>
    <col min="13291" max="13291" width="34.28515625" style="4" customWidth="1"/>
    <col min="13292" max="13292" width="17.42578125" style="4" customWidth="1"/>
    <col min="13293" max="13293" width="25" style="4" customWidth="1"/>
    <col min="13294" max="13294" width="16.5703125" style="4" bestFit="1" customWidth="1"/>
    <col min="13295" max="13295" width="17.42578125" style="4" bestFit="1" customWidth="1"/>
    <col min="13296" max="13296" width="21.7109375" style="4" customWidth="1"/>
    <col min="13297" max="13527" width="9.28515625" style="4" customWidth="1"/>
    <col min="13528" max="13529" width="6" style="4"/>
    <col min="13530" max="13530" width="75" style="4" customWidth="1"/>
    <col min="13531" max="13544" width="0" style="4" hidden="1" customWidth="1"/>
    <col min="13545" max="13545" width="29.7109375" style="4" customWidth="1"/>
    <col min="13546" max="13546" width="24.28515625" style="4" customWidth="1"/>
    <col min="13547" max="13547" width="34.28515625" style="4" customWidth="1"/>
    <col min="13548" max="13548" width="17.42578125" style="4" customWidth="1"/>
    <col min="13549" max="13549" width="25" style="4" customWidth="1"/>
    <col min="13550" max="13550" width="16.5703125" style="4" bestFit="1" customWidth="1"/>
    <col min="13551" max="13551" width="17.42578125" style="4" bestFit="1" customWidth="1"/>
    <col min="13552" max="13552" width="21.7109375" style="4" customWidth="1"/>
    <col min="13553" max="13783" width="9.28515625" style="4" customWidth="1"/>
    <col min="13784" max="13785" width="6" style="4"/>
    <col min="13786" max="13786" width="75" style="4" customWidth="1"/>
    <col min="13787" max="13800" width="0" style="4" hidden="1" customWidth="1"/>
    <col min="13801" max="13801" width="29.7109375" style="4" customWidth="1"/>
    <col min="13802" max="13802" width="24.28515625" style="4" customWidth="1"/>
    <col min="13803" max="13803" width="34.28515625" style="4" customWidth="1"/>
    <col min="13804" max="13804" width="17.42578125" style="4" customWidth="1"/>
    <col min="13805" max="13805" width="25" style="4" customWidth="1"/>
    <col min="13806" max="13806" width="16.5703125" style="4" bestFit="1" customWidth="1"/>
    <col min="13807" max="13807" width="17.42578125" style="4" bestFit="1" customWidth="1"/>
    <col min="13808" max="13808" width="21.7109375" style="4" customWidth="1"/>
    <col min="13809" max="14039" width="9.28515625" style="4" customWidth="1"/>
    <col min="14040" max="14041" width="6" style="4"/>
    <col min="14042" max="14042" width="75" style="4" customWidth="1"/>
    <col min="14043" max="14056" width="0" style="4" hidden="1" customWidth="1"/>
    <col min="14057" max="14057" width="29.7109375" style="4" customWidth="1"/>
    <col min="14058" max="14058" width="24.28515625" style="4" customWidth="1"/>
    <col min="14059" max="14059" width="34.28515625" style="4" customWidth="1"/>
    <col min="14060" max="14060" width="17.42578125" style="4" customWidth="1"/>
    <col min="14061" max="14061" width="25" style="4" customWidth="1"/>
    <col min="14062" max="14062" width="16.5703125" style="4" bestFit="1" customWidth="1"/>
    <col min="14063" max="14063" width="17.42578125" style="4" bestFit="1" customWidth="1"/>
    <col min="14064" max="14064" width="21.7109375" style="4" customWidth="1"/>
    <col min="14065" max="14295" width="9.28515625" style="4" customWidth="1"/>
    <col min="14296" max="14297" width="6" style="4"/>
    <col min="14298" max="14298" width="75" style="4" customWidth="1"/>
    <col min="14299" max="14312" width="0" style="4" hidden="1" customWidth="1"/>
    <col min="14313" max="14313" width="29.7109375" style="4" customWidth="1"/>
    <col min="14314" max="14314" width="24.28515625" style="4" customWidth="1"/>
    <col min="14315" max="14315" width="34.28515625" style="4" customWidth="1"/>
    <col min="14316" max="14316" width="17.42578125" style="4" customWidth="1"/>
    <col min="14317" max="14317" width="25" style="4" customWidth="1"/>
    <col min="14318" max="14318" width="16.5703125" style="4" bestFit="1" customWidth="1"/>
    <col min="14319" max="14319" width="17.42578125" style="4" bestFit="1" customWidth="1"/>
    <col min="14320" max="14320" width="21.7109375" style="4" customWidth="1"/>
    <col min="14321" max="14551" width="9.28515625" style="4" customWidth="1"/>
    <col min="14552" max="14553" width="6" style="4"/>
    <col min="14554" max="14554" width="75" style="4" customWidth="1"/>
    <col min="14555" max="14568" width="0" style="4" hidden="1" customWidth="1"/>
    <col min="14569" max="14569" width="29.7109375" style="4" customWidth="1"/>
    <col min="14570" max="14570" width="24.28515625" style="4" customWidth="1"/>
    <col min="14571" max="14571" width="34.28515625" style="4" customWidth="1"/>
    <col min="14572" max="14572" width="17.42578125" style="4" customWidth="1"/>
    <col min="14573" max="14573" width="25" style="4" customWidth="1"/>
    <col min="14574" max="14574" width="16.5703125" style="4" bestFit="1" customWidth="1"/>
    <col min="14575" max="14575" width="17.42578125" style="4" bestFit="1" customWidth="1"/>
    <col min="14576" max="14576" width="21.7109375" style="4" customWidth="1"/>
    <col min="14577" max="14807" width="9.28515625" style="4" customWidth="1"/>
    <col min="14808" max="14809" width="6" style="4"/>
    <col min="14810" max="14810" width="75" style="4" customWidth="1"/>
    <col min="14811" max="14824" width="0" style="4" hidden="1" customWidth="1"/>
    <col min="14825" max="14825" width="29.7109375" style="4" customWidth="1"/>
    <col min="14826" max="14826" width="24.28515625" style="4" customWidth="1"/>
    <col min="14827" max="14827" width="34.28515625" style="4" customWidth="1"/>
    <col min="14828" max="14828" width="17.42578125" style="4" customWidth="1"/>
    <col min="14829" max="14829" width="25" style="4" customWidth="1"/>
    <col min="14830" max="14830" width="16.5703125" style="4" bestFit="1" customWidth="1"/>
    <col min="14831" max="14831" width="17.42578125" style="4" bestFit="1" customWidth="1"/>
    <col min="14832" max="14832" width="21.7109375" style="4" customWidth="1"/>
    <col min="14833" max="15063" width="9.28515625" style="4" customWidth="1"/>
    <col min="15064" max="15065" width="6" style="4"/>
    <col min="15066" max="15066" width="75" style="4" customWidth="1"/>
    <col min="15067" max="15080" width="0" style="4" hidden="1" customWidth="1"/>
    <col min="15081" max="15081" width="29.7109375" style="4" customWidth="1"/>
    <col min="15082" max="15082" width="24.28515625" style="4" customWidth="1"/>
    <col min="15083" max="15083" width="34.28515625" style="4" customWidth="1"/>
    <col min="15084" max="15084" width="17.42578125" style="4" customWidth="1"/>
    <col min="15085" max="15085" width="25" style="4" customWidth="1"/>
    <col min="15086" max="15086" width="16.5703125" style="4" bestFit="1" customWidth="1"/>
    <col min="15087" max="15087" width="17.42578125" style="4" bestFit="1" customWidth="1"/>
    <col min="15088" max="15088" width="21.7109375" style="4" customWidth="1"/>
    <col min="15089" max="15319" width="9.28515625" style="4" customWidth="1"/>
    <col min="15320" max="15321" width="6" style="4"/>
    <col min="15322" max="15322" width="75" style="4" customWidth="1"/>
    <col min="15323" max="15336" width="0" style="4" hidden="1" customWidth="1"/>
    <col min="15337" max="15337" width="29.7109375" style="4" customWidth="1"/>
    <col min="15338" max="15338" width="24.28515625" style="4" customWidth="1"/>
    <col min="15339" max="15339" width="34.28515625" style="4" customWidth="1"/>
    <col min="15340" max="15340" width="17.42578125" style="4" customWidth="1"/>
    <col min="15341" max="15341" width="25" style="4" customWidth="1"/>
    <col min="15342" max="15342" width="16.5703125" style="4" bestFit="1" customWidth="1"/>
    <col min="15343" max="15343" width="17.42578125" style="4" bestFit="1" customWidth="1"/>
    <col min="15344" max="15344" width="21.7109375" style="4" customWidth="1"/>
    <col min="15345" max="15575" width="9.28515625" style="4" customWidth="1"/>
    <col min="15576" max="15577" width="6" style="4"/>
    <col min="15578" max="15578" width="75" style="4" customWidth="1"/>
    <col min="15579" max="15592" width="0" style="4" hidden="1" customWidth="1"/>
    <col min="15593" max="15593" width="29.7109375" style="4" customWidth="1"/>
    <col min="15594" max="15594" width="24.28515625" style="4" customWidth="1"/>
    <col min="15595" max="15595" width="34.28515625" style="4" customWidth="1"/>
    <col min="15596" max="15596" width="17.42578125" style="4" customWidth="1"/>
    <col min="15597" max="15597" width="25" style="4" customWidth="1"/>
    <col min="15598" max="15598" width="16.5703125" style="4" bestFit="1" customWidth="1"/>
    <col min="15599" max="15599" width="17.42578125" style="4" bestFit="1" customWidth="1"/>
    <col min="15600" max="15600" width="21.7109375" style="4" customWidth="1"/>
    <col min="15601" max="15831" width="9.28515625" style="4" customWidth="1"/>
    <col min="15832" max="15833" width="6" style="4"/>
    <col min="15834" max="15834" width="75" style="4" customWidth="1"/>
    <col min="15835" max="15848" width="0" style="4" hidden="1" customWidth="1"/>
    <col min="15849" max="15849" width="29.7109375" style="4" customWidth="1"/>
    <col min="15850" max="15850" width="24.28515625" style="4" customWidth="1"/>
    <col min="15851" max="15851" width="34.28515625" style="4" customWidth="1"/>
    <col min="15852" max="15852" width="17.42578125" style="4" customWidth="1"/>
    <col min="15853" max="15853" width="25" style="4" customWidth="1"/>
    <col min="15854" max="15854" width="16.5703125" style="4" bestFit="1" customWidth="1"/>
    <col min="15855" max="15855" width="17.42578125" style="4" bestFit="1" customWidth="1"/>
    <col min="15856" max="15856" width="21.7109375" style="4" customWidth="1"/>
    <col min="15857" max="16087" width="9.28515625" style="4" customWidth="1"/>
    <col min="16088" max="16089" width="6" style="4"/>
    <col min="16090" max="16090" width="75" style="4" customWidth="1"/>
    <col min="16091" max="16104" width="0" style="4" hidden="1" customWidth="1"/>
    <col min="16105" max="16105" width="29.7109375" style="4" customWidth="1"/>
    <col min="16106" max="16106" width="24.28515625" style="4" customWidth="1"/>
    <col min="16107" max="16107" width="34.28515625" style="4" customWidth="1"/>
    <col min="16108" max="16108" width="17.42578125" style="4" customWidth="1"/>
    <col min="16109" max="16109" width="25" style="4" customWidth="1"/>
    <col min="16110" max="16110" width="16.5703125" style="4" bestFit="1" customWidth="1"/>
    <col min="16111" max="16111" width="17.42578125" style="4" bestFit="1" customWidth="1"/>
    <col min="16112" max="16112" width="21.7109375" style="4" customWidth="1"/>
    <col min="16113" max="16384" width="9.28515625" style="4" customWidth="1"/>
  </cols>
  <sheetData>
    <row r="1" spans="1:216" ht="22.9" customHeight="1" x14ac:dyDescent="0.25">
      <c r="A1" s="450" t="s">
        <v>0</v>
      </c>
      <c r="B1" s="450"/>
      <c r="C1" s="450"/>
      <c r="D1" s="450"/>
      <c r="E1" s="450"/>
      <c r="F1" s="450"/>
      <c r="G1" s="450"/>
      <c r="H1" s="450"/>
      <c r="I1" s="450"/>
      <c r="J1" s="450"/>
      <c r="K1" s="450"/>
      <c r="L1" s="1" t="s">
        <v>1</v>
      </c>
      <c r="M1" s="2" t="s">
        <v>2</v>
      </c>
      <c r="N1" s="2" t="s">
        <v>3</v>
      </c>
      <c r="O1" s="2" t="s">
        <v>4</v>
      </c>
      <c r="P1" s="3"/>
      <c r="Q1" s="1" t="s">
        <v>5</v>
      </c>
      <c r="R1" s="2" t="s">
        <v>2</v>
      </c>
      <c r="S1" s="2" t="s">
        <v>3</v>
      </c>
      <c r="T1" s="2" t="s">
        <v>4</v>
      </c>
    </row>
    <row r="2" spans="1:216" ht="27" customHeight="1" x14ac:dyDescent="0.25">
      <c r="A2" s="451" t="s">
        <v>6</v>
      </c>
      <c r="B2" s="451"/>
      <c r="C2" s="451"/>
      <c r="D2" s="451"/>
      <c r="E2" s="451"/>
      <c r="F2" s="451"/>
      <c r="G2" s="451"/>
      <c r="H2" s="451"/>
      <c r="I2" s="451"/>
      <c r="J2" s="451"/>
      <c r="K2" s="451"/>
      <c r="L2" s="5" t="s">
        <v>7</v>
      </c>
      <c r="M2" s="6">
        <v>2950000</v>
      </c>
      <c r="N2" s="6">
        <v>2662000</v>
      </c>
      <c r="O2" s="6">
        <v>288000</v>
      </c>
      <c r="P2" s="7">
        <f>M2-G19</f>
        <v>1205207.0099180001</v>
      </c>
      <c r="Q2" s="5" t="s">
        <v>7</v>
      </c>
      <c r="R2" s="6">
        <f>S2+T2</f>
        <v>2950000</v>
      </c>
      <c r="S2" s="6">
        <v>2662000</v>
      </c>
      <c r="T2" s="6">
        <v>288000</v>
      </c>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row>
    <row r="3" spans="1:216" ht="24" customHeight="1" x14ac:dyDescent="0.25">
      <c r="A3" s="452" t="s">
        <v>8</v>
      </c>
      <c r="B3" s="452"/>
      <c r="C3" s="452"/>
      <c r="D3" s="452"/>
      <c r="E3" s="452"/>
      <c r="F3" s="452"/>
      <c r="G3" s="452"/>
      <c r="H3" s="452"/>
      <c r="I3" s="452"/>
      <c r="J3" s="452"/>
      <c r="K3" s="452"/>
      <c r="L3" s="9" t="s">
        <v>9</v>
      </c>
      <c r="M3" s="6">
        <v>277000</v>
      </c>
      <c r="N3" s="6">
        <v>277000</v>
      </c>
      <c r="O3" s="6"/>
      <c r="P3" s="8"/>
      <c r="Q3" s="9" t="s">
        <v>9</v>
      </c>
      <c r="R3" s="6">
        <f t="shared" ref="R3:R5" si="0">S3+T3</f>
        <v>277000</v>
      </c>
      <c r="S3" s="6">
        <v>277000</v>
      </c>
      <c r="T3" s="6"/>
      <c r="U3" s="8"/>
      <c r="V3" s="7"/>
      <c r="W3" s="7"/>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row>
    <row r="4" spans="1:216" ht="3.6" customHeight="1" x14ac:dyDescent="0.25">
      <c r="A4" s="10"/>
      <c r="B4" s="10"/>
      <c r="C4" s="10"/>
      <c r="D4" s="10"/>
      <c r="E4" s="10"/>
      <c r="F4" s="10"/>
      <c r="G4" s="10"/>
      <c r="H4" s="10"/>
      <c r="I4" s="10"/>
      <c r="J4" s="10"/>
      <c r="K4" s="10"/>
      <c r="L4" s="9"/>
      <c r="M4" s="6"/>
      <c r="N4" s="6"/>
      <c r="O4" s="6"/>
      <c r="P4" s="8"/>
      <c r="Q4" s="9"/>
      <c r="R4" s="6"/>
      <c r="S4" s="6"/>
      <c r="T4" s="6"/>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row>
    <row r="5" spans="1:216" x14ac:dyDescent="0.25">
      <c r="A5" s="453" t="s">
        <v>10</v>
      </c>
      <c r="B5" s="453"/>
      <c r="C5" s="453"/>
      <c r="D5" s="453"/>
      <c r="E5" s="453"/>
      <c r="F5" s="453"/>
      <c r="G5" s="453"/>
      <c r="H5" s="453"/>
      <c r="I5" s="453"/>
      <c r="J5" s="453"/>
      <c r="K5" s="453"/>
      <c r="L5" s="11"/>
      <c r="M5" s="12">
        <f>SUM(M2:M3)</f>
        <v>3227000</v>
      </c>
      <c r="N5" s="12">
        <f>SUM(N2:N3)</f>
        <v>2939000</v>
      </c>
      <c r="O5" s="12">
        <f>SUM(O2:O3)</f>
        <v>288000</v>
      </c>
      <c r="Q5" s="11"/>
      <c r="R5" s="12">
        <f t="shared" si="0"/>
        <v>3227000</v>
      </c>
      <c r="S5" s="12">
        <f>SUM(S2:S3)</f>
        <v>2939000</v>
      </c>
      <c r="T5" s="12">
        <f>SUM(T2:T3)</f>
        <v>288000</v>
      </c>
      <c r="U5" s="13"/>
      <c r="V5" s="13"/>
      <c r="W5" s="13"/>
    </row>
    <row r="6" spans="1:216" s="18" customFormat="1" ht="30" customHeight="1" x14ac:dyDescent="0.25">
      <c r="A6" s="446" t="s">
        <v>11</v>
      </c>
      <c r="B6" s="446" t="s">
        <v>12</v>
      </c>
      <c r="C6" s="446" t="s">
        <v>13</v>
      </c>
      <c r="D6" s="446" t="s">
        <v>14</v>
      </c>
      <c r="E6" s="446" t="s">
        <v>71</v>
      </c>
      <c r="F6" s="447" t="s">
        <v>15</v>
      </c>
      <c r="G6" s="446" t="s">
        <v>43</v>
      </c>
      <c r="H6" s="446"/>
      <c r="I6" s="446"/>
      <c r="J6" s="447" t="s">
        <v>16</v>
      </c>
      <c r="K6" s="446" t="s">
        <v>17</v>
      </c>
      <c r="L6" s="15"/>
      <c r="M6" s="15"/>
      <c r="N6" s="15"/>
      <c r="O6" s="15"/>
      <c r="P6" s="15"/>
      <c r="Q6" s="15"/>
      <c r="R6" s="16">
        <f>R5-M5</f>
        <v>0</v>
      </c>
      <c r="S6" s="16">
        <f t="shared" ref="S6:T6" si="1">S5-N5</f>
        <v>0</v>
      </c>
      <c r="T6" s="16">
        <f t="shared" si="1"/>
        <v>0</v>
      </c>
      <c r="U6" s="17">
        <v>5615083</v>
      </c>
      <c r="V6" s="17"/>
      <c r="W6" s="17"/>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row>
    <row r="7" spans="1:216" s="18" customFormat="1" ht="100.15" customHeight="1" x14ac:dyDescent="0.3">
      <c r="A7" s="446"/>
      <c r="B7" s="446"/>
      <c r="C7" s="446"/>
      <c r="D7" s="446"/>
      <c r="E7" s="446"/>
      <c r="F7" s="448"/>
      <c r="G7" s="14" t="s">
        <v>18</v>
      </c>
      <c r="H7" s="19" t="s">
        <v>19</v>
      </c>
      <c r="I7" s="19" t="s">
        <v>20</v>
      </c>
      <c r="J7" s="448"/>
      <c r="K7" s="446"/>
      <c r="L7" s="15"/>
      <c r="M7" s="15"/>
      <c r="N7" s="16">
        <f>M2-G19</f>
        <v>1205207.0099180001</v>
      </c>
      <c r="O7" s="15"/>
      <c r="P7" s="15"/>
      <c r="Q7" s="15" t="s">
        <v>21</v>
      </c>
      <c r="R7" s="20">
        <v>1006429</v>
      </c>
      <c r="S7" s="15"/>
      <c r="T7" s="15"/>
      <c r="U7" s="17" t="e">
        <f>U6+#REF!++#REF!+#REF!+#REF!+#REF!</f>
        <v>#REF!</v>
      </c>
      <c r="V7" s="17"/>
      <c r="W7" s="17">
        <v>2650723</v>
      </c>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row>
    <row r="8" spans="1:216" s="27" customFormat="1" ht="16.5" x14ac:dyDescent="0.25">
      <c r="A8" s="21" t="s">
        <v>22</v>
      </c>
      <c r="B8" s="22">
        <v>2</v>
      </c>
      <c r="C8" s="22"/>
      <c r="D8" s="22"/>
      <c r="E8" s="22">
        <v>3</v>
      </c>
      <c r="F8" s="22"/>
      <c r="G8" s="22"/>
      <c r="H8" s="22"/>
      <c r="I8" s="22"/>
      <c r="J8" s="22"/>
      <c r="K8" s="22"/>
      <c r="L8" s="23"/>
      <c r="M8" s="23"/>
      <c r="N8" s="24"/>
      <c r="O8" s="23"/>
      <c r="P8" s="23"/>
      <c r="Q8" s="23" t="s">
        <v>23</v>
      </c>
      <c r="R8" s="25">
        <f>R5+R7</f>
        <v>4233429</v>
      </c>
      <c r="S8" s="23"/>
      <c r="T8" s="23"/>
      <c r="U8" s="26" t="e">
        <f>E19-U7</f>
        <v>#REF!</v>
      </c>
      <c r="V8" s="26"/>
      <c r="W8" s="26"/>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row>
    <row r="9" spans="1:216" s="27" customFormat="1" ht="30.6" customHeight="1" x14ac:dyDescent="0.25">
      <c r="A9" s="28"/>
      <c r="B9" s="29" t="s">
        <v>24</v>
      </c>
      <c r="C9" s="30">
        <f>C10+C19</f>
        <v>7720081</v>
      </c>
      <c r="D9" s="30">
        <f>D10+D19</f>
        <v>7426981</v>
      </c>
      <c r="E9" s="30">
        <f>E10+E19</f>
        <v>8270269.2170000002</v>
      </c>
      <c r="F9" s="30">
        <v>1244237</v>
      </c>
      <c r="G9" s="30">
        <f>G10+G19</f>
        <v>2382858.9900819999</v>
      </c>
      <c r="H9" s="31">
        <f>G9/C9</f>
        <v>0.30865725244100417</v>
      </c>
      <c r="I9" s="31">
        <f>G9/D9</f>
        <v>0.32083816965224493</v>
      </c>
      <c r="J9" s="30">
        <f>G9-F9</f>
        <v>1138621.9900819999</v>
      </c>
      <c r="K9" s="32"/>
      <c r="L9" s="23"/>
      <c r="M9" s="23"/>
      <c r="N9" s="24"/>
      <c r="O9" s="23"/>
      <c r="P9" s="23"/>
      <c r="Q9" s="23"/>
      <c r="R9" s="25"/>
      <c r="S9" s="23"/>
      <c r="T9" s="23"/>
      <c r="U9" s="26"/>
      <c r="V9" s="26"/>
      <c r="W9" s="26"/>
      <c r="X9" s="26"/>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f>7316-285+242959+445770</f>
        <v>695760</v>
      </c>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row>
    <row r="10" spans="1:216" s="42" customFormat="1" ht="27" customHeight="1" x14ac:dyDescent="0.25">
      <c r="A10" s="33" t="s">
        <v>25</v>
      </c>
      <c r="B10" s="34" t="s">
        <v>26</v>
      </c>
      <c r="C10" s="35">
        <f>C11+C17</f>
        <v>1858081</v>
      </c>
      <c r="D10" s="35">
        <f>C10</f>
        <v>1858081</v>
      </c>
      <c r="E10" s="35">
        <f>E11+E17</f>
        <v>1858081</v>
      </c>
      <c r="F10" s="35">
        <v>337911</v>
      </c>
      <c r="G10" s="35">
        <f>G11+G17</f>
        <v>638066</v>
      </c>
      <c r="H10" s="36">
        <f>G10/C10</f>
        <v>0.34340052990154896</v>
      </c>
      <c r="I10" s="36">
        <f>G10/D10</f>
        <v>0.34340052990154896</v>
      </c>
      <c r="J10" s="35">
        <f>G10-F10</f>
        <v>300155</v>
      </c>
      <c r="K10" s="37"/>
      <c r="L10" s="38"/>
      <c r="M10" s="38"/>
      <c r="N10" s="39"/>
      <c r="O10" s="38"/>
      <c r="P10" s="38"/>
      <c r="Q10" s="38"/>
      <c r="R10" s="40"/>
      <c r="S10" s="38"/>
      <c r="T10" s="38"/>
      <c r="U10" s="41"/>
      <c r="V10" s="41"/>
      <c r="W10" s="41"/>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f>1454-285+242.959+445.77</f>
        <v>1857.729</v>
      </c>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row>
    <row r="11" spans="1:216" s="27" customFormat="1" ht="24.6" customHeight="1" x14ac:dyDescent="0.25">
      <c r="A11" s="43" t="s">
        <v>27</v>
      </c>
      <c r="B11" s="44" t="s">
        <v>28</v>
      </c>
      <c r="C11" s="45">
        <f>C13+C12</f>
        <v>1807913</v>
      </c>
      <c r="D11" s="45"/>
      <c r="E11" s="45">
        <f>E13+E12</f>
        <v>1807913</v>
      </c>
      <c r="F11" s="45">
        <v>337911</v>
      </c>
      <c r="G11" s="45">
        <f>G13+G12</f>
        <v>460440</v>
      </c>
      <c r="H11" s="46">
        <f>G11/C11</f>
        <v>0.25468039667837999</v>
      </c>
      <c r="I11" s="45"/>
      <c r="J11" s="45">
        <f>G11-F11</f>
        <v>122529</v>
      </c>
      <c r="K11" s="47"/>
      <c r="L11" s="23"/>
      <c r="M11" s="23"/>
      <c r="N11" s="24"/>
      <c r="O11" s="23"/>
      <c r="P11" s="23"/>
      <c r="Q11" s="23"/>
      <c r="R11" s="25"/>
      <c r="S11" s="23"/>
      <c r="T11" s="23"/>
      <c r="U11" s="26"/>
      <c r="V11" s="26"/>
      <c r="W11" s="26"/>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v>1858081</v>
      </c>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row>
    <row r="12" spans="1:216" s="27" customFormat="1" ht="36" customHeight="1" x14ac:dyDescent="0.25">
      <c r="A12" s="43" t="s">
        <v>29</v>
      </c>
      <c r="B12" s="44" t="s">
        <v>30</v>
      </c>
      <c r="C12" s="45">
        <f>180000+265770</f>
        <v>445770</v>
      </c>
      <c r="D12" s="48"/>
      <c r="E12" s="45">
        <f>180000+265770</f>
        <v>445770</v>
      </c>
      <c r="F12" s="45"/>
      <c r="G12" s="45"/>
      <c r="H12" s="46"/>
      <c r="I12" s="45"/>
      <c r="J12" s="45"/>
      <c r="K12" s="47"/>
      <c r="L12" s="23"/>
      <c r="M12" s="23"/>
      <c r="N12" s="24"/>
      <c r="O12" s="23"/>
      <c r="P12" s="23"/>
      <c r="Q12" s="23"/>
      <c r="R12" s="25"/>
      <c r="S12" s="23"/>
      <c r="T12" s="23"/>
      <c r="U12" s="26"/>
      <c r="V12" s="26"/>
      <c r="W12" s="26"/>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f>1858-1857</f>
        <v>1</v>
      </c>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row>
    <row r="13" spans="1:216" s="27" customFormat="1" ht="27" customHeight="1" x14ac:dyDescent="0.25">
      <c r="A13" s="43" t="s">
        <v>31</v>
      </c>
      <c r="B13" s="44" t="s">
        <v>32</v>
      </c>
      <c r="C13" s="45">
        <f>C15+C16</f>
        <v>1362143</v>
      </c>
      <c r="D13" s="45"/>
      <c r="E13" s="45">
        <f>E15+E16</f>
        <v>1362143</v>
      </c>
      <c r="F13" s="45">
        <v>337911</v>
      </c>
      <c r="G13" s="45">
        <f>G15+G16</f>
        <v>460440</v>
      </c>
      <c r="H13" s="46">
        <f>G13/C13</f>
        <v>0.33802618374135462</v>
      </c>
      <c r="I13" s="49"/>
      <c r="J13" s="45">
        <f>G13-F13</f>
        <v>122529</v>
      </c>
      <c r="K13" s="47"/>
      <c r="L13" s="23"/>
      <c r="M13" s="23"/>
      <c r="N13" s="24"/>
      <c r="O13" s="23"/>
      <c r="P13" s="23"/>
      <c r="Q13" s="23"/>
      <c r="R13" s="25"/>
      <c r="S13" s="23"/>
      <c r="T13" s="23"/>
      <c r="U13" s="26"/>
      <c r="V13" s="26"/>
      <c r="W13" s="26"/>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row>
    <row r="14" spans="1:216" s="27" customFormat="1" ht="25.15" customHeight="1" x14ac:dyDescent="0.25">
      <c r="A14" s="50"/>
      <c r="B14" s="51" t="s">
        <v>33</v>
      </c>
      <c r="C14" s="52"/>
      <c r="D14" s="53"/>
      <c r="E14" s="53"/>
      <c r="F14" s="53"/>
      <c r="G14" s="49"/>
      <c r="H14" s="46"/>
      <c r="I14" s="49"/>
      <c r="J14" s="49"/>
      <c r="K14" s="47"/>
      <c r="L14" s="23"/>
      <c r="M14" s="23"/>
      <c r="N14" s="24"/>
      <c r="O14" s="23"/>
      <c r="P14" s="23"/>
      <c r="Q14" s="23"/>
      <c r="R14" s="25"/>
      <c r="S14" s="23"/>
      <c r="T14" s="23"/>
      <c r="U14" s="26"/>
      <c r="V14" s="26"/>
      <c r="W14" s="26"/>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row>
    <row r="15" spans="1:216" s="27" customFormat="1" ht="49.5" x14ac:dyDescent="0.25">
      <c r="A15" s="50" t="s">
        <v>34</v>
      </c>
      <c r="B15" s="54" t="s">
        <v>35</v>
      </c>
      <c r="C15" s="53">
        <v>623447</v>
      </c>
      <c r="D15" s="53"/>
      <c r="E15" s="53">
        <v>623447</v>
      </c>
      <c r="F15" s="53">
        <v>125019.06328999999</v>
      </c>
      <c r="G15" s="55">
        <v>33911</v>
      </c>
      <c r="H15" s="56">
        <f t="shared" ref="H15:H19" si="2">G15/C15</f>
        <v>5.4392755117917004E-2</v>
      </c>
      <c r="I15" s="49"/>
      <c r="J15" s="55">
        <f>G15-F15</f>
        <v>-91108.063289999991</v>
      </c>
      <c r="K15" s="47"/>
      <c r="L15" s="23"/>
      <c r="M15" s="23"/>
      <c r="N15" s="24"/>
      <c r="O15" s="23"/>
      <c r="P15" s="23"/>
      <c r="Q15" s="23"/>
      <c r="R15" s="25"/>
      <c r="S15" s="23"/>
      <c r="T15" s="23"/>
      <c r="V15" s="26"/>
      <c r="W15" s="26"/>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row>
    <row r="16" spans="1:216" s="27" customFormat="1" ht="49.5" x14ac:dyDescent="0.25">
      <c r="A16" s="43" t="s">
        <v>34</v>
      </c>
      <c r="B16" s="57" t="s">
        <v>36</v>
      </c>
      <c r="C16" s="53">
        <v>738696</v>
      </c>
      <c r="D16" s="53"/>
      <c r="E16" s="53">
        <v>738696</v>
      </c>
      <c r="F16" s="53">
        <v>212891.93671000001</v>
      </c>
      <c r="G16" s="55">
        <v>426529</v>
      </c>
      <c r="H16" s="56">
        <f t="shared" si="2"/>
        <v>0.57740802711805672</v>
      </c>
      <c r="I16" s="49"/>
      <c r="J16" s="55">
        <f>G16-F16</f>
        <v>213637.06328999999</v>
      </c>
      <c r="K16" s="47"/>
      <c r="L16" s="23"/>
      <c r="M16" s="23"/>
      <c r="N16" s="24"/>
      <c r="O16" s="23"/>
      <c r="P16" s="23"/>
      <c r="Q16" s="23"/>
      <c r="R16" s="25"/>
      <c r="S16" s="23"/>
      <c r="T16" s="23"/>
      <c r="V16" s="26"/>
      <c r="W16" s="26"/>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row>
    <row r="17" spans="1:217" s="27" customFormat="1" ht="30" customHeight="1" x14ac:dyDescent="0.25">
      <c r="A17" s="43" t="s">
        <v>37</v>
      </c>
      <c r="B17" s="58" t="s">
        <v>38</v>
      </c>
      <c r="C17" s="45">
        <f>C18</f>
        <v>50168</v>
      </c>
      <c r="D17" s="45"/>
      <c r="E17" s="45">
        <f>E18</f>
        <v>50168</v>
      </c>
      <c r="F17" s="45"/>
      <c r="G17" s="45">
        <f>G18</f>
        <v>177626</v>
      </c>
      <c r="H17" s="46">
        <f t="shared" si="2"/>
        <v>3.5406235050231225</v>
      </c>
      <c r="I17" s="49"/>
      <c r="J17" s="59"/>
      <c r="K17" s="47"/>
      <c r="L17" s="23"/>
      <c r="M17" s="23"/>
      <c r="N17" s="24"/>
      <c r="O17" s="23"/>
      <c r="P17" s="23"/>
      <c r="Q17" s="23"/>
      <c r="R17" s="25"/>
      <c r="S17" s="23"/>
      <c r="T17" s="23"/>
      <c r="U17" s="26"/>
      <c r="V17" s="26"/>
      <c r="W17" s="26"/>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row>
    <row r="18" spans="1:217" s="27" customFormat="1" ht="30" customHeight="1" x14ac:dyDescent="0.25">
      <c r="A18" s="60" t="s">
        <v>29</v>
      </c>
      <c r="B18" s="61" t="s">
        <v>32</v>
      </c>
      <c r="C18" s="62">
        <v>50168</v>
      </c>
      <c r="D18" s="62"/>
      <c r="E18" s="62">
        <v>50168</v>
      </c>
      <c r="F18" s="62"/>
      <c r="G18" s="59">
        <v>177626</v>
      </c>
      <c r="H18" s="46">
        <f t="shared" si="2"/>
        <v>3.5406235050231225</v>
      </c>
      <c r="I18" s="49"/>
      <c r="J18" s="59"/>
      <c r="K18" s="47"/>
      <c r="L18" s="23"/>
      <c r="M18" s="23"/>
      <c r="N18" s="24"/>
      <c r="O18" s="23"/>
      <c r="P18" s="23"/>
      <c r="Q18" s="23"/>
      <c r="R18" s="25"/>
      <c r="S18" s="23"/>
      <c r="T18" s="23"/>
      <c r="U18" s="26"/>
      <c r="V18" s="26"/>
      <c r="W18" s="26"/>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row>
    <row r="19" spans="1:217" s="72" customFormat="1" ht="34.5" customHeight="1" x14ac:dyDescent="0.25">
      <c r="A19" s="63" t="s">
        <v>39</v>
      </c>
      <c r="B19" s="64" t="s">
        <v>40</v>
      </c>
      <c r="C19" s="65">
        <v>5862000</v>
      </c>
      <c r="D19" s="65">
        <v>5568900</v>
      </c>
      <c r="E19" s="65">
        <v>6412188.2170000002</v>
      </c>
      <c r="F19" s="65">
        <v>906326</v>
      </c>
      <c r="G19" s="65">
        <v>1744792.9900819999</v>
      </c>
      <c r="H19" s="66">
        <f t="shared" si="2"/>
        <v>0.29764465883350388</v>
      </c>
      <c r="I19" s="66">
        <f>G19/D19</f>
        <v>0.31331016719316201</v>
      </c>
      <c r="J19" s="65">
        <f>G19-F19</f>
        <v>838466.99008199992</v>
      </c>
      <c r="K19" s="67"/>
      <c r="L19" s="68"/>
      <c r="M19" s="69"/>
      <c r="N19" s="69"/>
      <c r="O19" s="69"/>
      <c r="P19" s="69" t="s">
        <v>41</v>
      </c>
      <c r="Q19" s="5" t="s">
        <v>42</v>
      </c>
      <c r="R19" s="70">
        <f>G19-R2</f>
        <v>-1205207.0099180001</v>
      </c>
      <c r="S19" s="69"/>
      <c r="T19" s="69"/>
      <c r="U19" s="71"/>
      <c r="V19" s="71"/>
      <c r="W19" s="71"/>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row>
    <row r="20" spans="1:217" s="72" customFormat="1" ht="34.5" customHeight="1" x14ac:dyDescent="0.25">
      <c r="A20" s="83" t="s">
        <v>44</v>
      </c>
      <c r="B20" s="84" t="s">
        <v>45</v>
      </c>
      <c r="C20" s="85">
        <v>5862000</v>
      </c>
      <c r="D20" s="85">
        <v>5568900</v>
      </c>
      <c r="E20" s="85">
        <f>E21+E31+E34</f>
        <v>5914360</v>
      </c>
      <c r="F20" s="85">
        <v>906326</v>
      </c>
      <c r="G20" s="85"/>
      <c r="H20" s="86">
        <f>G20/C20</f>
        <v>0</v>
      </c>
      <c r="I20" s="86">
        <f>G20/D20</f>
        <v>0</v>
      </c>
      <c r="J20" s="85">
        <f>G20-F20</f>
        <v>-906326</v>
      </c>
      <c r="K20" s="87"/>
      <c r="L20" s="88"/>
      <c r="M20" s="69"/>
      <c r="N20" s="69"/>
      <c r="O20" s="69"/>
      <c r="P20" s="69"/>
      <c r="Q20" s="5"/>
      <c r="R20" s="70"/>
      <c r="S20" s="69"/>
      <c r="T20" s="69"/>
      <c r="U20" s="89"/>
      <c r="V20" s="89"/>
      <c r="W20" s="8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row>
    <row r="21" spans="1:217" s="72" customFormat="1" ht="34.5" customHeight="1" x14ac:dyDescent="0.25">
      <c r="A21" s="83" t="s">
        <v>27</v>
      </c>
      <c r="B21" s="90" t="s">
        <v>46</v>
      </c>
      <c r="C21" s="85">
        <v>2950000</v>
      </c>
      <c r="D21" s="85">
        <f>C21*0.95</f>
        <v>2802500</v>
      </c>
      <c r="E21" s="85">
        <f>E22+E23</f>
        <v>2950000</v>
      </c>
      <c r="F21" s="85">
        <v>602804.53846800001</v>
      </c>
      <c r="G21" s="85"/>
      <c r="H21" s="86">
        <f t="shared" ref="H21" si="3">G21/C21</f>
        <v>0</v>
      </c>
      <c r="I21" s="86">
        <f>G21/D21</f>
        <v>0</v>
      </c>
      <c r="J21" s="85">
        <f>G21-F21</f>
        <v>-602804.53846800001</v>
      </c>
      <c r="K21" s="87"/>
      <c r="L21" s="88"/>
      <c r="M21" s="69"/>
      <c r="N21" s="69"/>
      <c r="O21" s="69"/>
      <c r="P21" s="69"/>
      <c r="Q21" s="5"/>
      <c r="R21" s="70"/>
      <c r="S21" s="69"/>
      <c r="T21" s="69"/>
      <c r="U21" s="89"/>
      <c r="V21" s="89"/>
      <c r="W21" s="8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c r="DG21" s="69"/>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c r="EF21" s="69"/>
      <c r="EG21" s="69"/>
      <c r="EH21" s="69"/>
      <c r="EI21" s="69"/>
      <c r="EJ21" s="69"/>
      <c r="EK21" s="69"/>
      <c r="EL21" s="69"/>
      <c r="EM21" s="69"/>
      <c r="EN21" s="69"/>
      <c r="EO21" s="69"/>
      <c r="EP21" s="69"/>
      <c r="EQ21" s="69"/>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c r="HF21" s="69"/>
      <c r="HG21" s="69"/>
      <c r="HH21" s="69"/>
      <c r="HI21" s="69"/>
    </row>
    <row r="22" spans="1:217" s="97" customFormat="1" ht="33" x14ac:dyDescent="0.25">
      <c r="A22" s="43" t="s">
        <v>22</v>
      </c>
      <c r="B22" s="91" t="s">
        <v>47</v>
      </c>
      <c r="C22" s="92"/>
      <c r="D22" s="93"/>
      <c r="E22" s="93">
        <v>288000</v>
      </c>
      <c r="F22" s="93">
        <v>121673</v>
      </c>
      <c r="G22" s="45"/>
      <c r="H22" s="94">
        <f>G22/E22</f>
        <v>0</v>
      </c>
      <c r="I22" s="94"/>
      <c r="J22" s="45">
        <f>G22-F22</f>
        <v>-121673</v>
      </c>
      <c r="K22" s="87"/>
      <c r="L22" s="68"/>
      <c r="M22" s="95"/>
      <c r="N22" s="95"/>
      <c r="O22" s="95"/>
      <c r="P22" s="95"/>
      <c r="Q22" s="9" t="s">
        <v>48</v>
      </c>
      <c r="R22" s="70" t="e">
        <f>H19-#REF!</f>
        <v>#REF!</v>
      </c>
      <c r="S22" s="95"/>
      <c r="T22" s="95"/>
      <c r="U22" s="96" t="e">
        <f>E19-U7</f>
        <v>#REF!</v>
      </c>
      <c r="V22" s="96"/>
      <c r="W22" s="96"/>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DZ22" s="95"/>
      <c r="EA22" s="95"/>
      <c r="EB22" s="95"/>
      <c r="EC22" s="95"/>
      <c r="ED22" s="95"/>
      <c r="EE22" s="95"/>
      <c r="EF22" s="95"/>
      <c r="EG22" s="95"/>
      <c r="EH22" s="95"/>
      <c r="EI22" s="95"/>
      <c r="EJ22" s="95"/>
      <c r="EK22" s="95"/>
      <c r="EL22" s="95"/>
      <c r="EM22" s="95"/>
      <c r="EN22" s="95"/>
      <c r="EO22" s="95"/>
      <c r="EP22" s="95"/>
      <c r="EQ22" s="95"/>
      <c r="ER22" s="95"/>
      <c r="ES22" s="95"/>
      <c r="ET22" s="95"/>
      <c r="EU22" s="95"/>
      <c r="EV22" s="95"/>
      <c r="EW22" s="95"/>
      <c r="EX22" s="95"/>
      <c r="EY22" s="95"/>
      <c r="EZ22" s="95"/>
      <c r="FA22" s="95"/>
      <c r="FB22" s="95"/>
      <c r="FC22" s="95"/>
      <c r="FD22" s="95"/>
      <c r="FE22" s="95"/>
      <c r="FF22" s="95"/>
      <c r="FG22" s="95"/>
      <c r="FH22" s="95"/>
      <c r="FI22" s="95"/>
      <c r="FJ22" s="95"/>
      <c r="FK22" s="95"/>
      <c r="FL22" s="95"/>
      <c r="FM22" s="95"/>
      <c r="FN22" s="95"/>
      <c r="FO22" s="95"/>
      <c r="FP22" s="95"/>
      <c r="FQ22" s="95"/>
      <c r="FR22" s="95"/>
      <c r="FS22" s="95"/>
      <c r="FT22" s="95"/>
      <c r="FU22" s="95"/>
      <c r="FV22" s="95"/>
      <c r="FW22" s="95"/>
      <c r="FX22" s="95"/>
      <c r="FY22" s="95"/>
      <c r="FZ22" s="95"/>
      <c r="GA22" s="95"/>
      <c r="GB22" s="95"/>
      <c r="GC22" s="95"/>
      <c r="GD22" s="95"/>
      <c r="GE22" s="95"/>
      <c r="GF22" s="95"/>
      <c r="GG22" s="95"/>
      <c r="GH22" s="95"/>
      <c r="GI22" s="95"/>
      <c r="GJ22" s="95"/>
      <c r="GK22" s="95"/>
      <c r="GL22" s="95"/>
      <c r="GM22" s="95"/>
      <c r="GN22" s="95"/>
      <c r="GO22" s="95"/>
      <c r="GP22" s="95"/>
      <c r="GQ22" s="95"/>
      <c r="GR22" s="95"/>
      <c r="GS22" s="95"/>
      <c r="GT22" s="95"/>
      <c r="GU22" s="95"/>
      <c r="GV22" s="95"/>
      <c r="GW22" s="95"/>
      <c r="GX22" s="95"/>
      <c r="GY22" s="95"/>
      <c r="GZ22" s="95"/>
      <c r="HA22" s="95"/>
      <c r="HB22" s="95"/>
      <c r="HC22" s="95"/>
      <c r="HD22" s="95"/>
      <c r="HE22" s="95"/>
      <c r="HF22" s="95"/>
      <c r="HG22" s="95"/>
      <c r="HH22" s="95"/>
      <c r="HI22" s="95"/>
    </row>
    <row r="23" spans="1:217" s="97" customFormat="1" ht="43.9" customHeight="1" x14ac:dyDescent="0.25">
      <c r="A23" s="43" t="s">
        <v>49</v>
      </c>
      <c r="B23" s="84" t="s">
        <v>50</v>
      </c>
      <c r="C23" s="45"/>
      <c r="D23" s="93"/>
      <c r="E23" s="93">
        <f>E24+E25+E26+E27+E28+E29+E30</f>
        <v>2662000</v>
      </c>
      <c r="F23" s="93">
        <v>481131.53846800007</v>
      </c>
      <c r="G23" s="93"/>
      <c r="H23" s="94">
        <f>G23/E23</f>
        <v>0</v>
      </c>
      <c r="I23" s="94"/>
      <c r="J23" s="93">
        <f>G23-F23</f>
        <v>-481131.53846800007</v>
      </c>
      <c r="K23" s="98"/>
      <c r="L23" s="68"/>
      <c r="M23" s="95"/>
      <c r="N23" s="95"/>
      <c r="O23" s="95"/>
      <c r="P23" s="95"/>
      <c r="Q23" s="9" t="s">
        <v>9</v>
      </c>
      <c r="R23" s="70">
        <f>I19-R3</f>
        <v>-276999.68668983283</v>
      </c>
      <c r="S23" s="95"/>
      <c r="T23" s="95"/>
      <c r="U23" s="96"/>
      <c r="V23" s="96"/>
      <c r="W23" s="96"/>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c r="GU23" s="95"/>
      <c r="GV23" s="95"/>
      <c r="GW23" s="95"/>
      <c r="GX23" s="95"/>
      <c r="GY23" s="95"/>
      <c r="GZ23" s="95"/>
      <c r="HA23" s="95"/>
      <c r="HB23" s="95"/>
      <c r="HC23" s="95"/>
      <c r="HD23" s="95"/>
      <c r="HE23" s="95"/>
      <c r="HF23" s="95"/>
      <c r="HG23" s="95"/>
      <c r="HH23" s="95"/>
      <c r="HI23" s="95"/>
    </row>
    <row r="24" spans="1:217" s="97" customFormat="1" ht="26.45" customHeight="1" x14ac:dyDescent="0.25">
      <c r="A24" s="60" t="s">
        <v>51</v>
      </c>
      <c r="B24" s="99" t="s">
        <v>52</v>
      </c>
      <c r="C24" s="100"/>
      <c r="D24" s="101"/>
      <c r="E24" s="101">
        <v>29000</v>
      </c>
      <c r="F24" s="101"/>
      <c r="G24" s="102"/>
      <c r="H24" s="103">
        <f>G24/E24</f>
        <v>0</v>
      </c>
      <c r="I24" s="103"/>
      <c r="J24" s="102">
        <f t="shared" ref="J24:J36" si="4">G24-F24</f>
        <v>0</v>
      </c>
      <c r="K24" s="87"/>
      <c r="Q24" s="11"/>
      <c r="U24" s="104"/>
      <c r="V24" s="104"/>
      <c r="W24" s="104"/>
    </row>
    <row r="25" spans="1:217" s="107" customFormat="1" ht="37.9" customHeight="1" x14ac:dyDescent="0.25">
      <c r="A25" s="60" t="s">
        <v>53</v>
      </c>
      <c r="B25" s="105" t="s">
        <v>54</v>
      </c>
      <c r="C25" s="106"/>
      <c r="D25" s="101"/>
      <c r="E25" s="101">
        <v>65277</v>
      </c>
      <c r="F25" s="101"/>
      <c r="G25" s="102"/>
      <c r="H25" s="103">
        <f t="shared" ref="H25:H26" si="5">G25/E25</f>
        <v>0</v>
      </c>
      <c r="I25" s="103"/>
      <c r="J25" s="102">
        <f t="shared" si="4"/>
        <v>0</v>
      </c>
      <c r="K25" s="87"/>
      <c r="U25" s="108"/>
      <c r="V25" s="108"/>
      <c r="W25" s="108"/>
    </row>
    <row r="26" spans="1:217" s="97" customFormat="1" ht="35.450000000000003" customHeight="1" x14ac:dyDescent="0.25">
      <c r="A26" s="60" t="s">
        <v>55</v>
      </c>
      <c r="B26" s="109" t="s">
        <v>56</v>
      </c>
      <c r="C26" s="106"/>
      <c r="D26" s="101"/>
      <c r="E26" s="101">
        <v>200000</v>
      </c>
      <c r="F26" s="101"/>
      <c r="G26" s="59"/>
      <c r="H26" s="103">
        <f t="shared" si="5"/>
        <v>0</v>
      </c>
      <c r="I26" s="103"/>
      <c r="J26" s="59">
        <f t="shared" si="4"/>
        <v>0</v>
      </c>
      <c r="K26" s="87"/>
      <c r="U26" s="104"/>
      <c r="V26" s="104"/>
      <c r="W26" s="104"/>
    </row>
    <row r="27" spans="1:217" s="97" customFormat="1" ht="26.45" customHeight="1" x14ac:dyDescent="0.25">
      <c r="A27" s="110" t="s">
        <v>57</v>
      </c>
      <c r="B27" s="99" t="s">
        <v>58</v>
      </c>
      <c r="C27" s="111"/>
      <c r="D27" s="101"/>
      <c r="E27" s="101">
        <f>23181-1474</f>
        <v>21707</v>
      </c>
      <c r="F27" s="101">
        <v>3926</v>
      </c>
      <c r="G27" s="101"/>
      <c r="H27" s="103">
        <f>G27/E27</f>
        <v>0</v>
      </c>
      <c r="I27" s="103"/>
      <c r="J27" s="101">
        <f t="shared" si="4"/>
        <v>-3926</v>
      </c>
      <c r="K27" s="87"/>
      <c r="U27" s="104"/>
      <c r="V27" s="104"/>
      <c r="W27" s="104"/>
    </row>
    <row r="28" spans="1:217" s="97" customFormat="1" ht="60" customHeight="1" x14ac:dyDescent="0.25">
      <c r="A28" s="110" t="s">
        <v>59</v>
      </c>
      <c r="B28" s="105" t="s">
        <v>60</v>
      </c>
      <c r="C28" s="112"/>
      <c r="D28" s="101"/>
      <c r="E28" s="101">
        <f>2289542-182176+183650</f>
        <v>2291016</v>
      </c>
      <c r="F28" s="101">
        <v>473614.84846800007</v>
      </c>
      <c r="G28" s="101"/>
      <c r="H28" s="103">
        <f>G28/E28</f>
        <v>0</v>
      </c>
      <c r="I28" s="113"/>
      <c r="J28" s="101">
        <f t="shared" si="4"/>
        <v>-473614.84846800007</v>
      </c>
      <c r="K28" s="87"/>
      <c r="U28" s="104"/>
      <c r="V28" s="104"/>
      <c r="W28" s="104"/>
    </row>
    <row r="29" spans="1:217" s="118" customFormat="1" ht="26.45" customHeight="1" x14ac:dyDescent="0.25">
      <c r="A29" s="114" t="s">
        <v>61</v>
      </c>
      <c r="B29" s="109" t="s">
        <v>62</v>
      </c>
      <c r="C29" s="112"/>
      <c r="D29" s="115"/>
      <c r="E29" s="115">
        <v>5000</v>
      </c>
      <c r="F29" s="115">
        <v>0</v>
      </c>
      <c r="G29" s="59"/>
      <c r="H29" s="116">
        <f>G29/E29</f>
        <v>0</v>
      </c>
      <c r="I29" s="116"/>
      <c r="J29" s="59">
        <f t="shared" si="4"/>
        <v>0</v>
      </c>
      <c r="K29" s="117"/>
      <c r="U29" s="119"/>
      <c r="V29" s="119"/>
      <c r="W29" s="119"/>
    </row>
    <row r="30" spans="1:217" s="97" customFormat="1" ht="26.45" customHeight="1" x14ac:dyDescent="0.25">
      <c r="A30" s="110" t="s">
        <v>63</v>
      </c>
      <c r="B30" s="99" t="s">
        <v>64</v>
      </c>
      <c r="C30" s="111"/>
      <c r="D30" s="101"/>
      <c r="E30" s="101">
        <v>50000</v>
      </c>
      <c r="F30" s="101">
        <v>3590.69</v>
      </c>
      <c r="G30" s="101"/>
      <c r="H30" s="103">
        <f>G30/E30</f>
        <v>0</v>
      </c>
      <c r="I30" s="103"/>
      <c r="J30" s="101">
        <f t="shared" si="4"/>
        <v>-3590.69</v>
      </c>
      <c r="K30" s="87"/>
    </row>
    <row r="31" spans="1:217" s="95" customFormat="1" ht="28.9" customHeight="1" x14ac:dyDescent="0.25">
      <c r="A31" s="83" t="s">
        <v>37</v>
      </c>
      <c r="B31" s="84" t="s">
        <v>65</v>
      </c>
      <c r="C31" s="120">
        <v>2635000</v>
      </c>
      <c r="D31" s="121">
        <f>C31*0.95</f>
        <v>2503250</v>
      </c>
      <c r="E31" s="121">
        <f>E32+E33</f>
        <v>2687360</v>
      </c>
      <c r="F31" s="121">
        <v>219189</v>
      </c>
      <c r="G31" s="121"/>
      <c r="H31" s="122">
        <f>G31/C31</f>
        <v>0</v>
      </c>
      <c r="I31" s="94">
        <f>G31/D31</f>
        <v>0</v>
      </c>
      <c r="J31" s="121">
        <f t="shared" si="4"/>
        <v>-219189</v>
      </c>
      <c r="K31" s="123"/>
    </row>
    <row r="32" spans="1:217" s="97" customFormat="1" ht="41.45" customHeight="1" x14ac:dyDescent="0.25">
      <c r="A32" s="124">
        <v>1</v>
      </c>
      <c r="B32" s="125" t="s">
        <v>66</v>
      </c>
      <c r="C32" s="126"/>
      <c r="D32" s="127"/>
      <c r="E32" s="127">
        <v>582500</v>
      </c>
      <c r="F32" s="127">
        <v>20355</v>
      </c>
      <c r="G32" s="127"/>
      <c r="H32" s="128">
        <f>G32/E32</f>
        <v>0</v>
      </c>
      <c r="I32" s="128"/>
      <c r="J32" s="127">
        <f t="shared" si="4"/>
        <v>-20355</v>
      </c>
      <c r="K32" s="129"/>
    </row>
    <row r="33" spans="1:11" s="97" customFormat="1" ht="57" customHeight="1" x14ac:dyDescent="0.25">
      <c r="A33" s="124">
        <v>2</v>
      </c>
      <c r="B33" s="105" t="s">
        <v>60</v>
      </c>
      <c r="C33" s="126"/>
      <c r="D33" s="127"/>
      <c r="E33" s="127">
        <v>2104860</v>
      </c>
      <c r="F33" s="127">
        <v>198834</v>
      </c>
      <c r="G33" s="127"/>
      <c r="H33" s="128">
        <f>G33/E33</f>
        <v>0</v>
      </c>
      <c r="I33" s="128"/>
      <c r="J33" s="127">
        <f t="shared" si="4"/>
        <v>-198834</v>
      </c>
      <c r="K33" s="129"/>
    </row>
    <row r="34" spans="1:11" s="95" customFormat="1" ht="24.6" customHeight="1" x14ac:dyDescent="0.25">
      <c r="A34" s="83" t="s">
        <v>67</v>
      </c>
      <c r="B34" s="84" t="s">
        <v>68</v>
      </c>
      <c r="C34" s="120">
        <v>277000</v>
      </c>
      <c r="D34" s="85">
        <f>C34*0.95</f>
        <v>263150</v>
      </c>
      <c r="E34" s="85">
        <f>E35</f>
        <v>277000</v>
      </c>
      <c r="F34" s="85">
        <v>84332.461532000001</v>
      </c>
      <c r="G34" s="85"/>
      <c r="H34" s="122">
        <f>G34/C34</f>
        <v>0</v>
      </c>
      <c r="I34" s="94">
        <f>G34/D34</f>
        <v>0</v>
      </c>
      <c r="J34" s="85">
        <f t="shared" si="4"/>
        <v>-84332.461532000001</v>
      </c>
      <c r="K34" s="123"/>
    </row>
    <row r="35" spans="1:11" s="97" customFormat="1" ht="53.45" customHeight="1" x14ac:dyDescent="0.25">
      <c r="A35" s="124">
        <v>1</v>
      </c>
      <c r="B35" s="105" t="s">
        <v>60</v>
      </c>
      <c r="C35" s="130"/>
      <c r="D35" s="127"/>
      <c r="E35" s="127">
        <v>277000</v>
      </c>
      <c r="F35" s="127">
        <v>84332.461532000001</v>
      </c>
      <c r="G35" s="127"/>
      <c r="H35" s="128">
        <f>G35/E35</f>
        <v>0</v>
      </c>
      <c r="I35" s="128"/>
      <c r="J35" s="127">
        <f t="shared" si="4"/>
        <v>-84332.461532000001</v>
      </c>
      <c r="K35" s="129"/>
    </row>
    <row r="36" spans="1:11" s="95" customFormat="1" ht="62.45" customHeight="1" x14ac:dyDescent="0.25">
      <c r="A36" s="83" t="s">
        <v>69</v>
      </c>
      <c r="B36" s="84" t="s">
        <v>70</v>
      </c>
      <c r="C36" s="131"/>
      <c r="D36" s="121"/>
      <c r="E36" s="121">
        <v>497828.21700000018</v>
      </c>
      <c r="F36" s="121">
        <v>0</v>
      </c>
      <c r="G36" s="121"/>
      <c r="H36" s="122">
        <f>G36/E36</f>
        <v>0</v>
      </c>
      <c r="I36" s="122"/>
      <c r="J36" s="121">
        <f t="shared" si="4"/>
        <v>0</v>
      </c>
      <c r="K36" s="123"/>
    </row>
    <row r="37" spans="1:11" s="77" customFormat="1" ht="6.6" customHeight="1" thickBot="1" x14ac:dyDescent="0.3">
      <c r="A37" s="73"/>
      <c r="B37" s="74"/>
      <c r="C37" s="74"/>
      <c r="D37" s="74"/>
      <c r="E37" s="74"/>
      <c r="F37" s="74"/>
      <c r="G37" s="75"/>
      <c r="H37" s="75"/>
      <c r="I37" s="75"/>
      <c r="J37" s="75"/>
      <c r="K37" s="76"/>
    </row>
    <row r="38" spans="1:11" ht="19.5" thickTop="1" x14ac:dyDescent="0.25">
      <c r="D38" s="79"/>
      <c r="E38" s="79"/>
      <c r="F38" s="79"/>
      <c r="G38" s="79"/>
      <c r="H38" s="13"/>
    </row>
    <row r="39" spans="1:11" s="80" customFormat="1" ht="106.5" customHeight="1" x14ac:dyDescent="0.25">
      <c r="A39" s="449"/>
      <c r="B39" s="449"/>
      <c r="C39" s="449"/>
      <c r="D39" s="449"/>
      <c r="E39" s="449"/>
      <c r="F39" s="449"/>
      <c r="G39" s="449"/>
      <c r="H39" s="449"/>
      <c r="I39" s="449"/>
      <c r="J39" s="449"/>
      <c r="K39" s="449"/>
    </row>
    <row r="40" spans="1:11" x14ac:dyDescent="0.25">
      <c r="H40" s="81"/>
    </row>
    <row r="41" spans="1:11" x14ac:dyDescent="0.25">
      <c r="B41" s="82"/>
      <c r="H41" s="81"/>
    </row>
    <row r="42" spans="1:11" x14ac:dyDescent="0.25">
      <c r="B42" s="82"/>
    </row>
    <row r="43" spans="1:11" x14ac:dyDescent="0.25">
      <c r="B43" s="82"/>
    </row>
  </sheetData>
  <mergeCells count="14">
    <mergeCell ref="G6:I6"/>
    <mergeCell ref="J6:J7"/>
    <mergeCell ref="K6:K7"/>
    <mergeCell ref="A39:K39"/>
    <mergeCell ref="A1:K1"/>
    <mergeCell ref="A2:K2"/>
    <mergeCell ref="A3:K3"/>
    <mergeCell ref="A5:K5"/>
    <mergeCell ref="A6:A7"/>
    <mergeCell ref="B6:B7"/>
    <mergeCell ref="C6:C7"/>
    <mergeCell ref="D6:D7"/>
    <mergeCell ref="E6:E7"/>
    <mergeCell ref="F6:F7"/>
  </mergeCells>
  <pageMargins left="0.7" right="0.7" top="0.75" bottom="0.75" header="0.3" footer="0.3"/>
  <pageSetup paperSize="9" scale="6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Q31"/>
  <sheetViews>
    <sheetView zoomScale="70" zoomScaleNormal="70" workbookViewId="0">
      <pane xSplit="2" ySplit="7" topLeftCell="K8" activePane="bottomRight" state="frozen"/>
      <selection activeCell="AA11" sqref="AA11"/>
      <selection pane="topRight" activeCell="AA11" sqref="AA11"/>
      <selection pane="bottomLeft" activeCell="AA11" sqref="AA11"/>
      <selection pane="bottomRight" activeCell="Q9" sqref="Q9"/>
    </sheetView>
  </sheetViews>
  <sheetFormatPr defaultColWidth="6" defaultRowHeight="18.75" x14ac:dyDescent="0.25"/>
  <cols>
    <col min="1" max="1" width="6.85546875" style="78" customWidth="1"/>
    <col min="2" max="2" width="36.42578125" style="4" customWidth="1"/>
    <col min="3" max="3" width="15.28515625" style="4" customWidth="1"/>
    <col min="4" max="4" width="17.140625" style="4" customWidth="1"/>
    <col min="5" max="6" width="17.140625" style="4" hidden="1" customWidth="1"/>
    <col min="7" max="7" width="20.5703125" style="4" customWidth="1"/>
    <col min="8" max="8" width="22" style="4" customWidth="1"/>
    <col min="9" max="9" width="21.7109375" style="4" customWidth="1"/>
    <col min="10" max="10" width="17.140625" style="4" customWidth="1"/>
    <col min="11" max="11" width="16.5703125" style="4" customWidth="1"/>
    <col min="12" max="12" width="17.28515625" style="4" customWidth="1"/>
    <col min="13" max="14" width="14.42578125" style="4" hidden="1" customWidth="1"/>
    <col min="15" max="15" width="13.42578125" style="4" customWidth="1"/>
    <col min="16" max="16" width="14.28515625" style="4" customWidth="1"/>
    <col min="17" max="17" width="13.7109375" style="4" customWidth="1"/>
    <col min="18" max="18" width="15.5703125" style="4" hidden="1" customWidth="1"/>
    <col min="19" max="19" width="26" style="4" customWidth="1"/>
    <col min="20" max="20" width="19.42578125" style="4" hidden="1" customWidth="1"/>
    <col min="21" max="23" width="14.28515625" style="4" hidden="1" customWidth="1"/>
    <col min="24" max="26" width="17.85546875" style="4" hidden="1" customWidth="1"/>
    <col min="27" max="27" width="18" style="4" hidden="1" customWidth="1"/>
    <col min="28" max="28" width="1.85546875" style="4" hidden="1" customWidth="1"/>
    <col min="29" max="29" width="12.7109375" style="4" hidden="1" customWidth="1"/>
    <col min="30" max="30" width="16.5703125" style="4" hidden="1" customWidth="1"/>
    <col min="31" max="31" width="15.42578125" style="4" hidden="1" customWidth="1"/>
    <col min="32" max="32" width="18.28515625" style="4" customWidth="1"/>
    <col min="33" max="33" width="12.7109375" style="4" customWidth="1"/>
    <col min="34" max="86" width="9.28515625" style="4" customWidth="1"/>
    <col min="87" max="87" width="18.28515625" style="4" customWidth="1"/>
    <col min="88" max="223" width="9.28515625" style="4" customWidth="1"/>
    <col min="224" max="225" width="6" style="4"/>
    <col min="226" max="226" width="75" style="4" customWidth="1"/>
    <col min="227" max="240" width="0" style="4" hidden="1" customWidth="1"/>
    <col min="241" max="241" width="29.7109375" style="4" customWidth="1"/>
    <col min="242" max="242" width="24.28515625" style="4" customWidth="1"/>
    <col min="243" max="243" width="34.28515625" style="4" customWidth="1"/>
    <col min="244" max="244" width="17.42578125" style="4" customWidth="1"/>
    <col min="245" max="245" width="25" style="4" customWidth="1"/>
    <col min="246" max="246" width="16.5703125" style="4" bestFit="1" customWidth="1"/>
    <col min="247" max="247" width="17.42578125" style="4" bestFit="1" customWidth="1"/>
    <col min="248" max="248" width="21.7109375" style="4" customWidth="1"/>
    <col min="249" max="479" width="9.28515625" style="4" customWidth="1"/>
    <col min="480" max="481" width="6" style="4"/>
    <col min="482" max="482" width="75" style="4" customWidth="1"/>
    <col min="483" max="496" width="0" style="4" hidden="1" customWidth="1"/>
    <col min="497" max="497" width="29.7109375" style="4" customWidth="1"/>
    <col min="498" max="498" width="24.28515625" style="4" customWidth="1"/>
    <col min="499" max="499" width="34.28515625" style="4" customWidth="1"/>
    <col min="500" max="500" width="17.42578125" style="4" customWidth="1"/>
    <col min="501" max="501" width="25" style="4" customWidth="1"/>
    <col min="502" max="502" width="16.5703125" style="4" bestFit="1" customWidth="1"/>
    <col min="503" max="503" width="17.42578125" style="4" bestFit="1" customWidth="1"/>
    <col min="504" max="504" width="21.7109375" style="4" customWidth="1"/>
    <col min="505" max="735" width="9.28515625" style="4" customWidth="1"/>
    <col min="736" max="737" width="6" style="4"/>
    <col min="738" max="738" width="75" style="4" customWidth="1"/>
    <col min="739" max="752" width="0" style="4" hidden="1" customWidth="1"/>
    <col min="753" max="753" width="29.7109375" style="4" customWidth="1"/>
    <col min="754" max="754" width="24.28515625" style="4" customWidth="1"/>
    <col min="755" max="755" width="34.28515625" style="4" customWidth="1"/>
    <col min="756" max="756" width="17.42578125" style="4" customWidth="1"/>
    <col min="757" max="757" width="25" style="4" customWidth="1"/>
    <col min="758" max="758" width="16.5703125" style="4" bestFit="1" customWidth="1"/>
    <col min="759" max="759" width="17.42578125" style="4" bestFit="1" customWidth="1"/>
    <col min="760" max="760" width="21.7109375" style="4" customWidth="1"/>
    <col min="761" max="991" width="9.28515625" style="4" customWidth="1"/>
    <col min="992" max="993" width="6" style="4"/>
    <col min="994" max="994" width="75" style="4" customWidth="1"/>
    <col min="995" max="1008" width="0" style="4" hidden="1" customWidth="1"/>
    <col min="1009" max="1009" width="29.7109375" style="4" customWidth="1"/>
    <col min="1010" max="1010" width="24.28515625" style="4" customWidth="1"/>
    <col min="1011" max="1011" width="34.28515625" style="4" customWidth="1"/>
    <col min="1012" max="1012" width="17.42578125" style="4" customWidth="1"/>
    <col min="1013" max="1013" width="25" style="4" customWidth="1"/>
    <col min="1014" max="1014" width="16.5703125" style="4" bestFit="1" customWidth="1"/>
    <col min="1015" max="1015" width="17.42578125" style="4" bestFit="1" customWidth="1"/>
    <col min="1016" max="1016" width="21.7109375" style="4" customWidth="1"/>
    <col min="1017" max="1247" width="9.28515625" style="4" customWidth="1"/>
    <col min="1248" max="1249" width="6" style="4"/>
    <col min="1250" max="1250" width="75" style="4" customWidth="1"/>
    <col min="1251" max="1264" width="0" style="4" hidden="1" customWidth="1"/>
    <col min="1265" max="1265" width="29.7109375" style="4" customWidth="1"/>
    <col min="1266" max="1266" width="24.28515625" style="4" customWidth="1"/>
    <col min="1267" max="1267" width="34.28515625" style="4" customWidth="1"/>
    <col min="1268" max="1268" width="17.42578125" style="4" customWidth="1"/>
    <col min="1269" max="1269" width="25" style="4" customWidth="1"/>
    <col min="1270" max="1270" width="16.5703125" style="4" bestFit="1" customWidth="1"/>
    <col min="1271" max="1271" width="17.42578125" style="4" bestFit="1" customWidth="1"/>
    <col min="1272" max="1272" width="21.7109375" style="4" customWidth="1"/>
    <col min="1273" max="1503" width="9.28515625" style="4" customWidth="1"/>
    <col min="1504" max="1505" width="6" style="4"/>
    <col min="1506" max="1506" width="75" style="4" customWidth="1"/>
    <col min="1507" max="1520" width="0" style="4" hidden="1" customWidth="1"/>
    <col min="1521" max="1521" width="29.7109375" style="4" customWidth="1"/>
    <col min="1522" max="1522" width="24.28515625" style="4" customWidth="1"/>
    <col min="1523" max="1523" width="34.28515625" style="4" customWidth="1"/>
    <col min="1524" max="1524" width="17.42578125" style="4" customWidth="1"/>
    <col min="1525" max="1525" width="25" style="4" customWidth="1"/>
    <col min="1526" max="1526" width="16.5703125" style="4" bestFit="1" customWidth="1"/>
    <col min="1527" max="1527" width="17.42578125" style="4" bestFit="1" customWidth="1"/>
    <col min="1528" max="1528" width="21.7109375" style="4" customWidth="1"/>
    <col min="1529" max="1759" width="9.28515625" style="4" customWidth="1"/>
    <col min="1760" max="1761" width="6" style="4"/>
    <col min="1762" max="1762" width="75" style="4" customWidth="1"/>
    <col min="1763" max="1776" width="0" style="4" hidden="1" customWidth="1"/>
    <col min="1777" max="1777" width="29.7109375" style="4" customWidth="1"/>
    <col min="1778" max="1778" width="24.28515625" style="4" customWidth="1"/>
    <col min="1779" max="1779" width="34.28515625" style="4" customWidth="1"/>
    <col min="1780" max="1780" width="17.42578125" style="4" customWidth="1"/>
    <col min="1781" max="1781" width="25" style="4" customWidth="1"/>
    <col min="1782" max="1782" width="16.5703125" style="4" bestFit="1" customWidth="1"/>
    <col min="1783" max="1783" width="17.42578125" style="4" bestFit="1" customWidth="1"/>
    <col min="1784" max="1784" width="21.7109375" style="4" customWidth="1"/>
    <col min="1785" max="2015" width="9.28515625" style="4" customWidth="1"/>
    <col min="2016" max="2017" width="6" style="4"/>
    <col min="2018" max="2018" width="75" style="4" customWidth="1"/>
    <col min="2019" max="2032" width="0" style="4" hidden="1" customWidth="1"/>
    <col min="2033" max="2033" width="29.7109375" style="4" customWidth="1"/>
    <col min="2034" max="2034" width="24.28515625" style="4" customWidth="1"/>
    <col min="2035" max="2035" width="34.28515625" style="4" customWidth="1"/>
    <col min="2036" max="2036" width="17.42578125" style="4" customWidth="1"/>
    <col min="2037" max="2037" width="25" style="4" customWidth="1"/>
    <col min="2038" max="2038" width="16.5703125" style="4" bestFit="1" customWidth="1"/>
    <col min="2039" max="2039" width="17.42578125" style="4" bestFit="1" customWidth="1"/>
    <col min="2040" max="2040" width="21.7109375" style="4" customWidth="1"/>
    <col min="2041" max="2271" width="9.28515625" style="4" customWidth="1"/>
    <col min="2272" max="2273" width="6" style="4"/>
    <col min="2274" max="2274" width="75" style="4" customWidth="1"/>
    <col min="2275" max="2288" width="0" style="4" hidden="1" customWidth="1"/>
    <col min="2289" max="2289" width="29.7109375" style="4" customWidth="1"/>
    <col min="2290" max="2290" width="24.28515625" style="4" customWidth="1"/>
    <col min="2291" max="2291" width="34.28515625" style="4" customWidth="1"/>
    <col min="2292" max="2292" width="17.42578125" style="4" customWidth="1"/>
    <col min="2293" max="2293" width="25" style="4" customWidth="1"/>
    <col min="2294" max="2294" width="16.5703125" style="4" bestFit="1" customWidth="1"/>
    <col min="2295" max="2295" width="17.42578125" style="4" bestFit="1" customWidth="1"/>
    <col min="2296" max="2296" width="21.7109375" style="4" customWidth="1"/>
    <col min="2297" max="2527" width="9.28515625" style="4" customWidth="1"/>
    <col min="2528" max="2529" width="6" style="4"/>
    <col min="2530" max="2530" width="75" style="4" customWidth="1"/>
    <col min="2531" max="2544" width="0" style="4" hidden="1" customWidth="1"/>
    <col min="2545" max="2545" width="29.7109375" style="4" customWidth="1"/>
    <col min="2546" max="2546" width="24.28515625" style="4" customWidth="1"/>
    <col min="2547" max="2547" width="34.28515625" style="4" customWidth="1"/>
    <col min="2548" max="2548" width="17.42578125" style="4" customWidth="1"/>
    <col min="2549" max="2549" width="25" style="4" customWidth="1"/>
    <col min="2550" max="2550" width="16.5703125" style="4" bestFit="1" customWidth="1"/>
    <col min="2551" max="2551" width="17.42578125" style="4" bestFit="1" customWidth="1"/>
    <col min="2552" max="2552" width="21.7109375" style="4" customWidth="1"/>
    <col min="2553" max="2783" width="9.28515625" style="4" customWidth="1"/>
    <col min="2784" max="2785" width="6" style="4"/>
    <col min="2786" max="2786" width="75" style="4" customWidth="1"/>
    <col min="2787" max="2800" width="0" style="4" hidden="1" customWidth="1"/>
    <col min="2801" max="2801" width="29.7109375" style="4" customWidth="1"/>
    <col min="2802" max="2802" width="24.28515625" style="4" customWidth="1"/>
    <col min="2803" max="2803" width="34.28515625" style="4" customWidth="1"/>
    <col min="2804" max="2804" width="17.42578125" style="4" customWidth="1"/>
    <col min="2805" max="2805" width="25" style="4" customWidth="1"/>
    <col min="2806" max="2806" width="16.5703125" style="4" bestFit="1" customWidth="1"/>
    <col min="2807" max="2807" width="17.42578125" style="4" bestFit="1" customWidth="1"/>
    <col min="2808" max="2808" width="21.7109375" style="4" customWidth="1"/>
    <col min="2809" max="3039" width="9.28515625" style="4" customWidth="1"/>
    <col min="3040" max="3041" width="6" style="4"/>
    <col min="3042" max="3042" width="75" style="4" customWidth="1"/>
    <col min="3043" max="3056" width="0" style="4" hidden="1" customWidth="1"/>
    <col min="3057" max="3057" width="29.7109375" style="4" customWidth="1"/>
    <col min="3058" max="3058" width="24.28515625" style="4" customWidth="1"/>
    <col min="3059" max="3059" width="34.28515625" style="4" customWidth="1"/>
    <col min="3060" max="3060" width="17.42578125" style="4" customWidth="1"/>
    <col min="3061" max="3061" width="25" style="4" customWidth="1"/>
    <col min="3062" max="3062" width="16.5703125" style="4" bestFit="1" customWidth="1"/>
    <col min="3063" max="3063" width="17.42578125" style="4" bestFit="1" customWidth="1"/>
    <col min="3064" max="3064" width="21.7109375" style="4" customWidth="1"/>
    <col min="3065" max="3295" width="9.28515625" style="4" customWidth="1"/>
    <col min="3296" max="3297" width="6" style="4"/>
    <col min="3298" max="3298" width="75" style="4" customWidth="1"/>
    <col min="3299" max="3312" width="0" style="4" hidden="1" customWidth="1"/>
    <col min="3313" max="3313" width="29.7109375" style="4" customWidth="1"/>
    <col min="3314" max="3314" width="24.28515625" style="4" customWidth="1"/>
    <col min="3315" max="3315" width="34.28515625" style="4" customWidth="1"/>
    <col min="3316" max="3316" width="17.42578125" style="4" customWidth="1"/>
    <col min="3317" max="3317" width="25" style="4" customWidth="1"/>
    <col min="3318" max="3318" width="16.5703125" style="4" bestFit="1" customWidth="1"/>
    <col min="3319" max="3319" width="17.42578125" style="4" bestFit="1" customWidth="1"/>
    <col min="3320" max="3320" width="21.7109375" style="4" customWidth="1"/>
    <col min="3321" max="3551" width="9.28515625" style="4" customWidth="1"/>
    <col min="3552" max="3553" width="6" style="4"/>
    <col min="3554" max="3554" width="75" style="4" customWidth="1"/>
    <col min="3555" max="3568" width="0" style="4" hidden="1" customWidth="1"/>
    <col min="3569" max="3569" width="29.7109375" style="4" customWidth="1"/>
    <col min="3570" max="3570" width="24.28515625" style="4" customWidth="1"/>
    <col min="3571" max="3571" width="34.28515625" style="4" customWidth="1"/>
    <col min="3572" max="3572" width="17.42578125" style="4" customWidth="1"/>
    <col min="3573" max="3573" width="25" style="4" customWidth="1"/>
    <col min="3574" max="3574" width="16.5703125" style="4" bestFit="1" customWidth="1"/>
    <col min="3575" max="3575" width="17.42578125" style="4" bestFit="1" customWidth="1"/>
    <col min="3576" max="3576" width="21.7109375" style="4" customWidth="1"/>
    <col min="3577" max="3807" width="9.28515625" style="4" customWidth="1"/>
    <col min="3808" max="3809" width="6" style="4"/>
    <col min="3810" max="3810" width="75" style="4" customWidth="1"/>
    <col min="3811" max="3824" width="0" style="4" hidden="1" customWidth="1"/>
    <col min="3825" max="3825" width="29.7109375" style="4" customWidth="1"/>
    <col min="3826" max="3826" width="24.28515625" style="4" customWidth="1"/>
    <col min="3827" max="3827" width="34.28515625" style="4" customWidth="1"/>
    <col min="3828" max="3828" width="17.42578125" style="4" customWidth="1"/>
    <col min="3829" max="3829" width="25" style="4" customWidth="1"/>
    <col min="3830" max="3830" width="16.5703125" style="4" bestFit="1" customWidth="1"/>
    <col min="3831" max="3831" width="17.42578125" style="4" bestFit="1" customWidth="1"/>
    <col min="3832" max="3832" width="21.7109375" style="4" customWidth="1"/>
    <col min="3833" max="4063" width="9.28515625" style="4" customWidth="1"/>
    <col min="4064" max="4065" width="6" style="4"/>
    <col min="4066" max="4066" width="75" style="4" customWidth="1"/>
    <col min="4067" max="4080" width="0" style="4" hidden="1" customWidth="1"/>
    <col min="4081" max="4081" width="29.7109375" style="4" customWidth="1"/>
    <col min="4082" max="4082" width="24.28515625" style="4" customWidth="1"/>
    <col min="4083" max="4083" width="34.28515625" style="4" customWidth="1"/>
    <col min="4084" max="4084" width="17.42578125" style="4" customWidth="1"/>
    <col min="4085" max="4085" width="25" style="4" customWidth="1"/>
    <col min="4086" max="4086" width="16.5703125" style="4" bestFit="1" customWidth="1"/>
    <col min="4087" max="4087" width="17.42578125" style="4" bestFit="1" customWidth="1"/>
    <col min="4088" max="4088" width="21.7109375" style="4" customWidth="1"/>
    <col min="4089" max="4319" width="9.28515625" style="4" customWidth="1"/>
    <col min="4320" max="4321" width="6" style="4"/>
    <col min="4322" max="4322" width="75" style="4" customWidth="1"/>
    <col min="4323" max="4336" width="0" style="4" hidden="1" customWidth="1"/>
    <col min="4337" max="4337" width="29.7109375" style="4" customWidth="1"/>
    <col min="4338" max="4338" width="24.28515625" style="4" customWidth="1"/>
    <col min="4339" max="4339" width="34.28515625" style="4" customWidth="1"/>
    <col min="4340" max="4340" width="17.42578125" style="4" customWidth="1"/>
    <col min="4341" max="4341" width="25" style="4" customWidth="1"/>
    <col min="4342" max="4342" width="16.5703125" style="4" bestFit="1" customWidth="1"/>
    <col min="4343" max="4343" width="17.42578125" style="4" bestFit="1" customWidth="1"/>
    <col min="4344" max="4344" width="21.7109375" style="4" customWidth="1"/>
    <col min="4345" max="4575" width="9.28515625" style="4" customWidth="1"/>
    <col min="4576" max="4577" width="6" style="4"/>
    <col min="4578" max="4578" width="75" style="4" customWidth="1"/>
    <col min="4579" max="4592" width="0" style="4" hidden="1" customWidth="1"/>
    <col min="4593" max="4593" width="29.7109375" style="4" customWidth="1"/>
    <col min="4594" max="4594" width="24.28515625" style="4" customWidth="1"/>
    <col min="4595" max="4595" width="34.28515625" style="4" customWidth="1"/>
    <col min="4596" max="4596" width="17.42578125" style="4" customWidth="1"/>
    <col min="4597" max="4597" width="25" style="4" customWidth="1"/>
    <col min="4598" max="4598" width="16.5703125" style="4" bestFit="1" customWidth="1"/>
    <col min="4599" max="4599" width="17.42578125" style="4" bestFit="1" customWidth="1"/>
    <col min="4600" max="4600" width="21.7109375" style="4" customWidth="1"/>
    <col min="4601" max="4831" width="9.28515625" style="4" customWidth="1"/>
    <col min="4832" max="4833" width="6" style="4"/>
    <col min="4834" max="4834" width="75" style="4" customWidth="1"/>
    <col min="4835" max="4848" width="0" style="4" hidden="1" customWidth="1"/>
    <col min="4849" max="4849" width="29.7109375" style="4" customWidth="1"/>
    <col min="4850" max="4850" width="24.28515625" style="4" customWidth="1"/>
    <col min="4851" max="4851" width="34.28515625" style="4" customWidth="1"/>
    <col min="4852" max="4852" width="17.42578125" style="4" customWidth="1"/>
    <col min="4853" max="4853" width="25" style="4" customWidth="1"/>
    <col min="4854" max="4854" width="16.5703125" style="4" bestFit="1" customWidth="1"/>
    <col min="4855" max="4855" width="17.42578125" style="4" bestFit="1" customWidth="1"/>
    <col min="4856" max="4856" width="21.7109375" style="4" customWidth="1"/>
    <col min="4857" max="5087" width="9.28515625" style="4" customWidth="1"/>
    <col min="5088" max="5089" width="6" style="4"/>
    <col min="5090" max="5090" width="75" style="4" customWidth="1"/>
    <col min="5091" max="5104" width="0" style="4" hidden="1" customWidth="1"/>
    <col min="5105" max="5105" width="29.7109375" style="4" customWidth="1"/>
    <col min="5106" max="5106" width="24.28515625" style="4" customWidth="1"/>
    <col min="5107" max="5107" width="34.28515625" style="4" customWidth="1"/>
    <col min="5108" max="5108" width="17.42578125" style="4" customWidth="1"/>
    <col min="5109" max="5109" width="25" style="4" customWidth="1"/>
    <col min="5110" max="5110" width="16.5703125" style="4" bestFit="1" customWidth="1"/>
    <col min="5111" max="5111" width="17.42578125" style="4" bestFit="1" customWidth="1"/>
    <col min="5112" max="5112" width="21.7109375" style="4" customWidth="1"/>
    <col min="5113" max="5343" width="9.28515625" style="4" customWidth="1"/>
    <col min="5344" max="5345" width="6" style="4"/>
    <col min="5346" max="5346" width="75" style="4" customWidth="1"/>
    <col min="5347" max="5360" width="0" style="4" hidden="1" customWidth="1"/>
    <col min="5361" max="5361" width="29.7109375" style="4" customWidth="1"/>
    <col min="5362" max="5362" width="24.28515625" style="4" customWidth="1"/>
    <col min="5363" max="5363" width="34.28515625" style="4" customWidth="1"/>
    <col min="5364" max="5364" width="17.42578125" style="4" customWidth="1"/>
    <col min="5365" max="5365" width="25" style="4" customWidth="1"/>
    <col min="5366" max="5366" width="16.5703125" style="4" bestFit="1" customWidth="1"/>
    <col min="5367" max="5367" width="17.42578125" style="4" bestFit="1" customWidth="1"/>
    <col min="5368" max="5368" width="21.7109375" style="4" customWidth="1"/>
    <col min="5369" max="5599" width="9.28515625" style="4" customWidth="1"/>
    <col min="5600" max="5601" width="6" style="4"/>
    <col min="5602" max="5602" width="75" style="4" customWidth="1"/>
    <col min="5603" max="5616" width="0" style="4" hidden="1" customWidth="1"/>
    <col min="5617" max="5617" width="29.7109375" style="4" customWidth="1"/>
    <col min="5618" max="5618" width="24.28515625" style="4" customWidth="1"/>
    <col min="5619" max="5619" width="34.28515625" style="4" customWidth="1"/>
    <col min="5620" max="5620" width="17.42578125" style="4" customWidth="1"/>
    <col min="5621" max="5621" width="25" style="4" customWidth="1"/>
    <col min="5622" max="5622" width="16.5703125" style="4" bestFit="1" customWidth="1"/>
    <col min="5623" max="5623" width="17.42578125" style="4" bestFit="1" customWidth="1"/>
    <col min="5624" max="5624" width="21.7109375" style="4" customWidth="1"/>
    <col min="5625" max="5855" width="9.28515625" style="4" customWidth="1"/>
    <col min="5856" max="5857" width="6" style="4"/>
    <col min="5858" max="5858" width="75" style="4" customWidth="1"/>
    <col min="5859" max="5872" width="0" style="4" hidden="1" customWidth="1"/>
    <col min="5873" max="5873" width="29.7109375" style="4" customWidth="1"/>
    <col min="5874" max="5874" width="24.28515625" style="4" customWidth="1"/>
    <col min="5875" max="5875" width="34.28515625" style="4" customWidth="1"/>
    <col min="5876" max="5876" width="17.42578125" style="4" customWidth="1"/>
    <col min="5877" max="5877" width="25" style="4" customWidth="1"/>
    <col min="5878" max="5878" width="16.5703125" style="4" bestFit="1" customWidth="1"/>
    <col min="5879" max="5879" width="17.42578125" style="4" bestFit="1" customWidth="1"/>
    <col min="5880" max="5880" width="21.7109375" style="4" customWidth="1"/>
    <col min="5881" max="6111" width="9.28515625" style="4" customWidth="1"/>
    <col min="6112" max="6113" width="6" style="4"/>
    <col min="6114" max="6114" width="75" style="4" customWidth="1"/>
    <col min="6115" max="6128" width="0" style="4" hidden="1" customWidth="1"/>
    <col min="6129" max="6129" width="29.7109375" style="4" customWidth="1"/>
    <col min="6130" max="6130" width="24.28515625" style="4" customWidth="1"/>
    <col min="6131" max="6131" width="34.28515625" style="4" customWidth="1"/>
    <col min="6132" max="6132" width="17.42578125" style="4" customWidth="1"/>
    <col min="6133" max="6133" width="25" style="4" customWidth="1"/>
    <col min="6134" max="6134" width="16.5703125" style="4" bestFit="1" customWidth="1"/>
    <col min="6135" max="6135" width="17.42578125" style="4" bestFit="1" customWidth="1"/>
    <col min="6136" max="6136" width="21.7109375" style="4" customWidth="1"/>
    <col min="6137" max="6367" width="9.28515625" style="4" customWidth="1"/>
    <col min="6368" max="6369" width="6" style="4"/>
    <col min="6370" max="6370" width="75" style="4" customWidth="1"/>
    <col min="6371" max="6384" width="0" style="4" hidden="1" customWidth="1"/>
    <col min="6385" max="6385" width="29.7109375" style="4" customWidth="1"/>
    <col min="6386" max="6386" width="24.28515625" style="4" customWidth="1"/>
    <col min="6387" max="6387" width="34.28515625" style="4" customWidth="1"/>
    <col min="6388" max="6388" width="17.42578125" style="4" customWidth="1"/>
    <col min="6389" max="6389" width="25" style="4" customWidth="1"/>
    <col min="6390" max="6390" width="16.5703125" style="4" bestFit="1" customWidth="1"/>
    <col min="6391" max="6391" width="17.42578125" style="4" bestFit="1" customWidth="1"/>
    <col min="6392" max="6392" width="21.7109375" style="4" customWidth="1"/>
    <col min="6393" max="6623" width="9.28515625" style="4" customWidth="1"/>
    <col min="6624" max="6625" width="6" style="4"/>
    <col min="6626" max="6626" width="75" style="4" customWidth="1"/>
    <col min="6627" max="6640" width="0" style="4" hidden="1" customWidth="1"/>
    <col min="6641" max="6641" width="29.7109375" style="4" customWidth="1"/>
    <col min="6642" max="6642" width="24.28515625" style="4" customWidth="1"/>
    <col min="6643" max="6643" width="34.28515625" style="4" customWidth="1"/>
    <col min="6644" max="6644" width="17.42578125" style="4" customWidth="1"/>
    <col min="6645" max="6645" width="25" style="4" customWidth="1"/>
    <col min="6646" max="6646" width="16.5703125" style="4" bestFit="1" customWidth="1"/>
    <col min="6647" max="6647" width="17.42578125" style="4" bestFit="1" customWidth="1"/>
    <col min="6648" max="6648" width="21.7109375" style="4" customWidth="1"/>
    <col min="6649" max="6879" width="9.28515625" style="4" customWidth="1"/>
    <col min="6880" max="6881" width="6" style="4"/>
    <col min="6882" max="6882" width="75" style="4" customWidth="1"/>
    <col min="6883" max="6896" width="0" style="4" hidden="1" customWidth="1"/>
    <col min="6897" max="6897" width="29.7109375" style="4" customWidth="1"/>
    <col min="6898" max="6898" width="24.28515625" style="4" customWidth="1"/>
    <col min="6899" max="6899" width="34.28515625" style="4" customWidth="1"/>
    <col min="6900" max="6900" width="17.42578125" style="4" customWidth="1"/>
    <col min="6901" max="6901" width="25" style="4" customWidth="1"/>
    <col min="6902" max="6902" width="16.5703125" style="4" bestFit="1" customWidth="1"/>
    <col min="6903" max="6903" width="17.42578125" style="4" bestFit="1" customWidth="1"/>
    <col min="6904" max="6904" width="21.7109375" style="4" customWidth="1"/>
    <col min="6905" max="7135" width="9.28515625" style="4" customWidth="1"/>
    <col min="7136" max="7137" width="6" style="4"/>
    <col min="7138" max="7138" width="75" style="4" customWidth="1"/>
    <col min="7139" max="7152" width="0" style="4" hidden="1" customWidth="1"/>
    <col min="7153" max="7153" width="29.7109375" style="4" customWidth="1"/>
    <col min="7154" max="7154" width="24.28515625" style="4" customWidth="1"/>
    <col min="7155" max="7155" width="34.28515625" style="4" customWidth="1"/>
    <col min="7156" max="7156" width="17.42578125" style="4" customWidth="1"/>
    <col min="7157" max="7157" width="25" style="4" customWidth="1"/>
    <col min="7158" max="7158" width="16.5703125" style="4" bestFit="1" customWidth="1"/>
    <col min="7159" max="7159" width="17.42578125" style="4" bestFit="1" customWidth="1"/>
    <col min="7160" max="7160" width="21.7109375" style="4" customWidth="1"/>
    <col min="7161" max="7391" width="9.28515625" style="4" customWidth="1"/>
    <col min="7392" max="7393" width="6" style="4"/>
    <col min="7394" max="7394" width="75" style="4" customWidth="1"/>
    <col min="7395" max="7408" width="0" style="4" hidden="1" customWidth="1"/>
    <col min="7409" max="7409" width="29.7109375" style="4" customWidth="1"/>
    <col min="7410" max="7410" width="24.28515625" style="4" customWidth="1"/>
    <col min="7411" max="7411" width="34.28515625" style="4" customWidth="1"/>
    <col min="7412" max="7412" width="17.42578125" style="4" customWidth="1"/>
    <col min="7413" max="7413" width="25" style="4" customWidth="1"/>
    <col min="7414" max="7414" width="16.5703125" style="4" bestFit="1" customWidth="1"/>
    <col min="7415" max="7415" width="17.42578125" style="4" bestFit="1" customWidth="1"/>
    <col min="7416" max="7416" width="21.7109375" style="4" customWidth="1"/>
    <col min="7417" max="7647" width="9.28515625" style="4" customWidth="1"/>
    <col min="7648" max="7649" width="6" style="4"/>
    <col min="7650" max="7650" width="75" style="4" customWidth="1"/>
    <col min="7651" max="7664" width="0" style="4" hidden="1" customWidth="1"/>
    <col min="7665" max="7665" width="29.7109375" style="4" customWidth="1"/>
    <col min="7666" max="7666" width="24.28515625" style="4" customWidth="1"/>
    <col min="7667" max="7667" width="34.28515625" style="4" customWidth="1"/>
    <col min="7668" max="7668" width="17.42578125" style="4" customWidth="1"/>
    <col min="7669" max="7669" width="25" style="4" customWidth="1"/>
    <col min="7670" max="7670" width="16.5703125" style="4" bestFit="1" customWidth="1"/>
    <col min="7671" max="7671" width="17.42578125" style="4" bestFit="1" customWidth="1"/>
    <col min="7672" max="7672" width="21.7109375" style="4" customWidth="1"/>
    <col min="7673" max="7903" width="9.28515625" style="4" customWidth="1"/>
    <col min="7904" max="7905" width="6" style="4"/>
    <col min="7906" max="7906" width="75" style="4" customWidth="1"/>
    <col min="7907" max="7920" width="0" style="4" hidden="1" customWidth="1"/>
    <col min="7921" max="7921" width="29.7109375" style="4" customWidth="1"/>
    <col min="7922" max="7922" width="24.28515625" style="4" customWidth="1"/>
    <col min="7923" max="7923" width="34.28515625" style="4" customWidth="1"/>
    <col min="7924" max="7924" width="17.42578125" style="4" customWidth="1"/>
    <col min="7925" max="7925" width="25" style="4" customWidth="1"/>
    <col min="7926" max="7926" width="16.5703125" style="4" bestFit="1" customWidth="1"/>
    <col min="7927" max="7927" width="17.42578125" style="4" bestFit="1" customWidth="1"/>
    <col min="7928" max="7928" width="21.7109375" style="4" customWidth="1"/>
    <col min="7929" max="8159" width="9.28515625" style="4" customWidth="1"/>
    <col min="8160" max="8161" width="6" style="4"/>
    <col min="8162" max="8162" width="75" style="4" customWidth="1"/>
    <col min="8163" max="8176" width="0" style="4" hidden="1" customWidth="1"/>
    <col min="8177" max="8177" width="29.7109375" style="4" customWidth="1"/>
    <col min="8178" max="8178" width="24.28515625" style="4" customWidth="1"/>
    <col min="8179" max="8179" width="34.28515625" style="4" customWidth="1"/>
    <col min="8180" max="8180" width="17.42578125" style="4" customWidth="1"/>
    <col min="8181" max="8181" width="25" style="4" customWidth="1"/>
    <col min="8182" max="8182" width="16.5703125" style="4" bestFit="1" customWidth="1"/>
    <col min="8183" max="8183" width="17.42578125" style="4" bestFit="1" customWidth="1"/>
    <col min="8184" max="8184" width="21.7109375" style="4" customWidth="1"/>
    <col min="8185" max="8415" width="9.28515625" style="4" customWidth="1"/>
    <col min="8416" max="8417" width="6" style="4"/>
    <col min="8418" max="8418" width="75" style="4" customWidth="1"/>
    <col min="8419" max="8432" width="0" style="4" hidden="1" customWidth="1"/>
    <col min="8433" max="8433" width="29.7109375" style="4" customWidth="1"/>
    <col min="8434" max="8434" width="24.28515625" style="4" customWidth="1"/>
    <col min="8435" max="8435" width="34.28515625" style="4" customWidth="1"/>
    <col min="8436" max="8436" width="17.42578125" style="4" customWidth="1"/>
    <col min="8437" max="8437" width="25" style="4" customWidth="1"/>
    <col min="8438" max="8438" width="16.5703125" style="4" bestFit="1" customWidth="1"/>
    <col min="8439" max="8439" width="17.42578125" style="4" bestFit="1" customWidth="1"/>
    <col min="8440" max="8440" width="21.7109375" style="4" customWidth="1"/>
    <col min="8441" max="8671" width="9.28515625" style="4" customWidth="1"/>
    <col min="8672" max="8673" width="6" style="4"/>
    <col min="8674" max="8674" width="75" style="4" customWidth="1"/>
    <col min="8675" max="8688" width="0" style="4" hidden="1" customWidth="1"/>
    <col min="8689" max="8689" width="29.7109375" style="4" customWidth="1"/>
    <col min="8690" max="8690" width="24.28515625" style="4" customWidth="1"/>
    <col min="8691" max="8691" width="34.28515625" style="4" customWidth="1"/>
    <col min="8692" max="8692" width="17.42578125" style="4" customWidth="1"/>
    <col min="8693" max="8693" width="25" style="4" customWidth="1"/>
    <col min="8694" max="8694" width="16.5703125" style="4" bestFit="1" customWidth="1"/>
    <col min="8695" max="8695" width="17.42578125" style="4" bestFit="1" customWidth="1"/>
    <col min="8696" max="8696" width="21.7109375" style="4" customWidth="1"/>
    <col min="8697" max="8927" width="9.28515625" style="4" customWidth="1"/>
    <col min="8928" max="8929" width="6" style="4"/>
    <col min="8930" max="8930" width="75" style="4" customWidth="1"/>
    <col min="8931" max="8944" width="0" style="4" hidden="1" customWidth="1"/>
    <col min="8945" max="8945" width="29.7109375" style="4" customWidth="1"/>
    <col min="8946" max="8946" width="24.28515625" style="4" customWidth="1"/>
    <col min="8947" max="8947" width="34.28515625" style="4" customWidth="1"/>
    <col min="8948" max="8948" width="17.42578125" style="4" customWidth="1"/>
    <col min="8949" max="8949" width="25" style="4" customWidth="1"/>
    <col min="8950" max="8950" width="16.5703125" style="4" bestFit="1" customWidth="1"/>
    <col min="8951" max="8951" width="17.42578125" style="4" bestFit="1" customWidth="1"/>
    <col min="8952" max="8952" width="21.7109375" style="4" customWidth="1"/>
    <col min="8953" max="9183" width="9.28515625" style="4" customWidth="1"/>
    <col min="9184" max="9185" width="6" style="4"/>
    <col min="9186" max="9186" width="75" style="4" customWidth="1"/>
    <col min="9187" max="9200" width="0" style="4" hidden="1" customWidth="1"/>
    <col min="9201" max="9201" width="29.7109375" style="4" customWidth="1"/>
    <col min="9202" max="9202" width="24.28515625" style="4" customWidth="1"/>
    <col min="9203" max="9203" width="34.28515625" style="4" customWidth="1"/>
    <col min="9204" max="9204" width="17.42578125" style="4" customWidth="1"/>
    <col min="9205" max="9205" width="25" style="4" customWidth="1"/>
    <col min="9206" max="9206" width="16.5703125" style="4" bestFit="1" customWidth="1"/>
    <col min="9207" max="9207" width="17.42578125" style="4" bestFit="1" customWidth="1"/>
    <col min="9208" max="9208" width="21.7109375" style="4" customWidth="1"/>
    <col min="9209" max="9439" width="9.28515625" style="4" customWidth="1"/>
    <col min="9440" max="9441" width="6" style="4"/>
    <col min="9442" max="9442" width="75" style="4" customWidth="1"/>
    <col min="9443" max="9456" width="0" style="4" hidden="1" customWidth="1"/>
    <col min="9457" max="9457" width="29.7109375" style="4" customWidth="1"/>
    <col min="9458" max="9458" width="24.28515625" style="4" customWidth="1"/>
    <col min="9459" max="9459" width="34.28515625" style="4" customWidth="1"/>
    <col min="9460" max="9460" width="17.42578125" style="4" customWidth="1"/>
    <col min="9461" max="9461" width="25" style="4" customWidth="1"/>
    <col min="9462" max="9462" width="16.5703125" style="4" bestFit="1" customWidth="1"/>
    <col min="9463" max="9463" width="17.42578125" style="4" bestFit="1" customWidth="1"/>
    <col min="9464" max="9464" width="21.7109375" style="4" customWidth="1"/>
    <col min="9465" max="9695" width="9.28515625" style="4" customWidth="1"/>
    <col min="9696" max="9697" width="6" style="4"/>
    <col min="9698" max="9698" width="75" style="4" customWidth="1"/>
    <col min="9699" max="9712" width="0" style="4" hidden="1" customWidth="1"/>
    <col min="9713" max="9713" width="29.7109375" style="4" customWidth="1"/>
    <col min="9714" max="9714" width="24.28515625" style="4" customWidth="1"/>
    <col min="9715" max="9715" width="34.28515625" style="4" customWidth="1"/>
    <col min="9716" max="9716" width="17.42578125" style="4" customWidth="1"/>
    <col min="9717" max="9717" width="25" style="4" customWidth="1"/>
    <col min="9718" max="9718" width="16.5703125" style="4" bestFit="1" customWidth="1"/>
    <col min="9719" max="9719" width="17.42578125" style="4" bestFit="1" customWidth="1"/>
    <col min="9720" max="9720" width="21.7109375" style="4" customWidth="1"/>
    <col min="9721" max="9951" width="9.28515625" style="4" customWidth="1"/>
    <col min="9952" max="9953" width="6" style="4"/>
    <col min="9954" max="9954" width="75" style="4" customWidth="1"/>
    <col min="9955" max="9968" width="0" style="4" hidden="1" customWidth="1"/>
    <col min="9969" max="9969" width="29.7109375" style="4" customWidth="1"/>
    <col min="9970" max="9970" width="24.28515625" style="4" customWidth="1"/>
    <col min="9971" max="9971" width="34.28515625" style="4" customWidth="1"/>
    <col min="9972" max="9972" width="17.42578125" style="4" customWidth="1"/>
    <col min="9973" max="9973" width="25" style="4" customWidth="1"/>
    <col min="9974" max="9974" width="16.5703125" style="4" bestFit="1" customWidth="1"/>
    <col min="9975" max="9975" width="17.42578125" style="4" bestFit="1" customWidth="1"/>
    <col min="9976" max="9976" width="21.7109375" style="4" customWidth="1"/>
    <col min="9977" max="10207" width="9.28515625" style="4" customWidth="1"/>
    <col min="10208" max="10209" width="6" style="4"/>
    <col min="10210" max="10210" width="75" style="4" customWidth="1"/>
    <col min="10211" max="10224" width="0" style="4" hidden="1" customWidth="1"/>
    <col min="10225" max="10225" width="29.7109375" style="4" customWidth="1"/>
    <col min="10226" max="10226" width="24.28515625" style="4" customWidth="1"/>
    <col min="10227" max="10227" width="34.28515625" style="4" customWidth="1"/>
    <col min="10228" max="10228" width="17.42578125" style="4" customWidth="1"/>
    <col min="10229" max="10229" width="25" style="4" customWidth="1"/>
    <col min="10230" max="10230" width="16.5703125" style="4" bestFit="1" customWidth="1"/>
    <col min="10231" max="10231" width="17.42578125" style="4" bestFit="1" customWidth="1"/>
    <col min="10232" max="10232" width="21.7109375" style="4" customWidth="1"/>
    <col min="10233" max="10463" width="9.28515625" style="4" customWidth="1"/>
    <col min="10464" max="10465" width="6" style="4"/>
    <col min="10466" max="10466" width="75" style="4" customWidth="1"/>
    <col min="10467" max="10480" width="0" style="4" hidden="1" customWidth="1"/>
    <col min="10481" max="10481" width="29.7109375" style="4" customWidth="1"/>
    <col min="10482" max="10482" width="24.28515625" style="4" customWidth="1"/>
    <col min="10483" max="10483" width="34.28515625" style="4" customWidth="1"/>
    <col min="10484" max="10484" width="17.42578125" style="4" customWidth="1"/>
    <col min="10485" max="10485" width="25" style="4" customWidth="1"/>
    <col min="10486" max="10486" width="16.5703125" style="4" bestFit="1" customWidth="1"/>
    <col min="10487" max="10487" width="17.42578125" style="4" bestFit="1" customWidth="1"/>
    <col min="10488" max="10488" width="21.7109375" style="4" customWidth="1"/>
    <col min="10489" max="10719" width="9.28515625" style="4" customWidth="1"/>
    <col min="10720" max="10721" width="6" style="4"/>
    <col min="10722" max="10722" width="75" style="4" customWidth="1"/>
    <col min="10723" max="10736" width="0" style="4" hidden="1" customWidth="1"/>
    <col min="10737" max="10737" width="29.7109375" style="4" customWidth="1"/>
    <col min="10738" max="10738" width="24.28515625" style="4" customWidth="1"/>
    <col min="10739" max="10739" width="34.28515625" style="4" customWidth="1"/>
    <col min="10740" max="10740" width="17.42578125" style="4" customWidth="1"/>
    <col min="10741" max="10741" width="25" style="4" customWidth="1"/>
    <col min="10742" max="10742" width="16.5703125" style="4" bestFit="1" customWidth="1"/>
    <col min="10743" max="10743" width="17.42578125" style="4" bestFit="1" customWidth="1"/>
    <col min="10744" max="10744" width="21.7109375" style="4" customWidth="1"/>
    <col min="10745" max="10975" width="9.28515625" style="4" customWidth="1"/>
    <col min="10976" max="10977" width="6" style="4"/>
    <col min="10978" max="10978" width="75" style="4" customWidth="1"/>
    <col min="10979" max="10992" width="0" style="4" hidden="1" customWidth="1"/>
    <col min="10993" max="10993" width="29.7109375" style="4" customWidth="1"/>
    <col min="10994" max="10994" width="24.28515625" style="4" customWidth="1"/>
    <col min="10995" max="10995" width="34.28515625" style="4" customWidth="1"/>
    <col min="10996" max="10996" width="17.42578125" style="4" customWidth="1"/>
    <col min="10997" max="10997" width="25" style="4" customWidth="1"/>
    <col min="10998" max="10998" width="16.5703125" style="4" bestFit="1" customWidth="1"/>
    <col min="10999" max="10999" width="17.42578125" style="4" bestFit="1" customWidth="1"/>
    <col min="11000" max="11000" width="21.7109375" style="4" customWidth="1"/>
    <col min="11001" max="11231" width="9.28515625" style="4" customWidth="1"/>
    <col min="11232" max="11233" width="6" style="4"/>
    <col min="11234" max="11234" width="75" style="4" customWidth="1"/>
    <col min="11235" max="11248" width="0" style="4" hidden="1" customWidth="1"/>
    <col min="11249" max="11249" width="29.7109375" style="4" customWidth="1"/>
    <col min="11250" max="11250" width="24.28515625" style="4" customWidth="1"/>
    <col min="11251" max="11251" width="34.28515625" style="4" customWidth="1"/>
    <col min="11252" max="11252" width="17.42578125" style="4" customWidth="1"/>
    <col min="11253" max="11253" width="25" style="4" customWidth="1"/>
    <col min="11254" max="11254" width="16.5703125" style="4" bestFit="1" customWidth="1"/>
    <col min="11255" max="11255" width="17.42578125" style="4" bestFit="1" customWidth="1"/>
    <col min="11256" max="11256" width="21.7109375" style="4" customWidth="1"/>
    <col min="11257" max="11487" width="9.28515625" style="4" customWidth="1"/>
    <col min="11488" max="11489" width="6" style="4"/>
    <col min="11490" max="11490" width="75" style="4" customWidth="1"/>
    <col min="11491" max="11504" width="0" style="4" hidden="1" customWidth="1"/>
    <col min="11505" max="11505" width="29.7109375" style="4" customWidth="1"/>
    <col min="11506" max="11506" width="24.28515625" style="4" customWidth="1"/>
    <col min="11507" max="11507" width="34.28515625" style="4" customWidth="1"/>
    <col min="11508" max="11508" width="17.42578125" style="4" customWidth="1"/>
    <col min="11509" max="11509" width="25" style="4" customWidth="1"/>
    <col min="11510" max="11510" width="16.5703125" style="4" bestFit="1" customWidth="1"/>
    <col min="11511" max="11511" width="17.42578125" style="4" bestFit="1" customWidth="1"/>
    <col min="11512" max="11512" width="21.7109375" style="4" customWidth="1"/>
    <col min="11513" max="11743" width="9.28515625" style="4" customWidth="1"/>
    <col min="11744" max="11745" width="6" style="4"/>
    <col min="11746" max="11746" width="75" style="4" customWidth="1"/>
    <col min="11747" max="11760" width="0" style="4" hidden="1" customWidth="1"/>
    <col min="11761" max="11761" width="29.7109375" style="4" customWidth="1"/>
    <col min="11762" max="11762" width="24.28515625" style="4" customWidth="1"/>
    <col min="11763" max="11763" width="34.28515625" style="4" customWidth="1"/>
    <col min="11764" max="11764" width="17.42578125" style="4" customWidth="1"/>
    <col min="11765" max="11765" width="25" style="4" customWidth="1"/>
    <col min="11766" max="11766" width="16.5703125" style="4" bestFit="1" customWidth="1"/>
    <col min="11767" max="11767" width="17.42578125" style="4" bestFit="1" customWidth="1"/>
    <col min="11768" max="11768" width="21.7109375" style="4" customWidth="1"/>
    <col min="11769" max="11999" width="9.28515625" style="4" customWidth="1"/>
    <col min="12000" max="12001" width="6" style="4"/>
    <col min="12002" max="12002" width="75" style="4" customWidth="1"/>
    <col min="12003" max="12016" width="0" style="4" hidden="1" customWidth="1"/>
    <col min="12017" max="12017" width="29.7109375" style="4" customWidth="1"/>
    <col min="12018" max="12018" width="24.28515625" style="4" customWidth="1"/>
    <col min="12019" max="12019" width="34.28515625" style="4" customWidth="1"/>
    <col min="12020" max="12020" width="17.42578125" style="4" customWidth="1"/>
    <col min="12021" max="12021" width="25" style="4" customWidth="1"/>
    <col min="12022" max="12022" width="16.5703125" style="4" bestFit="1" customWidth="1"/>
    <col min="12023" max="12023" width="17.42578125" style="4" bestFit="1" customWidth="1"/>
    <col min="12024" max="12024" width="21.7109375" style="4" customWidth="1"/>
    <col min="12025" max="12255" width="9.28515625" style="4" customWidth="1"/>
    <col min="12256" max="12257" width="6" style="4"/>
    <col min="12258" max="12258" width="75" style="4" customWidth="1"/>
    <col min="12259" max="12272" width="0" style="4" hidden="1" customWidth="1"/>
    <col min="12273" max="12273" width="29.7109375" style="4" customWidth="1"/>
    <col min="12274" max="12274" width="24.28515625" style="4" customWidth="1"/>
    <col min="12275" max="12275" width="34.28515625" style="4" customWidth="1"/>
    <col min="12276" max="12276" width="17.42578125" style="4" customWidth="1"/>
    <col min="12277" max="12277" width="25" style="4" customWidth="1"/>
    <col min="12278" max="12278" width="16.5703125" style="4" bestFit="1" customWidth="1"/>
    <col min="12279" max="12279" width="17.42578125" style="4" bestFit="1" customWidth="1"/>
    <col min="12280" max="12280" width="21.7109375" style="4" customWidth="1"/>
    <col min="12281" max="12511" width="9.28515625" style="4" customWidth="1"/>
    <col min="12512" max="12513" width="6" style="4"/>
    <col min="12514" max="12514" width="75" style="4" customWidth="1"/>
    <col min="12515" max="12528" width="0" style="4" hidden="1" customWidth="1"/>
    <col min="12529" max="12529" width="29.7109375" style="4" customWidth="1"/>
    <col min="12530" max="12530" width="24.28515625" style="4" customWidth="1"/>
    <col min="12531" max="12531" width="34.28515625" style="4" customWidth="1"/>
    <col min="12532" max="12532" width="17.42578125" style="4" customWidth="1"/>
    <col min="12533" max="12533" width="25" style="4" customWidth="1"/>
    <col min="12534" max="12534" width="16.5703125" style="4" bestFit="1" customWidth="1"/>
    <col min="12535" max="12535" width="17.42578125" style="4" bestFit="1" customWidth="1"/>
    <col min="12536" max="12536" width="21.7109375" style="4" customWidth="1"/>
    <col min="12537" max="12767" width="9.28515625" style="4" customWidth="1"/>
    <col min="12768" max="12769" width="6" style="4"/>
    <col min="12770" max="12770" width="75" style="4" customWidth="1"/>
    <col min="12771" max="12784" width="0" style="4" hidden="1" customWidth="1"/>
    <col min="12785" max="12785" width="29.7109375" style="4" customWidth="1"/>
    <col min="12786" max="12786" width="24.28515625" style="4" customWidth="1"/>
    <col min="12787" max="12787" width="34.28515625" style="4" customWidth="1"/>
    <col min="12788" max="12788" width="17.42578125" style="4" customWidth="1"/>
    <col min="12789" max="12789" width="25" style="4" customWidth="1"/>
    <col min="12790" max="12790" width="16.5703125" style="4" bestFit="1" customWidth="1"/>
    <col min="12791" max="12791" width="17.42578125" style="4" bestFit="1" customWidth="1"/>
    <col min="12792" max="12792" width="21.7109375" style="4" customWidth="1"/>
    <col min="12793" max="13023" width="9.28515625" style="4" customWidth="1"/>
    <col min="13024" max="13025" width="6" style="4"/>
    <col min="13026" max="13026" width="75" style="4" customWidth="1"/>
    <col min="13027" max="13040" width="0" style="4" hidden="1" customWidth="1"/>
    <col min="13041" max="13041" width="29.7109375" style="4" customWidth="1"/>
    <col min="13042" max="13042" width="24.28515625" style="4" customWidth="1"/>
    <col min="13043" max="13043" width="34.28515625" style="4" customWidth="1"/>
    <col min="13044" max="13044" width="17.42578125" style="4" customWidth="1"/>
    <col min="13045" max="13045" width="25" style="4" customWidth="1"/>
    <col min="13046" max="13046" width="16.5703125" style="4" bestFit="1" customWidth="1"/>
    <col min="13047" max="13047" width="17.42578125" style="4" bestFit="1" customWidth="1"/>
    <col min="13048" max="13048" width="21.7109375" style="4" customWidth="1"/>
    <col min="13049" max="13279" width="9.28515625" style="4" customWidth="1"/>
    <col min="13280" max="13281" width="6" style="4"/>
    <col min="13282" max="13282" width="75" style="4" customWidth="1"/>
    <col min="13283" max="13296" width="0" style="4" hidden="1" customWidth="1"/>
    <col min="13297" max="13297" width="29.7109375" style="4" customWidth="1"/>
    <col min="13298" max="13298" width="24.28515625" style="4" customWidth="1"/>
    <col min="13299" max="13299" width="34.28515625" style="4" customWidth="1"/>
    <col min="13300" max="13300" width="17.42578125" style="4" customWidth="1"/>
    <col min="13301" max="13301" width="25" style="4" customWidth="1"/>
    <col min="13302" max="13302" width="16.5703125" style="4" bestFit="1" customWidth="1"/>
    <col min="13303" max="13303" width="17.42578125" style="4" bestFit="1" customWidth="1"/>
    <col min="13304" max="13304" width="21.7109375" style="4" customWidth="1"/>
    <col min="13305" max="13535" width="9.28515625" style="4" customWidth="1"/>
    <col min="13536" max="13537" width="6" style="4"/>
    <col min="13538" max="13538" width="75" style="4" customWidth="1"/>
    <col min="13539" max="13552" width="0" style="4" hidden="1" customWidth="1"/>
    <col min="13553" max="13553" width="29.7109375" style="4" customWidth="1"/>
    <col min="13554" max="13554" width="24.28515625" style="4" customWidth="1"/>
    <col min="13555" max="13555" width="34.28515625" style="4" customWidth="1"/>
    <col min="13556" max="13556" width="17.42578125" style="4" customWidth="1"/>
    <col min="13557" max="13557" width="25" style="4" customWidth="1"/>
    <col min="13558" max="13558" width="16.5703125" style="4" bestFit="1" customWidth="1"/>
    <col min="13559" max="13559" width="17.42578125" style="4" bestFit="1" customWidth="1"/>
    <col min="13560" max="13560" width="21.7109375" style="4" customWidth="1"/>
    <col min="13561" max="13791" width="9.28515625" style="4" customWidth="1"/>
    <col min="13792" max="13793" width="6" style="4"/>
    <col min="13794" max="13794" width="75" style="4" customWidth="1"/>
    <col min="13795" max="13808" width="0" style="4" hidden="1" customWidth="1"/>
    <col min="13809" max="13809" width="29.7109375" style="4" customWidth="1"/>
    <col min="13810" max="13810" width="24.28515625" style="4" customWidth="1"/>
    <col min="13811" max="13811" width="34.28515625" style="4" customWidth="1"/>
    <col min="13812" max="13812" width="17.42578125" style="4" customWidth="1"/>
    <col min="13813" max="13813" width="25" style="4" customWidth="1"/>
    <col min="13814" max="13814" width="16.5703125" style="4" bestFit="1" customWidth="1"/>
    <col min="13815" max="13815" width="17.42578125" style="4" bestFit="1" customWidth="1"/>
    <col min="13816" max="13816" width="21.7109375" style="4" customWidth="1"/>
    <col min="13817" max="14047" width="9.28515625" style="4" customWidth="1"/>
    <col min="14048" max="14049" width="6" style="4"/>
    <col min="14050" max="14050" width="75" style="4" customWidth="1"/>
    <col min="14051" max="14064" width="0" style="4" hidden="1" customWidth="1"/>
    <col min="14065" max="14065" width="29.7109375" style="4" customWidth="1"/>
    <col min="14066" max="14066" width="24.28515625" style="4" customWidth="1"/>
    <col min="14067" max="14067" width="34.28515625" style="4" customWidth="1"/>
    <col min="14068" max="14068" width="17.42578125" style="4" customWidth="1"/>
    <col min="14069" max="14069" width="25" style="4" customWidth="1"/>
    <col min="14070" max="14070" width="16.5703125" style="4" bestFit="1" customWidth="1"/>
    <col min="14071" max="14071" width="17.42578125" style="4" bestFit="1" customWidth="1"/>
    <col min="14072" max="14072" width="21.7109375" style="4" customWidth="1"/>
    <col min="14073" max="14303" width="9.28515625" style="4" customWidth="1"/>
    <col min="14304" max="14305" width="6" style="4"/>
    <col min="14306" max="14306" width="75" style="4" customWidth="1"/>
    <col min="14307" max="14320" width="0" style="4" hidden="1" customWidth="1"/>
    <col min="14321" max="14321" width="29.7109375" style="4" customWidth="1"/>
    <col min="14322" max="14322" width="24.28515625" style="4" customWidth="1"/>
    <col min="14323" max="14323" width="34.28515625" style="4" customWidth="1"/>
    <col min="14324" max="14324" width="17.42578125" style="4" customWidth="1"/>
    <col min="14325" max="14325" width="25" style="4" customWidth="1"/>
    <col min="14326" max="14326" width="16.5703125" style="4" bestFit="1" customWidth="1"/>
    <col min="14327" max="14327" width="17.42578125" style="4" bestFit="1" customWidth="1"/>
    <col min="14328" max="14328" width="21.7109375" style="4" customWidth="1"/>
    <col min="14329" max="14559" width="9.28515625" style="4" customWidth="1"/>
    <col min="14560" max="14561" width="6" style="4"/>
    <col min="14562" max="14562" width="75" style="4" customWidth="1"/>
    <col min="14563" max="14576" width="0" style="4" hidden="1" customWidth="1"/>
    <col min="14577" max="14577" width="29.7109375" style="4" customWidth="1"/>
    <col min="14578" max="14578" width="24.28515625" style="4" customWidth="1"/>
    <col min="14579" max="14579" width="34.28515625" style="4" customWidth="1"/>
    <col min="14580" max="14580" width="17.42578125" style="4" customWidth="1"/>
    <col min="14581" max="14581" width="25" style="4" customWidth="1"/>
    <col min="14582" max="14582" width="16.5703125" style="4" bestFit="1" customWidth="1"/>
    <col min="14583" max="14583" width="17.42578125" style="4" bestFit="1" customWidth="1"/>
    <col min="14584" max="14584" width="21.7109375" style="4" customWidth="1"/>
    <col min="14585" max="14815" width="9.28515625" style="4" customWidth="1"/>
    <col min="14816" max="14817" width="6" style="4"/>
    <col min="14818" max="14818" width="75" style="4" customWidth="1"/>
    <col min="14819" max="14832" width="0" style="4" hidden="1" customWidth="1"/>
    <col min="14833" max="14833" width="29.7109375" style="4" customWidth="1"/>
    <col min="14834" max="14834" width="24.28515625" style="4" customWidth="1"/>
    <col min="14835" max="14835" width="34.28515625" style="4" customWidth="1"/>
    <col min="14836" max="14836" width="17.42578125" style="4" customWidth="1"/>
    <col min="14837" max="14837" width="25" style="4" customWidth="1"/>
    <col min="14838" max="14838" width="16.5703125" style="4" bestFit="1" customWidth="1"/>
    <col min="14839" max="14839" width="17.42578125" style="4" bestFit="1" customWidth="1"/>
    <col min="14840" max="14840" width="21.7109375" style="4" customWidth="1"/>
    <col min="14841" max="15071" width="9.28515625" style="4" customWidth="1"/>
    <col min="15072" max="15073" width="6" style="4"/>
    <col min="15074" max="15074" width="75" style="4" customWidth="1"/>
    <col min="15075" max="15088" width="0" style="4" hidden="1" customWidth="1"/>
    <col min="15089" max="15089" width="29.7109375" style="4" customWidth="1"/>
    <col min="15090" max="15090" width="24.28515625" style="4" customWidth="1"/>
    <col min="15091" max="15091" width="34.28515625" style="4" customWidth="1"/>
    <col min="15092" max="15092" width="17.42578125" style="4" customWidth="1"/>
    <col min="15093" max="15093" width="25" style="4" customWidth="1"/>
    <col min="15094" max="15094" width="16.5703125" style="4" bestFit="1" customWidth="1"/>
    <col min="15095" max="15095" width="17.42578125" style="4" bestFit="1" customWidth="1"/>
    <col min="15096" max="15096" width="21.7109375" style="4" customWidth="1"/>
    <col min="15097" max="15327" width="9.28515625" style="4" customWidth="1"/>
    <col min="15328" max="15329" width="6" style="4"/>
    <col min="15330" max="15330" width="75" style="4" customWidth="1"/>
    <col min="15331" max="15344" width="0" style="4" hidden="1" customWidth="1"/>
    <col min="15345" max="15345" width="29.7109375" style="4" customWidth="1"/>
    <col min="15346" max="15346" width="24.28515625" style="4" customWidth="1"/>
    <col min="15347" max="15347" width="34.28515625" style="4" customWidth="1"/>
    <col min="15348" max="15348" width="17.42578125" style="4" customWidth="1"/>
    <col min="15349" max="15349" width="25" style="4" customWidth="1"/>
    <col min="15350" max="15350" width="16.5703125" style="4" bestFit="1" customWidth="1"/>
    <col min="15351" max="15351" width="17.42578125" style="4" bestFit="1" customWidth="1"/>
    <col min="15352" max="15352" width="21.7109375" style="4" customWidth="1"/>
    <col min="15353" max="15583" width="9.28515625" style="4" customWidth="1"/>
    <col min="15584" max="15585" width="6" style="4"/>
    <col min="15586" max="15586" width="75" style="4" customWidth="1"/>
    <col min="15587" max="15600" width="0" style="4" hidden="1" customWidth="1"/>
    <col min="15601" max="15601" width="29.7109375" style="4" customWidth="1"/>
    <col min="15602" max="15602" width="24.28515625" style="4" customWidth="1"/>
    <col min="15603" max="15603" width="34.28515625" style="4" customWidth="1"/>
    <col min="15604" max="15604" width="17.42578125" style="4" customWidth="1"/>
    <col min="15605" max="15605" width="25" style="4" customWidth="1"/>
    <col min="15606" max="15606" width="16.5703125" style="4" bestFit="1" customWidth="1"/>
    <col min="15607" max="15607" width="17.42578125" style="4" bestFit="1" customWidth="1"/>
    <col min="15608" max="15608" width="21.7109375" style="4" customWidth="1"/>
    <col min="15609" max="15839" width="9.28515625" style="4" customWidth="1"/>
    <col min="15840" max="15841" width="6" style="4"/>
    <col min="15842" max="15842" width="75" style="4" customWidth="1"/>
    <col min="15843" max="15856" width="0" style="4" hidden="1" customWidth="1"/>
    <col min="15857" max="15857" width="29.7109375" style="4" customWidth="1"/>
    <col min="15858" max="15858" width="24.28515625" style="4" customWidth="1"/>
    <col min="15859" max="15859" width="34.28515625" style="4" customWidth="1"/>
    <col min="15860" max="15860" width="17.42578125" style="4" customWidth="1"/>
    <col min="15861" max="15861" width="25" style="4" customWidth="1"/>
    <col min="15862" max="15862" width="16.5703125" style="4" bestFit="1" customWidth="1"/>
    <col min="15863" max="15863" width="17.42578125" style="4" bestFit="1" customWidth="1"/>
    <col min="15864" max="15864" width="21.7109375" style="4" customWidth="1"/>
    <col min="15865" max="16095" width="9.28515625" style="4" customWidth="1"/>
    <col min="16096" max="16097" width="6" style="4"/>
    <col min="16098" max="16098" width="75" style="4" customWidth="1"/>
    <col min="16099" max="16112" width="0" style="4" hidden="1" customWidth="1"/>
    <col min="16113" max="16113" width="29.7109375" style="4" customWidth="1"/>
    <col min="16114" max="16114" width="24.28515625" style="4" customWidth="1"/>
    <col min="16115" max="16115" width="34.28515625" style="4" customWidth="1"/>
    <col min="16116" max="16116" width="17.42578125" style="4" customWidth="1"/>
    <col min="16117" max="16117" width="25" style="4" customWidth="1"/>
    <col min="16118" max="16118" width="16.5703125" style="4" bestFit="1" customWidth="1"/>
    <col min="16119" max="16119" width="17.42578125" style="4" bestFit="1" customWidth="1"/>
    <col min="16120" max="16120" width="21.7109375" style="4" customWidth="1"/>
    <col min="16121" max="16384" width="9.28515625" style="4" customWidth="1"/>
  </cols>
  <sheetData>
    <row r="1" spans="1:224" ht="22.9" customHeight="1" x14ac:dyDescent="0.25">
      <c r="A1" s="450" t="s">
        <v>0</v>
      </c>
      <c r="B1" s="450"/>
      <c r="C1" s="450"/>
      <c r="D1" s="450"/>
      <c r="E1" s="450"/>
      <c r="F1" s="450"/>
      <c r="G1" s="450"/>
      <c r="H1" s="450"/>
      <c r="I1" s="450"/>
      <c r="J1" s="450"/>
      <c r="K1" s="450"/>
      <c r="L1" s="450"/>
      <c r="M1" s="450"/>
      <c r="N1" s="450"/>
      <c r="O1" s="450"/>
      <c r="P1" s="450"/>
      <c r="Q1" s="450"/>
      <c r="R1" s="450"/>
      <c r="S1" s="450"/>
      <c r="T1" s="1" t="s">
        <v>1</v>
      </c>
      <c r="U1" s="2" t="s">
        <v>2</v>
      </c>
      <c r="V1" s="2" t="s">
        <v>3</v>
      </c>
      <c r="W1" s="2" t="s">
        <v>4</v>
      </c>
      <c r="X1" s="3"/>
      <c r="Y1" s="1" t="s">
        <v>5</v>
      </c>
      <c r="Z1" s="2" t="s">
        <v>2</v>
      </c>
      <c r="AA1" s="2" t="s">
        <v>3</v>
      </c>
      <c r="AB1" s="2" t="s">
        <v>4</v>
      </c>
    </row>
    <row r="2" spans="1:224" ht="27" customHeight="1" x14ac:dyDescent="0.25">
      <c r="A2" s="451" t="s">
        <v>6</v>
      </c>
      <c r="B2" s="451"/>
      <c r="C2" s="451"/>
      <c r="D2" s="451"/>
      <c r="E2" s="451"/>
      <c r="F2" s="451"/>
      <c r="G2" s="451"/>
      <c r="H2" s="451"/>
      <c r="I2" s="451"/>
      <c r="J2" s="451"/>
      <c r="K2" s="451"/>
      <c r="L2" s="451"/>
      <c r="M2" s="451"/>
      <c r="N2" s="451"/>
      <c r="O2" s="451"/>
      <c r="P2" s="451"/>
      <c r="Q2" s="451"/>
      <c r="R2" s="451"/>
      <c r="S2" s="451"/>
      <c r="T2" s="5" t="s">
        <v>7</v>
      </c>
      <c r="U2" s="6">
        <v>2950000</v>
      </c>
      <c r="V2" s="6">
        <v>2662000</v>
      </c>
      <c r="W2" s="6">
        <v>288000</v>
      </c>
      <c r="X2" s="7">
        <f>U2-O19</f>
        <v>1205207.0099180001</v>
      </c>
      <c r="Y2" s="5" t="s">
        <v>7</v>
      </c>
      <c r="Z2" s="6">
        <f>AA2+AB2</f>
        <v>2950000</v>
      </c>
      <c r="AA2" s="6">
        <v>2662000</v>
      </c>
      <c r="AB2" s="6">
        <v>288000</v>
      </c>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row>
    <row r="3" spans="1:224" ht="24" customHeight="1" x14ac:dyDescent="0.25">
      <c r="A3" s="452" t="s">
        <v>8</v>
      </c>
      <c r="B3" s="452"/>
      <c r="C3" s="452"/>
      <c r="D3" s="452"/>
      <c r="E3" s="452"/>
      <c r="F3" s="452"/>
      <c r="G3" s="452"/>
      <c r="H3" s="452"/>
      <c r="I3" s="452"/>
      <c r="J3" s="452"/>
      <c r="K3" s="452"/>
      <c r="L3" s="452"/>
      <c r="M3" s="452"/>
      <c r="N3" s="452"/>
      <c r="O3" s="452"/>
      <c r="P3" s="452"/>
      <c r="Q3" s="452"/>
      <c r="R3" s="452"/>
      <c r="S3" s="452"/>
      <c r="T3" s="9" t="s">
        <v>9</v>
      </c>
      <c r="U3" s="6">
        <v>277000</v>
      </c>
      <c r="V3" s="6">
        <v>277000</v>
      </c>
      <c r="W3" s="6"/>
      <c r="X3" s="8"/>
      <c r="Y3" s="9" t="s">
        <v>9</v>
      </c>
      <c r="Z3" s="6">
        <f t="shared" ref="Z3:Z5" si="0">AA3+AB3</f>
        <v>277000</v>
      </c>
      <c r="AA3" s="6">
        <v>277000</v>
      </c>
      <c r="AB3" s="6"/>
      <c r="AC3" s="8"/>
      <c r="AD3" s="7"/>
      <c r="AE3" s="7"/>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row>
    <row r="4" spans="1:224" ht="3.6" customHeight="1" x14ac:dyDescent="0.25">
      <c r="A4" s="10"/>
      <c r="B4" s="10"/>
      <c r="C4" s="10"/>
      <c r="D4" s="10"/>
      <c r="E4" s="10"/>
      <c r="F4" s="10"/>
      <c r="G4" s="10"/>
      <c r="H4" s="10"/>
      <c r="I4" s="10"/>
      <c r="J4" s="10"/>
      <c r="K4" s="10"/>
      <c r="L4" s="10"/>
      <c r="M4" s="10"/>
      <c r="N4" s="10"/>
      <c r="O4" s="10"/>
      <c r="P4" s="10"/>
      <c r="Q4" s="10"/>
      <c r="R4" s="10"/>
      <c r="S4" s="10"/>
      <c r="T4" s="9"/>
      <c r="U4" s="6"/>
      <c r="V4" s="6"/>
      <c r="W4" s="6"/>
      <c r="X4" s="8"/>
      <c r="Y4" s="9"/>
      <c r="Z4" s="6"/>
      <c r="AA4" s="6"/>
      <c r="AB4" s="6"/>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row>
    <row r="5" spans="1:224" x14ac:dyDescent="0.25">
      <c r="A5" s="453" t="s">
        <v>10</v>
      </c>
      <c r="B5" s="453"/>
      <c r="C5" s="453"/>
      <c r="D5" s="453"/>
      <c r="E5" s="453"/>
      <c r="F5" s="453"/>
      <c r="G5" s="453"/>
      <c r="H5" s="453"/>
      <c r="I5" s="453"/>
      <c r="J5" s="453"/>
      <c r="K5" s="453"/>
      <c r="L5" s="453"/>
      <c r="M5" s="453"/>
      <c r="N5" s="453"/>
      <c r="O5" s="453"/>
      <c r="P5" s="453"/>
      <c r="Q5" s="453"/>
      <c r="R5" s="453"/>
      <c r="S5" s="453"/>
      <c r="T5" s="11"/>
      <c r="U5" s="12">
        <f>SUM(U2:U3)</f>
        <v>3227000</v>
      </c>
      <c r="V5" s="12">
        <f>SUM(V2:V3)</f>
        <v>2939000</v>
      </c>
      <c r="W5" s="12">
        <f>SUM(W2:W3)</f>
        <v>288000</v>
      </c>
      <c r="Y5" s="11"/>
      <c r="Z5" s="12">
        <f t="shared" si="0"/>
        <v>3227000</v>
      </c>
      <c r="AA5" s="12">
        <f>SUM(AA2:AA3)</f>
        <v>2939000</v>
      </c>
      <c r="AB5" s="12">
        <f>SUM(AB2:AB3)</f>
        <v>288000</v>
      </c>
      <c r="AC5" s="13"/>
      <c r="AD5" s="13"/>
      <c r="AE5" s="13"/>
    </row>
    <row r="6" spans="1:224" s="18" customFormat="1" ht="30" customHeight="1" x14ac:dyDescent="0.25">
      <c r="A6" s="446" t="s">
        <v>11</v>
      </c>
      <c r="B6" s="446" t="s">
        <v>12</v>
      </c>
      <c r="C6" s="446" t="s">
        <v>72</v>
      </c>
      <c r="D6" s="446" t="s">
        <v>14</v>
      </c>
      <c r="E6" s="446" t="s">
        <v>71</v>
      </c>
      <c r="F6" s="446" t="s">
        <v>78</v>
      </c>
      <c r="G6" s="454" t="s">
        <v>73</v>
      </c>
      <c r="H6" s="455"/>
      <c r="I6" s="455"/>
      <c r="J6" s="456"/>
      <c r="K6" s="446" t="s">
        <v>79</v>
      </c>
      <c r="L6" s="446" t="s">
        <v>81</v>
      </c>
      <c r="M6" s="446" t="s">
        <v>71</v>
      </c>
      <c r="N6" s="447" t="s">
        <v>15</v>
      </c>
      <c r="O6" s="446" t="s">
        <v>43</v>
      </c>
      <c r="P6" s="446"/>
      <c r="Q6" s="446"/>
      <c r="R6" s="447" t="s">
        <v>16</v>
      </c>
      <c r="S6" s="446" t="s">
        <v>17</v>
      </c>
      <c r="T6" s="15"/>
      <c r="U6" s="15"/>
      <c r="V6" s="15"/>
      <c r="W6" s="15"/>
      <c r="X6" s="15"/>
      <c r="Y6" s="15"/>
      <c r="Z6" s="16">
        <f>Z5-U5</f>
        <v>0</v>
      </c>
      <c r="AA6" s="16">
        <f t="shared" ref="AA6:AB6" si="1">AA5-V5</f>
        <v>0</v>
      </c>
      <c r="AB6" s="16">
        <f t="shared" si="1"/>
        <v>0</v>
      </c>
      <c r="AC6" s="17">
        <v>5615083</v>
      </c>
      <c r="AD6" s="17"/>
      <c r="AE6" s="17"/>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row>
    <row r="7" spans="1:224" s="18" customFormat="1" ht="172.15" customHeight="1" x14ac:dyDescent="0.3">
      <c r="A7" s="446"/>
      <c r="B7" s="446"/>
      <c r="C7" s="446"/>
      <c r="D7" s="446"/>
      <c r="E7" s="446"/>
      <c r="F7" s="446"/>
      <c r="G7" s="132" t="s">
        <v>74</v>
      </c>
      <c r="H7" s="14" t="s">
        <v>75</v>
      </c>
      <c r="I7" s="14" t="s">
        <v>76</v>
      </c>
      <c r="J7" s="14" t="s">
        <v>77</v>
      </c>
      <c r="K7" s="446"/>
      <c r="L7" s="446"/>
      <c r="M7" s="446"/>
      <c r="N7" s="448"/>
      <c r="O7" s="14" t="s">
        <v>18</v>
      </c>
      <c r="P7" s="19" t="s">
        <v>19</v>
      </c>
      <c r="Q7" s="19" t="s">
        <v>20</v>
      </c>
      <c r="R7" s="448"/>
      <c r="S7" s="446"/>
      <c r="T7" s="15"/>
      <c r="U7" s="15"/>
      <c r="V7" s="16">
        <f>U2-O19</f>
        <v>1205207.0099180001</v>
      </c>
      <c r="W7" s="15"/>
      <c r="X7" s="15"/>
      <c r="Y7" s="15" t="s">
        <v>21</v>
      </c>
      <c r="Z7" s="20">
        <v>1006429</v>
      </c>
      <c r="AA7" s="15"/>
      <c r="AB7" s="15"/>
      <c r="AC7" s="17" t="e">
        <f>AC6+#REF!++#REF!+#REF!+#REF!+#REF!</f>
        <v>#REF!</v>
      </c>
      <c r="AD7" s="17"/>
      <c r="AE7" s="17">
        <v>2650723</v>
      </c>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row>
    <row r="8" spans="1:224" s="27" customFormat="1" ht="16.5" x14ac:dyDescent="0.25">
      <c r="A8" s="21" t="s">
        <v>22</v>
      </c>
      <c r="B8" s="22">
        <v>2</v>
      </c>
      <c r="C8" s="22"/>
      <c r="D8" s="22"/>
      <c r="E8" s="22"/>
      <c r="F8" s="22"/>
      <c r="G8" s="22"/>
      <c r="H8" s="22"/>
      <c r="I8" s="22"/>
      <c r="J8" s="22"/>
      <c r="K8" s="22"/>
      <c r="L8" s="22"/>
      <c r="M8" s="22">
        <v>3</v>
      </c>
      <c r="N8" s="22"/>
      <c r="O8" s="22"/>
      <c r="P8" s="22"/>
      <c r="Q8" s="22"/>
      <c r="R8" s="22"/>
      <c r="S8" s="22"/>
      <c r="T8" s="23"/>
      <c r="U8" s="23"/>
      <c r="V8" s="24"/>
      <c r="W8" s="23"/>
      <c r="X8" s="23"/>
      <c r="Y8" s="23" t="s">
        <v>23</v>
      </c>
      <c r="Z8" s="25">
        <f>Z5+Z7</f>
        <v>4233429</v>
      </c>
      <c r="AA8" s="23"/>
      <c r="AB8" s="23"/>
      <c r="AC8" s="26" t="e">
        <f>M19-AC7</f>
        <v>#REF!</v>
      </c>
      <c r="AD8" s="26"/>
      <c r="AE8" s="26"/>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row>
    <row r="9" spans="1:224" s="27" customFormat="1" ht="30.6" customHeight="1" x14ac:dyDescent="0.25">
      <c r="A9" s="28"/>
      <c r="B9" s="29" t="s">
        <v>24</v>
      </c>
      <c r="C9" s="35">
        <f>C10+C19</f>
        <v>7316351.9842410004</v>
      </c>
      <c r="D9" s="35">
        <f>D10+D19</f>
        <v>7023251.9842410004</v>
      </c>
      <c r="E9" s="35">
        <f t="shared" ref="E9:F9" si="2">E10+E19</f>
        <v>7368711.9842410004</v>
      </c>
      <c r="F9" s="35">
        <f t="shared" si="2"/>
        <v>7075611.9842410004</v>
      </c>
      <c r="G9" s="35">
        <f>G10+G19</f>
        <v>-285000</v>
      </c>
      <c r="H9" s="35">
        <f>H10+H19</f>
        <v>242959</v>
      </c>
      <c r="I9" s="35">
        <f>I10+I19</f>
        <v>180000</v>
      </c>
      <c r="J9" s="35">
        <f>J10+J19</f>
        <v>265770</v>
      </c>
      <c r="K9" s="35">
        <f>C9+G9+H9+I9+J9</f>
        <v>7720080.9842410004</v>
      </c>
      <c r="L9" s="35">
        <f>D9+G9+H9+I9+J9</f>
        <v>7426980.9842410004</v>
      </c>
      <c r="M9" s="30">
        <f>M10+M19</f>
        <v>8270269.2170000002</v>
      </c>
      <c r="N9" s="30">
        <v>1244237</v>
      </c>
      <c r="O9" s="35">
        <f>O10+O19</f>
        <v>2382978.9900819999</v>
      </c>
      <c r="P9" s="36">
        <f>O9/K9</f>
        <v>0.30867279694945876</v>
      </c>
      <c r="Q9" s="36">
        <f>O9/L9</f>
        <v>0.32085432763842309</v>
      </c>
      <c r="R9" s="30">
        <f>O9-N9</f>
        <v>1138741.9900819999</v>
      </c>
      <c r="S9" s="32"/>
      <c r="T9" s="23"/>
      <c r="U9" s="23"/>
      <c r="V9" s="24"/>
      <c r="W9" s="23"/>
      <c r="X9" s="23"/>
      <c r="Y9" s="23"/>
      <c r="Z9" s="25"/>
      <c r="AA9" s="23"/>
      <c r="AB9" s="23"/>
      <c r="AC9" s="26"/>
      <c r="AD9" s="26"/>
      <c r="AE9" s="26"/>
      <c r="AF9" s="26"/>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f>7316-285+242959+445770</f>
        <v>695760</v>
      </c>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row>
    <row r="10" spans="1:224" s="42" customFormat="1" ht="27" customHeight="1" x14ac:dyDescent="0.25">
      <c r="A10" s="33" t="s">
        <v>25</v>
      </c>
      <c r="B10" s="34" t="s">
        <v>26</v>
      </c>
      <c r="C10" s="35">
        <f t="shared" ref="C10" si="3">C11+C17</f>
        <v>1454351.9842410001</v>
      </c>
      <c r="D10" s="35">
        <v>1454351.9842410001</v>
      </c>
      <c r="E10" s="35">
        <v>1454351.9842410001</v>
      </c>
      <c r="F10" s="35">
        <v>1454351.9842410001</v>
      </c>
      <c r="G10" s="35">
        <f t="shared" ref="G10:J10" si="4">G11+G17</f>
        <v>-285000</v>
      </c>
      <c r="H10" s="35">
        <f t="shared" si="4"/>
        <v>242959</v>
      </c>
      <c r="I10" s="35">
        <f t="shared" si="4"/>
        <v>180000</v>
      </c>
      <c r="J10" s="35">
        <f t="shared" si="4"/>
        <v>265770</v>
      </c>
      <c r="K10" s="35">
        <f t="shared" ref="K10:K24" si="5">C10+G10+H10+I10+J10</f>
        <v>1858080.9842410001</v>
      </c>
      <c r="L10" s="35">
        <f t="shared" ref="L10:L24" si="6">D10+G10+H10+I10+J10</f>
        <v>1858080.9842410001</v>
      </c>
      <c r="M10" s="35">
        <f>M11+M17</f>
        <v>1858081</v>
      </c>
      <c r="N10" s="35">
        <v>337911</v>
      </c>
      <c r="O10" s="35">
        <f>O11+O17</f>
        <v>638186</v>
      </c>
      <c r="P10" s="36">
        <f>O10/K10</f>
        <v>0.34346511557497583</v>
      </c>
      <c r="Q10" s="36">
        <f>O10/L10</f>
        <v>0.34346511557497583</v>
      </c>
      <c r="R10" s="35">
        <f>O10-N10</f>
        <v>300275</v>
      </c>
      <c r="S10" s="404"/>
      <c r="T10" s="38"/>
      <c r="U10" s="38"/>
      <c r="V10" s="39"/>
      <c r="W10" s="38"/>
      <c r="X10" s="38"/>
      <c r="Y10" s="38"/>
      <c r="Z10" s="40"/>
      <c r="AA10" s="38"/>
      <c r="AB10" s="38"/>
      <c r="AC10" s="41"/>
      <c r="AD10" s="41"/>
      <c r="AE10" s="41"/>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f>1454-285+242.959+445.77</f>
        <v>1857.729</v>
      </c>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c r="HN10" s="38"/>
      <c r="HO10" s="38"/>
      <c r="HP10" s="38"/>
    </row>
    <row r="11" spans="1:224" s="27" customFormat="1" ht="24.6" customHeight="1" x14ac:dyDescent="0.25">
      <c r="A11" s="43" t="s">
        <v>27</v>
      </c>
      <c r="B11" s="44" t="s">
        <v>28</v>
      </c>
      <c r="C11" s="45">
        <f t="shared" ref="C11" si="7">C13+C12</f>
        <v>1404183.9842410001</v>
      </c>
      <c r="D11" s="45">
        <v>1404183.9842410001</v>
      </c>
      <c r="E11" s="45">
        <v>1404183.9842410001</v>
      </c>
      <c r="F11" s="45">
        <v>1404183.9842410001</v>
      </c>
      <c r="G11" s="45">
        <f t="shared" ref="G11:J11" si="8">G13+G12</f>
        <v>-285000</v>
      </c>
      <c r="H11" s="45">
        <f t="shared" si="8"/>
        <v>242959</v>
      </c>
      <c r="I11" s="45">
        <f t="shared" si="8"/>
        <v>180000</v>
      </c>
      <c r="J11" s="45">
        <f t="shared" si="8"/>
        <v>265770</v>
      </c>
      <c r="K11" s="45">
        <f t="shared" si="5"/>
        <v>1807912.9842410001</v>
      </c>
      <c r="L11" s="45">
        <f t="shared" si="6"/>
        <v>1807912.9842410001</v>
      </c>
      <c r="M11" s="45">
        <f>M13+M12</f>
        <v>1807913</v>
      </c>
      <c r="N11" s="45">
        <v>337911</v>
      </c>
      <c r="O11" s="45">
        <f>O13+O12</f>
        <v>637889</v>
      </c>
      <c r="P11" s="46">
        <f>O11/K11</f>
        <v>0.35283169353850247</v>
      </c>
      <c r="Q11" s="45"/>
      <c r="R11" s="45">
        <f>O11-N11</f>
        <v>299978</v>
      </c>
      <c r="S11" s="47"/>
      <c r="T11" s="23"/>
      <c r="U11" s="23"/>
      <c r="V11" s="24"/>
      <c r="W11" s="23"/>
      <c r="X11" s="23"/>
      <c r="Y11" s="23"/>
      <c r="Z11" s="25"/>
      <c r="AA11" s="23"/>
      <c r="AB11" s="23"/>
      <c r="AC11" s="26"/>
      <c r="AD11" s="26"/>
      <c r="AE11" s="26"/>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v>1858081</v>
      </c>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row>
    <row r="12" spans="1:224" s="27" customFormat="1" ht="36" customHeight="1" x14ac:dyDescent="0.25">
      <c r="A12" s="43" t="s">
        <v>29</v>
      </c>
      <c r="B12" s="44" t="s">
        <v>30</v>
      </c>
      <c r="C12" s="44"/>
      <c r="D12" s="44"/>
      <c r="E12" s="44"/>
      <c r="F12" s="44"/>
      <c r="G12" s="44"/>
      <c r="H12" s="44"/>
      <c r="I12" s="45">
        <v>180000</v>
      </c>
      <c r="J12" s="45">
        <v>265770</v>
      </c>
      <c r="K12" s="140">
        <f t="shared" si="5"/>
        <v>445770</v>
      </c>
      <c r="L12" s="140">
        <f t="shared" si="6"/>
        <v>445770</v>
      </c>
      <c r="M12" s="45">
        <f>180000+265770</f>
        <v>445770</v>
      </c>
      <c r="N12" s="45"/>
      <c r="O12" s="45">
        <v>0</v>
      </c>
      <c r="P12" s="46"/>
      <c r="Q12" s="45"/>
      <c r="R12" s="45"/>
      <c r="S12" s="47"/>
      <c r="T12" s="23"/>
      <c r="U12" s="23"/>
      <c r="V12" s="24"/>
      <c r="W12" s="23"/>
      <c r="X12" s="23"/>
      <c r="Y12" s="23"/>
      <c r="Z12" s="25"/>
      <c r="AA12" s="23"/>
      <c r="AB12" s="23"/>
      <c r="AC12" s="26"/>
      <c r="AD12" s="26"/>
      <c r="AE12" s="26"/>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f>1858-1857</f>
        <v>1</v>
      </c>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row>
    <row r="13" spans="1:224" s="27" customFormat="1" ht="27" customHeight="1" x14ac:dyDescent="0.25">
      <c r="A13" s="43" t="s">
        <v>31</v>
      </c>
      <c r="B13" s="44" t="s">
        <v>32</v>
      </c>
      <c r="C13" s="45">
        <f>C15+C16</f>
        <v>1404183.9842410001</v>
      </c>
      <c r="D13" s="45">
        <v>1404183.9842410001</v>
      </c>
      <c r="E13" s="45">
        <v>1404183.9842410001</v>
      </c>
      <c r="F13" s="45">
        <v>1404183.9842410001</v>
      </c>
      <c r="G13" s="45">
        <f>G15+G16</f>
        <v>-285000</v>
      </c>
      <c r="H13" s="45">
        <f>H15+H16</f>
        <v>242959</v>
      </c>
      <c r="I13" s="45">
        <f>I15+I16</f>
        <v>0</v>
      </c>
      <c r="J13" s="44"/>
      <c r="K13" s="45">
        <f t="shared" si="5"/>
        <v>1362142.9842410001</v>
      </c>
      <c r="L13" s="45">
        <f t="shared" si="6"/>
        <v>1362142.9842410001</v>
      </c>
      <c r="M13" s="45">
        <f>M15+M16</f>
        <v>1362143</v>
      </c>
      <c r="N13" s="45">
        <v>337911</v>
      </c>
      <c r="O13" s="45">
        <f>O15+O16</f>
        <v>637889</v>
      </c>
      <c r="P13" s="46">
        <f>O13/K13</f>
        <v>0.4682981209608022</v>
      </c>
      <c r="Q13" s="49"/>
      <c r="R13" s="45">
        <f>O13-N13</f>
        <v>299978</v>
      </c>
      <c r="S13" s="47"/>
      <c r="T13" s="23"/>
      <c r="U13" s="23"/>
      <c r="V13" s="24"/>
      <c r="W13" s="23"/>
      <c r="X13" s="23"/>
      <c r="Y13" s="23"/>
      <c r="Z13" s="25"/>
      <c r="AA13" s="23"/>
      <c r="AB13" s="23"/>
      <c r="AC13" s="26"/>
      <c r="AD13" s="26"/>
      <c r="AE13" s="26"/>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row>
    <row r="14" spans="1:224" s="27" customFormat="1" ht="25.15" customHeight="1" x14ac:dyDescent="0.25">
      <c r="A14" s="50"/>
      <c r="B14" s="51" t="s">
        <v>33</v>
      </c>
      <c r="C14" s="51"/>
      <c r="D14" s="51"/>
      <c r="E14" s="51"/>
      <c r="F14" s="51"/>
      <c r="G14" s="51"/>
      <c r="H14" s="51"/>
      <c r="I14" s="51"/>
      <c r="J14" s="51"/>
      <c r="K14" s="51">
        <f t="shared" si="5"/>
        <v>0</v>
      </c>
      <c r="L14" s="51">
        <f t="shared" si="6"/>
        <v>0</v>
      </c>
      <c r="M14" s="53"/>
      <c r="N14" s="53"/>
      <c r="O14" s="49"/>
      <c r="P14" s="46"/>
      <c r="Q14" s="49"/>
      <c r="R14" s="49"/>
      <c r="S14" s="47"/>
      <c r="T14" s="23"/>
      <c r="U14" s="23"/>
      <c r="V14" s="24"/>
      <c r="W14" s="23"/>
      <c r="X14" s="23"/>
      <c r="Y14" s="23"/>
      <c r="Z14" s="25"/>
      <c r="AA14" s="23"/>
      <c r="AB14" s="23"/>
      <c r="AC14" s="26"/>
      <c r="AD14" s="26"/>
      <c r="AE14" s="26"/>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row>
    <row r="15" spans="1:224" s="27" customFormat="1" ht="49.5" x14ac:dyDescent="0.25">
      <c r="A15" s="50" t="s">
        <v>34</v>
      </c>
      <c r="B15" s="54" t="s">
        <v>35</v>
      </c>
      <c r="C15" s="53">
        <v>908446.98424100014</v>
      </c>
      <c r="D15" s="53">
        <v>908446.98424100014</v>
      </c>
      <c r="E15" s="53">
        <v>908446.98424100014</v>
      </c>
      <c r="F15" s="53">
        <v>908446.98424100014</v>
      </c>
      <c r="G15" s="53">
        <v>-285000</v>
      </c>
      <c r="H15" s="53"/>
      <c r="I15" s="53"/>
      <c r="J15" s="54"/>
      <c r="K15" s="53">
        <f t="shared" si="5"/>
        <v>623446.98424100014</v>
      </c>
      <c r="L15" s="53">
        <f t="shared" si="6"/>
        <v>623446.98424100014</v>
      </c>
      <c r="M15" s="53">
        <v>623447</v>
      </c>
      <c r="N15" s="53">
        <v>125019.06328999999</v>
      </c>
      <c r="O15" s="55">
        <v>211360</v>
      </c>
      <c r="P15" s="56">
        <f t="shared" ref="P15:P19" si="9">O15/K15</f>
        <v>0.33901840147212342</v>
      </c>
      <c r="Q15" s="49"/>
      <c r="R15" s="55">
        <f>O15-N15</f>
        <v>86340.936710000009</v>
      </c>
      <c r="S15" s="47"/>
      <c r="T15" s="23"/>
      <c r="U15" s="23"/>
      <c r="V15" s="24"/>
      <c r="W15" s="23"/>
      <c r="X15" s="23"/>
      <c r="Y15" s="23"/>
      <c r="Z15" s="25"/>
      <c r="AA15" s="23"/>
      <c r="AB15" s="23"/>
      <c r="AD15" s="26"/>
      <c r="AE15" s="26"/>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row>
    <row r="16" spans="1:224" s="27" customFormat="1" ht="49.5" x14ac:dyDescent="0.25">
      <c r="A16" s="43" t="s">
        <v>34</v>
      </c>
      <c r="B16" s="135" t="s">
        <v>36</v>
      </c>
      <c r="C16" s="53">
        <v>495737</v>
      </c>
      <c r="D16" s="53">
        <v>495737</v>
      </c>
      <c r="E16" s="53">
        <v>495737</v>
      </c>
      <c r="F16" s="53">
        <v>495737</v>
      </c>
      <c r="G16" s="53"/>
      <c r="H16" s="53">
        <v>242959</v>
      </c>
      <c r="I16" s="53"/>
      <c r="J16" s="138"/>
      <c r="K16" s="53">
        <f t="shared" si="5"/>
        <v>738696</v>
      </c>
      <c r="L16" s="53">
        <f t="shared" si="6"/>
        <v>738696</v>
      </c>
      <c r="M16" s="53">
        <v>738696</v>
      </c>
      <c r="N16" s="53">
        <v>212891.93671000001</v>
      </c>
      <c r="O16" s="55">
        <v>426529</v>
      </c>
      <c r="P16" s="56">
        <f t="shared" si="9"/>
        <v>0.57740802711805672</v>
      </c>
      <c r="Q16" s="49"/>
      <c r="R16" s="55">
        <f>O16-N16</f>
        <v>213637.06328999999</v>
      </c>
      <c r="S16" s="47"/>
      <c r="T16" s="23"/>
      <c r="U16" s="23"/>
      <c r="V16" s="24"/>
      <c r="W16" s="23"/>
      <c r="X16" s="23"/>
      <c r="Y16" s="23"/>
      <c r="Z16" s="25"/>
      <c r="AA16" s="23"/>
      <c r="AB16" s="23"/>
      <c r="AD16" s="26"/>
      <c r="AE16" s="26"/>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row>
    <row r="17" spans="1:225" s="27" customFormat="1" ht="30" customHeight="1" x14ac:dyDescent="0.25">
      <c r="A17" s="43" t="s">
        <v>37</v>
      </c>
      <c r="B17" s="58" t="s">
        <v>38</v>
      </c>
      <c r="C17" s="45">
        <f>C18</f>
        <v>50168</v>
      </c>
      <c r="D17" s="45">
        <f>D18</f>
        <v>50168</v>
      </c>
      <c r="E17" s="45">
        <v>50168</v>
      </c>
      <c r="F17" s="45">
        <v>50168</v>
      </c>
      <c r="G17" s="45"/>
      <c r="H17" s="45"/>
      <c r="I17" s="45"/>
      <c r="J17" s="58"/>
      <c r="K17" s="45">
        <f t="shared" si="5"/>
        <v>50168</v>
      </c>
      <c r="L17" s="45">
        <f t="shared" si="6"/>
        <v>50168</v>
      </c>
      <c r="M17" s="45">
        <f>M18</f>
        <v>50168</v>
      </c>
      <c r="N17" s="45"/>
      <c r="O17" s="45">
        <f>O18</f>
        <v>297</v>
      </c>
      <c r="P17" s="46">
        <f t="shared" si="9"/>
        <v>5.9201084356561955E-3</v>
      </c>
      <c r="Q17" s="49"/>
      <c r="R17" s="59"/>
      <c r="S17" s="47"/>
      <c r="T17" s="23"/>
      <c r="U17" s="23"/>
      <c r="V17" s="24"/>
      <c r="W17" s="23"/>
      <c r="X17" s="23"/>
      <c r="Y17" s="23"/>
      <c r="Z17" s="25"/>
      <c r="AA17" s="23"/>
      <c r="AB17" s="23"/>
      <c r="AC17" s="26"/>
      <c r="AD17" s="26"/>
      <c r="AE17" s="26"/>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row>
    <row r="18" spans="1:225" s="27" customFormat="1" ht="30" customHeight="1" x14ac:dyDescent="0.25">
      <c r="A18" s="60" t="s">
        <v>29</v>
      </c>
      <c r="B18" s="61" t="s">
        <v>32</v>
      </c>
      <c r="C18" s="62">
        <v>50168</v>
      </c>
      <c r="D18" s="62">
        <v>50168</v>
      </c>
      <c r="E18" s="62">
        <v>50168</v>
      </c>
      <c r="F18" s="62">
        <v>50168</v>
      </c>
      <c r="G18" s="62"/>
      <c r="H18" s="62"/>
      <c r="I18" s="62"/>
      <c r="J18" s="61"/>
      <c r="K18" s="62">
        <f t="shared" si="5"/>
        <v>50168</v>
      </c>
      <c r="L18" s="62">
        <f t="shared" si="6"/>
        <v>50168</v>
      </c>
      <c r="M18" s="62">
        <v>50168</v>
      </c>
      <c r="N18" s="62"/>
      <c r="O18" s="59">
        <v>297</v>
      </c>
      <c r="P18" s="46">
        <f t="shared" si="9"/>
        <v>5.9201084356561955E-3</v>
      </c>
      <c r="Q18" s="49"/>
      <c r="R18" s="59"/>
      <c r="S18" s="47"/>
      <c r="T18" s="23"/>
      <c r="U18" s="23"/>
      <c r="V18" s="24"/>
      <c r="W18" s="23"/>
      <c r="X18" s="23"/>
      <c r="Y18" s="23"/>
      <c r="Z18" s="25"/>
      <c r="AA18" s="23"/>
      <c r="AB18" s="23"/>
      <c r="AC18" s="26"/>
      <c r="AD18" s="26"/>
      <c r="AE18" s="26"/>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row>
    <row r="19" spans="1:225" s="72" customFormat="1" ht="34.5" customHeight="1" x14ac:dyDescent="0.25">
      <c r="A19" s="63" t="s">
        <v>39</v>
      </c>
      <c r="B19" s="64" t="s">
        <v>40</v>
      </c>
      <c r="C19" s="136">
        <v>5862000</v>
      </c>
      <c r="D19" s="136">
        <v>5568900</v>
      </c>
      <c r="E19" s="136">
        <f>E20+E24</f>
        <v>5914360</v>
      </c>
      <c r="F19" s="136">
        <f>F20+F24</f>
        <v>5621260</v>
      </c>
      <c r="G19" s="136"/>
      <c r="H19" s="136"/>
      <c r="I19" s="136"/>
      <c r="J19" s="64"/>
      <c r="K19" s="136">
        <f t="shared" si="5"/>
        <v>5862000</v>
      </c>
      <c r="L19" s="136">
        <f t="shared" si="6"/>
        <v>5568900</v>
      </c>
      <c r="M19" s="65">
        <v>6412188.2170000002</v>
      </c>
      <c r="N19" s="65">
        <v>906326</v>
      </c>
      <c r="O19" s="65">
        <v>1744792.9900819999</v>
      </c>
      <c r="P19" s="66">
        <f t="shared" si="9"/>
        <v>0.29764465883350388</v>
      </c>
      <c r="Q19" s="66">
        <f>O19/L19</f>
        <v>0.31331016719316201</v>
      </c>
      <c r="R19" s="65">
        <f>O19-N19</f>
        <v>838466.99008199992</v>
      </c>
      <c r="S19" s="67"/>
      <c r="T19" s="68"/>
      <c r="U19" s="69"/>
      <c r="V19" s="69"/>
      <c r="W19" s="69"/>
      <c r="X19" s="69" t="s">
        <v>41</v>
      </c>
      <c r="Y19" s="5" t="s">
        <v>42</v>
      </c>
      <c r="Z19" s="70">
        <f>O19-Z2</f>
        <v>-1205207.0099180001</v>
      </c>
      <c r="AA19" s="69"/>
      <c r="AB19" s="69"/>
      <c r="AC19" s="71"/>
      <c r="AD19" s="71"/>
      <c r="AE19" s="71"/>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row>
    <row r="20" spans="1:225" s="72" customFormat="1" ht="34.5" customHeight="1" x14ac:dyDescent="0.25">
      <c r="A20" s="83" t="s">
        <v>44</v>
      </c>
      <c r="B20" s="84" t="s">
        <v>45</v>
      </c>
      <c r="C20" s="45">
        <v>5862000</v>
      </c>
      <c r="D20" s="45">
        <v>5568900</v>
      </c>
      <c r="E20" s="45">
        <f>E21+E22+E23</f>
        <v>5914360</v>
      </c>
      <c r="F20" s="45">
        <f>F21+F22+F23</f>
        <v>5621260</v>
      </c>
      <c r="G20" s="45"/>
      <c r="H20" s="45"/>
      <c r="I20" s="45"/>
      <c r="J20" s="84"/>
      <c r="K20" s="45">
        <f t="shared" si="5"/>
        <v>5862000</v>
      </c>
      <c r="L20" s="45">
        <f t="shared" si="6"/>
        <v>5568900</v>
      </c>
      <c r="M20" s="85" t="e">
        <f>M21+M22+M23</f>
        <v>#REF!</v>
      </c>
      <c r="N20" s="85">
        <v>906326</v>
      </c>
      <c r="O20" s="85">
        <v>1473619.6743639996</v>
      </c>
      <c r="P20" s="86">
        <f>O20/K20</f>
        <v>0.25138513721664957</v>
      </c>
      <c r="Q20" s="86">
        <f>O20/L20</f>
        <v>0.26461593391226268</v>
      </c>
      <c r="R20" s="85">
        <f>O20-N20</f>
        <v>567293.67436399963</v>
      </c>
      <c r="S20" s="87"/>
      <c r="T20" s="88"/>
      <c r="U20" s="69"/>
      <c r="V20" s="69"/>
      <c r="W20" s="69"/>
      <c r="X20" s="69"/>
      <c r="Y20" s="5"/>
      <c r="Z20" s="70"/>
      <c r="AA20" s="69"/>
      <c r="AB20" s="69"/>
      <c r="AC20" s="89"/>
      <c r="AD20" s="89"/>
      <c r="AE20" s="8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row>
    <row r="21" spans="1:225" s="72" customFormat="1" ht="34.5" customHeight="1" x14ac:dyDescent="0.25">
      <c r="A21" s="83" t="s">
        <v>27</v>
      </c>
      <c r="B21" s="90" t="s">
        <v>46</v>
      </c>
      <c r="C21" s="45">
        <v>2950000</v>
      </c>
      <c r="D21" s="45">
        <v>2802500</v>
      </c>
      <c r="E21" s="45">
        <v>2950000</v>
      </c>
      <c r="F21" s="45">
        <v>2802500</v>
      </c>
      <c r="G21" s="45"/>
      <c r="H21" s="45"/>
      <c r="I21" s="45"/>
      <c r="J21" s="90"/>
      <c r="K21" s="45">
        <f t="shared" si="5"/>
        <v>2950000</v>
      </c>
      <c r="L21" s="45">
        <f t="shared" si="6"/>
        <v>2802500</v>
      </c>
      <c r="M21" s="85" t="e">
        <f>#REF!+#REF!</f>
        <v>#REF!</v>
      </c>
      <c r="N21" s="85">
        <v>602804.53846800001</v>
      </c>
      <c r="O21" s="85">
        <v>870194.58236399968</v>
      </c>
      <c r="P21" s="86">
        <f t="shared" ref="P21" si="10">O21/K21</f>
        <v>0.29498121436067787</v>
      </c>
      <c r="Q21" s="86">
        <f>O21/L21</f>
        <v>0.3105065414322925</v>
      </c>
      <c r="R21" s="85">
        <f>O21-N21</f>
        <v>267390.04389599967</v>
      </c>
      <c r="S21" s="87"/>
      <c r="T21" s="88"/>
      <c r="U21" s="69"/>
      <c r="V21" s="69"/>
      <c r="W21" s="69"/>
      <c r="X21" s="69"/>
      <c r="Y21" s="5"/>
      <c r="Z21" s="70"/>
      <c r="AA21" s="69"/>
      <c r="AB21" s="69"/>
      <c r="AC21" s="89"/>
      <c r="AD21" s="89"/>
      <c r="AE21" s="8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69"/>
      <c r="CG21" s="69"/>
      <c r="CH21" s="69"/>
      <c r="CI21" s="69"/>
      <c r="CJ21" s="69"/>
      <c r="CK21" s="69"/>
      <c r="CL21" s="69"/>
      <c r="CM21" s="69"/>
      <c r="CN21" s="69"/>
      <c r="CO21" s="69"/>
      <c r="CP21" s="69"/>
      <c r="CQ21" s="69"/>
      <c r="CR21" s="69"/>
      <c r="CS21" s="69"/>
      <c r="CT21" s="69"/>
      <c r="CU21" s="69"/>
      <c r="CV21" s="69"/>
      <c r="CW21" s="69"/>
      <c r="CX21" s="69"/>
      <c r="CY21" s="69"/>
      <c r="CZ21" s="69"/>
      <c r="DA21" s="69"/>
      <c r="DB21" s="69"/>
      <c r="DC21" s="69"/>
      <c r="DD21" s="69"/>
      <c r="DE21" s="69"/>
      <c r="DF21" s="69"/>
      <c r="DG21" s="69"/>
      <c r="DH21" s="69"/>
      <c r="DI21" s="69"/>
      <c r="DJ21" s="69"/>
      <c r="DK21" s="69"/>
      <c r="DL21" s="69"/>
      <c r="DM21" s="69"/>
      <c r="DN21" s="69"/>
      <c r="DO21" s="69"/>
      <c r="DP21" s="69"/>
      <c r="DQ21" s="69"/>
      <c r="DR21" s="69"/>
      <c r="DS21" s="69"/>
      <c r="DT21" s="69"/>
      <c r="DU21" s="69"/>
      <c r="DV21" s="69"/>
      <c r="DW21" s="69"/>
      <c r="DX21" s="69"/>
      <c r="DY21" s="69"/>
      <c r="DZ21" s="69"/>
      <c r="EA21" s="69"/>
      <c r="EB21" s="69"/>
      <c r="EC21" s="69"/>
      <c r="ED21" s="69"/>
      <c r="EE21" s="69"/>
      <c r="EF21" s="69"/>
      <c r="EG21" s="69"/>
      <c r="EH21" s="69"/>
      <c r="EI21" s="69"/>
      <c r="EJ21" s="69"/>
      <c r="EK21" s="69"/>
      <c r="EL21" s="69"/>
      <c r="EM21" s="69"/>
      <c r="EN21" s="69"/>
      <c r="EO21" s="69"/>
      <c r="EP21" s="69"/>
      <c r="EQ21" s="69"/>
      <c r="ER21" s="69"/>
      <c r="ES21" s="69"/>
      <c r="ET21" s="69"/>
      <c r="EU21" s="69"/>
      <c r="EV21" s="69"/>
      <c r="EW21" s="69"/>
      <c r="EX21" s="69"/>
      <c r="EY21" s="69"/>
      <c r="EZ21" s="69"/>
      <c r="FA21" s="69"/>
      <c r="FB21" s="69"/>
      <c r="FC21" s="69"/>
      <c r="FD21" s="69"/>
      <c r="FE21" s="69"/>
      <c r="FF21" s="69"/>
      <c r="FG21" s="69"/>
      <c r="FH21" s="69"/>
      <c r="FI21" s="69"/>
      <c r="FJ21" s="69"/>
      <c r="FK21" s="69"/>
      <c r="FL21" s="69"/>
      <c r="FM21" s="69"/>
      <c r="FN21" s="69"/>
      <c r="FO21" s="69"/>
      <c r="FP21" s="69"/>
      <c r="FQ21" s="69"/>
      <c r="FR21" s="69"/>
      <c r="FS21" s="69"/>
      <c r="FT21" s="69"/>
      <c r="FU21" s="69"/>
      <c r="FV21" s="69"/>
      <c r="FW21" s="69"/>
      <c r="FX21" s="69"/>
      <c r="FY21" s="69"/>
      <c r="FZ21" s="69"/>
      <c r="GA21" s="69"/>
      <c r="GB21" s="69"/>
      <c r="GC21" s="69"/>
      <c r="GD21" s="69"/>
      <c r="GE21" s="69"/>
      <c r="GF21" s="69"/>
      <c r="GG21" s="69"/>
      <c r="GH21" s="69"/>
      <c r="GI21" s="69"/>
      <c r="GJ21" s="69"/>
      <c r="GK21" s="69"/>
      <c r="GL21" s="69"/>
      <c r="GM21" s="69"/>
      <c r="GN21" s="69"/>
      <c r="GO21" s="69"/>
      <c r="GP21" s="69"/>
      <c r="GQ21" s="69"/>
      <c r="GR21" s="69"/>
      <c r="GS21" s="69"/>
      <c r="GT21" s="69"/>
      <c r="GU21" s="69"/>
      <c r="GV21" s="69"/>
      <c r="GW21" s="69"/>
      <c r="GX21" s="69"/>
      <c r="GY21" s="69"/>
      <c r="GZ21" s="69"/>
      <c r="HA21" s="69"/>
      <c r="HB21" s="69"/>
      <c r="HC21" s="69"/>
      <c r="HD21" s="69"/>
      <c r="HE21" s="69"/>
      <c r="HF21" s="69"/>
      <c r="HG21" s="69"/>
      <c r="HH21" s="69"/>
      <c r="HI21" s="69"/>
      <c r="HJ21" s="69"/>
      <c r="HK21" s="69"/>
      <c r="HL21" s="69"/>
      <c r="HM21" s="69"/>
      <c r="HN21" s="69"/>
      <c r="HO21" s="69"/>
      <c r="HP21" s="69"/>
      <c r="HQ21" s="69"/>
    </row>
    <row r="22" spans="1:225" s="95" customFormat="1" ht="75.599999999999994" customHeight="1" x14ac:dyDescent="0.25">
      <c r="A22" s="83" t="s">
        <v>37</v>
      </c>
      <c r="B22" s="84" t="s">
        <v>65</v>
      </c>
      <c r="C22" s="137">
        <v>2635000</v>
      </c>
      <c r="D22" s="137">
        <v>2503250</v>
      </c>
      <c r="E22" s="137">
        <v>2687360</v>
      </c>
      <c r="F22" s="137">
        <f>D22+52360</f>
        <v>2555610</v>
      </c>
      <c r="G22" s="137"/>
      <c r="H22" s="137"/>
      <c r="I22" s="137"/>
      <c r="J22" s="133"/>
      <c r="K22" s="137">
        <f t="shared" si="5"/>
        <v>2635000</v>
      </c>
      <c r="L22" s="137">
        <f t="shared" si="6"/>
        <v>2503250</v>
      </c>
      <c r="M22" s="121" t="e">
        <f>#REF!+#REF!</f>
        <v>#REF!</v>
      </c>
      <c r="N22" s="121">
        <v>219189</v>
      </c>
      <c r="O22" s="121">
        <v>515776</v>
      </c>
      <c r="P22" s="122">
        <f>O22/K22</f>
        <v>0.1957404174573055</v>
      </c>
      <c r="Q22" s="94">
        <f>O22/L22</f>
        <v>0.20604254469190053</v>
      </c>
      <c r="R22" s="121">
        <f t="shared" ref="R22:R24" si="11">O22-N22</f>
        <v>296587</v>
      </c>
      <c r="S22" s="139" t="s">
        <v>80</v>
      </c>
    </row>
    <row r="23" spans="1:225" s="95" customFormat="1" ht="24.6" customHeight="1" x14ac:dyDescent="0.25">
      <c r="A23" s="83" t="s">
        <v>67</v>
      </c>
      <c r="B23" s="84" t="s">
        <v>68</v>
      </c>
      <c r="C23" s="137">
        <v>277000</v>
      </c>
      <c r="D23" s="137">
        <v>263150</v>
      </c>
      <c r="E23" s="137">
        <v>277000</v>
      </c>
      <c r="F23" s="137">
        <v>263150</v>
      </c>
      <c r="G23" s="137"/>
      <c r="H23" s="137"/>
      <c r="I23" s="137"/>
      <c r="J23" s="133"/>
      <c r="K23" s="137">
        <f t="shared" si="5"/>
        <v>277000</v>
      </c>
      <c r="L23" s="137">
        <f t="shared" si="6"/>
        <v>263150</v>
      </c>
      <c r="M23" s="85" t="e">
        <f>#REF!</f>
        <v>#REF!</v>
      </c>
      <c r="N23" s="85">
        <v>84332.461532000001</v>
      </c>
      <c r="O23" s="85">
        <v>103355</v>
      </c>
      <c r="P23" s="122">
        <f>O23/K23</f>
        <v>0.37312274368231046</v>
      </c>
      <c r="Q23" s="94">
        <f>O23/L23</f>
        <v>0.3927607828234847</v>
      </c>
      <c r="R23" s="85">
        <f t="shared" si="11"/>
        <v>19022.538467999999</v>
      </c>
      <c r="S23" s="123"/>
    </row>
    <row r="24" spans="1:225" s="95" customFormat="1" ht="120.6" customHeight="1" x14ac:dyDescent="0.25">
      <c r="A24" s="83" t="s">
        <v>69</v>
      </c>
      <c r="B24" s="84" t="s">
        <v>70</v>
      </c>
      <c r="C24" s="133"/>
      <c r="D24" s="133"/>
      <c r="E24" s="133"/>
      <c r="F24" s="133"/>
      <c r="G24" s="133"/>
      <c r="H24" s="133"/>
      <c r="I24" s="133"/>
      <c r="J24" s="133"/>
      <c r="K24" s="133">
        <f t="shared" si="5"/>
        <v>0</v>
      </c>
      <c r="L24" s="133">
        <f t="shared" si="6"/>
        <v>0</v>
      </c>
      <c r="M24" s="121">
        <v>497828.21700000018</v>
      </c>
      <c r="N24" s="121">
        <v>0</v>
      </c>
      <c r="O24" s="121">
        <v>255467.40771800029</v>
      </c>
      <c r="P24" s="122">
        <f>O24/497828</f>
        <v>0.51316399985135486</v>
      </c>
      <c r="Q24" s="122"/>
      <c r="R24" s="121">
        <f t="shared" si="11"/>
        <v>255467.40771800029</v>
      </c>
      <c r="S24" s="139" t="s">
        <v>517</v>
      </c>
    </row>
    <row r="25" spans="1:225" s="77" customFormat="1" ht="6.6" customHeight="1" thickBot="1" x14ac:dyDescent="0.3">
      <c r="A25" s="73"/>
      <c r="B25" s="74"/>
      <c r="C25" s="74"/>
      <c r="D25" s="74"/>
      <c r="E25" s="74"/>
      <c r="F25" s="74"/>
      <c r="G25" s="74"/>
      <c r="H25" s="74"/>
      <c r="I25" s="74"/>
      <c r="J25" s="74"/>
      <c r="K25" s="74"/>
      <c r="L25" s="74"/>
      <c r="M25" s="74"/>
      <c r="N25" s="74"/>
      <c r="O25" s="75"/>
      <c r="P25" s="75"/>
      <c r="Q25" s="75"/>
      <c r="R25" s="75"/>
      <c r="S25" s="76"/>
    </row>
    <row r="26" spans="1:225" ht="19.5" thickTop="1" x14ac:dyDescent="0.25">
      <c r="L26" s="79"/>
      <c r="M26" s="79"/>
      <c r="N26" s="79"/>
      <c r="O26" s="79"/>
      <c r="P26" s="13"/>
    </row>
    <row r="27" spans="1:225" s="80" customFormat="1" ht="106.5" customHeight="1" x14ac:dyDescent="0.25">
      <c r="A27" s="449"/>
      <c r="B27" s="449"/>
      <c r="C27" s="449"/>
      <c r="D27" s="449"/>
      <c r="E27" s="449"/>
      <c r="F27" s="449"/>
      <c r="G27" s="449"/>
      <c r="H27" s="449"/>
      <c r="I27" s="449"/>
      <c r="J27" s="449"/>
      <c r="K27" s="449"/>
      <c r="L27" s="449"/>
      <c r="M27" s="449"/>
      <c r="N27" s="449"/>
      <c r="O27" s="449"/>
      <c r="P27" s="449"/>
      <c r="Q27" s="449"/>
      <c r="R27" s="449"/>
      <c r="S27" s="449"/>
    </row>
    <row r="28" spans="1:225" x14ac:dyDescent="0.25">
      <c r="P28" s="81"/>
    </row>
    <row r="29" spans="1:225" x14ac:dyDescent="0.25">
      <c r="B29" s="82"/>
      <c r="C29" s="134"/>
      <c r="D29" s="134"/>
      <c r="E29" s="134"/>
      <c r="F29" s="134"/>
      <c r="G29" s="134"/>
      <c r="H29" s="134"/>
      <c r="I29" s="134"/>
      <c r="J29" s="134"/>
      <c r="P29" s="81"/>
    </row>
    <row r="30" spans="1:225" x14ac:dyDescent="0.25">
      <c r="B30" s="82"/>
      <c r="C30" s="134"/>
      <c r="D30" s="134"/>
      <c r="E30" s="134"/>
      <c r="F30" s="134"/>
      <c r="G30" s="134"/>
      <c r="H30" s="134"/>
      <c r="I30" s="134"/>
      <c r="J30" s="134"/>
    </row>
    <row r="31" spans="1:225" x14ac:dyDescent="0.25">
      <c r="B31" s="82"/>
      <c r="C31" s="134"/>
      <c r="D31" s="134"/>
      <c r="E31" s="134"/>
      <c r="F31" s="134"/>
      <c r="G31" s="134"/>
      <c r="H31" s="134"/>
      <c r="I31" s="134"/>
      <c r="J31" s="134"/>
    </row>
  </sheetData>
  <mergeCells count="19">
    <mergeCell ref="A27:S27"/>
    <mergeCell ref="C6:C7"/>
    <mergeCell ref="D6:D7"/>
    <mergeCell ref="E6:E7"/>
    <mergeCell ref="G6:J6"/>
    <mergeCell ref="F6:F7"/>
    <mergeCell ref="A1:S1"/>
    <mergeCell ref="A2:S2"/>
    <mergeCell ref="A3:S3"/>
    <mergeCell ref="A5:S5"/>
    <mergeCell ref="A6:A7"/>
    <mergeCell ref="B6:B7"/>
    <mergeCell ref="K6:K7"/>
    <mergeCell ref="L6:L7"/>
    <mergeCell ref="M6:M7"/>
    <mergeCell ref="N6:N7"/>
    <mergeCell ref="O6:Q6"/>
    <mergeCell ref="R6:R7"/>
    <mergeCell ref="S6:S7"/>
  </mergeCells>
  <pageMargins left="0.7" right="0.7" top="0.75" bottom="0.75" header="0.3" footer="0.3"/>
  <pageSetup paperSize="9" scale="60"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I591"/>
  <sheetViews>
    <sheetView zoomScale="85" zoomScaleNormal="85" workbookViewId="0">
      <pane xSplit="3" ySplit="13" topLeftCell="D14" activePane="bottomRight" state="frozen"/>
      <selection activeCell="A7" sqref="A7"/>
      <selection pane="topRight" activeCell="D7" sqref="D7"/>
      <selection pane="bottomLeft" activeCell="A14" sqref="A14"/>
      <selection pane="bottomRight" activeCell="D21" sqref="D21"/>
    </sheetView>
  </sheetViews>
  <sheetFormatPr defaultColWidth="9.140625" defaultRowHeight="15.75" outlineLevelRow="1" outlineLevelCol="1" x14ac:dyDescent="0.25"/>
  <cols>
    <col min="1" max="1" width="4.28515625" style="143" customWidth="1"/>
    <col min="2" max="2" width="35.7109375" style="142" customWidth="1"/>
    <col min="3" max="3" width="10.140625" style="142" hidden="1" customWidth="1" outlineLevel="1"/>
    <col min="4" max="4" width="10.85546875" style="144" customWidth="1" collapsed="1"/>
    <col min="5" max="6" width="10.85546875" style="144" customWidth="1"/>
    <col min="7" max="7" width="11" style="144" customWidth="1"/>
    <col min="8" max="8" width="11.42578125" style="144" customWidth="1"/>
    <col min="9" max="9" width="10.5703125" style="396" hidden="1" customWidth="1" outlineLevel="1"/>
    <col min="10" max="10" width="9.5703125" style="396" hidden="1" customWidth="1" outlineLevel="1"/>
    <col min="11" max="11" width="9.28515625" style="144" customWidth="1" collapsed="1"/>
    <col min="12" max="12" width="7.7109375" style="396" hidden="1" customWidth="1" outlineLevel="1"/>
    <col min="13" max="13" width="9.42578125" style="144" hidden="1" customWidth="1" outlineLevel="1"/>
    <col min="14" max="14" width="8.85546875" style="396" hidden="1" customWidth="1" outlineLevel="1"/>
    <col min="15" max="15" width="10.7109375" style="144" hidden="1" customWidth="1" outlineLevel="1" collapsed="1"/>
    <col min="16" max="16" width="9.5703125" style="144" hidden="1" customWidth="1" collapsed="1"/>
    <col min="17" max="17" width="7.42578125" style="144" hidden="1" customWidth="1"/>
    <col min="18" max="18" width="11.28515625" style="144" hidden="1" customWidth="1"/>
    <col min="19" max="19" width="7.42578125" style="144" hidden="1" customWidth="1" outlineLevel="1"/>
    <col min="20" max="23" width="9.28515625" style="144" hidden="1" customWidth="1" outlineLevel="1"/>
    <col min="24" max="24" width="10.28515625" style="144" hidden="1" customWidth="1" outlineLevel="1"/>
    <col min="25" max="29" width="9.28515625" style="144" hidden="1" customWidth="1" outlineLevel="1"/>
    <col min="30" max="30" width="10.85546875" style="144" hidden="1" customWidth="1" outlineLevel="1"/>
    <col min="31" max="42" width="9.28515625" style="144" hidden="1" customWidth="1" outlineLevel="1"/>
    <col min="43" max="43" width="11.85546875" style="144" hidden="1" customWidth="1" outlineLevel="1"/>
    <col min="44" max="47" width="9.28515625" style="144" hidden="1" customWidth="1" outlineLevel="1"/>
    <col min="48" max="48" width="8.28515625" style="144" hidden="1" customWidth="1" outlineLevel="1"/>
    <col min="49" max="49" width="9.85546875" style="144" hidden="1" customWidth="1" outlineLevel="1"/>
    <col min="50" max="51" width="8.28515625" style="144" hidden="1" customWidth="1" outlineLevel="1"/>
    <col min="52" max="52" width="9.85546875" style="144" hidden="1" customWidth="1" outlineLevel="1"/>
    <col min="53" max="54" width="8.28515625" style="144" hidden="1" customWidth="1" outlineLevel="1"/>
    <col min="55" max="55" width="12.28515625" style="144" hidden="1" customWidth="1" outlineLevel="1"/>
    <col min="56" max="57" width="8.28515625" style="144" hidden="1" customWidth="1" outlineLevel="1"/>
    <col min="58" max="61" width="9.7109375" style="144" hidden="1" customWidth="1" outlineLevel="1"/>
    <col min="62" max="62" width="11.28515625" style="144" customWidth="1" outlineLevel="1"/>
    <col min="63" max="63" width="11.140625" style="397" customWidth="1"/>
    <col min="64" max="64" width="8.28515625" style="398" customWidth="1"/>
    <col min="65" max="65" width="10" style="398" customWidth="1"/>
    <col min="66" max="67" width="9.28515625" style="398" hidden="1" customWidth="1"/>
    <col min="68" max="68" width="9" style="397" hidden="1" customWidth="1"/>
    <col min="69" max="69" width="6.7109375" style="399" hidden="1" customWidth="1"/>
    <col min="70" max="70" width="10.28515625" style="400" hidden="1" customWidth="1"/>
    <col min="71" max="71" width="6.7109375" style="400" hidden="1" customWidth="1"/>
    <col min="72" max="72" width="9.140625" style="400" hidden="1" customWidth="1"/>
    <col min="73" max="73" width="8.140625" style="400" hidden="1" customWidth="1"/>
    <col min="74" max="74" width="11.42578125" style="400" hidden="1" customWidth="1"/>
    <col min="75" max="75" width="6.7109375" style="400" hidden="1" customWidth="1"/>
    <col min="76" max="76" width="11.7109375" style="400" hidden="1" customWidth="1"/>
    <col min="77" max="77" width="6.7109375" style="400" hidden="1" customWidth="1"/>
    <col min="78" max="78" width="11.7109375" style="400" hidden="1" customWidth="1"/>
    <col min="79" max="79" width="7.7109375" style="400" hidden="1" customWidth="1"/>
    <col min="80" max="80" width="11" style="400" hidden="1" customWidth="1"/>
    <col min="81" max="81" width="7.7109375" style="400" hidden="1" customWidth="1"/>
    <col min="82" max="82" width="11.140625" style="400" hidden="1" customWidth="1"/>
    <col min="83" max="83" width="7.7109375" style="400" hidden="1" customWidth="1"/>
    <col min="84" max="84" width="10.85546875" style="400" hidden="1" customWidth="1"/>
    <col min="85" max="85" width="7.7109375" style="400" hidden="1" customWidth="1"/>
    <col min="86" max="86" width="11" style="400" hidden="1" customWidth="1"/>
    <col min="87" max="87" width="7.7109375" style="400" hidden="1" customWidth="1"/>
    <col min="88" max="88" width="11" style="400" hidden="1" customWidth="1"/>
    <col min="89" max="89" width="8.7109375" style="400" hidden="1" customWidth="1"/>
    <col min="90" max="90" width="11" style="400" hidden="1" customWidth="1"/>
    <col min="91" max="91" width="8.7109375" style="400" hidden="1" customWidth="1"/>
    <col min="92" max="92" width="11" style="400" hidden="1" customWidth="1"/>
    <col min="93" max="93" width="7" style="400" hidden="1" customWidth="1"/>
    <col min="94" max="96" width="13.140625" style="143" customWidth="1"/>
    <col min="97" max="97" width="13.140625" style="143" hidden="1" customWidth="1"/>
    <col min="98" max="98" width="10.42578125" style="144" hidden="1" customWidth="1"/>
    <col min="99" max="99" width="11.28515625" style="141" hidden="1" customWidth="1"/>
    <col min="100" max="100" width="25.28515625" style="142" hidden="1" customWidth="1"/>
    <col min="101" max="101" width="9.140625" style="143" hidden="1" customWidth="1"/>
    <col min="102" max="102" width="11" style="143" hidden="1" customWidth="1"/>
    <col min="103" max="108" width="9.140625" style="144" hidden="1" customWidth="1"/>
    <col min="109" max="109" width="10.5703125" style="144" hidden="1" customWidth="1"/>
    <col min="110" max="110" width="9.140625" style="144" hidden="1" customWidth="1"/>
    <col min="111" max="111" width="15.42578125" style="144" customWidth="1"/>
    <col min="112" max="112" width="14.28515625" style="144" customWidth="1"/>
    <col min="113" max="16384" width="9.140625" style="144"/>
  </cols>
  <sheetData>
    <row r="1" spans="1:113" ht="18.75" x14ac:dyDescent="0.25">
      <c r="A1" s="457" t="s">
        <v>82</v>
      </c>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c r="AR1" s="457"/>
      <c r="AS1" s="457"/>
      <c r="AT1" s="457"/>
      <c r="AU1" s="457"/>
      <c r="AV1" s="457"/>
      <c r="AW1" s="457"/>
      <c r="AX1" s="457"/>
      <c r="AY1" s="457"/>
      <c r="AZ1" s="457"/>
      <c r="BA1" s="457"/>
      <c r="BB1" s="457"/>
      <c r="BC1" s="457"/>
      <c r="BD1" s="457"/>
      <c r="BE1" s="457"/>
      <c r="BF1" s="457"/>
      <c r="BG1" s="457"/>
      <c r="BH1" s="457"/>
      <c r="BI1" s="457"/>
      <c r="BJ1" s="457"/>
      <c r="BK1" s="457"/>
      <c r="BL1" s="457"/>
      <c r="BM1" s="457"/>
      <c r="BN1" s="457"/>
      <c r="BO1" s="457"/>
      <c r="BP1" s="457"/>
      <c r="BQ1" s="457"/>
      <c r="BR1" s="457"/>
      <c r="BS1" s="457"/>
      <c r="BT1" s="457"/>
      <c r="BU1" s="457"/>
      <c r="BV1" s="457"/>
      <c r="BW1" s="457"/>
      <c r="BX1" s="457"/>
      <c r="BY1" s="457"/>
      <c r="BZ1" s="457"/>
      <c r="CA1" s="457"/>
      <c r="CB1" s="457"/>
      <c r="CC1" s="457"/>
      <c r="CD1" s="457"/>
      <c r="CE1" s="457"/>
      <c r="CF1" s="457"/>
      <c r="CG1" s="457"/>
      <c r="CH1" s="457"/>
      <c r="CI1" s="457"/>
      <c r="CJ1" s="457"/>
      <c r="CK1" s="457"/>
      <c r="CL1" s="457"/>
      <c r="CM1" s="457"/>
      <c r="CN1" s="457"/>
      <c r="CO1" s="457"/>
      <c r="CP1" s="457"/>
      <c r="CQ1" s="457"/>
      <c r="CR1" s="457"/>
      <c r="CS1" s="457"/>
      <c r="CT1" s="457"/>
    </row>
    <row r="2" spans="1:113" ht="20.25" x14ac:dyDescent="0.25">
      <c r="A2" s="458" t="s">
        <v>6</v>
      </c>
      <c r="B2" s="458"/>
      <c r="C2" s="458"/>
      <c r="D2" s="458"/>
      <c r="E2" s="458"/>
      <c r="F2" s="458"/>
      <c r="G2" s="458"/>
      <c r="H2" s="458"/>
      <c r="I2" s="458"/>
      <c r="J2" s="458"/>
      <c r="K2" s="458"/>
      <c r="L2" s="458"/>
      <c r="M2" s="458"/>
      <c r="N2" s="458"/>
      <c r="O2" s="458"/>
      <c r="P2" s="458"/>
      <c r="Q2" s="458"/>
      <c r="R2" s="458"/>
      <c r="S2" s="458"/>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c r="BQ2" s="458"/>
      <c r="BR2" s="458"/>
      <c r="BS2" s="458"/>
      <c r="BT2" s="458"/>
      <c r="BU2" s="458"/>
      <c r="BV2" s="458"/>
      <c r="BW2" s="458"/>
      <c r="BX2" s="458"/>
      <c r="BY2" s="458"/>
      <c r="BZ2" s="458"/>
      <c r="CA2" s="458"/>
      <c r="CB2" s="458"/>
      <c r="CC2" s="458"/>
      <c r="CD2" s="458"/>
      <c r="CE2" s="458"/>
      <c r="CF2" s="458"/>
      <c r="CG2" s="458"/>
      <c r="CH2" s="458"/>
      <c r="CI2" s="458"/>
      <c r="CJ2" s="458"/>
      <c r="CK2" s="458"/>
      <c r="CL2" s="458"/>
      <c r="CM2" s="458"/>
      <c r="CN2" s="458"/>
      <c r="CO2" s="458"/>
      <c r="CP2" s="458"/>
      <c r="CQ2" s="458"/>
      <c r="CR2" s="458"/>
      <c r="CS2" s="458"/>
      <c r="CT2" s="458"/>
    </row>
    <row r="3" spans="1:113" ht="18.75" x14ac:dyDescent="0.25">
      <c r="A3" s="457" t="s">
        <v>83</v>
      </c>
      <c r="B3" s="457"/>
      <c r="C3" s="457"/>
      <c r="D3" s="457"/>
      <c r="E3" s="457"/>
      <c r="F3" s="457"/>
      <c r="G3" s="457"/>
      <c r="H3" s="457"/>
      <c r="I3" s="457"/>
      <c r="J3" s="457"/>
      <c r="K3" s="457"/>
      <c r="L3" s="457"/>
      <c r="M3" s="457"/>
      <c r="N3" s="457"/>
      <c r="O3" s="457"/>
      <c r="P3" s="457"/>
      <c r="Q3" s="457"/>
      <c r="R3" s="457"/>
      <c r="S3" s="457"/>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c r="BC3" s="457"/>
      <c r="BD3" s="457"/>
      <c r="BE3" s="457"/>
      <c r="BF3" s="457"/>
      <c r="BG3" s="457"/>
      <c r="BH3" s="457"/>
      <c r="BI3" s="457"/>
      <c r="BJ3" s="457"/>
      <c r="BK3" s="457"/>
      <c r="BL3" s="457"/>
      <c r="BM3" s="457"/>
      <c r="BN3" s="457"/>
      <c r="BO3" s="457"/>
      <c r="BP3" s="457"/>
      <c r="BQ3" s="457"/>
      <c r="BR3" s="457"/>
      <c r="BS3" s="457"/>
      <c r="BT3" s="457"/>
      <c r="BU3" s="457"/>
      <c r="BV3" s="457"/>
      <c r="BW3" s="457"/>
      <c r="BX3" s="457"/>
      <c r="BY3" s="457"/>
      <c r="BZ3" s="457"/>
      <c r="CA3" s="457"/>
      <c r="CB3" s="457"/>
      <c r="CC3" s="457"/>
      <c r="CD3" s="457"/>
      <c r="CE3" s="457"/>
      <c r="CF3" s="457"/>
      <c r="CG3" s="457"/>
      <c r="CH3" s="457"/>
      <c r="CI3" s="457"/>
      <c r="CJ3" s="457"/>
      <c r="CK3" s="457"/>
      <c r="CL3" s="457"/>
      <c r="CM3" s="457"/>
      <c r="CN3" s="457"/>
      <c r="CO3" s="457"/>
      <c r="CP3" s="457"/>
      <c r="CQ3" s="457"/>
      <c r="CR3" s="457"/>
      <c r="CS3" s="457"/>
      <c r="CT3" s="457"/>
      <c r="DC3" s="144">
        <f>96+14</f>
        <v>110</v>
      </c>
    </row>
    <row r="4" spans="1:113" ht="18.75" x14ac:dyDescent="0.25">
      <c r="A4" s="459" t="s">
        <v>537</v>
      </c>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59"/>
      <c r="CM4" s="459"/>
      <c r="CN4" s="459"/>
      <c r="CO4" s="459"/>
      <c r="CP4" s="459"/>
      <c r="CQ4" s="459"/>
      <c r="CR4" s="459"/>
      <c r="CS4" s="459"/>
      <c r="CT4" s="459"/>
      <c r="DA4" s="144">
        <v>33</v>
      </c>
      <c r="DB4" s="144">
        <v>38</v>
      </c>
    </row>
    <row r="5" spans="1:113" ht="13.15" customHeight="1" x14ac:dyDescent="0.25">
      <c r="A5" s="460" t="s">
        <v>84</v>
      </c>
      <c r="B5" s="460"/>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row>
    <row r="6" spans="1:113" ht="9.6" customHeight="1" x14ac:dyDescent="0.25">
      <c r="A6" s="145"/>
      <c r="B6" s="146"/>
      <c r="C6" s="146"/>
      <c r="D6" s="145"/>
      <c r="E6" s="145"/>
      <c r="F6" s="147"/>
      <c r="G6" s="148"/>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9"/>
      <c r="BL6" s="150"/>
      <c r="BM6" s="150"/>
      <c r="BN6" s="150"/>
      <c r="BO6" s="150"/>
      <c r="BP6" s="149"/>
      <c r="BQ6" s="151"/>
      <c r="BR6" s="145"/>
      <c r="BS6" s="145"/>
      <c r="BT6" s="145"/>
      <c r="BU6" s="145"/>
      <c r="BV6" s="145"/>
      <c r="BW6" s="145"/>
      <c r="BX6" s="145"/>
      <c r="BY6" s="145"/>
      <c r="BZ6" s="145"/>
      <c r="CA6" s="145"/>
      <c r="CB6" s="145"/>
      <c r="CC6" s="145"/>
      <c r="CD6" s="145"/>
      <c r="CE6" s="145"/>
      <c r="CF6" s="145"/>
      <c r="CG6" s="145"/>
      <c r="CH6" s="145"/>
      <c r="CI6" s="145"/>
      <c r="CJ6" s="145"/>
      <c r="CK6" s="145"/>
      <c r="CL6" s="145"/>
      <c r="CM6" s="145"/>
      <c r="CN6" s="145"/>
      <c r="CO6" s="145"/>
      <c r="CP6" s="152"/>
      <c r="CQ6" s="152"/>
      <c r="CR6" s="152"/>
      <c r="CS6" s="152"/>
      <c r="CT6" s="145"/>
    </row>
    <row r="7" spans="1:113" s="160" customFormat="1" ht="20.25" customHeight="1" x14ac:dyDescent="0.25">
      <c r="A7" s="461" t="s">
        <v>85</v>
      </c>
      <c r="B7" s="461" t="s">
        <v>86</v>
      </c>
      <c r="C7" s="462" t="s">
        <v>87</v>
      </c>
      <c r="D7" s="461" t="s">
        <v>88</v>
      </c>
      <c r="E7" s="461"/>
      <c r="F7" s="461"/>
      <c r="G7" s="461"/>
      <c r="H7" s="461"/>
      <c r="I7" s="461"/>
      <c r="J7" s="461"/>
      <c r="K7" s="461"/>
      <c r="L7" s="461"/>
      <c r="M7" s="461"/>
      <c r="N7" s="461"/>
      <c r="O7" s="462" t="s">
        <v>89</v>
      </c>
      <c r="P7" s="465" t="s">
        <v>90</v>
      </c>
      <c r="Q7" s="468" t="s">
        <v>91</v>
      </c>
      <c r="R7" s="461" t="s">
        <v>92</v>
      </c>
      <c r="S7" s="461"/>
      <c r="T7" s="461"/>
      <c r="U7" s="471" t="s">
        <v>93</v>
      </c>
      <c r="V7" s="471"/>
      <c r="W7" s="471"/>
      <c r="X7" s="471" t="s">
        <v>94</v>
      </c>
      <c r="Y7" s="471"/>
      <c r="Z7" s="471"/>
      <c r="AA7" s="471" t="s">
        <v>95</v>
      </c>
      <c r="AB7" s="471"/>
      <c r="AC7" s="471"/>
      <c r="AD7" s="471" t="s">
        <v>96</v>
      </c>
      <c r="AE7" s="471"/>
      <c r="AF7" s="471"/>
      <c r="AG7" s="471" t="s">
        <v>97</v>
      </c>
      <c r="AH7" s="471"/>
      <c r="AI7" s="471"/>
      <c r="AJ7" s="471" t="s">
        <v>98</v>
      </c>
      <c r="AK7" s="471"/>
      <c r="AL7" s="471"/>
      <c r="AM7" s="471" t="s">
        <v>99</v>
      </c>
      <c r="AN7" s="471"/>
      <c r="AO7" s="471"/>
      <c r="AP7" s="153"/>
      <c r="AQ7" s="461" t="s">
        <v>100</v>
      </c>
      <c r="AR7" s="461"/>
      <c r="AS7" s="461"/>
      <c r="AT7" s="461" t="s">
        <v>101</v>
      </c>
      <c r="AU7" s="461"/>
      <c r="AV7" s="461"/>
      <c r="AW7" s="461" t="s">
        <v>102</v>
      </c>
      <c r="AX7" s="461"/>
      <c r="AY7" s="461"/>
      <c r="AZ7" s="461" t="s">
        <v>103</v>
      </c>
      <c r="BA7" s="461"/>
      <c r="BB7" s="461"/>
      <c r="BC7" s="484" t="s">
        <v>104</v>
      </c>
      <c r="BD7" s="485"/>
      <c r="BE7" s="486"/>
      <c r="BF7" s="154"/>
      <c r="BG7" s="465" t="s">
        <v>105</v>
      </c>
      <c r="BH7" s="474"/>
      <c r="BI7" s="468"/>
      <c r="BJ7" s="462" t="s">
        <v>516</v>
      </c>
      <c r="BK7" s="465" t="s">
        <v>521</v>
      </c>
      <c r="BL7" s="474"/>
      <c r="BM7" s="468"/>
      <c r="BN7" s="462" t="s">
        <v>107</v>
      </c>
      <c r="BO7" s="155"/>
      <c r="BP7" s="480" t="s">
        <v>108</v>
      </c>
      <c r="BQ7" s="481"/>
      <c r="BR7" s="481"/>
      <c r="BS7" s="482"/>
      <c r="BT7" s="465" t="s">
        <v>109</v>
      </c>
      <c r="BU7" s="468"/>
      <c r="BV7" s="465" t="s">
        <v>110</v>
      </c>
      <c r="BW7" s="468"/>
      <c r="BX7" s="156"/>
      <c r="BY7" s="156"/>
      <c r="BZ7" s="156"/>
      <c r="CA7" s="156"/>
      <c r="CB7" s="156"/>
      <c r="CC7" s="156"/>
      <c r="CD7" s="156"/>
      <c r="CE7" s="156"/>
      <c r="CF7" s="156"/>
      <c r="CG7" s="156"/>
      <c r="CH7" s="156"/>
      <c r="CI7" s="156"/>
      <c r="CJ7" s="156"/>
      <c r="CK7" s="156"/>
      <c r="CL7" s="156"/>
      <c r="CM7" s="156"/>
      <c r="CN7" s="156"/>
      <c r="CO7" s="157"/>
      <c r="CP7" s="462" t="s">
        <v>523</v>
      </c>
      <c r="CQ7" s="462" t="s">
        <v>522</v>
      </c>
      <c r="CR7" s="405"/>
      <c r="CS7" s="462" t="s">
        <v>111</v>
      </c>
      <c r="CT7" s="461" t="s">
        <v>17</v>
      </c>
      <c r="CU7" s="158"/>
      <c r="CV7" s="478" t="s">
        <v>112</v>
      </c>
      <c r="CW7" s="461" t="s">
        <v>113</v>
      </c>
      <c r="CX7" s="461" t="s">
        <v>114</v>
      </c>
      <c r="CY7" s="461" t="s">
        <v>115</v>
      </c>
      <c r="CZ7" s="159"/>
      <c r="DA7" s="479" t="s">
        <v>116</v>
      </c>
      <c r="DB7" s="479"/>
      <c r="DC7" s="479"/>
      <c r="DE7" s="477" t="s">
        <v>117</v>
      </c>
      <c r="DF7" s="477" t="s">
        <v>118</v>
      </c>
    </row>
    <row r="8" spans="1:113" s="165" customFormat="1" ht="11.45" customHeight="1" x14ac:dyDescent="0.25">
      <c r="A8" s="461"/>
      <c r="B8" s="461"/>
      <c r="C8" s="463"/>
      <c r="D8" s="461"/>
      <c r="E8" s="461"/>
      <c r="F8" s="461"/>
      <c r="G8" s="461"/>
      <c r="H8" s="461"/>
      <c r="I8" s="461"/>
      <c r="J8" s="461"/>
      <c r="K8" s="461"/>
      <c r="L8" s="461"/>
      <c r="M8" s="461"/>
      <c r="N8" s="461"/>
      <c r="O8" s="463"/>
      <c r="P8" s="466"/>
      <c r="Q8" s="469"/>
      <c r="R8" s="461"/>
      <c r="S8" s="461"/>
      <c r="T8" s="461"/>
      <c r="U8" s="471"/>
      <c r="V8" s="471"/>
      <c r="W8" s="471"/>
      <c r="X8" s="471"/>
      <c r="Y8" s="471"/>
      <c r="Z8" s="471"/>
      <c r="AA8" s="471"/>
      <c r="AB8" s="471"/>
      <c r="AC8" s="471"/>
      <c r="AD8" s="471"/>
      <c r="AE8" s="471"/>
      <c r="AF8" s="471"/>
      <c r="AG8" s="471"/>
      <c r="AH8" s="471"/>
      <c r="AI8" s="471"/>
      <c r="AJ8" s="471"/>
      <c r="AK8" s="471"/>
      <c r="AL8" s="471"/>
      <c r="AM8" s="471"/>
      <c r="AN8" s="471"/>
      <c r="AO8" s="471"/>
      <c r="AP8" s="153"/>
      <c r="AQ8" s="461"/>
      <c r="AR8" s="461"/>
      <c r="AS8" s="461"/>
      <c r="AT8" s="461"/>
      <c r="AU8" s="461"/>
      <c r="AV8" s="461"/>
      <c r="AW8" s="461"/>
      <c r="AX8" s="461"/>
      <c r="AY8" s="461"/>
      <c r="AZ8" s="461"/>
      <c r="BA8" s="461"/>
      <c r="BB8" s="461"/>
      <c r="BC8" s="487"/>
      <c r="BD8" s="488"/>
      <c r="BE8" s="489"/>
      <c r="BF8" s="161"/>
      <c r="BG8" s="466"/>
      <c r="BH8" s="475"/>
      <c r="BI8" s="469"/>
      <c r="BJ8" s="463"/>
      <c r="BK8" s="466"/>
      <c r="BL8" s="475"/>
      <c r="BM8" s="469"/>
      <c r="BN8" s="463"/>
      <c r="BO8" s="162"/>
      <c r="BP8" s="461" t="s">
        <v>119</v>
      </c>
      <c r="BQ8" s="461"/>
      <c r="BR8" s="461" t="s">
        <v>120</v>
      </c>
      <c r="BS8" s="461"/>
      <c r="BT8" s="466"/>
      <c r="BU8" s="469"/>
      <c r="BV8" s="466"/>
      <c r="BW8" s="469"/>
      <c r="BX8" s="461" t="s">
        <v>121</v>
      </c>
      <c r="BY8" s="461"/>
      <c r="BZ8" s="461" t="s">
        <v>122</v>
      </c>
      <c r="CA8" s="461"/>
      <c r="CB8" s="461" t="s">
        <v>123</v>
      </c>
      <c r="CC8" s="461"/>
      <c r="CD8" s="461" t="s">
        <v>124</v>
      </c>
      <c r="CE8" s="461"/>
      <c r="CF8" s="461" t="s">
        <v>125</v>
      </c>
      <c r="CG8" s="461"/>
      <c r="CH8" s="461" t="s">
        <v>126</v>
      </c>
      <c r="CI8" s="461"/>
      <c r="CJ8" s="461" t="s">
        <v>127</v>
      </c>
      <c r="CK8" s="461"/>
      <c r="CL8" s="461" t="s">
        <v>128</v>
      </c>
      <c r="CM8" s="461"/>
      <c r="CN8" s="461" t="s">
        <v>129</v>
      </c>
      <c r="CO8" s="461"/>
      <c r="CP8" s="463"/>
      <c r="CQ8" s="463"/>
      <c r="CR8" s="162"/>
      <c r="CS8" s="463"/>
      <c r="CT8" s="461"/>
      <c r="CU8" s="163"/>
      <c r="CV8" s="478"/>
      <c r="CW8" s="461"/>
      <c r="CX8" s="461"/>
      <c r="CY8" s="461"/>
      <c r="CZ8" s="159"/>
      <c r="DA8" s="479"/>
      <c r="DB8" s="479"/>
      <c r="DC8" s="479"/>
      <c r="DD8" s="164"/>
      <c r="DE8" s="477"/>
      <c r="DF8" s="477"/>
    </row>
    <row r="9" spans="1:113" s="165" customFormat="1" ht="17.45" customHeight="1" x14ac:dyDescent="0.25">
      <c r="A9" s="461"/>
      <c r="B9" s="461"/>
      <c r="C9" s="463"/>
      <c r="D9" s="461" t="s">
        <v>130</v>
      </c>
      <c r="E9" s="461" t="s">
        <v>131</v>
      </c>
      <c r="F9" s="461"/>
      <c r="G9" s="461"/>
      <c r="H9" s="461"/>
      <c r="I9" s="461"/>
      <c r="J9" s="461"/>
      <c r="K9" s="461"/>
      <c r="L9" s="461"/>
      <c r="M9" s="461"/>
      <c r="N9" s="461"/>
      <c r="O9" s="463"/>
      <c r="P9" s="466"/>
      <c r="Q9" s="469"/>
      <c r="R9" s="461"/>
      <c r="S9" s="461"/>
      <c r="T9" s="461"/>
      <c r="U9" s="471"/>
      <c r="V9" s="471"/>
      <c r="W9" s="471"/>
      <c r="X9" s="471"/>
      <c r="Y9" s="471"/>
      <c r="Z9" s="471"/>
      <c r="AA9" s="471"/>
      <c r="AB9" s="471"/>
      <c r="AC9" s="471"/>
      <c r="AD9" s="471"/>
      <c r="AE9" s="471"/>
      <c r="AF9" s="471"/>
      <c r="AG9" s="471"/>
      <c r="AH9" s="471"/>
      <c r="AI9" s="471"/>
      <c r="AJ9" s="471"/>
      <c r="AK9" s="471"/>
      <c r="AL9" s="471"/>
      <c r="AM9" s="471"/>
      <c r="AN9" s="471"/>
      <c r="AO9" s="471"/>
      <c r="AP9" s="153"/>
      <c r="AQ9" s="461"/>
      <c r="AR9" s="461"/>
      <c r="AS9" s="461"/>
      <c r="AT9" s="461"/>
      <c r="AU9" s="461"/>
      <c r="AV9" s="461"/>
      <c r="AW9" s="461"/>
      <c r="AX9" s="461"/>
      <c r="AY9" s="461"/>
      <c r="AZ9" s="461"/>
      <c r="BA9" s="461"/>
      <c r="BB9" s="461"/>
      <c r="BC9" s="487"/>
      <c r="BD9" s="488"/>
      <c r="BE9" s="489"/>
      <c r="BF9" s="161"/>
      <c r="BG9" s="466"/>
      <c r="BH9" s="475"/>
      <c r="BI9" s="469"/>
      <c r="BJ9" s="463"/>
      <c r="BK9" s="466"/>
      <c r="BL9" s="475"/>
      <c r="BM9" s="469"/>
      <c r="BN9" s="463"/>
      <c r="BO9" s="162"/>
      <c r="BP9" s="461"/>
      <c r="BQ9" s="461"/>
      <c r="BR9" s="461"/>
      <c r="BS9" s="461"/>
      <c r="BT9" s="466"/>
      <c r="BU9" s="469"/>
      <c r="BV9" s="466"/>
      <c r="BW9" s="469"/>
      <c r="BX9" s="461"/>
      <c r="BY9" s="461"/>
      <c r="BZ9" s="461"/>
      <c r="CA9" s="461"/>
      <c r="CB9" s="461"/>
      <c r="CC9" s="461"/>
      <c r="CD9" s="461"/>
      <c r="CE9" s="461"/>
      <c r="CF9" s="461"/>
      <c r="CG9" s="461"/>
      <c r="CH9" s="461"/>
      <c r="CI9" s="461"/>
      <c r="CJ9" s="461"/>
      <c r="CK9" s="461"/>
      <c r="CL9" s="461"/>
      <c r="CM9" s="461"/>
      <c r="CN9" s="461"/>
      <c r="CO9" s="461"/>
      <c r="CP9" s="463"/>
      <c r="CQ9" s="463"/>
      <c r="CR9" s="162"/>
      <c r="CS9" s="463"/>
      <c r="CT9" s="461"/>
      <c r="CU9" s="483" t="s">
        <v>132</v>
      </c>
      <c r="CV9" s="478"/>
      <c r="CW9" s="461"/>
      <c r="CX9" s="461"/>
      <c r="CY9" s="461"/>
      <c r="CZ9" s="159"/>
      <c r="DA9" s="479"/>
      <c r="DB9" s="479"/>
      <c r="DC9" s="479"/>
      <c r="DD9" s="166"/>
      <c r="DE9" s="477"/>
      <c r="DF9" s="477"/>
    </row>
    <row r="10" spans="1:113" s="165" customFormat="1" ht="20.25" customHeight="1" x14ac:dyDescent="0.25">
      <c r="A10" s="461"/>
      <c r="B10" s="461"/>
      <c r="C10" s="463"/>
      <c r="D10" s="461"/>
      <c r="E10" s="461" t="s">
        <v>133</v>
      </c>
      <c r="F10" s="461" t="s">
        <v>134</v>
      </c>
      <c r="G10" s="461" t="s">
        <v>135</v>
      </c>
      <c r="H10" s="461"/>
      <c r="I10" s="461"/>
      <c r="J10" s="461"/>
      <c r="K10" s="461"/>
      <c r="L10" s="461"/>
      <c r="M10" s="461"/>
      <c r="N10" s="461"/>
      <c r="O10" s="463"/>
      <c r="P10" s="466"/>
      <c r="Q10" s="469"/>
      <c r="R10" s="461"/>
      <c r="S10" s="461"/>
      <c r="T10" s="461"/>
      <c r="U10" s="471"/>
      <c r="V10" s="471"/>
      <c r="W10" s="471"/>
      <c r="X10" s="471"/>
      <c r="Y10" s="471"/>
      <c r="Z10" s="471"/>
      <c r="AA10" s="471"/>
      <c r="AB10" s="471"/>
      <c r="AC10" s="471"/>
      <c r="AD10" s="471"/>
      <c r="AE10" s="471"/>
      <c r="AF10" s="471"/>
      <c r="AG10" s="471"/>
      <c r="AH10" s="471"/>
      <c r="AI10" s="471"/>
      <c r="AJ10" s="471"/>
      <c r="AK10" s="471"/>
      <c r="AL10" s="471"/>
      <c r="AM10" s="471"/>
      <c r="AN10" s="471"/>
      <c r="AO10" s="471"/>
      <c r="AP10" s="153"/>
      <c r="AQ10" s="461"/>
      <c r="AR10" s="461"/>
      <c r="AS10" s="461"/>
      <c r="AT10" s="461"/>
      <c r="AU10" s="461"/>
      <c r="AV10" s="461"/>
      <c r="AW10" s="461"/>
      <c r="AX10" s="461"/>
      <c r="AY10" s="461"/>
      <c r="AZ10" s="461"/>
      <c r="BA10" s="461"/>
      <c r="BB10" s="461"/>
      <c r="BC10" s="490"/>
      <c r="BD10" s="491"/>
      <c r="BE10" s="492"/>
      <c r="BF10" s="167"/>
      <c r="BG10" s="467"/>
      <c r="BH10" s="476"/>
      <c r="BI10" s="470"/>
      <c r="BJ10" s="463"/>
      <c r="BK10" s="467"/>
      <c r="BL10" s="476"/>
      <c r="BM10" s="470"/>
      <c r="BN10" s="463"/>
      <c r="BO10" s="162"/>
      <c r="BP10" s="461"/>
      <c r="BQ10" s="461"/>
      <c r="BR10" s="461"/>
      <c r="BS10" s="461"/>
      <c r="BT10" s="467"/>
      <c r="BU10" s="470"/>
      <c r="BV10" s="467"/>
      <c r="BW10" s="470"/>
      <c r="BX10" s="461"/>
      <c r="BY10" s="461"/>
      <c r="BZ10" s="461"/>
      <c r="CA10" s="461"/>
      <c r="CB10" s="461"/>
      <c r="CC10" s="461"/>
      <c r="CD10" s="461"/>
      <c r="CE10" s="461"/>
      <c r="CF10" s="461"/>
      <c r="CG10" s="461"/>
      <c r="CH10" s="461"/>
      <c r="CI10" s="461"/>
      <c r="CJ10" s="461"/>
      <c r="CK10" s="461"/>
      <c r="CL10" s="461"/>
      <c r="CM10" s="461"/>
      <c r="CN10" s="461"/>
      <c r="CO10" s="461"/>
      <c r="CP10" s="463"/>
      <c r="CQ10" s="463"/>
      <c r="CR10" s="162"/>
      <c r="CS10" s="463"/>
      <c r="CT10" s="461"/>
      <c r="CU10" s="483"/>
      <c r="CV10" s="478"/>
      <c r="CW10" s="461"/>
      <c r="CX10" s="461"/>
      <c r="CY10" s="461"/>
      <c r="CZ10" s="159"/>
      <c r="DA10" s="465" t="s">
        <v>136</v>
      </c>
      <c r="DB10" s="468"/>
      <c r="DC10" s="461" t="s">
        <v>137</v>
      </c>
      <c r="DE10" s="477"/>
      <c r="DF10" s="477"/>
    </row>
    <row r="11" spans="1:113" s="165" customFormat="1" ht="20.25" customHeight="1" x14ac:dyDescent="0.25">
      <c r="A11" s="461"/>
      <c r="B11" s="461"/>
      <c r="C11" s="463"/>
      <c r="D11" s="461"/>
      <c r="E11" s="461"/>
      <c r="F11" s="461"/>
      <c r="G11" s="461" t="s">
        <v>7</v>
      </c>
      <c r="H11" s="461" t="s">
        <v>138</v>
      </c>
      <c r="I11" s="461" t="s">
        <v>139</v>
      </c>
      <c r="J11" s="168"/>
      <c r="K11" s="461" t="s">
        <v>9</v>
      </c>
      <c r="L11" s="461" t="s">
        <v>140</v>
      </c>
      <c r="M11" s="462" t="s">
        <v>141</v>
      </c>
      <c r="N11" s="462" t="s">
        <v>142</v>
      </c>
      <c r="O11" s="463"/>
      <c r="P11" s="466"/>
      <c r="Q11" s="469"/>
      <c r="R11" s="472" t="s">
        <v>18</v>
      </c>
      <c r="S11" s="473" t="s">
        <v>143</v>
      </c>
      <c r="T11" s="473" t="s">
        <v>144</v>
      </c>
      <c r="U11" s="472" t="s">
        <v>18</v>
      </c>
      <c r="V11" s="473" t="s">
        <v>143</v>
      </c>
      <c r="W11" s="473" t="s">
        <v>144</v>
      </c>
      <c r="X11" s="472" t="s">
        <v>18</v>
      </c>
      <c r="Y11" s="473" t="s">
        <v>143</v>
      </c>
      <c r="Z11" s="473" t="s">
        <v>144</v>
      </c>
      <c r="AA11" s="472" t="s">
        <v>18</v>
      </c>
      <c r="AB11" s="473" t="s">
        <v>143</v>
      </c>
      <c r="AC11" s="473" t="s">
        <v>144</v>
      </c>
      <c r="AD11" s="472" t="s">
        <v>18</v>
      </c>
      <c r="AE11" s="473" t="s">
        <v>143</v>
      </c>
      <c r="AF11" s="473" t="s">
        <v>144</v>
      </c>
      <c r="AG11" s="493" t="s">
        <v>18</v>
      </c>
      <c r="AH11" s="473" t="s">
        <v>143</v>
      </c>
      <c r="AI11" s="473" t="s">
        <v>144</v>
      </c>
      <c r="AJ11" s="493" t="s">
        <v>18</v>
      </c>
      <c r="AK11" s="473" t="s">
        <v>143</v>
      </c>
      <c r="AL11" s="473" t="s">
        <v>144</v>
      </c>
      <c r="AM11" s="493" t="s">
        <v>18</v>
      </c>
      <c r="AN11" s="473" t="s">
        <v>143</v>
      </c>
      <c r="AO11" s="473" t="s">
        <v>144</v>
      </c>
      <c r="AP11" s="169"/>
      <c r="AQ11" s="472" t="s">
        <v>18</v>
      </c>
      <c r="AR11" s="473" t="s">
        <v>143</v>
      </c>
      <c r="AS11" s="473" t="s">
        <v>144</v>
      </c>
      <c r="AT11" s="472" t="s">
        <v>18</v>
      </c>
      <c r="AU11" s="473" t="s">
        <v>143</v>
      </c>
      <c r="AV11" s="473" t="s">
        <v>144</v>
      </c>
      <c r="AW11" s="472" t="s">
        <v>18</v>
      </c>
      <c r="AX11" s="473" t="s">
        <v>143</v>
      </c>
      <c r="AY11" s="473" t="s">
        <v>144</v>
      </c>
      <c r="AZ11" s="472" t="s">
        <v>18</v>
      </c>
      <c r="BA11" s="473" t="s">
        <v>143</v>
      </c>
      <c r="BB11" s="473" t="s">
        <v>144</v>
      </c>
      <c r="BC11" s="497" t="s">
        <v>18</v>
      </c>
      <c r="BD11" s="494" t="s">
        <v>143</v>
      </c>
      <c r="BE11" s="494" t="s">
        <v>144</v>
      </c>
      <c r="BF11" s="170"/>
      <c r="BG11" s="497" t="s">
        <v>18</v>
      </c>
      <c r="BH11" s="494" t="s">
        <v>143</v>
      </c>
      <c r="BI11" s="494" t="s">
        <v>144</v>
      </c>
      <c r="BJ11" s="463"/>
      <c r="BK11" s="497" t="s">
        <v>18</v>
      </c>
      <c r="BL11" s="494" t="s">
        <v>143</v>
      </c>
      <c r="BM11" s="494" t="s">
        <v>144</v>
      </c>
      <c r="BN11" s="463"/>
      <c r="BO11" s="162"/>
      <c r="BP11" s="500" t="s">
        <v>18</v>
      </c>
      <c r="BQ11" s="501" t="s">
        <v>145</v>
      </c>
      <c r="BR11" s="461" t="s">
        <v>18</v>
      </c>
      <c r="BS11" s="461" t="s">
        <v>145</v>
      </c>
      <c r="BT11" s="461" t="s">
        <v>18</v>
      </c>
      <c r="BU11" s="461" t="s">
        <v>145</v>
      </c>
      <c r="BV11" s="461" t="s">
        <v>18</v>
      </c>
      <c r="BW11" s="461" t="s">
        <v>145</v>
      </c>
      <c r="BX11" s="461" t="s">
        <v>18</v>
      </c>
      <c r="BY11" s="461" t="s">
        <v>145</v>
      </c>
      <c r="BZ11" s="461" t="s">
        <v>18</v>
      </c>
      <c r="CA11" s="461" t="s">
        <v>145</v>
      </c>
      <c r="CB11" s="461" t="s">
        <v>18</v>
      </c>
      <c r="CC11" s="461" t="s">
        <v>145</v>
      </c>
      <c r="CD11" s="461" t="s">
        <v>18</v>
      </c>
      <c r="CE11" s="461" t="s">
        <v>145</v>
      </c>
      <c r="CF11" s="461" t="s">
        <v>18</v>
      </c>
      <c r="CG11" s="461" t="s">
        <v>145</v>
      </c>
      <c r="CH11" s="461" t="s">
        <v>18</v>
      </c>
      <c r="CI11" s="461" t="s">
        <v>145</v>
      </c>
      <c r="CJ11" s="461" t="s">
        <v>18</v>
      </c>
      <c r="CK11" s="461" t="s">
        <v>145</v>
      </c>
      <c r="CL11" s="461" t="s">
        <v>18</v>
      </c>
      <c r="CM11" s="461" t="s">
        <v>145</v>
      </c>
      <c r="CN11" s="461" t="s">
        <v>18</v>
      </c>
      <c r="CO11" s="461" t="s">
        <v>145</v>
      </c>
      <c r="CP11" s="463"/>
      <c r="CQ11" s="463"/>
      <c r="CR11" s="162"/>
      <c r="CS11" s="463"/>
      <c r="CT11" s="461"/>
      <c r="CU11" s="483"/>
      <c r="CV11" s="478"/>
      <c r="CW11" s="461"/>
      <c r="CX11" s="461"/>
      <c r="CY11" s="461"/>
      <c r="CZ11" s="159"/>
      <c r="DA11" s="467"/>
      <c r="DB11" s="470"/>
      <c r="DC11" s="461"/>
      <c r="DE11" s="477"/>
      <c r="DF11" s="477"/>
    </row>
    <row r="12" spans="1:113" s="165" customFormat="1" ht="20.25" customHeight="1" x14ac:dyDescent="0.25">
      <c r="A12" s="461"/>
      <c r="B12" s="461"/>
      <c r="C12" s="463"/>
      <c r="D12" s="461"/>
      <c r="E12" s="461"/>
      <c r="F12" s="461"/>
      <c r="G12" s="461"/>
      <c r="H12" s="461"/>
      <c r="I12" s="461"/>
      <c r="J12" s="168"/>
      <c r="K12" s="461"/>
      <c r="L12" s="461"/>
      <c r="M12" s="463"/>
      <c r="N12" s="463"/>
      <c r="O12" s="463"/>
      <c r="P12" s="466"/>
      <c r="Q12" s="469"/>
      <c r="R12" s="472"/>
      <c r="S12" s="473"/>
      <c r="T12" s="473"/>
      <c r="U12" s="472"/>
      <c r="V12" s="473"/>
      <c r="W12" s="473"/>
      <c r="X12" s="472"/>
      <c r="Y12" s="473"/>
      <c r="Z12" s="473"/>
      <c r="AA12" s="472"/>
      <c r="AB12" s="473"/>
      <c r="AC12" s="473"/>
      <c r="AD12" s="472"/>
      <c r="AE12" s="473"/>
      <c r="AF12" s="473"/>
      <c r="AG12" s="493"/>
      <c r="AH12" s="473"/>
      <c r="AI12" s="473"/>
      <c r="AJ12" s="493"/>
      <c r="AK12" s="473"/>
      <c r="AL12" s="473"/>
      <c r="AM12" s="493"/>
      <c r="AN12" s="473"/>
      <c r="AO12" s="473"/>
      <c r="AP12" s="169"/>
      <c r="AQ12" s="472"/>
      <c r="AR12" s="473"/>
      <c r="AS12" s="473"/>
      <c r="AT12" s="472"/>
      <c r="AU12" s="473"/>
      <c r="AV12" s="473"/>
      <c r="AW12" s="472"/>
      <c r="AX12" s="473"/>
      <c r="AY12" s="473"/>
      <c r="AZ12" s="472"/>
      <c r="BA12" s="473"/>
      <c r="BB12" s="473"/>
      <c r="BC12" s="498"/>
      <c r="BD12" s="495"/>
      <c r="BE12" s="495"/>
      <c r="BF12" s="171"/>
      <c r="BG12" s="498"/>
      <c r="BH12" s="495"/>
      <c r="BI12" s="495"/>
      <c r="BJ12" s="463"/>
      <c r="BK12" s="498"/>
      <c r="BL12" s="495"/>
      <c r="BM12" s="495"/>
      <c r="BN12" s="463"/>
      <c r="BO12" s="162"/>
      <c r="BP12" s="500"/>
      <c r="BQ12" s="501"/>
      <c r="BR12" s="461"/>
      <c r="BS12" s="461"/>
      <c r="BT12" s="461"/>
      <c r="BU12" s="461"/>
      <c r="BV12" s="461"/>
      <c r="BW12" s="461"/>
      <c r="BX12" s="461"/>
      <c r="BY12" s="461"/>
      <c r="BZ12" s="461"/>
      <c r="CA12" s="461"/>
      <c r="CB12" s="461"/>
      <c r="CC12" s="461"/>
      <c r="CD12" s="461"/>
      <c r="CE12" s="461"/>
      <c r="CF12" s="461"/>
      <c r="CG12" s="461"/>
      <c r="CH12" s="461"/>
      <c r="CI12" s="461"/>
      <c r="CJ12" s="461"/>
      <c r="CK12" s="461"/>
      <c r="CL12" s="461"/>
      <c r="CM12" s="461"/>
      <c r="CN12" s="461"/>
      <c r="CO12" s="461"/>
      <c r="CP12" s="463"/>
      <c r="CQ12" s="463"/>
      <c r="CR12" s="162"/>
      <c r="CS12" s="463"/>
      <c r="CT12" s="461"/>
      <c r="CU12" s="483"/>
      <c r="CV12" s="478"/>
      <c r="CW12" s="461"/>
      <c r="CX12" s="461"/>
      <c r="CY12" s="461"/>
      <c r="CZ12" s="159"/>
      <c r="DA12" s="172"/>
      <c r="DB12" s="173"/>
      <c r="DC12" s="461"/>
      <c r="DE12" s="477"/>
      <c r="DF12" s="477"/>
    </row>
    <row r="13" spans="1:113" s="165" customFormat="1" ht="26.45" customHeight="1" x14ac:dyDescent="0.25">
      <c r="A13" s="461"/>
      <c r="B13" s="461"/>
      <c r="C13" s="464"/>
      <c r="D13" s="461"/>
      <c r="E13" s="461"/>
      <c r="F13" s="461"/>
      <c r="G13" s="461"/>
      <c r="H13" s="461"/>
      <c r="I13" s="461"/>
      <c r="J13" s="168"/>
      <c r="K13" s="461"/>
      <c r="L13" s="461"/>
      <c r="M13" s="464"/>
      <c r="N13" s="464"/>
      <c r="O13" s="464"/>
      <c r="P13" s="467"/>
      <c r="Q13" s="470"/>
      <c r="R13" s="472"/>
      <c r="S13" s="473"/>
      <c r="T13" s="473"/>
      <c r="U13" s="472"/>
      <c r="V13" s="473"/>
      <c r="W13" s="473"/>
      <c r="X13" s="472"/>
      <c r="Y13" s="473"/>
      <c r="Z13" s="473"/>
      <c r="AA13" s="472"/>
      <c r="AB13" s="473"/>
      <c r="AC13" s="473"/>
      <c r="AD13" s="472"/>
      <c r="AE13" s="473"/>
      <c r="AF13" s="473"/>
      <c r="AG13" s="493"/>
      <c r="AH13" s="473"/>
      <c r="AI13" s="473"/>
      <c r="AJ13" s="493"/>
      <c r="AK13" s="473"/>
      <c r="AL13" s="473"/>
      <c r="AM13" s="493"/>
      <c r="AN13" s="473"/>
      <c r="AO13" s="473"/>
      <c r="AP13" s="169"/>
      <c r="AQ13" s="472"/>
      <c r="AR13" s="473"/>
      <c r="AS13" s="473"/>
      <c r="AT13" s="472"/>
      <c r="AU13" s="473"/>
      <c r="AV13" s="473"/>
      <c r="AW13" s="472"/>
      <c r="AX13" s="473"/>
      <c r="AY13" s="473"/>
      <c r="AZ13" s="472"/>
      <c r="BA13" s="473"/>
      <c r="BB13" s="473"/>
      <c r="BC13" s="499"/>
      <c r="BD13" s="496"/>
      <c r="BE13" s="496"/>
      <c r="BF13" s="174"/>
      <c r="BG13" s="499"/>
      <c r="BH13" s="496"/>
      <c r="BI13" s="496"/>
      <c r="BJ13" s="464"/>
      <c r="BK13" s="499"/>
      <c r="BL13" s="496"/>
      <c r="BM13" s="496"/>
      <c r="BN13" s="464"/>
      <c r="BO13" s="175"/>
      <c r="BP13" s="500"/>
      <c r="BQ13" s="501"/>
      <c r="BR13" s="461"/>
      <c r="BS13" s="461"/>
      <c r="BT13" s="461"/>
      <c r="BU13" s="461"/>
      <c r="BV13" s="461"/>
      <c r="BW13" s="461"/>
      <c r="BX13" s="461"/>
      <c r="BY13" s="461"/>
      <c r="BZ13" s="461"/>
      <c r="CA13" s="461"/>
      <c r="CB13" s="461"/>
      <c r="CC13" s="461"/>
      <c r="CD13" s="461"/>
      <c r="CE13" s="461"/>
      <c r="CF13" s="461"/>
      <c r="CG13" s="461"/>
      <c r="CH13" s="461"/>
      <c r="CI13" s="461"/>
      <c r="CJ13" s="461"/>
      <c r="CK13" s="461"/>
      <c r="CL13" s="461"/>
      <c r="CM13" s="461"/>
      <c r="CN13" s="461"/>
      <c r="CO13" s="461"/>
      <c r="CP13" s="464"/>
      <c r="CQ13" s="464"/>
      <c r="CR13" s="175"/>
      <c r="CS13" s="464"/>
      <c r="CT13" s="461"/>
      <c r="CU13" s="483"/>
      <c r="CV13" s="478"/>
      <c r="CW13" s="461"/>
      <c r="CX13" s="461"/>
      <c r="CY13" s="461"/>
      <c r="CZ13" s="159"/>
      <c r="DA13" s="176" t="s">
        <v>146</v>
      </c>
      <c r="DB13" s="176" t="s">
        <v>147</v>
      </c>
      <c r="DC13" s="461"/>
      <c r="DE13" s="477"/>
      <c r="DF13" s="477"/>
    </row>
    <row r="14" spans="1:113" s="184" customFormat="1" ht="21.75" customHeight="1" x14ac:dyDescent="0.25">
      <c r="A14" s="177">
        <v>1</v>
      </c>
      <c r="B14" s="177">
        <v>2</v>
      </c>
      <c r="C14" s="178"/>
      <c r="D14" s="177" t="s">
        <v>148</v>
      </c>
      <c r="E14" s="177">
        <v>4</v>
      </c>
      <c r="F14" s="177" t="s">
        <v>149</v>
      </c>
      <c r="G14" s="177">
        <v>6</v>
      </c>
      <c r="H14" s="177">
        <v>7</v>
      </c>
      <c r="I14" s="177"/>
      <c r="J14" s="177"/>
      <c r="K14" s="177">
        <f>MAX(A14:I14)+1</f>
        <v>8</v>
      </c>
      <c r="L14" s="177"/>
      <c r="M14" s="177"/>
      <c r="N14" s="177"/>
      <c r="O14" s="177"/>
      <c r="P14" s="177">
        <v>9</v>
      </c>
      <c r="Q14" s="177">
        <v>10</v>
      </c>
      <c r="R14" s="177"/>
      <c r="S14" s="177"/>
      <c r="T14" s="177"/>
      <c r="U14" s="177">
        <v>11</v>
      </c>
      <c r="V14" s="177" t="s">
        <v>150</v>
      </c>
      <c r="W14" s="177">
        <v>13</v>
      </c>
      <c r="X14" s="177">
        <v>11</v>
      </c>
      <c r="Y14" s="177" t="s">
        <v>150</v>
      </c>
      <c r="Z14" s="177">
        <v>13</v>
      </c>
      <c r="AA14" s="177">
        <v>11</v>
      </c>
      <c r="AB14" s="177" t="s">
        <v>150</v>
      </c>
      <c r="AC14" s="177">
        <v>13</v>
      </c>
      <c r="AD14" s="177">
        <v>11</v>
      </c>
      <c r="AE14" s="177" t="s">
        <v>150</v>
      </c>
      <c r="AF14" s="177">
        <v>13</v>
      </c>
      <c r="AG14" s="177">
        <v>11</v>
      </c>
      <c r="AH14" s="177" t="s">
        <v>150</v>
      </c>
      <c r="AI14" s="177">
        <v>13</v>
      </c>
      <c r="AJ14" s="179">
        <v>11</v>
      </c>
      <c r="AK14" s="177" t="s">
        <v>150</v>
      </c>
      <c r="AL14" s="177">
        <v>13</v>
      </c>
      <c r="AM14" s="177">
        <v>11</v>
      </c>
      <c r="AN14" s="177" t="s">
        <v>150</v>
      </c>
      <c r="AO14" s="177">
        <v>13</v>
      </c>
      <c r="AP14" s="177"/>
      <c r="AQ14" s="177">
        <v>11</v>
      </c>
      <c r="AR14" s="177" t="s">
        <v>150</v>
      </c>
      <c r="AS14" s="177">
        <v>13</v>
      </c>
      <c r="AT14" s="177"/>
      <c r="AU14" s="177"/>
      <c r="AV14" s="177"/>
      <c r="AW14" s="177"/>
      <c r="AX14" s="177"/>
      <c r="AY14" s="177"/>
      <c r="AZ14" s="177"/>
      <c r="BA14" s="177"/>
      <c r="BB14" s="177"/>
      <c r="BC14" s="177"/>
      <c r="BD14" s="177"/>
      <c r="BE14" s="177"/>
      <c r="BF14" s="177"/>
      <c r="BG14" s="177"/>
      <c r="BH14" s="177"/>
      <c r="BI14" s="177"/>
      <c r="BJ14" s="177"/>
      <c r="BK14" s="177">
        <v>11</v>
      </c>
      <c r="BL14" s="177" t="s">
        <v>150</v>
      </c>
      <c r="BM14" s="177">
        <v>13</v>
      </c>
      <c r="BN14" s="177">
        <v>14</v>
      </c>
      <c r="BO14" s="177"/>
      <c r="BP14" s="177">
        <f>MAX(G14:O14)+1</f>
        <v>9</v>
      </c>
      <c r="BQ14" s="177">
        <f>MAX(H14:BP14)+1</f>
        <v>15</v>
      </c>
      <c r="BR14" s="177">
        <f>MAX(I14:BQ14)+1</f>
        <v>16</v>
      </c>
      <c r="BS14" s="177">
        <f>MAX(K14:BR14)+1</f>
        <v>17</v>
      </c>
      <c r="BT14" s="177">
        <v>15</v>
      </c>
      <c r="BU14" s="177">
        <v>16</v>
      </c>
      <c r="BV14" s="177">
        <f>MAX(N14:BU14)+1</f>
        <v>18</v>
      </c>
      <c r="BW14" s="177">
        <f>MAX(O14:BV14)+1</f>
        <v>19</v>
      </c>
      <c r="BX14" s="177">
        <f t="shared" ref="BX14:CO14" si="0">MAX(BP14:BW14)+1</f>
        <v>20</v>
      </c>
      <c r="BY14" s="177">
        <f t="shared" si="0"/>
        <v>21</v>
      </c>
      <c r="BZ14" s="177">
        <f t="shared" si="0"/>
        <v>22</v>
      </c>
      <c r="CA14" s="177">
        <f t="shared" si="0"/>
        <v>23</v>
      </c>
      <c r="CB14" s="177">
        <f t="shared" si="0"/>
        <v>24</v>
      </c>
      <c r="CC14" s="177">
        <f t="shared" si="0"/>
        <v>25</v>
      </c>
      <c r="CD14" s="177">
        <f t="shared" si="0"/>
        <v>26</v>
      </c>
      <c r="CE14" s="177">
        <f t="shared" si="0"/>
        <v>27</v>
      </c>
      <c r="CF14" s="177">
        <f t="shared" si="0"/>
        <v>28</v>
      </c>
      <c r="CG14" s="177">
        <f t="shared" si="0"/>
        <v>29</v>
      </c>
      <c r="CH14" s="177">
        <f t="shared" si="0"/>
        <v>30</v>
      </c>
      <c r="CI14" s="177">
        <f t="shared" si="0"/>
        <v>31</v>
      </c>
      <c r="CJ14" s="177">
        <f t="shared" si="0"/>
        <v>32</v>
      </c>
      <c r="CK14" s="177">
        <f t="shared" si="0"/>
        <v>33</v>
      </c>
      <c r="CL14" s="177">
        <f t="shared" si="0"/>
        <v>34</v>
      </c>
      <c r="CM14" s="177">
        <f t="shared" si="0"/>
        <v>35</v>
      </c>
      <c r="CN14" s="177">
        <f t="shared" si="0"/>
        <v>36</v>
      </c>
      <c r="CO14" s="177">
        <f t="shared" si="0"/>
        <v>37</v>
      </c>
      <c r="CP14" s="177">
        <v>17</v>
      </c>
      <c r="CQ14" s="177"/>
      <c r="CR14" s="177"/>
      <c r="CS14" s="177"/>
      <c r="CT14" s="180"/>
      <c r="CU14" s="181"/>
      <c r="CV14" s="182"/>
      <c r="CW14" s="183"/>
      <c r="CX14" s="183"/>
      <c r="CY14" s="183"/>
      <c r="DA14" s="183"/>
      <c r="DB14" s="183"/>
      <c r="DC14" s="183"/>
    </row>
    <row r="15" spans="1:113" s="198" customFormat="1" ht="26.45" customHeight="1" x14ac:dyDescent="0.25">
      <c r="A15" s="191"/>
      <c r="B15" s="191" t="s">
        <v>151</v>
      </c>
      <c r="C15" s="191"/>
      <c r="D15" s="190">
        <f t="shared" ref="D15:I15" si="1">D16+D242</f>
        <v>7052807.874241</v>
      </c>
      <c r="E15" s="190">
        <f t="shared" si="1"/>
        <v>1411910.9842410001</v>
      </c>
      <c r="F15" s="190">
        <f t="shared" si="1"/>
        <v>5640896.8899999997</v>
      </c>
      <c r="G15" s="190">
        <f t="shared" si="1"/>
        <v>2676536.89</v>
      </c>
      <c r="H15" s="190">
        <f t="shared" si="1"/>
        <v>2687360</v>
      </c>
      <c r="I15" s="190">
        <f t="shared" si="1"/>
        <v>210548</v>
      </c>
      <c r="J15" s="190"/>
      <c r="K15" s="190">
        <f>K16+K242</f>
        <v>277000</v>
      </c>
      <c r="L15" s="190" t="e">
        <f>L16+L242</f>
        <v>#REF!</v>
      </c>
      <c r="M15" s="192"/>
      <c r="N15" s="192"/>
      <c r="O15" s="190" t="e">
        <f>O16+O242</f>
        <v>#REF!</v>
      </c>
      <c r="P15" s="190" t="e">
        <f>P16+P242</f>
        <v>#REF!</v>
      </c>
      <c r="Q15" s="186" t="e">
        <f>P15/$D15</f>
        <v>#REF!</v>
      </c>
      <c r="R15" s="190">
        <v>523210.318417</v>
      </c>
      <c r="S15" s="185">
        <v>7.7119217684644595E-2</v>
      </c>
      <c r="T15" s="185">
        <v>8.044833867959332E-2</v>
      </c>
      <c r="U15" s="190">
        <v>578778.154935</v>
      </c>
      <c r="V15" s="185">
        <v>8.5309706155250312E-2</v>
      </c>
      <c r="W15" s="185">
        <v>8.8992398256662789E-2</v>
      </c>
      <c r="X15" s="190">
        <v>583775.60473499994</v>
      </c>
      <c r="Y15" s="185">
        <v>8.6046311312733298E-2</v>
      </c>
      <c r="Z15" s="185">
        <v>8.9760801554329098E-2</v>
      </c>
      <c r="AA15" s="190">
        <v>586432.63640399987</v>
      </c>
      <c r="AB15" s="185">
        <v>8.6437947709157137E-2</v>
      </c>
      <c r="AC15" s="185">
        <v>9.0169344306767235E-2</v>
      </c>
      <c r="AD15" s="190">
        <v>817182.39626099996</v>
      </c>
      <c r="AE15" s="185">
        <v>0.12044958764571626</v>
      </c>
      <c r="AF15" s="185">
        <v>0.1256492157423601</v>
      </c>
      <c r="AG15" s="190">
        <v>846414.40347799996</v>
      </c>
      <c r="AH15" s="185">
        <v>0.12475827470438815</v>
      </c>
      <c r="AI15" s="185">
        <v>0.13014390236091269</v>
      </c>
      <c r="AJ15" s="193">
        <v>846414.40347799996</v>
      </c>
      <c r="AK15" s="185">
        <v>0.12475827470438815</v>
      </c>
      <c r="AL15" s="185">
        <v>0.13014390236091269</v>
      </c>
      <c r="AM15" s="190">
        <v>892909.93214199995</v>
      </c>
      <c r="AN15" s="185">
        <v>0.13161153938626668</v>
      </c>
      <c r="AO15" s="185">
        <v>0.13729301220332799</v>
      </c>
      <c r="AP15" s="185"/>
      <c r="AQ15" s="190">
        <v>1244237</v>
      </c>
      <c r="AR15" s="185">
        <v>0.18339581746897635</v>
      </c>
      <c r="AS15" s="185">
        <v>0.19131273992556039</v>
      </c>
      <c r="AT15" s="190">
        <v>1255786.022505</v>
      </c>
      <c r="AU15" s="185">
        <v>0.18509809960917317</v>
      </c>
      <c r="AV15" s="185">
        <v>0.19308850703334893</v>
      </c>
      <c r="AW15" s="185"/>
      <c r="AX15" s="185"/>
      <c r="AY15" s="185"/>
      <c r="AZ15" s="185"/>
      <c r="BA15" s="185"/>
      <c r="BB15" s="185"/>
      <c r="BC15" s="190">
        <v>1355040.3940760002</v>
      </c>
      <c r="BD15" s="185">
        <v>0.19972781775100076</v>
      </c>
      <c r="BE15" s="185">
        <v>0.20834976817157075</v>
      </c>
      <c r="BF15" s="190"/>
      <c r="BG15" s="190">
        <v>1913454.6009099998</v>
      </c>
      <c r="BH15" s="185">
        <v>0.28205130026454478</v>
      </c>
      <c r="BI15" s="185">
        <v>0.2942268880750884</v>
      </c>
      <c r="BJ15" s="190">
        <f>E15+(F15*0.95)</f>
        <v>6770763.0297409995</v>
      </c>
      <c r="BK15" s="190">
        <f>BK16+BK242</f>
        <v>2307119.5500980001</v>
      </c>
      <c r="BL15" s="185">
        <f>BK15/$D15</f>
        <v>0.32712071436460116</v>
      </c>
      <c r="BM15" s="185">
        <f t="shared" ref="BM15:BM59" si="2">BK15/(E15+0.95*F15)</f>
        <v>0.34074734855788535</v>
      </c>
      <c r="BN15" s="190">
        <f>BK15-AD15</f>
        <v>1489937.153837</v>
      </c>
      <c r="BO15" s="190"/>
      <c r="BP15" s="189" t="e">
        <f>BP16+BP242</f>
        <v>#REF!</v>
      </c>
      <c r="BQ15" s="186" t="e">
        <f>BP15/$D15</f>
        <v>#REF!</v>
      </c>
      <c r="BR15" s="189" t="e">
        <f>BR16+BR242</f>
        <v>#REF!</v>
      </c>
      <c r="BS15" s="186" t="e">
        <f>BR15/$D15</f>
        <v>#REF!</v>
      </c>
      <c r="BT15" s="189" t="e">
        <f>BT16+BT242</f>
        <v>#REF!</v>
      </c>
      <c r="BU15" s="186" t="e">
        <f>BT15/$D15</f>
        <v>#REF!</v>
      </c>
      <c r="BV15" s="189" t="e">
        <f>BV16+BV242</f>
        <v>#REF!</v>
      </c>
      <c r="BW15" s="186" t="e">
        <f>BV15/$D15</f>
        <v>#REF!</v>
      </c>
      <c r="BX15" s="189" t="e">
        <f>BX16+BX242</f>
        <v>#REF!</v>
      </c>
      <c r="BY15" s="186" t="e">
        <f>BX15/$D15</f>
        <v>#REF!</v>
      </c>
      <c r="BZ15" s="189" t="e">
        <f>BZ16+BZ242</f>
        <v>#REF!</v>
      </c>
      <c r="CA15" s="186" t="e">
        <f>BZ15/$D15</f>
        <v>#REF!</v>
      </c>
      <c r="CB15" s="189" t="e">
        <f>CB16+CB242</f>
        <v>#REF!</v>
      </c>
      <c r="CC15" s="186" t="e">
        <f>CB15/$D15</f>
        <v>#REF!</v>
      </c>
      <c r="CD15" s="189" t="e">
        <f>CD16+CD242</f>
        <v>#REF!</v>
      </c>
      <c r="CE15" s="186" t="e">
        <f>CD15/$D15</f>
        <v>#REF!</v>
      </c>
      <c r="CF15" s="189" t="e">
        <f>CF16+CF242</f>
        <v>#REF!</v>
      </c>
      <c r="CG15" s="186" t="e">
        <f>CF15/$D15</f>
        <v>#REF!</v>
      </c>
      <c r="CH15" s="189" t="e">
        <f>CH16+CH242</f>
        <v>#REF!</v>
      </c>
      <c r="CI15" s="186" t="e">
        <f>CH15/$D15</f>
        <v>#REF!</v>
      </c>
      <c r="CJ15" s="189" t="e">
        <f>CJ16+CJ242</f>
        <v>#REF!</v>
      </c>
      <c r="CK15" s="186" t="e">
        <f>CJ15/$D15</f>
        <v>#REF!</v>
      </c>
      <c r="CL15" s="189" t="e">
        <f>CL16+CL242</f>
        <v>#REF!</v>
      </c>
      <c r="CM15" s="186" t="e">
        <f>CL15/$D15</f>
        <v>#REF!</v>
      </c>
      <c r="CN15" s="189" t="e">
        <f>CN16+CN242</f>
        <v>#REF!</v>
      </c>
      <c r="CO15" s="186" t="e">
        <f>CN15/$D15</f>
        <v>#REF!</v>
      </c>
      <c r="CP15" s="194"/>
      <c r="CQ15" s="194"/>
      <c r="CR15" s="194"/>
      <c r="CS15" s="194"/>
      <c r="CT15" s="194"/>
      <c r="CU15" s="181"/>
      <c r="CV15" s="159"/>
      <c r="CW15" s="195"/>
      <c r="CX15" s="196"/>
      <c r="CY15" s="196"/>
      <c r="CZ15" s="197"/>
      <c r="DA15" s="196"/>
      <c r="DB15" s="196"/>
      <c r="DC15" s="196"/>
      <c r="DE15" s="199"/>
      <c r="DF15" s="200"/>
      <c r="DG15" s="200"/>
      <c r="DH15" s="200"/>
    </row>
    <row r="16" spans="1:113" s="165" customFormat="1" ht="23.25" customHeight="1" x14ac:dyDescent="0.25">
      <c r="A16" s="201" t="s">
        <v>25</v>
      </c>
      <c r="B16" s="202" t="s">
        <v>152</v>
      </c>
      <c r="C16" s="202"/>
      <c r="D16" s="193">
        <f>SUM(D17,D69,D130,D144,D147,D199,D205,D208,D212,D216,D224,D237,D240)</f>
        <v>5325010.2647350002</v>
      </c>
      <c r="E16" s="193">
        <f>SUM(E17,E69,E130,E144,E147,E199,E205,E208,E212,E216,E224,E237,E240)</f>
        <v>1033710.8737350001</v>
      </c>
      <c r="F16" s="193">
        <f t="shared" ref="F16:K16" si="3">SUM(F17,F69,F130,F144,F147,F199,F205,F208,F212,F216,F224,F237)</f>
        <v>4291299.3909999998</v>
      </c>
      <c r="G16" s="193">
        <f t="shared" si="3"/>
        <v>2274806</v>
      </c>
      <c r="H16" s="193">
        <f t="shared" si="3"/>
        <v>1739493.3910000001</v>
      </c>
      <c r="I16" s="193">
        <f t="shared" si="3"/>
        <v>129544</v>
      </c>
      <c r="J16" s="193">
        <f t="shared" si="3"/>
        <v>0</v>
      </c>
      <c r="K16" s="193">
        <f t="shared" si="3"/>
        <v>277000</v>
      </c>
      <c r="L16" s="193" t="e">
        <f>SUM(L17,L69,L130,L144,#REF!,L147,L199,L205,L208,L212,L216,L224,#REF!,L237)</f>
        <v>#REF!</v>
      </c>
      <c r="M16" s="193" t="e">
        <f>SUM(M17,M69,M130,M144,#REF!,M147,M199,M205,M208,M212,M216,M224,#REF!,M237)</f>
        <v>#REF!</v>
      </c>
      <c r="N16" s="193" t="e">
        <f>SUM(N17,N69,N130,N144,#REF!,N147,N199,N205,N208,N212,N216,N224,#REF!,N237)</f>
        <v>#REF!</v>
      </c>
      <c r="O16" s="193" t="e">
        <f>SUM(O17,O69,O130,O144,#REF!,O147,O199,O205,O208,O212,O216,O224,#REF!,O237)</f>
        <v>#REF!</v>
      </c>
      <c r="P16" s="193" t="e">
        <f>SUM(P17,P69,P130,P144,#REF!,P147,P199,P205,P208,P212,P216,P224,#REF!,P237)</f>
        <v>#REF!</v>
      </c>
      <c r="Q16" s="203" t="e">
        <f t="shared" ref="Q16:Q81" si="4">P16/$D16</f>
        <v>#REF!</v>
      </c>
      <c r="R16" s="193">
        <v>482491.04799699999</v>
      </c>
      <c r="S16" s="204">
        <v>9.5424337225565981E-2</v>
      </c>
      <c r="T16" s="204">
        <v>9.9626225093990897E-2</v>
      </c>
      <c r="U16" s="193" t="e">
        <f>SUM(U17,U69,U130,U144,U147,U199,U205,U208,U212,U216,U224,#REF!,U237)</f>
        <v>#REF!</v>
      </c>
      <c r="V16" s="204">
        <v>9.8780731100148012E-2</v>
      </c>
      <c r="W16" s="204">
        <v>0.10313041345280312</v>
      </c>
      <c r="X16" s="193" t="e">
        <f>SUM(X17,X69,X130,X144,X147,X199,X205,X208,X212,X216,X224,#REF!,X237)</f>
        <v>#REF!</v>
      </c>
      <c r="Y16" s="204">
        <v>9.9167725796146897E-2</v>
      </c>
      <c r="Z16" s="204">
        <v>0.10353444896213684</v>
      </c>
      <c r="AA16" s="193" t="e">
        <f>SUM(AA17,AA69,AA130,AA144,AA147,AA199,AA205,AA208,AA212,AA216,AA224,#REF!,AA237)</f>
        <v>#REF!</v>
      </c>
      <c r="AB16" s="204">
        <v>9.9618549516260452E-2</v>
      </c>
      <c r="AC16" s="204">
        <v>0.10400512412450738</v>
      </c>
      <c r="AD16" s="193">
        <v>675215.01730099996</v>
      </c>
      <c r="AE16" s="204">
        <v>0.13354018852407312</v>
      </c>
      <c r="AF16" s="204">
        <v>0.13942045884526055</v>
      </c>
      <c r="AG16" s="193">
        <v>704262.02451799996</v>
      </c>
      <c r="AH16" s="204">
        <v>0.1392849405222194</v>
      </c>
      <c r="AI16" s="204">
        <v>0.14541817360353645</v>
      </c>
      <c r="AJ16" s="205">
        <v>704262.02451799996</v>
      </c>
      <c r="AK16" s="204">
        <v>0.1392849405222194</v>
      </c>
      <c r="AL16" s="204">
        <v>0.14541817360353645</v>
      </c>
      <c r="AM16" s="193">
        <v>725942.15588199999</v>
      </c>
      <c r="AN16" s="204">
        <v>0.14357271368394192</v>
      </c>
      <c r="AO16" s="204">
        <v>0.1498947533376139</v>
      </c>
      <c r="AP16" s="204"/>
      <c r="AQ16" s="193">
        <v>957718.46047799988</v>
      </c>
      <c r="AR16" s="204">
        <v>0.18941211390179158</v>
      </c>
      <c r="AS16" s="204">
        <v>0.19775263254385786</v>
      </c>
      <c r="AT16" s="193">
        <v>961943.05728299986</v>
      </c>
      <c r="AU16" s="204">
        <v>0.19024763064730613</v>
      </c>
      <c r="AV16" s="204">
        <v>0.19862494019386198</v>
      </c>
      <c r="AW16" s="204"/>
      <c r="AX16" s="204"/>
      <c r="AY16" s="204"/>
      <c r="AZ16" s="204"/>
      <c r="BA16" s="204"/>
      <c r="BB16" s="204"/>
      <c r="BC16" s="193">
        <v>1061197.4288540001</v>
      </c>
      <c r="BD16" s="204">
        <v>0.2098775961424621</v>
      </c>
      <c r="BE16" s="204">
        <v>0.2191192859537372</v>
      </c>
      <c r="BF16" s="193"/>
      <c r="BG16" s="193">
        <v>1458361.8485909998</v>
      </c>
      <c r="BH16" s="204">
        <v>0.288426517786321</v>
      </c>
      <c r="BI16" s="204">
        <v>0.30112700826134081</v>
      </c>
      <c r="BJ16" s="193">
        <f t="shared" ref="BJ16:BJ79" si="5">E16+(F16*0.95)</f>
        <v>5110445.2951849997</v>
      </c>
      <c r="BK16" s="193">
        <f>SUM(BK17,BK69,BK130,BK144,BK147,BK199,BK205,BK208,BK212,BK216,BK224,BK237)</f>
        <v>1773229.034918</v>
      </c>
      <c r="BL16" s="204">
        <f t="shared" ref="BL16:BL41" si="6">BK16/$D16</f>
        <v>0.33300011582348471</v>
      </c>
      <c r="BM16" s="204">
        <f t="shared" si="2"/>
        <v>0.34698131620520722</v>
      </c>
      <c r="BN16" s="193">
        <f>BK16-AD16</f>
        <v>1098014.017617</v>
      </c>
      <c r="BO16" s="193"/>
      <c r="BP16" s="206" t="e">
        <f>SUM(BP17,BP69,BP130,BP144,#REF!,BP147,BP199,BP205,BP208,BP212,BP216,BP224,#REF!,BP237)</f>
        <v>#REF!</v>
      </c>
      <c r="BQ16" s="203" t="e">
        <f t="shared" ref="BQ16:BQ80" si="7">BP16/$D16</f>
        <v>#REF!</v>
      </c>
      <c r="BR16" s="206" t="e">
        <f>SUM(BR17,BR69,BR130,BR144,#REF!,BR147,BR199,BR205,BR208,BR212,BR216,BR224,#REF!,BR237)</f>
        <v>#REF!</v>
      </c>
      <c r="BS16" s="203" t="e">
        <f t="shared" ref="BS16:BS41" si="8">BR16/$D16</f>
        <v>#REF!</v>
      </c>
      <c r="BT16" s="206" t="e">
        <f>SUM(BT17,BT69,BT130,BT144,#REF!,BT147,BT199,BT205,BT208,BT212,BT216,BT224,#REF!,BT237)</f>
        <v>#REF!</v>
      </c>
      <c r="BU16" s="203" t="e">
        <f t="shared" ref="BU16:BU41" si="9">BT16/$D16</f>
        <v>#REF!</v>
      </c>
      <c r="BV16" s="206" t="e">
        <f>SUM(BV17,BV69,BV130,BV144,#REF!,BV147,BV199,BV205,BV208,BV212,BV216,BV224,#REF!,BV237)</f>
        <v>#REF!</v>
      </c>
      <c r="BW16" s="203" t="e">
        <f t="shared" ref="BW16:BW41" si="10">BV16/$D16</f>
        <v>#REF!</v>
      </c>
      <c r="BX16" s="206" t="e">
        <f>SUM(BX17,BX69,BX130,BX144,#REF!,BX147,BX199,BX205,BX208,BX212,BX216,BX224,#REF!,BX237)</f>
        <v>#REF!</v>
      </c>
      <c r="BY16" s="203" t="e">
        <f t="shared" ref="BY16:BY41" si="11">BX16/$D16</f>
        <v>#REF!</v>
      </c>
      <c r="BZ16" s="206" t="e">
        <f>SUM(BZ17,BZ69,BZ130,BZ144,#REF!,BZ147,BZ199,BZ205,BZ208,BZ212,BZ216,BZ224,#REF!,BZ237)</f>
        <v>#REF!</v>
      </c>
      <c r="CA16" s="203" t="e">
        <f t="shared" ref="CA16:CA41" si="12">BZ16/$D16</f>
        <v>#REF!</v>
      </c>
      <c r="CB16" s="206" t="e">
        <f>SUM(CB17,CB69,CB130,CB144,#REF!,CB147,CB199,CB205,CB208,CB212,CB216,CB224,#REF!,CB237)</f>
        <v>#REF!</v>
      </c>
      <c r="CC16" s="203" t="e">
        <f t="shared" ref="CC16:CC41" si="13">CB16/$D16</f>
        <v>#REF!</v>
      </c>
      <c r="CD16" s="206" t="e">
        <f>SUM(CD17,CD69,CD130,CD144,#REF!,CD147,CD199,CD205,CD208,CD212,CD216,CD224,#REF!,CD237)</f>
        <v>#REF!</v>
      </c>
      <c r="CE16" s="203" t="e">
        <f t="shared" ref="CE16:CE41" si="14">CD16/$D16</f>
        <v>#REF!</v>
      </c>
      <c r="CF16" s="206" t="e">
        <f>SUM(CF17,CF69,CF130,CF144,#REF!,CF147,CF199,CF205,CF208,CF212,CF216,CF224,#REF!,CF237)</f>
        <v>#REF!</v>
      </c>
      <c r="CG16" s="203" t="e">
        <f t="shared" ref="CG16:CG41" si="15">CF16/$D16</f>
        <v>#REF!</v>
      </c>
      <c r="CH16" s="206" t="e">
        <f>SUM(CH17,CH69,CH130,CH144,#REF!,CH147,CH199,CH205,CH208,CH212,CH216,CH224,#REF!,CH237)</f>
        <v>#REF!</v>
      </c>
      <c r="CI16" s="203" t="e">
        <f t="shared" ref="CI16:CI41" si="16">CH16/$D16</f>
        <v>#REF!</v>
      </c>
      <c r="CJ16" s="206" t="e">
        <f>SUM(CJ17,CJ69,CJ130,CJ144,#REF!,CJ147,CJ199,CJ205,CJ208,CJ212,CJ216,CJ224,#REF!,CJ237)</f>
        <v>#REF!</v>
      </c>
      <c r="CK16" s="203" t="e">
        <f t="shared" ref="CK16:CK41" si="17">CJ16/$D16</f>
        <v>#REF!</v>
      </c>
      <c r="CL16" s="206" t="e">
        <f>SUM(CL17,CL69,CL130,CL144,#REF!,CL147,CL199,CL205,CL208,CL212,CL216,CL224,#REF!,CL237)</f>
        <v>#REF!</v>
      </c>
      <c r="CM16" s="203" t="e">
        <f t="shared" ref="CM16:CM41" si="18">CL16/$D16</f>
        <v>#REF!</v>
      </c>
      <c r="CN16" s="206" t="e">
        <f>SUM(CN17,CN69,CN130,CN144,#REF!,CN147,CN199,CN205,CN208,CN212,CN216,CN224,#REF!,CN237)</f>
        <v>#REF!</v>
      </c>
      <c r="CO16" s="203" t="e">
        <f t="shared" ref="CO16:CO41" si="19">CN16/$D16</f>
        <v>#REF!</v>
      </c>
      <c r="CP16" s="207"/>
      <c r="CQ16" s="207"/>
      <c r="CR16" s="207"/>
      <c r="CS16" s="207"/>
      <c r="CT16" s="207"/>
      <c r="CU16" s="163"/>
      <c r="CV16" s="208"/>
      <c r="CW16" s="195"/>
      <c r="CX16" s="196"/>
      <c r="CY16" s="196"/>
      <c r="CZ16" s="197"/>
      <c r="DA16" s="196"/>
      <c r="DB16" s="196"/>
      <c r="DC16" s="196"/>
      <c r="DE16" s="199"/>
      <c r="DF16" s="200"/>
      <c r="DG16" s="200"/>
      <c r="DI16" s="209"/>
    </row>
    <row r="17" spans="1:113" s="165" customFormat="1" ht="30" customHeight="1" x14ac:dyDescent="0.25">
      <c r="A17" s="191">
        <v>1</v>
      </c>
      <c r="B17" s="210" t="s">
        <v>153</v>
      </c>
      <c r="C17" s="210"/>
      <c r="D17" s="205">
        <f t="shared" ref="D17:M17" si="20">D21+D41+D19+D18</f>
        <v>1781215.3910000001</v>
      </c>
      <c r="E17" s="205">
        <f t="shared" si="20"/>
        <v>50000</v>
      </c>
      <c r="F17" s="205">
        <f t="shared" si="20"/>
        <v>1731215.3910000001</v>
      </c>
      <c r="G17" s="205">
        <f t="shared" si="20"/>
        <v>1016382</v>
      </c>
      <c r="H17" s="205">
        <f t="shared" si="20"/>
        <v>714833.39100000006</v>
      </c>
      <c r="I17" s="205">
        <f t="shared" si="20"/>
        <v>147950</v>
      </c>
      <c r="J17" s="205">
        <f t="shared" si="20"/>
        <v>0</v>
      </c>
      <c r="K17" s="205">
        <f t="shared" si="20"/>
        <v>0</v>
      </c>
      <c r="L17" s="205">
        <f t="shared" si="20"/>
        <v>0</v>
      </c>
      <c r="M17" s="205">
        <f t="shared" si="20"/>
        <v>0</v>
      </c>
      <c r="N17" s="205">
        <f>N21+N41+N19</f>
        <v>0</v>
      </c>
      <c r="O17" s="205">
        <f>O21+O41+O19</f>
        <v>1160892</v>
      </c>
      <c r="P17" s="205">
        <v>28382.410251999998</v>
      </c>
      <c r="Q17" s="186">
        <f t="shared" si="4"/>
        <v>1.5934294300065363E-2</v>
      </c>
      <c r="R17" s="205">
        <v>109697.32821199998</v>
      </c>
      <c r="S17" s="211">
        <v>6.1704829961840763E-2</v>
      </c>
      <c r="T17" s="211">
        <v>6.4856447852211424E-2</v>
      </c>
      <c r="U17" s="205">
        <v>112854.77096000001</v>
      </c>
      <c r="V17" s="211">
        <v>6.3480893892067611E-2</v>
      </c>
      <c r="W17" s="211">
        <v>6.6723225505503483E-2</v>
      </c>
      <c r="X17" s="205">
        <v>114811.51996000002</v>
      </c>
      <c r="Y17" s="211">
        <v>6.4581566682289634E-2</v>
      </c>
      <c r="Z17" s="211">
        <v>6.7880115937995214E-2</v>
      </c>
      <c r="AA17" s="205">
        <v>115425.985629</v>
      </c>
      <c r="AB17" s="211">
        <v>6.4927204085141937E-2</v>
      </c>
      <c r="AC17" s="211">
        <v>6.8243407015982582E-2</v>
      </c>
      <c r="AD17" s="205">
        <v>189129.65762899999</v>
      </c>
      <c r="AE17" s="211">
        <v>0.10638557524559636</v>
      </c>
      <c r="AF17" s="211">
        <v>0.11181929384475207</v>
      </c>
      <c r="AG17" s="205">
        <v>200562.174271</v>
      </c>
      <c r="AH17" s="211">
        <v>0.11281637449047127</v>
      </c>
      <c r="AI17" s="211">
        <v>0.1185785507154249</v>
      </c>
      <c r="AJ17" s="205">
        <v>200562.174271</v>
      </c>
      <c r="AK17" s="211">
        <v>0.11281637449047127</v>
      </c>
      <c r="AL17" s="211">
        <v>0.1185785507154249</v>
      </c>
      <c r="AM17" s="205">
        <v>210179.65294599999</v>
      </c>
      <c r="AN17" s="211">
        <v>0.11822621350820577</v>
      </c>
      <c r="AO17" s="211">
        <v>0.12426470109230034</v>
      </c>
      <c r="AP17" s="211"/>
      <c r="AQ17" s="205">
        <v>328308.48786399991</v>
      </c>
      <c r="AR17" s="211">
        <v>0.18467377235958143</v>
      </c>
      <c r="AS17" s="211">
        <v>0.19410611607093478</v>
      </c>
      <c r="AT17" s="205">
        <v>328335.72886399995</v>
      </c>
      <c r="AU17" s="211">
        <v>0.18468909544265366</v>
      </c>
      <c r="AV17" s="211">
        <v>0.19412222179132688</v>
      </c>
      <c r="AW17" s="205">
        <v>335512.77871099999</v>
      </c>
      <c r="AX17" s="211">
        <v>0.18872619140164484</v>
      </c>
      <c r="AY17" s="211">
        <v>0.19836551528554128</v>
      </c>
      <c r="AZ17" s="205">
        <f>AZ21+AZ41+AZ19+AZ18</f>
        <v>339579.185711</v>
      </c>
      <c r="BA17" s="211">
        <v>0.19058840958453466</v>
      </c>
      <c r="BB17" s="211">
        <v>0.20032350643489402</v>
      </c>
      <c r="BC17" s="205">
        <v>383848.50755400001</v>
      </c>
      <c r="BD17" s="211">
        <v>0.21549808602232093</v>
      </c>
      <c r="BE17" s="211">
        <v>0.22650544995744745</v>
      </c>
      <c r="BF17" s="205"/>
      <c r="BG17" s="205">
        <v>524443.535776</v>
      </c>
      <c r="BH17" s="211">
        <v>0.29443016180180759</v>
      </c>
      <c r="BI17" s="211">
        <v>0.30946927423315884</v>
      </c>
      <c r="BJ17" s="205">
        <f t="shared" si="5"/>
        <v>1694654.62145</v>
      </c>
      <c r="BK17" s="205">
        <v>593217</v>
      </c>
      <c r="BL17" s="211">
        <f t="shared" si="6"/>
        <v>0.3330405761130098</v>
      </c>
      <c r="BM17" s="211">
        <f t="shared" si="2"/>
        <v>0.35005185864505228</v>
      </c>
      <c r="BN17" s="205">
        <f>BK17-AD17</f>
        <v>404087.34237099998</v>
      </c>
      <c r="BO17" s="205"/>
      <c r="BP17" s="189">
        <f>BP21+BP41+BP19</f>
        <v>0</v>
      </c>
      <c r="BQ17" s="212">
        <f t="shared" si="7"/>
        <v>0</v>
      </c>
      <c r="BR17" s="189">
        <f>BR21+BR41+BR19</f>
        <v>19795</v>
      </c>
      <c r="BS17" s="212">
        <f t="shared" si="8"/>
        <v>1.1113198381295595E-2</v>
      </c>
      <c r="BT17" s="189">
        <f>BT21+BT41+BT19</f>
        <v>135182.25</v>
      </c>
      <c r="BU17" s="186">
        <f t="shared" si="9"/>
        <v>7.5893264050512568E-2</v>
      </c>
      <c r="BV17" s="189">
        <f>BV21+BV41+BV19</f>
        <v>285322.25</v>
      </c>
      <c r="BW17" s="212">
        <f t="shared" si="10"/>
        <v>0.1601840245944742</v>
      </c>
      <c r="BX17" s="189">
        <f>BX21+BX41+BX19</f>
        <v>413777.25</v>
      </c>
      <c r="BY17" s="212">
        <f t="shared" si="11"/>
        <v>0.23230051350931763</v>
      </c>
      <c r="BZ17" s="189">
        <f>BZ21+BZ41+BZ19</f>
        <v>921795.25</v>
      </c>
      <c r="CA17" s="212">
        <f t="shared" si="12"/>
        <v>0.51750914272220094</v>
      </c>
      <c r="CB17" s="189">
        <f>CB21+CB41+CB19</f>
        <v>1048250.25</v>
      </c>
      <c r="CC17" s="212">
        <f t="shared" si="13"/>
        <v>0.58850280280336964</v>
      </c>
      <c r="CD17" s="189">
        <f>CD21+CD41+CD19</f>
        <v>1192722.25</v>
      </c>
      <c r="CE17" s="212">
        <f t="shared" si="14"/>
        <v>0.66961146643269709</v>
      </c>
      <c r="CF17" s="189">
        <f>CF21+CF41+CF19</f>
        <v>1339822.25</v>
      </c>
      <c r="CG17" s="212">
        <f t="shared" si="15"/>
        <v>0.75219552714947313</v>
      </c>
      <c r="CH17" s="189">
        <f>CH21+CH41+CH19</f>
        <v>1451004.25</v>
      </c>
      <c r="CI17" s="212">
        <f t="shared" si="16"/>
        <v>0.81461470484228482</v>
      </c>
      <c r="CJ17" s="189">
        <f>CJ21+CJ41+CJ19</f>
        <v>1550434.25</v>
      </c>
      <c r="CK17" s="212">
        <f t="shared" si="17"/>
        <v>0.87043614030842376</v>
      </c>
      <c r="CL17" s="189">
        <f>CL21+CL41+CL19</f>
        <v>1672676.25</v>
      </c>
      <c r="CM17" s="212">
        <f t="shared" si="18"/>
        <v>0.93906456145145667</v>
      </c>
      <c r="CN17" s="189">
        <f>CN21+CN41+CN19</f>
        <v>1688126.25</v>
      </c>
      <c r="CO17" s="212">
        <f t="shared" si="19"/>
        <v>0.94773841419159388</v>
      </c>
      <c r="CP17" s="213" t="str">
        <f>IF(BM17&gt;34.7%,"Đạt","Không đạt")</f>
        <v>Đạt</v>
      </c>
      <c r="CQ17" s="213" t="str">
        <f>IF(BM17&gt;43.8%,"Đạt","Không đạt")</f>
        <v>Không đạt</v>
      </c>
      <c r="CR17" s="213"/>
      <c r="CS17" s="205">
        <f t="shared" ref="CS17:CS80" si="21">BK17-AZ17</f>
        <v>253637.814289</v>
      </c>
      <c r="CT17" s="213"/>
      <c r="CU17" s="163"/>
      <c r="CV17" s="208"/>
      <c r="CW17" s="195"/>
      <c r="CX17" s="196"/>
      <c r="CY17" s="196"/>
      <c r="CZ17" s="197"/>
      <c r="DA17" s="196"/>
      <c r="DB17" s="196"/>
      <c r="DC17" s="196"/>
      <c r="DE17" s="199"/>
      <c r="DF17" s="200"/>
      <c r="DG17" s="200"/>
      <c r="DH17" s="209"/>
      <c r="DI17" s="209"/>
    </row>
    <row r="18" spans="1:113" s="165" customFormat="1" ht="22.9" hidden="1" customHeight="1" x14ac:dyDescent="0.25">
      <c r="A18" s="191" t="s">
        <v>29</v>
      </c>
      <c r="B18" s="210" t="s">
        <v>154</v>
      </c>
      <c r="C18" s="210"/>
      <c r="D18" s="214">
        <f t="shared" ref="D18:D67" si="22">E18+F18</f>
        <v>3440</v>
      </c>
      <c r="E18" s="205"/>
      <c r="F18" s="214">
        <f>G18+H18+K18+M18</f>
        <v>3440</v>
      </c>
      <c r="G18" s="205">
        <v>3440</v>
      </c>
      <c r="H18" s="205"/>
      <c r="I18" s="205"/>
      <c r="J18" s="205"/>
      <c r="K18" s="205"/>
      <c r="L18" s="205"/>
      <c r="M18" s="205"/>
      <c r="N18" s="205"/>
      <c r="O18" s="205"/>
      <c r="P18" s="205"/>
      <c r="Q18" s="186"/>
      <c r="R18" s="205"/>
      <c r="S18" s="211"/>
      <c r="T18" s="211"/>
      <c r="U18" s="205"/>
      <c r="V18" s="211"/>
      <c r="W18" s="211"/>
      <c r="X18" s="205"/>
      <c r="Y18" s="211"/>
      <c r="Z18" s="211"/>
      <c r="AA18" s="205"/>
      <c r="AB18" s="211"/>
      <c r="AC18" s="211"/>
      <c r="AD18" s="205"/>
      <c r="AE18" s="211"/>
      <c r="AF18" s="211"/>
      <c r="AG18" s="205"/>
      <c r="AH18" s="211"/>
      <c r="AI18" s="211"/>
      <c r="AJ18" s="205"/>
      <c r="AK18" s="211"/>
      <c r="AL18" s="211"/>
      <c r="AM18" s="205"/>
      <c r="AN18" s="211"/>
      <c r="AO18" s="211"/>
      <c r="AP18" s="211"/>
      <c r="AQ18" s="205"/>
      <c r="AR18" s="211"/>
      <c r="AS18" s="211"/>
      <c r="AT18" s="205"/>
      <c r="AU18" s="211"/>
      <c r="AV18" s="211"/>
      <c r="AW18" s="205"/>
      <c r="AX18" s="211"/>
      <c r="AY18" s="211"/>
      <c r="AZ18" s="205">
        <v>458</v>
      </c>
      <c r="BA18" s="211">
        <v>1</v>
      </c>
      <c r="BB18" s="211"/>
      <c r="BC18" s="205">
        <v>3440</v>
      </c>
      <c r="BD18" s="211">
        <v>1</v>
      </c>
      <c r="BE18" s="211"/>
      <c r="BF18" s="205"/>
      <c r="BG18" s="205">
        <v>3440</v>
      </c>
      <c r="BH18" s="211">
        <v>1</v>
      </c>
      <c r="BI18" s="211"/>
      <c r="BJ18" s="205">
        <f t="shared" si="5"/>
        <v>3268</v>
      </c>
      <c r="BK18" s="205">
        <v>3440</v>
      </c>
      <c r="BL18" s="211">
        <f t="shared" si="6"/>
        <v>1</v>
      </c>
      <c r="BM18" s="211"/>
      <c r="BN18" s="205"/>
      <c r="BO18" s="205"/>
      <c r="BP18" s="189"/>
      <c r="BQ18" s="212"/>
      <c r="BR18" s="189"/>
      <c r="BS18" s="212"/>
      <c r="BT18" s="189"/>
      <c r="BU18" s="186"/>
      <c r="BV18" s="189"/>
      <c r="BW18" s="212"/>
      <c r="BX18" s="189"/>
      <c r="BY18" s="212"/>
      <c r="BZ18" s="189"/>
      <c r="CA18" s="212"/>
      <c r="CB18" s="189"/>
      <c r="CC18" s="212"/>
      <c r="CD18" s="189"/>
      <c r="CE18" s="212"/>
      <c r="CF18" s="189"/>
      <c r="CG18" s="212"/>
      <c r="CH18" s="189"/>
      <c r="CI18" s="212"/>
      <c r="CJ18" s="189"/>
      <c r="CK18" s="212"/>
      <c r="CL18" s="189"/>
      <c r="CM18" s="212"/>
      <c r="CN18" s="189"/>
      <c r="CO18" s="212"/>
      <c r="CP18" s="213" t="str">
        <f t="shared" ref="CP18:CP81" si="23">IF(BM18&gt;34.7%,"Đạt","Không đạt")</f>
        <v>Không đạt</v>
      </c>
      <c r="CQ18" s="213" t="str">
        <f t="shared" ref="CQ18:CQ81" si="24">IF(BM18&gt;43.8%,"Đạt","Không đạt")</f>
        <v>Không đạt</v>
      </c>
      <c r="CR18" s="213"/>
      <c r="CS18" s="205">
        <f t="shared" si="21"/>
        <v>2982</v>
      </c>
      <c r="CT18" s="213"/>
      <c r="CU18" s="163"/>
      <c r="CV18" s="208"/>
      <c r="CW18" s="195"/>
      <c r="CX18" s="196"/>
      <c r="CY18" s="196"/>
      <c r="CZ18" s="197"/>
      <c r="DA18" s="196"/>
      <c r="DB18" s="196"/>
      <c r="DC18" s="196"/>
      <c r="DE18" s="199"/>
      <c r="DF18" s="200"/>
      <c r="DG18" s="200"/>
      <c r="DH18" s="209"/>
      <c r="DI18" s="209"/>
    </row>
    <row r="19" spans="1:113" s="219" customFormat="1" ht="30" customHeight="1" outlineLevel="1" x14ac:dyDescent="0.25">
      <c r="A19" s="191" t="s">
        <v>29</v>
      </c>
      <c r="B19" s="210" t="s">
        <v>155</v>
      </c>
      <c r="C19" s="210"/>
      <c r="D19" s="205">
        <f t="shared" ref="D19:I19" si="25">D20</f>
        <v>50000</v>
      </c>
      <c r="E19" s="205">
        <f t="shared" si="25"/>
        <v>50000</v>
      </c>
      <c r="F19" s="205">
        <f t="shared" si="25"/>
        <v>0</v>
      </c>
      <c r="G19" s="205">
        <f t="shared" si="25"/>
        <v>0</v>
      </c>
      <c r="H19" s="205">
        <f t="shared" si="25"/>
        <v>0</v>
      </c>
      <c r="I19" s="205">
        <f t="shared" si="25"/>
        <v>0</v>
      </c>
      <c r="J19" s="205"/>
      <c r="K19" s="205">
        <f>K20</f>
        <v>0</v>
      </c>
      <c r="L19" s="205">
        <f>L20</f>
        <v>0</v>
      </c>
      <c r="M19" s="205">
        <f>M20</f>
        <v>0</v>
      </c>
      <c r="N19" s="205">
        <f>N20</f>
        <v>0</v>
      </c>
      <c r="O19" s="205">
        <f>O20</f>
        <v>0</v>
      </c>
      <c r="P19" s="205">
        <v>638.42499999999995</v>
      </c>
      <c r="Q19" s="186">
        <f t="shared" si="4"/>
        <v>1.2768499999999999E-2</v>
      </c>
      <c r="R19" s="205">
        <v>638.42499999999995</v>
      </c>
      <c r="S19" s="211">
        <v>1.2768499999999999E-2</v>
      </c>
      <c r="T19" s="211">
        <v>1.2768499999999999E-2</v>
      </c>
      <c r="U19" s="205">
        <v>638.42499999999995</v>
      </c>
      <c r="V19" s="211">
        <v>1.2768499999999999E-2</v>
      </c>
      <c r="W19" s="211">
        <v>1.2768499999999999E-2</v>
      </c>
      <c r="X19" s="205">
        <v>638.42499999999995</v>
      </c>
      <c r="Y19" s="211">
        <v>1.2768499999999999E-2</v>
      </c>
      <c r="Z19" s="211">
        <v>1.2768499999999999E-2</v>
      </c>
      <c r="AA19" s="205">
        <v>638.42499999999995</v>
      </c>
      <c r="AB19" s="211">
        <v>1.2768499999999999E-2</v>
      </c>
      <c r="AC19" s="211">
        <v>1.2768499999999999E-2</v>
      </c>
      <c r="AD19" s="205">
        <v>50000</v>
      </c>
      <c r="AE19" s="211">
        <v>1</v>
      </c>
      <c r="AF19" s="211">
        <v>1</v>
      </c>
      <c r="AG19" s="205">
        <v>50000</v>
      </c>
      <c r="AH19" s="211">
        <v>1</v>
      </c>
      <c r="AI19" s="211">
        <v>1</v>
      </c>
      <c r="AJ19" s="215">
        <v>50000</v>
      </c>
      <c r="AK19" s="211">
        <v>1</v>
      </c>
      <c r="AL19" s="211">
        <v>1</v>
      </c>
      <c r="AM19" s="205">
        <v>50000</v>
      </c>
      <c r="AN19" s="211">
        <v>1</v>
      </c>
      <c r="AO19" s="211">
        <v>1</v>
      </c>
      <c r="AP19" s="211"/>
      <c r="AQ19" s="205">
        <v>50000</v>
      </c>
      <c r="AR19" s="211">
        <v>1</v>
      </c>
      <c r="AS19" s="211">
        <v>1</v>
      </c>
      <c r="AT19" s="205">
        <v>50000</v>
      </c>
      <c r="AU19" s="211">
        <v>1</v>
      </c>
      <c r="AV19" s="211">
        <v>1</v>
      </c>
      <c r="AW19" s="205">
        <v>50000</v>
      </c>
      <c r="AX19" s="211">
        <v>1</v>
      </c>
      <c r="AY19" s="211">
        <v>1</v>
      </c>
      <c r="AZ19" s="205">
        <v>50000</v>
      </c>
      <c r="BA19" s="211">
        <v>1</v>
      </c>
      <c r="BB19" s="211">
        <v>1</v>
      </c>
      <c r="BC19" s="205">
        <v>50000</v>
      </c>
      <c r="BD19" s="211">
        <v>1</v>
      </c>
      <c r="BE19" s="211">
        <v>1</v>
      </c>
      <c r="BF19" s="205"/>
      <c r="BG19" s="205">
        <v>50000</v>
      </c>
      <c r="BH19" s="211">
        <v>1</v>
      </c>
      <c r="BI19" s="211">
        <v>1</v>
      </c>
      <c r="BJ19" s="205">
        <f t="shared" si="5"/>
        <v>50000</v>
      </c>
      <c r="BK19" s="205">
        <f>BK20</f>
        <v>50000</v>
      </c>
      <c r="BL19" s="211">
        <f t="shared" si="6"/>
        <v>1</v>
      </c>
      <c r="BM19" s="211">
        <f t="shared" si="2"/>
        <v>1</v>
      </c>
      <c r="BN19" s="205">
        <f t="shared" ref="BN19:BN69" si="26">BK19-AD19</f>
        <v>0</v>
      </c>
      <c r="BO19" s="205"/>
      <c r="BP19" s="189">
        <f>BP20</f>
        <v>0</v>
      </c>
      <c r="BQ19" s="212">
        <f t="shared" si="7"/>
        <v>0</v>
      </c>
      <c r="BR19" s="189">
        <f>BR20</f>
        <v>0</v>
      </c>
      <c r="BS19" s="212">
        <f t="shared" si="8"/>
        <v>0</v>
      </c>
      <c r="BT19" s="189">
        <f>BT20</f>
        <v>0</v>
      </c>
      <c r="BU19" s="186">
        <f t="shared" si="9"/>
        <v>0</v>
      </c>
      <c r="BV19" s="189">
        <f>BV20</f>
        <v>0</v>
      </c>
      <c r="BW19" s="212">
        <f t="shared" si="10"/>
        <v>0</v>
      </c>
      <c r="BX19" s="189">
        <f>BX20</f>
        <v>0</v>
      </c>
      <c r="BY19" s="212">
        <f t="shared" si="11"/>
        <v>0</v>
      </c>
      <c r="BZ19" s="189">
        <f>BZ20</f>
        <v>0</v>
      </c>
      <c r="CA19" s="212">
        <f t="shared" si="12"/>
        <v>0</v>
      </c>
      <c r="CB19" s="189">
        <f>CB20</f>
        <v>0</v>
      </c>
      <c r="CC19" s="212">
        <f t="shared" si="13"/>
        <v>0</v>
      </c>
      <c r="CD19" s="189">
        <f>CD20</f>
        <v>0</v>
      </c>
      <c r="CE19" s="212">
        <f t="shared" si="14"/>
        <v>0</v>
      </c>
      <c r="CF19" s="189">
        <f>CF20</f>
        <v>0</v>
      </c>
      <c r="CG19" s="212">
        <f t="shared" si="15"/>
        <v>0</v>
      </c>
      <c r="CH19" s="189">
        <f>CH20</f>
        <v>0</v>
      </c>
      <c r="CI19" s="212">
        <f t="shared" si="16"/>
        <v>0</v>
      </c>
      <c r="CJ19" s="189">
        <f>CJ20</f>
        <v>10000</v>
      </c>
      <c r="CK19" s="212">
        <f t="shared" si="17"/>
        <v>0.2</v>
      </c>
      <c r="CL19" s="189">
        <f>CL20</f>
        <v>40000</v>
      </c>
      <c r="CM19" s="212">
        <f t="shared" si="18"/>
        <v>0.8</v>
      </c>
      <c r="CN19" s="189">
        <f>CN20</f>
        <v>50000</v>
      </c>
      <c r="CO19" s="212">
        <f t="shared" si="19"/>
        <v>1</v>
      </c>
      <c r="CP19" s="213" t="str">
        <f t="shared" si="23"/>
        <v>Đạt</v>
      </c>
      <c r="CQ19" s="213" t="str">
        <f t="shared" si="24"/>
        <v>Đạt</v>
      </c>
      <c r="CR19" s="213"/>
      <c r="CS19" s="205">
        <f t="shared" si="21"/>
        <v>0</v>
      </c>
      <c r="CT19" s="213"/>
      <c r="CU19" s="216"/>
      <c r="CV19" s="217"/>
      <c r="CW19" s="218"/>
      <c r="CX19" s="196"/>
      <c r="CY19" s="196"/>
      <c r="CZ19" s="197"/>
      <c r="DA19" s="196"/>
      <c r="DB19" s="196"/>
      <c r="DC19" s="196"/>
      <c r="DE19" s="199"/>
      <c r="DF19" s="200"/>
      <c r="DG19" s="200"/>
      <c r="DH19" s="220"/>
    </row>
    <row r="20" spans="1:113" s="165" customFormat="1" ht="30" customHeight="1" outlineLevel="1" x14ac:dyDescent="0.25">
      <c r="A20" s="221">
        <v>1</v>
      </c>
      <c r="B20" s="222" t="s">
        <v>156</v>
      </c>
      <c r="C20" s="222">
        <v>8084230</v>
      </c>
      <c r="D20" s="214">
        <f t="shared" si="22"/>
        <v>50000</v>
      </c>
      <c r="E20" s="215">
        <v>50000</v>
      </c>
      <c r="F20" s="215"/>
      <c r="G20" s="215"/>
      <c r="H20" s="215"/>
      <c r="I20" s="215"/>
      <c r="J20" s="215"/>
      <c r="K20" s="215"/>
      <c r="L20" s="215"/>
      <c r="M20" s="223"/>
      <c r="N20" s="223"/>
      <c r="O20" s="215"/>
      <c r="P20" s="215">
        <v>638.42499999999995</v>
      </c>
      <c r="Q20" s="224">
        <f t="shared" si="4"/>
        <v>1.2768499999999999E-2</v>
      </c>
      <c r="R20" s="215">
        <v>638.42499999999995</v>
      </c>
      <c r="S20" s="225">
        <v>1.2768499999999999E-2</v>
      </c>
      <c r="T20" s="225">
        <v>1.2768499999999999E-2</v>
      </c>
      <c r="U20" s="215">
        <v>638.42499999999995</v>
      </c>
      <c r="V20" s="225">
        <v>1.2768499999999999E-2</v>
      </c>
      <c r="W20" s="225">
        <v>1.2768499999999999E-2</v>
      </c>
      <c r="X20" s="215">
        <v>638.42499999999995</v>
      </c>
      <c r="Y20" s="225">
        <v>1.2768499999999999E-2</v>
      </c>
      <c r="Z20" s="225">
        <v>1.2768499999999999E-2</v>
      </c>
      <c r="AA20" s="215">
        <v>638.42499999999995</v>
      </c>
      <c r="AB20" s="225">
        <v>1.2768499999999999E-2</v>
      </c>
      <c r="AC20" s="225">
        <v>1.2768499999999999E-2</v>
      </c>
      <c r="AD20" s="215">
        <v>50000</v>
      </c>
      <c r="AE20" s="225">
        <v>1</v>
      </c>
      <c r="AF20" s="225">
        <v>1</v>
      </c>
      <c r="AG20" s="215">
        <v>50000</v>
      </c>
      <c r="AH20" s="225">
        <v>1</v>
      </c>
      <c r="AI20" s="225">
        <v>1</v>
      </c>
      <c r="AJ20" s="226">
        <v>50000</v>
      </c>
      <c r="AK20" s="225">
        <v>1</v>
      </c>
      <c r="AL20" s="225">
        <v>1</v>
      </c>
      <c r="AM20" s="215">
        <v>50000</v>
      </c>
      <c r="AN20" s="225">
        <v>1</v>
      </c>
      <c r="AO20" s="225">
        <v>1</v>
      </c>
      <c r="AP20" s="225"/>
      <c r="AQ20" s="215">
        <v>50000</v>
      </c>
      <c r="AR20" s="225">
        <v>1</v>
      </c>
      <c r="AS20" s="225">
        <v>1</v>
      </c>
      <c r="AT20" s="215">
        <v>50000</v>
      </c>
      <c r="AU20" s="225">
        <v>1</v>
      </c>
      <c r="AV20" s="225">
        <v>1</v>
      </c>
      <c r="AW20" s="215">
        <v>50000</v>
      </c>
      <c r="AX20" s="225">
        <v>1</v>
      </c>
      <c r="AY20" s="225">
        <v>1</v>
      </c>
      <c r="AZ20" s="215">
        <v>50000</v>
      </c>
      <c r="BA20" s="225">
        <v>1</v>
      </c>
      <c r="BB20" s="225">
        <v>1</v>
      </c>
      <c r="BC20" s="215">
        <v>50000</v>
      </c>
      <c r="BD20" s="225">
        <v>1</v>
      </c>
      <c r="BE20" s="225">
        <v>1</v>
      </c>
      <c r="BF20" s="215"/>
      <c r="BG20" s="215">
        <v>50000</v>
      </c>
      <c r="BH20" s="225">
        <v>1</v>
      </c>
      <c r="BI20" s="225">
        <v>1</v>
      </c>
      <c r="BJ20" s="215">
        <f t="shared" si="5"/>
        <v>50000</v>
      </c>
      <c r="BK20" s="215">
        <v>50000</v>
      </c>
      <c r="BL20" s="225">
        <f t="shared" si="6"/>
        <v>1</v>
      </c>
      <c r="BM20" s="225">
        <f t="shared" si="2"/>
        <v>1</v>
      </c>
      <c r="BN20" s="205">
        <f t="shared" si="26"/>
        <v>0</v>
      </c>
      <c r="BO20" s="205"/>
      <c r="BP20" s="227"/>
      <c r="BQ20" s="224">
        <f t="shared" si="7"/>
        <v>0</v>
      </c>
      <c r="BR20" s="227"/>
      <c r="BS20" s="224">
        <f t="shared" si="8"/>
        <v>0</v>
      </c>
      <c r="BT20" s="227"/>
      <c r="BU20" s="224">
        <f t="shared" si="9"/>
        <v>0</v>
      </c>
      <c r="BV20" s="227"/>
      <c r="BW20" s="224">
        <f t="shared" si="10"/>
        <v>0</v>
      </c>
      <c r="BX20" s="227"/>
      <c r="BY20" s="224">
        <f t="shared" si="11"/>
        <v>0</v>
      </c>
      <c r="BZ20" s="227"/>
      <c r="CA20" s="224">
        <f t="shared" si="12"/>
        <v>0</v>
      </c>
      <c r="CB20" s="227"/>
      <c r="CC20" s="224">
        <f t="shared" si="13"/>
        <v>0</v>
      </c>
      <c r="CD20" s="227"/>
      <c r="CE20" s="224">
        <f t="shared" si="14"/>
        <v>0</v>
      </c>
      <c r="CF20" s="227"/>
      <c r="CG20" s="224">
        <f t="shared" si="15"/>
        <v>0</v>
      </c>
      <c r="CH20" s="227"/>
      <c r="CI20" s="224">
        <f t="shared" si="16"/>
        <v>0</v>
      </c>
      <c r="CJ20" s="227">
        <v>10000</v>
      </c>
      <c r="CK20" s="224">
        <f t="shared" si="17"/>
        <v>0.2</v>
      </c>
      <c r="CL20" s="227">
        <v>40000</v>
      </c>
      <c r="CM20" s="224">
        <f t="shared" si="18"/>
        <v>0.8</v>
      </c>
      <c r="CN20" s="227">
        <v>50000</v>
      </c>
      <c r="CO20" s="224">
        <f t="shared" si="19"/>
        <v>1</v>
      </c>
      <c r="CP20" s="213" t="str">
        <f t="shared" si="23"/>
        <v>Đạt</v>
      </c>
      <c r="CQ20" s="213" t="str">
        <f t="shared" si="24"/>
        <v>Đạt</v>
      </c>
      <c r="CR20" s="192"/>
      <c r="CS20" s="215">
        <f t="shared" si="21"/>
        <v>0</v>
      </c>
      <c r="CT20" s="192"/>
      <c r="CU20" s="163"/>
      <c r="CV20" s="228"/>
      <c r="CW20" s="195"/>
      <c r="CX20" s="196"/>
      <c r="CY20" s="196"/>
      <c r="CZ20" s="197"/>
      <c r="DA20" s="196"/>
      <c r="DB20" s="196"/>
      <c r="DC20" s="196"/>
      <c r="DE20" s="199"/>
      <c r="DF20" s="200"/>
      <c r="DG20" s="181"/>
    </row>
    <row r="21" spans="1:113" s="234" customFormat="1" ht="19.5" customHeight="1" outlineLevel="1" x14ac:dyDescent="0.25">
      <c r="A21" s="191" t="s">
        <v>29</v>
      </c>
      <c r="B21" s="210" t="s">
        <v>157</v>
      </c>
      <c r="C21" s="210"/>
      <c r="D21" s="226">
        <f t="shared" ref="D21:I21" si="27">SUM(D22:D40)</f>
        <v>1525070.3910000001</v>
      </c>
      <c r="E21" s="226">
        <f t="shared" si="27"/>
        <v>0</v>
      </c>
      <c r="F21" s="226">
        <f t="shared" si="27"/>
        <v>1525070.3910000001</v>
      </c>
      <c r="G21" s="226">
        <f t="shared" si="27"/>
        <v>951763</v>
      </c>
      <c r="H21" s="226">
        <f t="shared" si="27"/>
        <v>573307.39100000006</v>
      </c>
      <c r="I21" s="229">
        <f t="shared" si="27"/>
        <v>135950</v>
      </c>
      <c r="J21" s="229"/>
      <c r="K21" s="226">
        <f>SUM(K22:K40)</f>
        <v>0</v>
      </c>
      <c r="L21" s="229">
        <f>SUM(L22:L40)</f>
        <v>0</v>
      </c>
      <c r="M21" s="223"/>
      <c r="N21" s="223"/>
      <c r="O21" s="229">
        <f>SUM(O22:O40)</f>
        <v>1087713</v>
      </c>
      <c r="P21" s="229">
        <f>SUM(P22:P40)</f>
        <v>27078.295252</v>
      </c>
      <c r="Q21" s="212">
        <f t="shared" si="4"/>
        <v>1.7755439625474965E-2</v>
      </c>
      <c r="R21" s="226">
        <v>101166.46121199998</v>
      </c>
      <c r="S21" s="211">
        <v>6.6244166719944209E-2</v>
      </c>
      <c r="T21" s="211">
        <v>6.9730701810467588E-2</v>
      </c>
      <c r="U21" s="226">
        <v>103643.24996</v>
      </c>
      <c r="V21" s="211">
        <v>6.7865976999625446E-2</v>
      </c>
      <c r="W21" s="211">
        <v>7.1437870525921529E-2</v>
      </c>
      <c r="X21" s="226">
        <v>105599.99896000001</v>
      </c>
      <c r="Y21" s="211">
        <v>6.9147263361055561E-2</v>
      </c>
      <c r="Z21" s="211">
        <v>7.2786593011637438E-2</v>
      </c>
      <c r="AA21" s="226">
        <v>106214.46462899999</v>
      </c>
      <c r="AB21" s="211">
        <v>6.9549617715782053E-2</v>
      </c>
      <c r="AC21" s="211">
        <v>7.3210123911349539E-2</v>
      </c>
      <c r="AD21" s="226">
        <v>130556.561629</v>
      </c>
      <c r="AE21" s="211">
        <v>8.5488911357791783E-2</v>
      </c>
      <c r="AF21" s="211">
        <v>8.9988327745043978E-2</v>
      </c>
      <c r="AG21" s="226">
        <v>141989.07827100001</v>
      </c>
      <c r="AH21" s="211">
        <v>9.2974964832313753E-2</v>
      </c>
      <c r="AI21" s="211">
        <v>9.7868384034014475E-2</v>
      </c>
      <c r="AJ21" s="214">
        <v>141989.07827100001</v>
      </c>
      <c r="AK21" s="211">
        <v>9.2974964832313753E-2</v>
      </c>
      <c r="AL21" s="211">
        <v>9.7868384034014475E-2</v>
      </c>
      <c r="AM21" s="226">
        <v>151145.92194599999</v>
      </c>
      <c r="AN21" s="211">
        <v>9.8970899371963475E-2</v>
      </c>
      <c r="AO21" s="211">
        <v>0.10417989407575104</v>
      </c>
      <c r="AP21" s="211"/>
      <c r="AQ21" s="226">
        <v>269274.75686399994</v>
      </c>
      <c r="AR21" s="211">
        <v>0.17632209008271005</v>
      </c>
      <c r="AS21" s="211">
        <v>0.18560220008706321</v>
      </c>
      <c r="AT21" s="226">
        <v>269301.99786399992</v>
      </c>
      <c r="AU21" s="211">
        <v>0.17633992758857905</v>
      </c>
      <c r="AV21" s="211">
        <v>0.18562097640903061</v>
      </c>
      <c r="AW21" s="226">
        <v>276479.04771099996</v>
      </c>
      <c r="AX21" s="211">
        <v>0.18103948592961577</v>
      </c>
      <c r="AY21" s="211">
        <v>0.19056787992591134</v>
      </c>
      <c r="AZ21" s="226">
        <f>SUM(AZ22:AZ40)</f>
        <v>280087.45471099997</v>
      </c>
      <c r="BA21" s="211">
        <v>0.18110599760901985</v>
      </c>
      <c r="BB21" s="211">
        <v>0.19063789222002092</v>
      </c>
      <c r="BC21" s="226">
        <v>321374.77655399998</v>
      </c>
      <c r="BD21" s="211">
        <v>0.21043737245108604</v>
      </c>
      <c r="BE21" s="211">
        <v>0.22151302363272218</v>
      </c>
      <c r="BF21" s="226"/>
      <c r="BG21" s="226">
        <v>459933.63477599999</v>
      </c>
      <c r="BH21" s="211">
        <v>0.30158190565513376</v>
      </c>
      <c r="BI21" s="211">
        <v>0.31745463753171976</v>
      </c>
      <c r="BJ21" s="226">
        <f t="shared" si="5"/>
        <v>1448816.87145</v>
      </c>
      <c r="BK21" s="226">
        <f>SUM(BK22:BK40)</f>
        <v>488219.96124599996</v>
      </c>
      <c r="BL21" s="211">
        <f t="shared" si="6"/>
        <v>0.32012946033649664</v>
      </c>
      <c r="BM21" s="211">
        <f t="shared" si="2"/>
        <v>0.33697837930157543</v>
      </c>
      <c r="BN21" s="205">
        <f t="shared" si="26"/>
        <v>357663.39961699996</v>
      </c>
      <c r="BO21" s="205"/>
      <c r="BP21" s="230">
        <f>SUM(BP22:BP40)</f>
        <v>0</v>
      </c>
      <c r="BQ21" s="212">
        <f t="shared" si="7"/>
        <v>0</v>
      </c>
      <c r="BR21" s="230">
        <f>SUM(BR22:BR40)</f>
        <v>11200</v>
      </c>
      <c r="BS21" s="212">
        <f t="shared" si="8"/>
        <v>7.3439233140288537E-3</v>
      </c>
      <c r="BT21" s="230">
        <f>SUM(BT22:BT40)</f>
        <v>88680.25</v>
      </c>
      <c r="BU21" s="212">
        <f t="shared" si="9"/>
        <v>5.8148299595438144E-2</v>
      </c>
      <c r="BV21" s="230">
        <f>SUM(BV22:BV40)</f>
        <v>212330.25</v>
      </c>
      <c r="BW21" s="212">
        <f t="shared" si="10"/>
        <v>0.13922652439719418</v>
      </c>
      <c r="BX21" s="230">
        <f>SUM(BX22:BX40)</f>
        <v>329459.25</v>
      </c>
      <c r="BY21" s="212">
        <f t="shared" si="11"/>
        <v>0.21602888099084469</v>
      </c>
      <c r="BZ21" s="230">
        <f>SUM(BZ22:BZ40)</f>
        <v>821574.25</v>
      </c>
      <c r="CA21" s="212">
        <f t="shared" si="12"/>
        <v>0.53871234721256878</v>
      </c>
      <c r="CB21" s="230">
        <f>SUM(CB22:CB40)</f>
        <v>935785.25</v>
      </c>
      <c r="CC21" s="212">
        <f t="shared" si="13"/>
        <v>0.61360134949993927</v>
      </c>
      <c r="CD21" s="230">
        <f>SUM(CD22:CD40)</f>
        <v>1066485.25</v>
      </c>
      <c r="CE21" s="212">
        <f t="shared" si="14"/>
        <v>0.69930231174490098</v>
      </c>
      <c r="CF21" s="230">
        <f>SUM(CF22:CF40)</f>
        <v>1194735.25</v>
      </c>
      <c r="CG21" s="212">
        <f t="shared" si="15"/>
        <v>0.78339679076491886</v>
      </c>
      <c r="CH21" s="230">
        <f>SUM(CH22:CH40)</f>
        <v>1298224.25</v>
      </c>
      <c r="CI21" s="212">
        <f t="shared" si="16"/>
        <v>0.85125529789398424</v>
      </c>
      <c r="CJ21" s="230">
        <f>SUM(CJ22:CJ40)</f>
        <v>1379874.25</v>
      </c>
      <c r="CK21" s="212">
        <f t="shared" si="17"/>
        <v>0.90479381026813199</v>
      </c>
      <c r="CL21" s="230">
        <f>SUM(CL22:CL40)</f>
        <v>1450816.25</v>
      </c>
      <c r="CM21" s="212">
        <f t="shared" si="18"/>
        <v>0.95131100738811725</v>
      </c>
      <c r="CN21" s="230">
        <f>SUM(CN22:CN40)</f>
        <v>1450816.25</v>
      </c>
      <c r="CO21" s="212">
        <f t="shared" si="19"/>
        <v>0.95131100738811725</v>
      </c>
      <c r="CP21" s="213" t="str">
        <f t="shared" si="23"/>
        <v>Không đạt</v>
      </c>
      <c r="CQ21" s="213" t="str">
        <f t="shared" si="24"/>
        <v>Không đạt</v>
      </c>
      <c r="CR21" s="213"/>
      <c r="CS21" s="226">
        <f t="shared" si="21"/>
        <v>208132.50653499999</v>
      </c>
      <c r="CT21" s="231"/>
      <c r="CU21" s="163"/>
      <c r="CV21" s="232"/>
      <c r="CW21" s="195"/>
      <c r="CX21" s="196"/>
      <c r="CY21" s="196"/>
      <c r="CZ21" s="197"/>
      <c r="DA21" s="196"/>
      <c r="DB21" s="196"/>
      <c r="DC21" s="196"/>
      <c r="DD21" s="233"/>
      <c r="DE21" s="199"/>
      <c r="DF21" s="200"/>
      <c r="DG21" s="181"/>
    </row>
    <row r="22" spans="1:113" s="233" customFormat="1" ht="25.5" outlineLevel="1" x14ac:dyDescent="0.25">
      <c r="A22" s="192">
        <f>MAX(A$17:$B21)+1</f>
        <v>2</v>
      </c>
      <c r="B22" s="222" t="s">
        <v>158</v>
      </c>
      <c r="C22" s="222">
        <v>7366586</v>
      </c>
      <c r="D22" s="214">
        <f t="shared" si="22"/>
        <v>7000</v>
      </c>
      <c r="E22" s="214"/>
      <c r="F22" s="214">
        <f t="shared" ref="F22:F40" si="28">G22+H22+K22+M22</f>
        <v>7000</v>
      </c>
      <c r="G22" s="214">
        <v>7000</v>
      </c>
      <c r="H22" s="214"/>
      <c r="I22" s="235"/>
      <c r="J22" s="235"/>
      <c r="K22" s="223"/>
      <c r="L22" s="235"/>
      <c r="M22" s="223"/>
      <c r="N22" s="223"/>
      <c r="O22" s="214">
        <f t="shared" ref="O22:O88" si="29">G22+I22+L22+N22</f>
        <v>7000</v>
      </c>
      <c r="P22" s="214">
        <v>0</v>
      </c>
      <c r="Q22" s="224">
        <f t="shared" si="4"/>
        <v>0</v>
      </c>
      <c r="R22" s="214"/>
      <c r="S22" s="225">
        <v>0</v>
      </c>
      <c r="T22" s="225">
        <v>0</v>
      </c>
      <c r="U22" s="214"/>
      <c r="V22" s="225">
        <v>0</v>
      </c>
      <c r="W22" s="225">
        <v>0</v>
      </c>
      <c r="X22" s="214"/>
      <c r="Y22" s="225">
        <v>0</v>
      </c>
      <c r="Z22" s="225">
        <v>0</v>
      </c>
      <c r="AA22" s="214"/>
      <c r="AB22" s="225">
        <v>0</v>
      </c>
      <c r="AC22" s="225">
        <v>0</v>
      </c>
      <c r="AD22" s="214"/>
      <c r="AE22" s="225">
        <v>0</v>
      </c>
      <c r="AF22" s="225">
        <v>0</v>
      </c>
      <c r="AG22" s="214"/>
      <c r="AH22" s="225">
        <v>0</v>
      </c>
      <c r="AI22" s="225">
        <v>0</v>
      </c>
      <c r="AJ22" s="214"/>
      <c r="AK22" s="225">
        <v>0</v>
      </c>
      <c r="AL22" s="225">
        <v>0</v>
      </c>
      <c r="AM22" s="214"/>
      <c r="AN22" s="225">
        <v>0</v>
      </c>
      <c r="AO22" s="225">
        <v>0</v>
      </c>
      <c r="AP22" s="225"/>
      <c r="AQ22" s="214"/>
      <c r="AR22" s="225">
        <v>0</v>
      </c>
      <c r="AS22" s="225">
        <v>0</v>
      </c>
      <c r="AT22" s="214"/>
      <c r="AU22" s="225">
        <v>0</v>
      </c>
      <c r="AV22" s="225">
        <v>0</v>
      </c>
      <c r="AW22" s="214"/>
      <c r="AX22" s="225">
        <v>0</v>
      </c>
      <c r="AY22" s="225">
        <v>0</v>
      </c>
      <c r="AZ22" s="214"/>
      <c r="BA22" s="225">
        <v>0</v>
      </c>
      <c r="BB22" s="225">
        <v>0</v>
      </c>
      <c r="BC22" s="214"/>
      <c r="BD22" s="225">
        <v>0</v>
      </c>
      <c r="BE22" s="225">
        <v>0</v>
      </c>
      <c r="BF22" s="214"/>
      <c r="BG22" s="214"/>
      <c r="BH22" s="225">
        <v>0</v>
      </c>
      <c r="BI22" s="225">
        <v>0</v>
      </c>
      <c r="BJ22" s="214">
        <f t="shared" si="5"/>
        <v>6650</v>
      </c>
      <c r="BK22" s="214"/>
      <c r="BL22" s="225">
        <f t="shared" si="6"/>
        <v>0</v>
      </c>
      <c r="BM22" s="225">
        <f t="shared" si="2"/>
        <v>0</v>
      </c>
      <c r="BN22" s="205">
        <f t="shared" si="26"/>
        <v>0</v>
      </c>
      <c r="BO22" s="205"/>
      <c r="BP22" s="227"/>
      <c r="BQ22" s="224">
        <f t="shared" si="7"/>
        <v>0</v>
      </c>
      <c r="BR22" s="227"/>
      <c r="BS22" s="224">
        <f t="shared" si="8"/>
        <v>0</v>
      </c>
      <c r="BT22" s="227"/>
      <c r="BU22" s="224">
        <f t="shared" si="9"/>
        <v>0</v>
      </c>
      <c r="BV22" s="227">
        <v>1000</v>
      </c>
      <c r="BW22" s="224">
        <f t="shared" si="10"/>
        <v>0.14285714285714285</v>
      </c>
      <c r="BX22" s="227">
        <v>2000</v>
      </c>
      <c r="BY22" s="224">
        <f t="shared" si="11"/>
        <v>0.2857142857142857</v>
      </c>
      <c r="BZ22" s="227">
        <v>2500</v>
      </c>
      <c r="CA22" s="224">
        <f t="shared" si="12"/>
        <v>0.35714285714285715</v>
      </c>
      <c r="CB22" s="227">
        <v>3000</v>
      </c>
      <c r="CC22" s="224">
        <f t="shared" si="13"/>
        <v>0.42857142857142855</v>
      </c>
      <c r="CD22" s="227">
        <v>4000</v>
      </c>
      <c r="CE22" s="224">
        <f t="shared" si="14"/>
        <v>0.5714285714285714</v>
      </c>
      <c r="CF22" s="227">
        <v>5500</v>
      </c>
      <c r="CG22" s="224">
        <f t="shared" si="15"/>
        <v>0.7857142857142857</v>
      </c>
      <c r="CH22" s="227">
        <v>6000</v>
      </c>
      <c r="CI22" s="224">
        <f t="shared" si="16"/>
        <v>0.8571428571428571</v>
      </c>
      <c r="CJ22" s="227">
        <v>6500</v>
      </c>
      <c r="CK22" s="224">
        <f t="shared" si="17"/>
        <v>0.9285714285714286</v>
      </c>
      <c r="CL22" s="227">
        <v>6650</v>
      </c>
      <c r="CM22" s="224">
        <f t="shared" si="18"/>
        <v>0.95</v>
      </c>
      <c r="CN22" s="227">
        <v>6650</v>
      </c>
      <c r="CO22" s="224">
        <f t="shared" si="19"/>
        <v>0.95</v>
      </c>
      <c r="CP22" s="213" t="str">
        <f t="shared" si="23"/>
        <v>Không đạt</v>
      </c>
      <c r="CQ22" s="213" t="str">
        <f t="shared" si="24"/>
        <v>Không đạt</v>
      </c>
      <c r="CR22" s="192"/>
      <c r="CS22" s="214">
        <f t="shared" si="21"/>
        <v>0</v>
      </c>
      <c r="CT22" s="223"/>
      <c r="CU22" s="163"/>
      <c r="CV22" s="232"/>
      <c r="CW22" s="195"/>
      <c r="CX22" s="196"/>
      <c r="CY22" s="196"/>
      <c r="CZ22" s="197"/>
      <c r="DA22" s="196"/>
      <c r="DB22" s="196"/>
      <c r="DC22" s="196"/>
      <c r="DE22" s="199"/>
      <c r="DF22" s="200"/>
      <c r="DG22" s="181"/>
    </row>
    <row r="23" spans="1:113" s="233" customFormat="1" ht="63.75" outlineLevel="1" x14ac:dyDescent="0.25">
      <c r="A23" s="192">
        <f>MAX(A$17:$B22)+1</f>
        <v>3</v>
      </c>
      <c r="B23" s="222" t="s">
        <v>159</v>
      </c>
      <c r="C23" s="222">
        <v>7395927</v>
      </c>
      <c r="D23" s="214">
        <f t="shared" si="22"/>
        <v>3000</v>
      </c>
      <c r="E23" s="214"/>
      <c r="F23" s="214">
        <f t="shared" si="28"/>
        <v>3000</v>
      </c>
      <c r="G23" s="214">
        <v>3000</v>
      </c>
      <c r="H23" s="214"/>
      <c r="I23" s="235"/>
      <c r="J23" s="235"/>
      <c r="K23" s="223"/>
      <c r="L23" s="235"/>
      <c r="M23" s="223"/>
      <c r="N23" s="223"/>
      <c r="O23" s="214">
        <f t="shared" si="29"/>
        <v>3000</v>
      </c>
      <c r="P23" s="214">
        <v>0</v>
      </c>
      <c r="Q23" s="224">
        <f t="shared" si="4"/>
        <v>0</v>
      </c>
      <c r="R23" s="214"/>
      <c r="S23" s="225">
        <v>0</v>
      </c>
      <c r="T23" s="225">
        <v>0</v>
      </c>
      <c r="U23" s="214"/>
      <c r="V23" s="225">
        <v>0</v>
      </c>
      <c r="W23" s="225">
        <v>0</v>
      </c>
      <c r="X23" s="214"/>
      <c r="Y23" s="225">
        <v>0</v>
      </c>
      <c r="Z23" s="225">
        <v>0</v>
      </c>
      <c r="AA23" s="214"/>
      <c r="AB23" s="225">
        <v>0</v>
      </c>
      <c r="AC23" s="225">
        <v>0</v>
      </c>
      <c r="AD23" s="214"/>
      <c r="AE23" s="225">
        <v>0</v>
      </c>
      <c r="AF23" s="225">
        <v>0</v>
      </c>
      <c r="AG23" s="214"/>
      <c r="AH23" s="225">
        <v>0</v>
      </c>
      <c r="AI23" s="225">
        <v>0</v>
      </c>
      <c r="AJ23" s="214"/>
      <c r="AK23" s="225">
        <v>0</v>
      </c>
      <c r="AL23" s="225">
        <v>0</v>
      </c>
      <c r="AM23" s="214"/>
      <c r="AN23" s="225">
        <v>0</v>
      </c>
      <c r="AO23" s="225">
        <v>0</v>
      </c>
      <c r="AP23" s="225"/>
      <c r="AQ23" s="214"/>
      <c r="AR23" s="225">
        <v>0</v>
      </c>
      <c r="AS23" s="225">
        <v>0</v>
      </c>
      <c r="AT23" s="214"/>
      <c r="AU23" s="225">
        <v>0</v>
      </c>
      <c r="AV23" s="225">
        <v>0</v>
      </c>
      <c r="AW23" s="214"/>
      <c r="AX23" s="225">
        <v>0</v>
      </c>
      <c r="AY23" s="225">
        <v>0</v>
      </c>
      <c r="AZ23" s="214"/>
      <c r="BA23" s="225">
        <v>0</v>
      </c>
      <c r="BB23" s="225">
        <v>0</v>
      </c>
      <c r="BC23" s="214"/>
      <c r="BD23" s="225">
        <v>0</v>
      </c>
      <c r="BE23" s="225">
        <v>0</v>
      </c>
      <c r="BF23" s="214"/>
      <c r="BG23" s="214"/>
      <c r="BH23" s="225">
        <v>0</v>
      </c>
      <c r="BI23" s="225">
        <v>0</v>
      </c>
      <c r="BJ23" s="214">
        <f t="shared" si="5"/>
        <v>2850</v>
      </c>
      <c r="BK23" s="214"/>
      <c r="BL23" s="225">
        <f t="shared" si="6"/>
        <v>0</v>
      </c>
      <c r="BM23" s="225">
        <f t="shared" si="2"/>
        <v>0</v>
      </c>
      <c r="BN23" s="205">
        <f t="shared" si="26"/>
        <v>0</v>
      </c>
      <c r="BO23" s="205"/>
      <c r="BP23" s="227"/>
      <c r="BQ23" s="224">
        <f t="shared" si="7"/>
        <v>0</v>
      </c>
      <c r="BR23" s="227"/>
      <c r="BS23" s="224">
        <f t="shared" si="8"/>
        <v>0</v>
      </c>
      <c r="BT23" s="227"/>
      <c r="BU23" s="224">
        <f t="shared" si="9"/>
        <v>0</v>
      </c>
      <c r="BV23" s="227">
        <f>3000*0.95</f>
        <v>2850</v>
      </c>
      <c r="BW23" s="224">
        <f t="shared" si="10"/>
        <v>0.95</v>
      </c>
      <c r="BX23" s="227">
        <v>2850</v>
      </c>
      <c r="BY23" s="224">
        <f t="shared" si="11"/>
        <v>0.95</v>
      </c>
      <c r="BZ23" s="227">
        <v>2850</v>
      </c>
      <c r="CA23" s="224">
        <f t="shared" si="12"/>
        <v>0.95</v>
      </c>
      <c r="CB23" s="227">
        <v>2850</v>
      </c>
      <c r="CC23" s="224">
        <f t="shared" si="13"/>
        <v>0.95</v>
      </c>
      <c r="CD23" s="227">
        <v>2850</v>
      </c>
      <c r="CE23" s="224">
        <f t="shared" si="14"/>
        <v>0.95</v>
      </c>
      <c r="CF23" s="227">
        <v>2850</v>
      </c>
      <c r="CG23" s="224">
        <f t="shared" si="15"/>
        <v>0.95</v>
      </c>
      <c r="CH23" s="227">
        <v>2850</v>
      </c>
      <c r="CI23" s="224">
        <f t="shared" si="16"/>
        <v>0.95</v>
      </c>
      <c r="CJ23" s="227">
        <v>2850</v>
      </c>
      <c r="CK23" s="224">
        <f t="shared" si="17"/>
        <v>0.95</v>
      </c>
      <c r="CL23" s="227">
        <v>2850</v>
      </c>
      <c r="CM23" s="224">
        <f t="shared" si="18"/>
        <v>0.95</v>
      </c>
      <c r="CN23" s="227">
        <v>2850</v>
      </c>
      <c r="CO23" s="224">
        <f t="shared" si="19"/>
        <v>0.95</v>
      </c>
      <c r="CP23" s="213" t="str">
        <f t="shared" si="23"/>
        <v>Không đạt</v>
      </c>
      <c r="CQ23" s="213" t="str">
        <f t="shared" si="24"/>
        <v>Không đạt</v>
      </c>
      <c r="CR23" s="192"/>
      <c r="CS23" s="214">
        <f t="shared" si="21"/>
        <v>0</v>
      </c>
      <c r="CT23" s="223"/>
      <c r="CU23" s="163"/>
      <c r="CV23" s="232"/>
      <c r="CW23" s="195"/>
      <c r="CX23" s="196"/>
      <c r="CY23" s="196"/>
      <c r="CZ23" s="197"/>
      <c r="DA23" s="196"/>
      <c r="DB23" s="196"/>
      <c r="DC23" s="196"/>
      <c r="DE23" s="199"/>
      <c r="DF23" s="200"/>
      <c r="DG23" s="181"/>
    </row>
    <row r="24" spans="1:113" s="233" customFormat="1" ht="39.6" customHeight="1" outlineLevel="1" x14ac:dyDescent="0.25">
      <c r="A24" s="236">
        <f>MAX(A$17:$B23)+1</f>
        <v>4</v>
      </c>
      <c r="B24" s="237" t="s">
        <v>160</v>
      </c>
      <c r="C24" s="222">
        <v>7241654</v>
      </c>
      <c r="D24" s="238">
        <f t="shared" si="22"/>
        <v>20000</v>
      </c>
      <c r="E24" s="214"/>
      <c r="F24" s="214">
        <f>G24+H24+K24+M24</f>
        <v>20000</v>
      </c>
      <c r="G24" s="214">
        <v>5000</v>
      </c>
      <c r="H24" s="214">
        <v>15000</v>
      </c>
      <c r="I24" s="235"/>
      <c r="J24" s="235"/>
      <c r="K24" s="223"/>
      <c r="L24" s="235"/>
      <c r="M24" s="223"/>
      <c r="N24" s="223"/>
      <c r="O24" s="214">
        <f t="shared" si="29"/>
        <v>5000</v>
      </c>
      <c r="P24" s="214">
        <v>0</v>
      </c>
      <c r="Q24" s="224">
        <f t="shared" si="4"/>
        <v>0</v>
      </c>
      <c r="R24" s="214"/>
      <c r="S24" s="225">
        <v>0</v>
      </c>
      <c r="T24" s="225">
        <v>0</v>
      </c>
      <c r="U24" s="214"/>
      <c r="V24" s="225">
        <v>0</v>
      </c>
      <c r="W24" s="225">
        <v>0</v>
      </c>
      <c r="X24" s="214"/>
      <c r="Y24" s="225">
        <v>0</v>
      </c>
      <c r="Z24" s="225">
        <v>0</v>
      </c>
      <c r="AA24" s="214"/>
      <c r="AB24" s="225">
        <v>0</v>
      </c>
      <c r="AC24" s="225">
        <v>0</v>
      </c>
      <c r="AD24" s="214"/>
      <c r="AE24" s="225">
        <v>0</v>
      </c>
      <c r="AF24" s="225">
        <v>0</v>
      </c>
      <c r="AG24" s="214"/>
      <c r="AH24" s="225">
        <v>0</v>
      </c>
      <c r="AI24" s="225">
        <v>0</v>
      </c>
      <c r="AJ24" s="214"/>
      <c r="AK24" s="225">
        <v>0</v>
      </c>
      <c r="AL24" s="225">
        <v>0</v>
      </c>
      <c r="AM24" s="214"/>
      <c r="AN24" s="225">
        <v>0</v>
      </c>
      <c r="AO24" s="225">
        <v>0</v>
      </c>
      <c r="AP24" s="225"/>
      <c r="AQ24" s="214"/>
      <c r="AR24" s="225">
        <v>0</v>
      </c>
      <c r="AS24" s="225">
        <v>0</v>
      </c>
      <c r="AT24" s="214"/>
      <c r="AU24" s="225">
        <v>0</v>
      </c>
      <c r="AV24" s="225">
        <v>0</v>
      </c>
      <c r="AW24" s="214"/>
      <c r="AX24" s="225">
        <v>0</v>
      </c>
      <c r="AY24" s="225">
        <v>0</v>
      </c>
      <c r="AZ24" s="214"/>
      <c r="BA24" s="225">
        <v>0</v>
      </c>
      <c r="BB24" s="225">
        <v>0</v>
      </c>
      <c r="BC24" s="214"/>
      <c r="BD24" s="225">
        <v>0</v>
      </c>
      <c r="BE24" s="225">
        <v>0</v>
      </c>
      <c r="BF24" s="214"/>
      <c r="BG24" s="214"/>
      <c r="BH24" s="225">
        <v>0</v>
      </c>
      <c r="BI24" s="225">
        <v>0</v>
      </c>
      <c r="BJ24" s="214">
        <f t="shared" si="5"/>
        <v>19000</v>
      </c>
      <c r="BK24" s="214"/>
      <c r="BL24" s="225">
        <f t="shared" si="6"/>
        <v>0</v>
      </c>
      <c r="BM24" s="225">
        <f t="shared" si="2"/>
        <v>0</v>
      </c>
      <c r="BN24" s="205">
        <f t="shared" si="26"/>
        <v>0</v>
      </c>
      <c r="BO24" s="205"/>
      <c r="BP24" s="227"/>
      <c r="BQ24" s="224">
        <f t="shared" si="7"/>
        <v>0</v>
      </c>
      <c r="BR24" s="227"/>
      <c r="BS24" s="224">
        <f t="shared" si="8"/>
        <v>0</v>
      </c>
      <c r="BT24" s="227">
        <v>1000</v>
      </c>
      <c r="BU24" s="224">
        <f t="shared" si="9"/>
        <v>0.05</v>
      </c>
      <c r="BV24" s="227">
        <v>3000</v>
      </c>
      <c r="BW24" s="224">
        <f t="shared" si="10"/>
        <v>0.15</v>
      </c>
      <c r="BX24" s="227">
        <v>5000</v>
      </c>
      <c r="BY24" s="224">
        <f t="shared" si="11"/>
        <v>0.25</v>
      </c>
      <c r="BZ24" s="227">
        <v>7000</v>
      </c>
      <c r="CA24" s="224">
        <f t="shared" si="12"/>
        <v>0.35</v>
      </c>
      <c r="CB24" s="227">
        <v>8000</v>
      </c>
      <c r="CC24" s="224">
        <f t="shared" si="13"/>
        <v>0.4</v>
      </c>
      <c r="CD24" s="227">
        <v>10000</v>
      </c>
      <c r="CE24" s="224">
        <f t="shared" si="14"/>
        <v>0.5</v>
      </c>
      <c r="CF24" s="227">
        <v>12000</v>
      </c>
      <c r="CG24" s="224">
        <f t="shared" si="15"/>
        <v>0.6</v>
      </c>
      <c r="CH24" s="227">
        <v>15000</v>
      </c>
      <c r="CI24" s="224">
        <f t="shared" si="16"/>
        <v>0.75</v>
      </c>
      <c r="CJ24" s="227">
        <v>17000</v>
      </c>
      <c r="CK24" s="224">
        <f t="shared" si="17"/>
        <v>0.85</v>
      </c>
      <c r="CL24" s="227">
        <v>19000</v>
      </c>
      <c r="CM24" s="224">
        <f t="shared" si="18"/>
        <v>0.95</v>
      </c>
      <c r="CN24" s="227">
        <v>19000</v>
      </c>
      <c r="CO24" s="224">
        <f t="shared" si="19"/>
        <v>0.95</v>
      </c>
      <c r="CP24" s="213" t="str">
        <f t="shared" si="23"/>
        <v>Không đạt</v>
      </c>
      <c r="CQ24" s="213" t="str">
        <f t="shared" si="24"/>
        <v>Không đạt</v>
      </c>
      <c r="CR24" s="192"/>
      <c r="CS24" s="214">
        <f t="shared" si="21"/>
        <v>0</v>
      </c>
      <c r="CT24" s="223"/>
      <c r="CU24" s="163"/>
      <c r="CV24" s="232"/>
      <c r="CW24" s="195"/>
      <c r="CX24" s="196"/>
      <c r="CY24" s="196"/>
      <c r="CZ24" s="197"/>
      <c r="DA24" s="196"/>
      <c r="DB24" s="196"/>
      <c r="DC24" s="196"/>
      <c r="DE24" s="199"/>
      <c r="DF24" s="200"/>
      <c r="DG24" s="181"/>
    </row>
    <row r="25" spans="1:113" s="233" customFormat="1" ht="22.15" customHeight="1" outlineLevel="1" x14ac:dyDescent="0.25">
      <c r="A25" s="192">
        <f>MAX(A$17:$B24)+1</f>
        <v>5</v>
      </c>
      <c r="B25" s="222" t="s">
        <v>161</v>
      </c>
      <c r="C25" s="222">
        <v>7678250</v>
      </c>
      <c r="D25" s="214">
        <f t="shared" si="22"/>
        <v>31000</v>
      </c>
      <c r="E25" s="214"/>
      <c r="F25" s="214">
        <f t="shared" si="28"/>
        <v>31000</v>
      </c>
      <c r="G25" s="214">
        <v>31000</v>
      </c>
      <c r="H25" s="214"/>
      <c r="I25" s="235"/>
      <c r="J25" s="235"/>
      <c r="K25" s="223"/>
      <c r="L25" s="235"/>
      <c r="M25" s="223"/>
      <c r="N25" s="223"/>
      <c r="O25" s="214">
        <f t="shared" si="29"/>
        <v>31000</v>
      </c>
      <c r="P25" s="214">
        <v>14959.112999999999</v>
      </c>
      <c r="Q25" s="224">
        <f t="shared" si="4"/>
        <v>0.48255203225806448</v>
      </c>
      <c r="R25" s="214">
        <v>14959.112999999999</v>
      </c>
      <c r="S25" s="225">
        <v>0.48255203225806448</v>
      </c>
      <c r="T25" s="225">
        <v>0.50794950764006785</v>
      </c>
      <c r="U25" s="214">
        <v>14959.112999999999</v>
      </c>
      <c r="V25" s="225">
        <v>0.48255203225806448</v>
      </c>
      <c r="W25" s="225">
        <v>0.50794950764006785</v>
      </c>
      <c r="X25" s="214">
        <v>14959.112999999999</v>
      </c>
      <c r="Y25" s="225">
        <v>0.48255203225806448</v>
      </c>
      <c r="Z25" s="225">
        <v>0.50794950764006785</v>
      </c>
      <c r="AA25" s="214">
        <v>14959.112999999999</v>
      </c>
      <c r="AB25" s="225">
        <v>0.48255203225806448</v>
      </c>
      <c r="AC25" s="225">
        <v>0.50794950764006785</v>
      </c>
      <c r="AD25" s="214">
        <v>14959.112999999999</v>
      </c>
      <c r="AE25" s="225">
        <v>0.48255203225806448</v>
      </c>
      <c r="AF25" s="225">
        <v>0.50794950764006785</v>
      </c>
      <c r="AG25" s="214">
        <v>14959.112999999999</v>
      </c>
      <c r="AH25" s="225">
        <v>0.48255203225806448</v>
      </c>
      <c r="AI25" s="225">
        <v>0.50794950764006785</v>
      </c>
      <c r="AJ25" s="214">
        <v>14959.112999999999</v>
      </c>
      <c r="AK25" s="225">
        <v>0.48255203225806448</v>
      </c>
      <c r="AL25" s="225">
        <v>0.50794950764006785</v>
      </c>
      <c r="AM25" s="214">
        <v>14959.112999999999</v>
      </c>
      <c r="AN25" s="225">
        <v>0.48255203225806448</v>
      </c>
      <c r="AO25" s="225">
        <v>0.50794950764006785</v>
      </c>
      <c r="AP25" s="225"/>
      <c r="AQ25" s="214">
        <v>20885.322</v>
      </c>
      <c r="AR25" s="225">
        <v>0.67372006451612909</v>
      </c>
      <c r="AS25" s="225">
        <v>0.70917901528013583</v>
      </c>
      <c r="AT25" s="214">
        <v>20885.322</v>
      </c>
      <c r="AU25" s="225">
        <v>0.67372006451612909</v>
      </c>
      <c r="AV25" s="225">
        <v>0.70917901528013583</v>
      </c>
      <c r="AW25" s="214">
        <v>20885.322</v>
      </c>
      <c r="AX25" s="225">
        <v>0.67372006451612909</v>
      </c>
      <c r="AY25" s="225">
        <v>0.70917901528013583</v>
      </c>
      <c r="AZ25" s="214">
        <v>20885.322</v>
      </c>
      <c r="BA25" s="225">
        <v>0.67372006451612909</v>
      </c>
      <c r="BB25" s="225">
        <v>0.70917901528013583</v>
      </c>
      <c r="BC25" s="214">
        <v>21181.091</v>
      </c>
      <c r="BD25" s="225">
        <v>0.68326100000000001</v>
      </c>
      <c r="BE25" s="225">
        <v>0.71922210526315788</v>
      </c>
      <c r="BF25" s="214"/>
      <c r="BG25" s="214">
        <v>25219.940999999999</v>
      </c>
      <c r="BH25" s="225">
        <v>0.81354648387096773</v>
      </c>
      <c r="BI25" s="225">
        <v>0.8563647198641765</v>
      </c>
      <c r="BJ25" s="214">
        <f t="shared" si="5"/>
        <v>29450</v>
      </c>
      <c r="BK25" s="214">
        <v>25219.940999999999</v>
      </c>
      <c r="BL25" s="225">
        <f t="shared" si="6"/>
        <v>0.81354648387096773</v>
      </c>
      <c r="BM25" s="225">
        <f t="shared" si="2"/>
        <v>0.8563647198641765</v>
      </c>
      <c r="BN25" s="205">
        <f t="shared" si="26"/>
        <v>10260.828</v>
      </c>
      <c r="BO25" s="205"/>
      <c r="BP25" s="227"/>
      <c r="BQ25" s="224">
        <f t="shared" si="7"/>
        <v>0</v>
      </c>
      <c r="BR25" s="227"/>
      <c r="BS25" s="224">
        <f t="shared" si="8"/>
        <v>0</v>
      </c>
      <c r="BT25" s="227">
        <v>3000</v>
      </c>
      <c r="BU25" s="224">
        <f t="shared" si="9"/>
        <v>9.6774193548387094E-2</v>
      </c>
      <c r="BV25" s="227">
        <v>5000</v>
      </c>
      <c r="BW25" s="224">
        <f t="shared" si="10"/>
        <v>0.16129032258064516</v>
      </c>
      <c r="BX25" s="227">
        <v>8000</v>
      </c>
      <c r="BY25" s="224">
        <f t="shared" si="11"/>
        <v>0.25806451612903225</v>
      </c>
      <c r="BZ25" s="227">
        <v>14000</v>
      </c>
      <c r="CA25" s="224">
        <f t="shared" si="12"/>
        <v>0.45161290322580644</v>
      </c>
      <c r="CB25" s="227">
        <v>19000</v>
      </c>
      <c r="CC25" s="224">
        <f t="shared" si="13"/>
        <v>0.61290322580645162</v>
      </c>
      <c r="CD25" s="227">
        <v>25000</v>
      </c>
      <c r="CE25" s="224">
        <f t="shared" si="14"/>
        <v>0.80645161290322576</v>
      </c>
      <c r="CF25" s="227">
        <f>31000*0.95</f>
        <v>29450</v>
      </c>
      <c r="CG25" s="224">
        <f t="shared" si="15"/>
        <v>0.95</v>
      </c>
      <c r="CH25" s="227">
        <f>31000*0.95</f>
        <v>29450</v>
      </c>
      <c r="CI25" s="224">
        <f t="shared" si="16"/>
        <v>0.95</v>
      </c>
      <c r="CJ25" s="227">
        <f>31000*0.95</f>
        <v>29450</v>
      </c>
      <c r="CK25" s="224">
        <f t="shared" si="17"/>
        <v>0.95</v>
      </c>
      <c r="CL25" s="227">
        <f>31000*0.95</f>
        <v>29450</v>
      </c>
      <c r="CM25" s="224">
        <f t="shared" si="18"/>
        <v>0.95</v>
      </c>
      <c r="CN25" s="227">
        <f>31000*0.95</f>
        <v>29450</v>
      </c>
      <c r="CO25" s="224">
        <f t="shared" si="19"/>
        <v>0.95</v>
      </c>
      <c r="CP25" s="213" t="str">
        <f t="shared" si="23"/>
        <v>Đạt</v>
      </c>
      <c r="CQ25" s="213" t="str">
        <f t="shared" si="24"/>
        <v>Đạt</v>
      </c>
      <c r="CR25" s="192"/>
      <c r="CS25" s="214">
        <f t="shared" si="21"/>
        <v>4334.6189999999988</v>
      </c>
      <c r="CT25" s="223"/>
      <c r="CU25" s="163"/>
      <c r="CV25" s="232"/>
      <c r="CW25" s="195"/>
      <c r="CX25" s="196"/>
      <c r="CY25" s="196"/>
      <c r="CZ25" s="197"/>
      <c r="DA25" s="196"/>
      <c r="DB25" s="196"/>
      <c r="DC25" s="196"/>
      <c r="DE25" s="199"/>
      <c r="DF25" s="200"/>
      <c r="DG25" s="181"/>
    </row>
    <row r="26" spans="1:113" s="233" customFormat="1" ht="25.5" outlineLevel="1" x14ac:dyDescent="0.25">
      <c r="A26" s="192">
        <f>MAX(A$17:$B25)+1</f>
        <v>6</v>
      </c>
      <c r="B26" s="222" t="s">
        <v>162</v>
      </c>
      <c r="C26" s="222">
        <v>7720895</v>
      </c>
      <c r="D26" s="214">
        <f t="shared" si="22"/>
        <v>110000</v>
      </c>
      <c r="E26" s="214"/>
      <c r="F26" s="214">
        <f t="shared" si="28"/>
        <v>110000</v>
      </c>
      <c r="G26" s="214">
        <v>80000</v>
      </c>
      <c r="H26" s="214">
        <v>30000</v>
      </c>
      <c r="I26" s="235"/>
      <c r="J26" s="235"/>
      <c r="K26" s="223"/>
      <c r="L26" s="235"/>
      <c r="M26" s="223"/>
      <c r="N26" s="223"/>
      <c r="O26" s="214">
        <f t="shared" si="29"/>
        <v>80000</v>
      </c>
      <c r="P26" s="214">
        <v>478.91699999999997</v>
      </c>
      <c r="Q26" s="224">
        <f t="shared" si="4"/>
        <v>4.3537909090909091E-3</v>
      </c>
      <c r="R26" s="214">
        <v>478.91699999999997</v>
      </c>
      <c r="S26" s="225">
        <v>4.3537909090909091E-3</v>
      </c>
      <c r="T26" s="225">
        <v>4.5829377990430622E-3</v>
      </c>
      <c r="U26" s="214">
        <v>478.91699999999997</v>
      </c>
      <c r="V26" s="225">
        <v>4.3537909090909091E-3</v>
      </c>
      <c r="W26" s="225">
        <v>4.5829377990430622E-3</v>
      </c>
      <c r="X26" s="214">
        <v>478.91699999999997</v>
      </c>
      <c r="Y26" s="225">
        <v>4.3537909090909091E-3</v>
      </c>
      <c r="Z26" s="225">
        <v>4.5829377990430622E-3</v>
      </c>
      <c r="AA26" s="214">
        <v>492</v>
      </c>
      <c r="AB26" s="225">
        <v>4.4727272727272723E-3</v>
      </c>
      <c r="AC26" s="225">
        <v>4.7081339712918661E-3</v>
      </c>
      <c r="AD26" s="214">
        <v>492</v>
      </c>
      <c r="AE26" s="225">
        <v>4.4727272727272723E-3</v>
      </c>
      <c r="AF26" s="225">
        <v>4.7081339712918661E-3</v>
      </c>
      <c r="AG26" s="214">
        <v>492</v>
      </c>
      <c r="AH26" s="225">
        <v>4.4727272727272723E-3</v>
      </c>
      <c r="AI26" s="225">
        <v>4.7081339712918661E-3</v>
      </c>
      <c r="AJ26" s="214">
        <v>492</v>
      </c>
      <c r="AK26" s="225">
        <v>4.4727272727272723E-3</v>
      </c>
      <c r="AL26" s="225">
        <v>4.7081339712918661E-3</v>
      </c>
      <c r="AM26" s="214">
        <v>973.97078799999997</v>
      </c>
      <c r="AN26" s="225">
        <v>8.8542798909090909E-3</v>
      </c>
      <c r="AO26" s="225">
        <v>9.3202946220095687E-3</v>
      </c>
      <c r="AP26" s="225"/>
      <c r="AQ26" s="214">
        <v>43894.886225999988</v>
      </c>
      <c r="AR26" s="225">
        <v>0.39904442023636355</v>
      </c>
      <c r="AS26" s="225">
        <v>0.42004675814354053</v>
      </c>
      <c r="AT26" s="214">
        <v>43894.886225999988</v>
      </c>
      <c r="AU26" s="225">
        <v>0.39904442023636355</v>
      </c>
      <c r="AV26" s="225">
        <v>0.42004675814354053</v>
      </c>
      <c r="AW26" s="214">
        <v>45833.528546000001</v>
      </c>
      <c r="AX26" s="225">
        <v>0.41666844132727276</v>
      </c>
      <c r="AY26" s="225">
        <v>0.43859835929186602</v>
      </c>
      <c r="AZ26" s="214">
        <v>45833.528546000001</v>
      </c>
      <c r="BA26" s="225">
        <v>0.41666844132727276</v>
      </c>
      <c r="BB26" s="225">
        <v>0.43859835929186602</v>
      </c>
      <c r="BC26" s="214">
        <v>45833.528546000001</v>
      </c>
      <c r="BD26" s="225">
        <v>0.41666844132727276</v>
      </c>
      <c r="BE26" s="225">
        <v>0.43859835929186602</v>
      </c>
      <c r="BF26" s="214">
        <f>BK26-G26</f>
        <v>19600.200123999995</v>
      </c>
      <c r="BG26" s="214">
        <v>89450.802746000001</v>
      </c>
      <c r="BH26" s="225">
        <v>0.81318911587272724</v>
      </c>
      <c r="BI26" s="225">
        <v>0.85598854302392346</v>
      </c>
      <c r="BJ26" s="214">
        <f t="shared" si="5"/>
        <v>104500</v>
      </c>
      <c r="BK26" s="214">
        <v>99600.200123999995</v>
      </c>
      <c r="BL26" s="225">
        <f t="shared" si="6"/>
        <v>0.90545636476363633</v>
      </c>
      <c r="BM26" s="225">
        <f t="shared" si="2"/>
        <v>0.95311196290909084</v>
      </c>
      <c r="BN26" s="205">
        <f t="shared" si="26"/>
        <v>99108.200123999995</v>
      </c>
      <c r="BO26" s="205"/>
      <c r="BP26" s="227"/>
      <c r="BQ26" s="224">
        <f t="shared" si="7"/>
        <v>0</v>
      </c>
      <c r="BR26" s="227"/>
      <c r="BS26" s="224">
        <f t="shared" si="8"/>
        <v>0</v>
      </c>
      <c r="BT26" s="227">
        <v>2000</v>
      </c>
      <c r="BU26" s="224">
        <f t="shared" si="9"/>
        <v>1.8181818181818181E-2</v>
      </c>
      <c r="BV26" s="227">
        <v>10000</v>
      </c>
      <c r="BW26" s="224">
        <f t="shared" si="10"/>
        <v>9.0909090909090912E-2</v>
      </c>
      <c r="BX26" s="227">
        <v>30000</v>
      </c>
      <c r="BY26" s="224">
        <f t="shared" si="11"/>
        <v>0.27272727272727271</v>
      </c>
      <c r="BZ26" s="227">
        <v>54600</v>
      </c>
      <c r="CA26" s="224">
        <f t="shared" si="12"/>
        <v>0.49636363636363634</v>
      </c>
      <c r="CB26" s="227">
        <v>60000</v>
      </c>
      <c r="CC26" s="224">
        <f t="shared" si="13"/>
        <v>0.54545454545454541</v>
      </c>
      <c r="CD26" s="227">
        <v>70000</v>
      </c>
      <c r="CE26" s="224">
        <f t="shared" si="14"/>
        <v>0.63636363636363635</v>
      </c>
      <c r="CF26" s="227">
        <v>85000</v>
      </c>
      <c r="CG26" s="224">
        <f t="shared" si="15"/>
        <v>0.77272727272727271</v>
      </c>
      <c r="CH26" s="227">
        <v>95000</v>
      </c>
      <c r="CI26" s="224">
        <f t="shared" si="16"/>
        <v>0.86363636363636365</v>
      </c>
      <c r="CJ26" s="227">
        <v>102000</v>
      </c>
      <c r="CK26" s="224">
        <f t="shared" si="17"/>
        <v>0.92727272727272725</v>
      </c>
      <c r="CL26" s="227">
        <f>110000*0.95</f>
        <v>104500</v>
      </c>
      <c r="CM26" s="224">
        <f t="shared" si="18"/>
        <v>0.95</v>
      </c>
      <c r="CN26" s="227">
        <f>110000*0.95</f>
        <v>104500</v>
      </c>
      <c r="CO26" s="224">
        <f t="shared" si="19"/>
        <v>0.95</v>
      </c>
      <c r="CP26" s="213" t="str">
        <f t="shared" si="23"/>
        <v>Đạt</v>
      </c>
      <c r="CQ26" s="213" t="str">
        <f t="shared" si="24"/>
        <v>Đạt</v>
      </c>
      <c r="CR26" s="192"/>
      <c r="CS26" s="214">
        <f t="shared" si="21"/>
        <v>53766.671577999994</v>
      </c>
      <c r="CT26" s="223"/>
      <c r="CU26" s="163"/>
      <c r="CV26" s="232"/>
      <c r="CW26" s="195"/>
      <c r="CX26" s="196"/>
      <c r="CY26" s="196"/>
      <c r="CZ26" s="197"/>
      <c r="DA26" s="196"/>
      <c r="DB26" s="196"/>
      <c r="DC26" s="196"/>
      <c r="DE26" s="199"/>
      <c r="DF26" s="200"/>
      <c r="DG26" s="181"/>
    </row>
    <row r="27" spans="1:113" s="233" customFormat="1" ht="25.5" outlineLevel="1" x14ac:dyDescent="0.25">
      <c r="A27" s="192">
        <f>MAX(A$17:$B26)+1</f>
        <v>7</v>
      </c>
      <c r="B27" s="222" t="s">
        <v>163</v>
      </c>
      <c r="C27" s="222">
        <v>7807448</v>
      </c>
      <c r="D27" s="214">
        <f t="shared" si="22"/>
        <v>110000</v>
      </c>
      <c r="E27" s="214"/>
      <c r="F27" s="214">
        <f t="shared" si="28"/>
        <v>110000</v>
      </c>
      <c r="G27" s="214">
        <v>110000</v>
      </c>
      <c r="H27" s="214"/>
      <c r="I27" s="235"/>
      <c r="J27" s="235"/>
      <c r="K27" s="223"/>
      <c r="L27" s="235"/>
      <c r="M27" s="223"/>
      <c r="N27" s="223"/>
      <c r="O27" s="214">
        <f t="shared" si="29"/>
        <v>110000</v>
      </c>
      <c r="P27" s="214">
        <v>1565.2660000000001</v>
      </c>
      <c r="Q27" s="224">
        <f t="shared" si="4"/>
        <v>1.422969090909091E-2</v>
      </c>
      <c r="R27" s="214">
        <v>3813.7170000000001</v>
      </c>
      <c r="S27" s="225">
        <v>3.4670154545454544E-2</v>
      </c>
      <c r="T27" s="225">
        <v>3.64948995215311E-2</v>
      </c>
      <c r="U27" s="214">
        <v>3813.7170000000001</v>
      </c>
      <c r="V27" s="225">
        <v>3.4670154545454544E-2</v>
      </c>
      <c r="W27" s="225">
        <v>3.64948995215311E-2</v>
      </c>
      <c r="X27" s="214">
        <v>3813.7170000000001</v>
      </c>
      <c r="Y27" s="225">
        <v>3.4670154545454544E-2</v>
      </c>
      <c r="Z27" s="225">
        <v>3.64948995215311E-2</v>
      </c>
      <c r="AA27" s="214">
        <v>4083</v>
      </c>
      <c r="AB27" s="225">
        <v>3.7118181818181821E-2</v>
      </c>
      <c r="AC27" s="225">
        <v>3.907177033492823E-2</v>
      </c>
      <c r="AD27" s="214">
        <v>8925.2019999999993</v>
      </c>
      <c r="AE27" s="225">
        <v>8.1138199999999994E-2</v>
      </c>
      <c r="AF27" s="225">
        <v>8.5408631578947361E-2</v>
      </c>
      <c r="AG27" s="214">
        <v>8925.2019999999993</v>
      </c>
      <c r="AH27" s="225">
        <v>8.1138199999999994E-2</v>
      </c>
      <c r="AI27" s="225">
        <v>8.5408631578947361E-2</v>
      </c>
      <c r="AJ27" s="214">
        <v>8925.2019999999993</v>
      </c>
      <c r="AK27" s="225">
        <v>8.1138199999999994E-2</v>
      </c>
      <c r="AL27" s="225">
        <v>8.5408631578947361E-2</v>
      </c>
      <c r="AM27" s="214">
        <v>8925.2019999999993</v>
      </c>
      <c r="AN27" s="225">
        <v>8.1138199999999994E-2</v>
      </c>
      <c r="AO27" s="225">
        <v>8.5408631578947361E-2</v>
      </c>
      <c r="AP27" s="225"/>
      <c r="AQ27" s="214">
        <v>9529.655999999999</v>
      </c>
      <c r="AR27" s="225">
        <v>8.6633236363636359E-2</v>
      </c>
      <c r="AS27" s="225">
        <v>9.1192880382775107E-2</v>
      </c>
      <c r="AT27" s="214">
        <v>9529.655999999999</v>
      </c>
      <c r="AU27" s="225">
        <v>8.6633236363636359E-2</v>
      </c>
      <c r="AV27" s="225">
        <v>9.1192880382775107E-2</v>
      </c>
      <c r="AW27" s="214">
        <v>9529.655999999999</v>
      </c>
      <c r="AX27" s="225">
        <v>8.6633236363636359E-2</v>
      </c>
      <c r="AY27" s="225">
        <v>9.1192880382775107E-2</v>
      </c>
      <c r="AZ27" s="214">
        <v>13036.488000000001</v>
      </c>
      <c r="BA27" s="225">
        <v>8.6633236363636359E-2</v>
      </c>
      <c r="BB27" s="225">
        <v>9.1192880382775107E-2</v>
      </c>
      <c r="BC27" s="214">
        <v>13036.488000000001</v>
      </c>
      <c r="BD27" s="225">
        <v>0.11851352727272728</v>
      </c>
      <c r="BE27" s="225">
        <v>0.12475108133971292</v>
      </c>
      <c r="BF27" s="214"/>
      <c r="BG27" s="214">
        <v>18997.155802000001</v>
      </c>
      <c r="BH27" s="225">
        <v>0.17270141638181818</v>
      </c>
      <c r="BI27" s="225">
        <v>0.18179096461244021</v>
      </c>
      <c r="BJ27" s="214">
        <f t="shared" si="5"/>
        <v>104500</v>
      </c>
      <c r="BK27" s="214">
        <v>21696.420802000001</v>
      </c>
      <c r="BL27" s="225">
        <f t="shared" si="6"/>
        <v>0.19724018910909091</v>
      </c>
      <c r="BM27" s="225">
        <f t="shared" si="2"/>
        <v>0.2076212516937799</v>
      </c>
      <c r="BN27" s="205">
        <f t="shared" si="26"/>
        <v>12771.218802000001</v>
      </c>
      <c r="BO27" s="205"/>
      <c r="BP27" s="227"/>
      <c r="BQ27" s="224">
        <f t="shared" si="7"/>
        <v>0</v>
      </c>
      <c r="BR27" s="227"/>
      <c r="BS27" s="224">
        <f t="shared" si="8"/>
        <v>0</v>
      </c>
      <c r="BT27" s="227"/>
      <c r="BU27" s="224">
        <f t="shared" si="9"/>
        <v>0</v>
      </c>
      <c r="BV27" s="227">
        <v>10000</v>
      </c>
      <c r="BW27" s="224">
        <f t="shared" si="10"/>
        <v>9.0909090909090912E-2</v>
      </c>
      <c r="BX27" s="227">
        <v>15000</v>
      </c>
      <c r="BY27" s="224">
        <f t="shared" si="11"/>
        <v>0.13636363636363635</v>
      </c>
      <c r="BZ27" s="227">
        <v>20000</v>
      </c>
      <c r="CA27" s="224">
        <f t="shared" si="12"/>
        <v>0.18181818181818182</v>
      </c>
      <c r="CB27" s="227">
        <v>40000</v>
      </c>
      <c r="CC27" s="224">
        <f t="shared" si="13"/>
        <v>0.36363636363636365</v>
      </c>
      <c r="CD27" s="227">
        <v>60000</v>
      </c>
      <c r="CE27" s="224">
        <f t="shared" si="14"/>
        <v>0.54545454545454541</v>
      </c>
      <c r="CF27" s="227">
        <v>70000</v>
      </c>
      <c r="CG27" s="224">
        <f t="shared" si="15"/>
        <v>0.63636363636363635</v>
      </c>
      <c r="CH27" s="227">
        <v>80000</v>
      </c>
      <c r="CI27" s="224">
        <f t="shared" si="16"/>
        <v>0.72727272727272729</v>
      </c>
      <c r="CJ27" s="227">
        <v>90000</v>
      </c>
      <c r="CK27" s="224">
        <f t="shared" si="17"/>
        <v>0.81818181818181823</v>
      </c>
      <c r="CL27" s="227">
        <f>110000*0.95</f>
        <v>104500</v>
      </c>
      <c r="CM27" s="224">
        <f t="shared" si="18"/>
        <v>0.95</v>
      </c>
      <c r="CN27" s="227">
        <f>110000*0.95</f>
        <v>104500</v>
      </c>
      <c r="CO27" s="224">
        <f t="shared" si="19"/>
        <v>0.95</v>
      </c>
      <c r="CP27" s="213" t="str">
        <f t="shared" si="23"/>
        <v>Không đạt</v>
      </c>
      <c r="CQ27" s="213" t="str">
        <f t="shared" si="24"/>
        <v>Không đạt</v>
      </c>
      <c r="CR27" s="192"/>
      <c r="CS27" s="214">
        <f t="shared" si="21"/>
        <v>8659.9328019999994</v>
      </c>
      <c r="CT27" s="223"/>
      <c r="CU27" s="163"/>
      <c r="CV27" s="232"/>
      <c r="CW27" s="195"/>
      <c r="CX27" s="196"/>
      <c r="CY27" s="196"/>
      <c r="CZ27" s="197"/>
      <c r="DA27" s="196"/>
      <c r="DB27" s="196"/>
      <c r="DC27" s="196"/>
      <c r="DE27" s="199"/>
      <c r="DF27" s="200"/>
      <c r="DG27" s="181"/>
    </row>
    <row r="28" spans="1:113" s="233" customFormat="1" ht="38.25" outlineLevel="1" x14ac:dyDescent="0.25">
      <c r="A28" s="192">
        <f>MAX(A$17:$B27)+1</f>
        <v>8</v>
      </c>
      <c r="B28" s="222" t="s">
        <v>164</v>
      </c>
      <c r="C28" s="222">
        <v>7919972</v>
      </c>
      <c r="D28" s="214">
        <f t="shared" si="22"/>
        <v>130000</v>
      </c>
      <c r="E28" s="214"/>
      <c r="F28" s="214">
        <f t="shared" si="28"/>
        <v>130000</v>
      </c>
      <c r="G28" s="214">
        <v>130000</v>
      </c>
      <c r="H28" s="214"/>
      <c r="I28" s="235"/>
      <c r="J28" s="235"/>
      <c r="K28" s="223"/>
      <c r="L28" s="235"/>
      <c r="M28" s="223"/>
      <c r="N28" s="223"/>
      <c r="O28" s="214">
        <f t="shared" si="29"/>
        <v>130000</v>
      </c>
      <c r="P28" s="214">
        <v>0</v>
      </c>
      <c r="Q28" s="224">
        <f t="shared" si="4"/>
        <v>0</v>
      </c>
      <c r="R28" s="214">
        <v>10592.240629</v>
      </c>
      <c r="S28" s="225">
        <v>8.1478774069230764E-2</v>
      </c>
      <c r="T28" s="225">
        <v>8.5767130599190278E-2</v>
      </c>
      <c r="U28" s="214">
        <v>11120.865629</v>
      </c>
      <c r="V28" s="225">
        <v>8.554512022307692E-2</v>
      </c>
      <c r="W28" s="225">
        <v>9.0047494971659925E-2</v>
      </c>
      <c r="X28" s="214">
        <v>11120.865629</v>
      </c>
      <c r="Y28" s="225">
        <v>8.554512022307692E-2</v>
      </c>
      <c r="Z28" s="225">
        <v>9.0047494971659925E-2</v>
      </c>
      <c r="AA28" s="214">
        <v>11120.865629</v>
      </c>
      <c r="AB28" s="225">
        <v>8.554512022307692E-2</v>
      </c>
      <c r="AC28" s="225">
        <v>9.0047494971659925E-2</v>
      </c>
      <c r="AD28" s="214">
        <v>14881.270629000001</v>
      </c>
      <c r="AE28" s="225">
        <v>0.11447131253076924</v>
      </c>
      <c r="AF28" s="225">
        <v>0.1204961184534413</v>
      </c>
      <c r="AG28" s="214">
        <v>18018.170629</v>
      </c>
      <c r="AH28" s="225">
        <v>0.13860131253076924</v>
      </c>
      <c r="AI28" s="225">
        <v>0.1458961184534413</v>
      </c>
      <c r="AJ28" s="214">
        <v>18018.170629</v>
      </c>
      <c r="AK28" s="225">
        <v>0.13860131253076924</v>
      </c>
      <c r="AL28" s="225">
        <v>0.1458961184534413</v>
      </c>
      <c r="AM28" s="214">
        <v>18018.170629</v>
      </c>
      <c r="AN28" s="225">
        <v>0.13860131253076924</v>
      </c>
      <c r="AO28" s="225">
        <v>0.1458961184534413</v>
      </c>
      <c r="AP28" s="225"/>
      <c r="AQ28" s="214">
        <v>21309.170629</v>
      </c>
      <c r="AR28" s="225">
        <v>0.16391669714615384</v>
      </c>
      <c r="AS28" s="225">
        <v>0.17254389173279353</v>
      </c>
      <c r="AT28" s="214">
        <v>21309.170629</v>
      </c>
      <c r="AU28" s="225">
        <v>0.16391669714615384</v>
      </c>
      <c r="AV28" s="225">
        <v>0.17254389173279353</v>
      </c>
      <c r="AW28" s="214">
        <v>26547.578156</v>
      </c>
      <c r="AX28" s="225">
        <v>0.20421213966153845</v>
      </c>
      <c r="AY28" s="225">
        <v>0.21496014701214575</v>
      </c>
      <c r="AZ28" s="214">
        <v>26547.578156</v>
      </c>
      <c r="BA28" s="225">
        <v>0.20421213966153845</v>
      </c>
      <c r="BB28" s="225">
        <v>0.21496014701214575</v>
      </c>
      <c r="BC28" s="214">
        <v>28304.401156</v>
      </c>
      <c r="BD28" s="225">
        <v>0.21772616273846154</v>
      </c>
      <c r="BE28" s="225">
        <v>0.22918543446153847</v>
      </c>
      <c r="BF28" s="214"/>
      <c r="BG28" s="214">
        <v>39110.904910999998</v>
      </c>
      <c r="BH28" s="225">
        <v>0.30085311469999998</v>
      </c>
      <c r="BI28" s="225">
        <v>0.31668748915789474</v>
      </c>
      <c r="BJ28" s="214">
        <f t="shared" si="5"/>
        <v>123500</v>
      </c>
      <c r="BK28" s="214">
        <v>44518.854714000001</v>
      </c>
      <c r="BL28" s="225">
        <f t="shared" si="6"/>
        <v>0.34245272856923076</v>
      </c>
      <c r="BM28" s="225">
        <f t="shared" si="2"/>
        <v>0.36047655638866399</v>
      </c>
      <c r="BN28" s="205">
        <f t="shared" si="26"/>
        <v>29637.584085000002</v>
      </c>
      <c r="BO28" s="205"/>
      <c r="BP28" s="227"/>
      <c r="BQ28" s="224">
        <f t="shared" si="7"/>
        <v>0</v>
      </c>
      <c r="BR28" s="227"/>
      <c r="BS28" s="224">
        <f t="shared" si="8"/>
        <v>0</v>
      </c>
      <c r="BT28" s="227">
        <v>6500</v>
      </c>
      <c r="BU28" s="224">
        <f t="shared" si="9"/>
        <v>0.05</v>
      </c>
      <c r="BV28" s="227">
        <v>13000</v>
      </c>
      <c r="BW28" s="224">
        <f t="shared" si="10"/>
        <v>0.1</v>
      </c>
      <c r="BX28" s="227">
        <v>19500</v>
      </c>
      <c r="BY28" s="224">
        <f t="shared" si="11"/>
        <v>0.15</v>
      </c>
      <c r="BZ28" s="227">
        <v>39000</v>
      </c>
      <c r="CA28" s="224">
        <f t="shared" si="12"/>
        <v>0.3</v>
      </c>
      <c r="CB28" s="227">
        <v>58500</v>
      </c>
      <c r="CC28" s="224">
        <f t="shared" si="13"/>
        <v>0.45</v>
      </c>
      <c r="CD28" s="227">
        <v>78000</v>
      </c>
      <c r="CE28" s="224">
        <f t="shared" si="14"/>
        <v>0.6</v>
      </c>
      <c r="CF28" s="227">
        <v>91000</v>
      </c>
      <c r="CG28" s="224">
        <f t="shared" si="15"/>
        <v>0.7</v>
      </c>
      <c r="CH28" s="227">
        <v>104000</v>
      </c>
      <c r="CI28" s="224">
        <f t="shared" si="16"/>
        <v>0.8</v>
      </c>
      <c r="CJ28" s="227">
        <v>117000</v>
      </c>
      <c r="CK28" s="224">
        <f t="shared" si="17"/>
        <v>0.9</v>
      </c>
      <c r="CL28" s="227">
        <f>130000*0.95</f>
        <v>123500</v>
      </c>
      <c r="CM28" s="224">
        <f t="shared" si="18"/>
        <v>0.95</v>
      </c>
      <c r="CN28" s="227">
        <f>130000*0.95</f>
        <v>123500</v>
      </c>
      <c r="CO28" s="224">
        <f t="shared" si="19"/>
        <v>0.95</v>
      </c>
      <c r="CP28" s="213" t="str">
        <f t="shared" si="23"/>
        <v>Đạt</v>
      </c>
      <c r="CQ28" s="213" t="str">
        <f t="shared" si="24"/>
        <v>Không đạt</v>
      </c>
      <c r="CR28" s="192"/>
      <c r="CS28" s="214">
        <f t="shared" si="21"/>
        <v>17971.276558000001</v>
      </c>
      <c r="CT28" s="223"/>
      <c r="CU28" s="163"/>
      <c r="CV28" s="232"/>
      <c r="CW28" s="195"/>
      <c r="CX28" s="196"/>
      <c r="CY28" s="196"/>
      <c r="CZ28" s="197"/>
      <c r="DA28" s="196"/>
      <c r="DB28" s="196"/>
      <c r="DC28" s="196"/>
      <c r="DE28" s="199"/>
      <c r="DF28" s="200"/>
      <c r="DG28" s="181"/>
    </row>
    <row r="29" spans="1:113" s="233" customFormat="1" ht="25.5" outlineLevel="1" x14ac:dyDescent="0.25">
      <c r="A29" s="192">
        <f>MAX(A$17:$B28)+1</f>
        <v>9</v>
      </c>
      <c r="B29" s="222" t="s">
        <v>165</v>
      </c>
      <c r="C29" s="222">
        <v>7564310</v>
      </c>
      <c r="D29" s="214">
        <f t="shared" si="22"/>
        <v>26000</v>
      </c>
      <c r="E29" s="214"/>
      <c r="F29" s="214">
        <f t="shared" si="28"/>
        <v>26000</v>
      </c>
      <c r="G29" s="214">
        <v>5000</v>
      </c>
      <c r="H29" s="214">
        <v>21000</v>
      </c>
      <c r="I29" s="235"/>
      <c r="J29" s="235"/>
      <c r="K29" s="223"/>
      <c r="L29" s="235"/>
      <c r="M29" s="223"/>
      <c r="N29" s="223"/>
      <c r="O29" s="214">
        <f t="shared" si="29"/>
        <v>5000</v>
      </c>
      <c r="P29" s="214">
        <v>0</v>
      </c>
      <c r="Q29" s="224">
        <f t="shared" si="4"/>
        <v>0</v>
      </c>
      <c r="R29" s="214"/>
      <c r="S29" s="225">
        <v>0</v>
      </c>
      <c r="T29" s="225">
        <v>0</v>
      </c>
      <c r="U29" s="214"/>
      <c r="V29" s="225">
        <v>0</v>
      </c>
      <c r="W29" s="225">
        <v>0</v>
      </c>
      <c r="X29" s="214"/>
      <c r="Y29" s="225">
        <v>0</v>
      </c>
      <c r="Z29" s="225">
        <v>0</v>
      </c>
      <c r="AA29" s="214"/>
      <c r="AB29" s="225">
        <v>0</v>
      </c>
      <c r="AC29" s="225">
        <v>0</v>
      </c>
      <c r="AD29" s="214"/>
      <c r="AE29" s="225">
        <v>0</v>
      </c>
      <c r="AF29" s="225">
        <v>0</v>
      </c>
      <c r="AG29" s="214"/>
      <c r="AH29" s="225">
        <v>0</v>
      </c>
      <c r="AI29" s="225">
        <v>0</v>
      </c>
      <c r="AJ29" s="214"/>
      <c r="AK29" s="225">
        <v>0</v>
      </c>
      <c r="AL29" s="225">
        <v>0</v>
      </c>
      <c r="AM29" s="214"/>
      <c r="AN29" s="225">
        <v>0</v>
      </c>
      <c r="AO29" s="225">
        <v>0</v>
      </c>
      <c r="AP29" s="225"/>
      <c r="AQ29" s="214"/>
      <c r="AR29" s="225">
        <v>0</v>
      </c>
      <c r="AS29" s="225">
        <v>0</v>
      </c>
      <c r="AT29" s="214"/>
      <c r="AU29" s="225">
        <v>0</v>
      </c>
      <c r="AV29" s="225">
        <v>0</v>
      </c>
      <c r="AW29" s="214"/>
      <c r="AX29" s="225">
        <v>0</v>
      </c>
      <c r="AY29" s="225">
        <v>0</v>
      </c>
      <c r="AZ29" s="214"/>
      <c r="BA29" s="225">
        <v>0</v>
      </c>
      <c r="BB29" s="225">
        <v>0</v>
      </c>
      <c r="BC29" s="214"/>
      <c r="BD29" s="225">
        <v>0</v>
      </c>
      <c r="BE29" s="225">
        <v>0</v>
      </c>
      <c r="BF29" s="214"/>
      <c r="BG29" s="214"/>
      <c r="BH29" s="225">
        <v>0</v>
      </c>
      <c r="BI29" s="225">
        <v>0</v>
      </c>
      <c r="BJ29" s="214">
        <f t="shared" si="5"/>
        <v>24700</v>
      </c>
      <c r="BK29" s="214"/>
      <c r="BL29" s="225">
        <f t="shared" si="6"/>
        <v>0</v>
      </c>
      <c r="BM29" s="225">
        <f t="shared" si="2"/>
        <v>0</v>
      </c>
      <c r="BN29" s="205">
        <f t="shared" si="26"/>
        <v>0</v>
      </c>
      <c r="BO29" s="205"/>
      <c r="BP29" s="227"/>
      <c r="BQ29" s="224">
        <f t="shared" si="7"/>
        <v>0</v>
      </c>
      <c r="BR29" s="227"/>
      <c r="BS29" s="224">
        <f t="shared" si="8"/>
        <v>0</v>
      </c>
      <c r="BT29" s="227">
        <v>1000</v>
      </c>
      <c r="BU29" s="224">
        <f t="shared" si="9"/>
        <v>3.8461538461538464E-2</v>
      </c>
      <c r="BV29" s="227">
        <v>3000</v>
      </c>
      <c r="BW29" s="224">
        <f t="shared" si="10"/>
        <v>0.11538461538461539</v>
      </c>
      <c r="BX29" s="227">
        <v>5000</v>
      </c>
      <c r="BY29" s="224">
        <f t="shared" si="11"/>
        <v>0.19230769230769232</v>
      </c>
      <c r="BZ29" s="227">
        <v>8000</v>
      </c>
      <c r="CA29" s="224">
        <f t="shared" si="12"/>
        <v>0.30769230769230771</v>
      </c>
      <c r="CB29" s="227">
        <v>9000</v>
      </c>
      <c r="CC29" s="224">
        <f t="shared" si="13"/>
        <v>0.34615384615384615</v>
      </c>
      <c r="CD29" s="227">
        <v>15000</v>
      </c>
      <c r="CE29" s="224">
        <f t="shared" si="14"/>
        <v>0.57692307692307687</v>
      </c>
      <c r="CF29" s="227">
        <v>20000</v>
      </c>
      <c r="CG29" s="224">
        <f t="shared" si="15"/>
        <v>0.76923076923076927</v>
      </c>
      <c r="CH29" s="227">
        <v>22000</v>
      </c>
      <c r="CI29" s="224">
        <f t="shared" si="16"/>
        <v>0.84615384615384615</v>
      </c>
      <c r="CJ29" s="227">
        <v>24000</v>
      </c>
      <c r="CK29" s="224">
        <f t="shared" si="17"/>
        <v>0.92307692307692313</v>
      </c>
      <c r="CL29" s="227">
        <f>26000*0.95</f>
        <v>24700</v>
      </c>
      <c r="CM29" s="224">
        <f t="shared" si="18"/>
        <v>0.95</v>
      </c>
      <c r="CN29" s="227">
        <f>26000*0.95</f>
        <v>24700</v>
      </c>
      <c r="CO29" s="224">
        <f t="shared" si="19"/>
        <v>0.95</v>
      </c>
      <c r="CP29" s="213" t="str">
        <f t="shared" si="23"/>
        <v>Không đạt</v>
      </c>
      <c r="CQ29" s="213" t="str">
        <f t="shared" si="24"/>
        <v>Không đạt</v>
      </c>
      <c r="CR29" s="192"/>
      <c r="CS29" s="214">
        <f t="shared" si="21"/>
        <v>0</v>
      </c>
      <c r="CT29" s="223"/>
      <c r="CU29" s="163"/>
      <c r="CV29" s="232"/>
      <c r="CW29" s="195"/>
      <c r="CX29" s="196"/>
      <c r="CY29" s="196"/>
      <c r="CZ29" s="197"/>
      <c r="DA29" s="196"/>
      <c r="DB29" s="196"/>
      <c r="DC29" s="196"/>
      <c r="DE29" s="199"/>
      <c r="DF29" s="200"/>
      <c r="DG29" s="181"/>
    </row>
    <row r="30" spans="1:113" s="233" customFormat="1" ht="15" outlineLevel="1" x14ac:dyDescent="0.25">
      <c r="A30" s="192">
        <f>MAX(A$17:$B29)+1</f>
        <v>10</v>
      </c>
      <c r="B30" s="222" t="s">
        <v>166</v>
      </c>
      <c r="C30" s="222">
        <v>7602659</v>
      </c>
      <c r="D30" s="214">
        <f t="shared" si="22"/>
        <v>7000</v>
      </c>
      <c r="E30" s="214"/>
      <c r="F30" s="214">
        <f t="shared" si="28"/>
        <v>7000</v>
      </c>
      <c r="G30" s="214">
        <v>7000</v>
      </c>
      <c r="H30" s="214"/>
      <c r="I30" s="235"/>
      <c r="J30" s="235"/>
      <c r="K30" s="223"/>
      <c r="L30" s="235"/>
      <c r="M30" s="223"/>
      <c r="N30" s="223"/>
      <c r="O30" s="214">
        <f t="shared" si="29"/>
        <v>7000</v>
      </c>
      <c r="P30" s="214">
        <v>0</v>
      </c>
      <c r="Q30" s="224">
        <f t="shared" si="4"/>
        <v>0</v>
      </c>
      <c r="R30" s="214"/>
      <c r="S30" s="225">
        <v>0</v>
      </c>
      <c r="T30" s="225">
        <v>0</v>
      </c>
      <c r="U30" s="214"/>
      <c r="V30" s="225">
        <v>0</v>
      </c>
      <c r="W30" s="225">
        <v>0</v>
      </c>
      <c r="X30" s="214"/>
      <c r="Y30" s="225">
        <v>0</v>
      </c>
      <c r="Z30" s="225">
        <v>0</v>
      </c>
      <c r="AA30" s="214"/>
      <c r="AB30" s="225">
        <v>0</v>
      </c>
      <c r="AC30" s="225">
        <v>0</v>
      </c>
      <c r="AD30" s="214"/>
      <c r="AE30" s="225">
        <v>0</v>
      </c>
      <c r="AF30" s="225">
        <v>0</v>
      </c>
      <c r="AG30" s="214"/>
      <c r="AH30" s="225">
        <v>0</v>
      </c>
      <c r="AI30" s="225">
        <v>0</v>
      </c>
      <c r="AJ30" s="214"/>
      <c r="AK30" s="225">
        <v>0</v>
      </c>
      <c r="AL30" s="225">
        <v>0</v>
      </c>
      <c r="AM30" s="214"/>
      <c r="AN30" s="225">
        <v>0</v>
      </c>
      <c r="AO30" s="225">
        <v>0</v>
      </c>
      <c r="AP30" s="225"/>
      <c r="AQ30" s="214"/>
      <c r="AR30" s="225">
        <v>0</v>
      </c>
      <c r="AS30" s="225">
        <v>0</v>
      </c>
      <c r="AT30" s="214"/>
      <c r="AU30" s="225">
        <v>0</v>
      </c>
      <c r="AV30" s="225">
        <v>0</v>
      </c>
      <c r="AW30" s="214"/>
      <c r="AX30" s="225">
        <v>0</v>
      </c>
      <c r="AY30" s="225">
        <v>0</v>
      </c>
      <c r="AZ30" s="214"/>
      <c r="BA30" s="225">
        <v>0</v>
      </c>
      <c r="BB30" s="225">
        <v>0</v>
      </c>
      <c r="BC30" s="214"/>
      <c r="BD30" s="225">
        <v>0</v>
      </c>
      <c r="BE30" s="225">
        <v>0</v>
      </c>
      <c r="BF30" s="214"/>
      <c r="BG30" s="214"/>
      <c r="BH30" s="225">
        <v>0</v>
      </c>
      <c r="BI30" s="225">
        <v>0</v>
      </c>
      <c r="BJ30" s="214">
        <f t="shared" si="5"/>
        <v>6650</v>
      </c>
      <c r="BK30" s="214"/>
      <c r="BL30" s="225">
        <f t="shared" si="6"/>
        <v>0</v>
      </c>
      <c r="BM30" s="225">
        <f t="shared" si="2"/>
        <v>0</v>
      </c>
      <c r="BN30" s="205">
        <f t="shared" si="26"/>
        <v>0</v>
      </c>
      <c r="BO30" s="205"/>
      <c r="BP30" s="227"/>
      <c r="BQ30" s="224">
        <f t="shared" si="7"/>
        <v>0</v>
      </c>
      <c r="BR30" s="227"/>
      <c r="BS30" s="224">
        <f t="shared" si="8"/>
        <v>0</v>
      </c>
      <c r="BT30" s="227"/>
      <c r="BU30" s="224">
        <f t="shared" si="9"/>
        <v>0</v>
      </c>
      <c r="BV30" s="227"/>
      <c r="BW30" s="224">
        <f t="shared" si="10"/>
        <v>0</v>
      </c>
      <c r="BX30" s="227">
        <v>1200</v>
      </c>
      <c r="BY30" s="224">
        <f t="shared" si="11"/>
        <v>0.17142857142857143</v>
      </c>
      <c r="BZ30" s="227">
        <v>2000</v>
      </c>
      <c r="CA30" s="224">
        <f t="shared" si="12"/>
        <v>0.2857142857142857</v>
      </c>
      <c r="CB30" s="227">
        <v>2500</v>
      </c>
      <c r="CC30" s="224">
        <f t="shared" si="13"/>
        <v>0.35714285714285715</v>
      </c>
      <c r="CD30" s="227">
        <v>3700</v>
      </c>
      <c r="CE30" s="224">
        <f t="shared" si="14"/>
        <v>0.52857142857142858</v>
      </c>
      <c r="CF30" s="227">
        <v>4500</v>
      </c>
      <c r="CG30" s="224">
        <f t="shared" si="15"/>
        <v>0.6428571428571429</v>
      </c>
      <c r="CH30" s="227">
        <v>6000</v>
      </c>
      <c r="CI30" s="224">
        <f t="shared" si="16"/>
        <v>0.8571428571428571</v>
      </c>
      <c r="CJ30" s="227">
        <v>6650</v>
      </c>
      <c r="CK30" s="224">
        <f t="shared" si="17"/>
        <v>0.95</v>
      </c>
      <c r="CL30" s="227">
        <f>7000*0.95</f>
        <v>6650</v>
      </c>
      <c r="CM30" s="224">
        <f t="shared" si="18"/>
        <v>0.95</v>
      </c>
      <c r="CN30" s="227">
        <f>7000*0.95</f>
        <v>6650</v>
      </c>
      <c r="CO30" s="224">
        <f t="shared" si="19"/>
        <v>0.95</v>
      </c>
      <c r="CP30" s="213" t="str">
        <f t="shared" si="23"/>
        <v>Không đạt</v>
      </c>
      <c r="CQ30" s="213" t="str">
        <f t="shared" si="24"/>
        <v>Không đạt</v>
      </c>
      <c r="CR30" s="192"/>
      <c r="CS30" s="214">
        <f t="shared" si="21"/>
        <v>0</v>
      </c>
      <c r="CT30" s="223"/>
      <c r="CU30" s="163"/>
      <c r="CV30" s="232"/>
      <c r="CW30" s="195"/>
      <c r="CX30" s="196"/>
      <c r="CY30" s="196"/>
      <c r="CZ30" s="197"/>
      <c r="DA30" s="196"/>
      <c r="DB30" s="196"/>
      <c r="DC30" s="196"/>
      <c r="DE30" s="199"/>
      <c r="DF30" s="200"/>
      <c r="DG30" s="181"/>
    </row>
    <row r="31" spans="1:113" s="233" customFormat="1" ht="25.5" outlineLevel="1" x14ac:dyDescent="0.25">
      <c r="A31" s="192">
        <f>MAX(A$17:$B30)+1</f>
        <v>11</v>
      </c>
      <c r="B31" s="222" t="s">
        <v>167</v>
      </c>
      <c r="C31" s="222">
        <v>7782601</v>
      </c>
      <c r="D31" s="214">
        <f t="shared" si="22"/>
        <v>1175</v>
      </c>
      <c r="E31" s="214"/>
      <c r="F31" s="214">
        <f t="shared" si="28"/>
        <v>1175</v>
      </c>
      <c r="G31" s="214">
        <v>1175</v>
      </c>
      <c r="H31" s="214"/>
      <c r="I31" s="235"/>
      <c r="J31" s="235"/>
      <c r="K31" s="223"/>
      <c r="L31" s="235"/>
      <c r="M31" s="223"/>
      <c r="N31" s="223"/>
      <c r="O31" s="214">
        <f t="shared" si="29"/>
        <v>1175</v>
      </c>
      <c r="P31" s="214">
        <v>0</v>
      </c>
      <c r="Q31" s="224">
        <f t="shared" si="4"/>
        <v>0</v>
      </c>
      <c r="R31" s="214"/>
      <c r="S31" s="225">
        <v>0</v>
      </c>
      <c r="T31" s="225">
        <v>0</v>
      </c>
      <c r="U31" s="214"/>
      <c r="V31" s="225">
        <v>0</v>
      </c>
      <c r="W31" s="225">
        <v>0</v>
      </c>
      <c r="X31" s="214"/>
      <c r="Y31" s="225">
        <v>0</v>
      </c>
      <c r="Z31" s="225">
        <v>0</v>
      </c>
      <c r="AA31" s="214"/>
      <c r="AB31" s="225">
        <v>0</v>
      </c>
      <c r="AC31" s="225">
        <v>0</v>
      </c>
      <c r="AD31" s="214"/>
      <c r="AE31" s="225">
        <v>0</v>
      </c>
      <c r="AF31" s="225">
        <v>0</v>
      </c>
      <c r="AG31" s="214"/>
      <c r="AH31" s="225">
        <v>0</v>
      </c>
      <c r="AI31" s="225">
        <v>0</v>
      </c>
      <c r="AJ31" s="214"/>
      <c r="AK31" s="225">
        <v>0</v>
      </c>
      <c r="AL31" s="225">
        <v>0</v>
      </c>
      <c r="AM31" s="214"/>
      <c r="AN31" s="225">
        <v>0</v>
      </c>
      <c r="AO31" s="225">
        <v>0</v>
      </c>
      <c r="AP31" s="225"/>
      <c r="AQ31" s="214"/>
      <c r="AR31" s="225">
        <v>0</v>
      </c>
      <c r="AS31" s="225">
        <v>0</v>
      </c>
      <c r="AT31" s="214"/>
      <c r="AU31" s="225">
        <v>0</v>
      </c>
      <c r="AV31" s="225">
        <v>0</v>
      </c>
      <c r="AW31" s="214"/>
      <c r="AX31" s="225">
        <v>0</v>
      </c>
      <c r="AY31" s="225">
        <v>0</v>
      </c>
      <c r="AZ31" s="214"/>
      <c r="BA31" s="225">
        <v>0</v>
      </c>
      <c r="BB31" s="225">
        <v>0</v>
      </c>
      <c r="BC31" s="214"/>
      <c r="BD31" s="225">
        <v>0</v>
      </c>
      <c r="BE31" s="225">
        <v>0</v>
      </c>
      <c r="BF31" s="214"/>
      <c r="BG31" s="214"/>
      <c r="BH31" s="225">
        <v>0</v>
      </c>
      <c r="BI31" s="225">
        <v>0</v>
      </c>
      <c r="BJ31" s="214">
        <f t="shared" si="5"/>
        <v>1116.25</v>
      </c>
      <c r="BK31" s="214"/>
      <c r="BL31" s="225">
        <f t="shared" si="6"/>
        <v>0</v>
      </c>
      <c r="BM31" s="225">
        <f t="shared" si="2"/>
        <v>0</v>
      </c>
      <c r="BN31" s="205">
        <f t="shared" si="26"/>
        <v>0</v>
      </c>
      <c r="BO31" s="205"/>
      <c r="BP31" s="227"/>
      <c r="BQ31" s="224">
        <f t="shared" si="7"/>
        <v>0</v>
      </c>
      <c r="BR31" s="227"/>
      <c r="BS31" s="224">
        <f t="shared" si="8"/>
        <v>0</v>
      </c>
      <c r="BT31" s="227">
        <f>1175*0.95</f>
        <v>1116.25</v>
      </c>
      <c r="BU31" s="224">
        <f t="shared" si="9"/>
        <v>0.95</v>
      </c>
      <c r="BV31" s="227">
        <f>1175*0.95</f>
        <v>1116.25</v>
      </c>
      <c r="BW31" s="224">
        <f t="shared" si="10"/>
        <v>0.95</v>
      </c>
      <c r="BX31" s="227">
        <f>1175*0.95</f>
        <v>1116.25</v>
      </c>
      <c r="BY31" s="224">
        <f t="shared" si="11"/>
        <v>0.95</v>
      </c>
      <c r="BZ31" s="227">
        <f>1175*0.95</f>
        <v>1116.25</v>
      </c>
      <c r="CA31" s="224">
        <f t="shared" si="12"/>
        <v>0.95</v>
      </c>
      <c r="CB31" s="227">
        <f>1175*0.95</f>
        <v>1116.25</v>
      </c>
      <c r="CC31" s="224">
        <f t="shared" si="13"/>
        <v>0.95</v>
      </c>
      <c r="CD31" s="227">
        <f>1175*0.95</f>
        <v>1116.25</v>
      </c>
      <c r="CE31" s="224">
        <f t="shared" si="14"/>
        <v>0.95</v>
      </c>
      <c r="CF31" s="227">
        <f>1175*0.95</f>
        <v>1116.25</v>
      </c>
      <c r="CG31" s="224">
        <f t="shared" si="15"/>
        <v>0.95</v>
      </c>
      <c r="CH31" s="227">
        <f>1175*0.95</f>
        <v>1116.25</v>
      </c>
      <c r="CI31" s="224">
        <f t="shared" si="16"/>
        <v>0.95</v>
      </c>
      <c r="CJ31" s="227">
        <f>1175*0.95</f>
        <v>1116.25</v>
      </c>
      <c r="CK31" s="224">
        <f t="shared" si="17"/>
        <v>0.95</v>
      </c>
      <c r="CL31" s="227">
        <f>1175*0.95</f>
        <v>1116.25</v>
      </c>
      <c r="CM31" s="224">
        <f t="shared" si="18"/>
        <v>0.95</v>
      </c>
      <c r="CN31" s="227">
        <f>1175*0.95</f>
        <v>1116.25</v>
      </c>
      <c r="CO31" s="224">
        <f t="shared" si="19"/>
        <v>0.95</v>
      </c>
      <c r="CP31" s="213" t="str">
        <f t="shared" si="23"/>
        <v>Không đạt</v>
      </c>
      <c r="CQ31" s="213" t="str">
        <f t="shared" si="24"/>
        <v>Không đạt</v>
      </c>
      <c r="CR31" s="192"/>
      <c r="CS31" s="214">
        <f t="shared" si="21"/>
        <v>0</v>
      </c>
      <c r="CT31" s="223"/>
      <c r="CU31" s="163"/>
      <c r="CV31" s="232"/>
      <c r="CW31" s="195"/>
      <c r="CX31" s="196"/>
      <c r="CY31" s="196"/>
      <c r="CZ31" s="197"/>
      <c r="DA31" s="196"/>
      <c r="DB31" s="196"/>
      <c r="DC31" s="196"/>
      <c r="DE31" s="199"/>
      <c r="DF31" s="200"/>
      <c r="DG31" s="181"/>
    </row>
    <row r="32" spans="1:113" s="233" customFormat="1" ht="26.45" customHeight="1" outlineLevel="1" x14ac:dyDescent="0.25">
      <c r="A32" s="192">
        <f>MAX(A$17:$B31)+1</f>
        <v>12</v>
      </c>
      <c r="B32" s="222" t="s">
        <v>168</v>
      </c>
      <c r="C32" s="222">
        <v>7922805</v>
      </c>
      <c r="D32" s="214">
        <f t="shared" si="22"/>
        <v>415474</v>
      </c>
      <c r="E32" s="214"/>
      <c r="F32" s="214">
        <f t="shared" si="28"/>
        <v>415474</v>
      </c>
      <c r="G32" s="214"/>
      <c r="H32" s="214">
        <f>330000+85474</f>
        <v>415474</v>
      </c>
      <c r="I32" s="235">
        <v>115000</v>
      </c>
      <c r="J32" s="214">
        <v>115000</v>
      </c>
      <c r="K32" s="223"/>
      <c r="L32" s="235"/>
      <c r="M32" s="223"/>
      <c r="N32" s="223"/>
      <c r="O32" s="214">
        <f t="shared" si="29"/>
        <v>115000</v>
      </c>
      <c r="P32" s="214">
        <v>4988</v>
      </c>
      <c r="Q32" s="224">
        <f t="shared" si="4"/>
        <v>1.2005564728478798E-2</v>
      </c>
      <c r="R32" s="214">
        <v>39944.377399999998</v>
      </c>
      <c r="S32" s="225">
        <v>0.12104356787878787</v>
      </c>
      <c r="T32" s="225">
        <v>0.12741428197767143</v>
      </c>
      <c r="U32" s="214">
        <v>39944.377399999998</v>
      </c>
      <c r="V32" s="225">
        <v>0.12104356787878787</v>
      </c>
      <c r="W32" s="225">
        <v>0.12741428197767143</v>
      </c>
      <c r="X32" s="214">
        <v>41901.126400000001</v>
      </c>
      <c r="Y32" s="225">
        <v>0.1269731103030303</v>
      </c>
      <c r="Z32" s="225">
        <v>0.13365590558213716</v>
      </c>
      <c r="AA32" s="214">
        <v>42081</v>
      </c>
      <c r="AB32" s="225">
        <v>0.12751818181818181</v>
      </c>
      <c r="AC32" s="225">
        <v>0.13422966507177034</v>
      </c>
      <c r="AD32" s="214">
        <v>57767</v>
      </c>
      <c r="AE32" s="225">
        <v>0.17505151515151515</v>
      </c>
      <c r="AF32" s="225">
        <v>0.18426475279106858</v>
      </c>
      <c r="AG32" s="214">
        <v>65309.149710999998</v>
      </c>
      <c r="AH32" s="225">
        <v>0.19790651427575756</v>
      </c>
      <c r="AI32" s="225">
        <v>0.20832264660606059</v>
      </c>
      <c r="AJ32" s="214">
        <v>65309.149710999998</v>
      </c>
      <c r="AK32" s="225">
        <v>0.19790651427575756</v>
      </c>
      <c r="AL32" s="225">
        <v>0.20832264660606059</v>
      </c>
      <c r="AM32" s="214">
        <v>67903.180345999994</v>
      </c>
      <c r="AN32" s="225">
        <v>0.20576721316969696</v>
      </c>
      <c r="AO32" s="225">
        <v>0.21659706649441784</v>
      </c>
      <c r="AP32" s="225"/>
      <c r="AQ32" s="214">
        <v>115000</v>
      </c>
      <c r="AR32" s="225">
        <v>0.34848484848484851</v>
      </c>
      <c r="AS32" s="225">
        <v>0.3668261562998405</v>
      </c>
      <c r="AT32" s="214">
        <v>115000</v>
      </c>
      <c r="AU32" s="225">
        <v>0.34848484848484851</v>
      </c>
      <c r="AV32" s="225">
        <v>0.3668261562998405</v>
      </c>
      <c r="AW32" s="214">
        <v>115000</v>
      </c>
      <c r="AX32" s="225">
        <v>0.34848484848484851</v>
      </c>
      <c r="AY32" s="225">
        <v>0.3668261562998405</v>
      </c>
      <c r="AZ32" s="214">
        <v>115000</v>
      </c>
      <c r="BA32" s="225">
        <v>0.34848484848484851</v>
      </c>
      <c r="BB32" s="225">
        <v>0.3668261562998405</v>
      </c>
      <c r="BC32" s="214">
        <v>149768.83277400001</v>
      </c>
      <c r="BD32" s="225">
        <v>0.45384494780000001</v>
      </c>
      <c r="BE32" s="225">
        <v>0.47773152400000002</v>
      </c>
      <c r="BF32" s="214">
        <v>205000</v>
      </c>
      <c r="BG32" s="214">
        <v>205000</v>
      </c>
      <c r="BH32" s="225">
        <v>0.49341234349201152</v>
      </c>
      <c r="BI32" s="225">
        <v>0.51938141420211736</v>
      </c>
      <c r="BJ32" s="214">
        <f t="shared" si="5"/>
        <v>394700.3</v>
      </c>
      <c r="BK32" s="214">
        <v>208604.21340199999</v>
      </c>
      <c r="BL32" s="225">
        <f t="shared" si="6"/>
        <v>0.50208728681457804</v>
      </c>
      <c r="BM32" s="225">
        <f t="shared" si="2"/>
        <v>0.5285129334890295</v>
      </c>
      <c r="BN32" s="205">
        <f t="shared" si="26"/>
        <v>150837.21340199999</v>
      </c>
      <c r="BO32" s="205"/>
      <c r="BP32" s="227"/>
      <c r="BQ32" s="224">
        <f t="shared" si="7"/>
        <v>0</v>
      </c>
      <c r="BR32" s="227"/>
      <c r="BS32" s="224">
        <f t="shared" si="8"/>
        <v>0</v>
      </c>
      <c r="BT32" s="227">
        <v>33000</v>
      </c>
      <c r="BU32" s="224">
        <f t="shared" si="9"/>
        <v>7.9427352854811617E-2</v>
      </c>
      <c r="BV32" s="227">
        <v>66000</v>
      </c>
      <c r="BW32" s="224">
        <f t="shared" si="10"/>
        <v>0.15885470570962323</v>
      </c>
      <c r="BX32" s="227">
        <v>115500</v>
      </c>
      <c r="BY32" s="224">
        <f t="shared" si="11"/>
        <v>0.27799573499184066</v>
      </c>
      <c r="BZ32" s="227">
        <v>165000</v>
      </c>
      <c r="CA32" s="224">
        <f t="shared" si="12"/>
        <v>0.39713676427405809</v>
      </c>
      <c r="CB32" s="227">
        <v>198000</v>
      </c>
      <c r="CC32" s="224">
        <f t="shared" si="13"/>
        <v>0.4765641171288697</v>
      </c>
      <c r="CD32" s="227">
        <v>231000</v>
      </c>
      <c r="CE32" s="224">
        <f t="shared" si="14"/>
        <v>0.55599146998368132</v>
      </c>
      <c r="CF32" s="227">
        <v>264000</v>
      </c>
      <c r="CG32" s="224">
        <f t="shared" si="15"/>
        <v>0.63541882283849294</v>
      </c>
      <c r="CH32" s="227">
        <v>297000</v>
      </c>
      <c r="CI32" s="224">
        <f t="shared" si="16"/>
        <v>0.71484617569330455</v>
      </c>
      <c r="CJ32" s="227">
        <v>313500</v>
      </c>
      <c r="CK32" s="224">
        <f t="shared" si="17"/>
        <v>0.75455985212071031</v>
      </c>
      <c r="CL32" s="227">
        <f>330000*0.95</f>
        <v>313500</v>
      </c>
      <c r="CM32" s="224">
        <f t="shared" si="18"/>
        <v>0.75455985212071031</v>
      </c>
      <c r="CN32" s="227">
        <f>330000*0.95</f>
        <v>313500</v>
      </c>
      <c r="CO32" s="224">
        <f t="shared" si="19"/>
        <v>0.75455985212071031</v>
      </c>
      <c r="CP32" s="213" t="str">
        <f t="shared" si="23"/>
        <v>Đạt</v>
      </c>
      <c r="CQ32" s="213" t="str">
        <f t="shared" si="24"/>
        <v>Đạt</v>
      </c>
      <c r="CR32" s="192"/>
      <c r="CS32" s="214">
        <f t="shared" si="21"/>
        <v>93604.213401999994</v>
      </c>
      <c r="CT32" s="223"/>
      <c r="CU32" s="163"/>
      <c r="CV32" s="232"/>
      <c r="CW32" s="195"/>
      <c r="CX32" s="196"/>
      <c r="CY32" s="196"/>
      <c r="CZ32" s="197"/>
      <c r="DA32" s="196"/>
      <c r="DB32" s="196"/>
      <c r="DC32" s="196"/>
      <c r="DE32" s="199"/>
      <c r="DF32" s="200"/>
      <c r="DG32" s="181"/>
    </row>
    <row r="33" spans="1:111" s="233" customFormat="1" ht="38.25" outlineLevel="1" x14ac:dyDescent="0.25">
      <c r="A33" s="192">
        <f>MAX(A$17:$B32)+1</f>
        <v>13</v>
      </c>
      <c r="B33" s="222" t="s">
        <v>169</v>
      </c>
      <c r="C33" s="222">
        <v>7946654</v>
      </c>
      <c r="D33" s="214">
        <f t="shared" si="22"/>
        <v>100000</v>
      </c>
      <c r="E33" s="214"/>
      <c r="F33" s="214">
        <f t="shared" si="28"/>
        <v>100000</v>
      </c>
      <c r="G33" s="214">
        <v>100000</v>
      </c>
      <c r="H33" s="214"/>
      <c r="I33" s="235"/>
      <c r="J33" s="214"/>
      <c r="K33" s="223"/>
      <c r="L33" s="235"/>
      <c r="M33" s="223"/>
      <c r="N33" s="223"/>
      <c r="O33" s="214">
        <f t="shared" si="29"/>
        <v>100000</v>
      </c>
      <c r="P33" s="214">
        <v>0</v>
      </c>
      <c r="Q33" s="224">
        <f t="shared" si="4"/>
        <v>0</v>
      </c>
      <c r="R33" s="214">
        <v>5907.7039999999997</v>
      </c>
      <c r="S33" s="225">
        <v>5.9077039999999997E-2</v>
      </c>
      <c r="T33" s="225">
        <v>6.2186357894736838E-2</v>
      </c>
      <c r="U33" s="214">
        <v>6251.4859999999999</v>
      </c>
      <c r="V33" s="225">
        <v>6.2514860000000005E-2</v>
      </c>
      <c r="W33" s="225">
        <v>6.5805115789473678E-2</v>
      </c>
      <c r="X33" s="214">
        <v>6251.4859999999999</v>
      </c>
      <c r="Y33" s="225">
        <v>6.2514860000000005E-2</v>
      </c>
      <c r="Z33" s="225">
        <v>6.5805115789473678E-2</v>
      </c>
      <c r="AA33" s="214">
        <v>6251.4859999999999</v>
      </c>
      <c r="AB33" s="225">
        <v>6.2514860000000005E-2</v>
      </c>
      <c r="AC33" s="225">
        <v>6.5805115789473678E-2</v>
      </c>
      <c r="AD33" s="214">
        <v>6304.9759999999997</v>
      </c>
      <c r="AE33" s="225">
        <v>6.3049759999999996E-2</v>
      </c>
      <c r="AF33" s="225">
        <v>6.6368168421052628E-2</v>
      </c>
      <c r="AG33" s="214">
        <v>6887.4390000000003</v>
      </c>
      <c r="AH33" s="225">
        <v>6.8874390000000008E-2</v>
      </c>
      <c r="AI33" s="225">
        <v>7.2499357894736841E-2</v>
      </c>
      <c r="AJ33" s="214">
        <v>6887.4390000000003</v>
      </c>
      <c r="AK33" s="225">
        <v>6.8874390000000008E-2</v>
      </c>
      <c r="AL33" s="225">
        <v>7.2499357894736841E-2</v>
      </c>
      <c r="AM33" s="214">
        <v>9331.6319999999996</v>
      </c>
      <c r="AN33" s="225">
        <v>9.3316319999999994E-2</v>
      </c>
      <c r="AO33" s="225">
        <v>9.8227705263157897E-2</v>
      </c>
      <c r="AP33" s="225"/>
      <c r="AQ33" s="214">
        <v>13673.620999999999</v>
      </c>
      <c r="AR33" s="225">
        <v>0.13673621</v>
      </c>
      <c r="AS33" s="225">
        <v>0.14393285263157893</v>
      </c>
      <c r="AT33" s="214">
        <v>13673.620999999999</v>
      </c>
      <c r="AU33" s="225">
        <v>0.13673621</v>
      </c>
      <c r="AV33" s="225">
        <v>0.14393285263157893</v>
      </c>
      <c r="AW33" s="214">
        <v>13673.620999999999</v>
      </c>
      <c r="AX33" s="225">
        <v>0.13673621</v>
      </c>
      <c r="AY33" s="225">
        <v>0.14393285263157893</v>
      </c>
      <c r="AZ33" s="214">
        <v>13673.620999999999</v>
      </c>
      <c r="BA33" s="225">
        <v>0.13673621</v>
      </c>
      <c r="BB33" s="225">
        <v>0.14393285263157893</v>
      </c>
      <c r="BC33" s="214">
        <v>15394.029</v>
      </c>
      <c r="BD33" s="225">
        <v>0.15394029000000001</v>
      </c>
      <c r="BE33" s="225">
        <v>0.16204241052631579</v>
      </c>
      <c r="BF33" s="214"/>
      <c r="BG33" s="214">
        <v>20879.197</v>
      </c>
      <c r="BH33" s="225">
        <v>0.20879196999999999</v>
      </c>
      <c r="BI33" s="225">
        <v>0.21978102105263159</v>
      </c>
      <c r="BJ33" s="214">
        <f t="shared" si="5"/>
        <v>95000</v>
      </c>
      <c r="BK33" s="214">
        <v>21570.20824</v>
      </c>
      <c r="BL33" s="225">
        <f t="shared" si="6"/>
        <v>0.21570208239999999</v>
      </c>
      <c r="BM33" s="225">
        <f t="shared" si="2"/>
        <v>0.22705482357894738</v>
      </c>
      <c r="BN33" s="205">
        <f t="shared" si="26"/>
        <v>15265.232240000001</v>
      </c>
      <c r="BO33" s="205"/>
      <c r="BP33" s="227"/>
      <c r="BQ33" s="224">
        <f t="shared" si="7"/>
        <v>0</v>
      </c>
      <c r="BR33" s="227">
        <v>5500</v>
      </c>
      <c r="BS33" s="224">
        <f t="shared" si="8"/>
        <v>5.5E-2</v>
      </c>
      <c r="BT33" s="227">
        <v>19864</v>
      </c>
      <c r="BU33" s="224">
        <f t="shared" si="9"/>
        <v>0.19864000000000001</v>
      </c>
      <c r="BV33" s="227">
        <v>38364</v>
      </c>
      <c r="BW33" s="224">
        <f t="shared" si="10"/>
        <v>0.38363999999999998</v>
      </c>
      <c r="BX33" s="227">
        <v>52793</v>
      </c>
      <c r="BY33" s="224">
        <f t="shared" si="11"/>
        <v>0.52793000000000001</v>
      </c>
      <c r="BZ33" s="227">
        <v>67589</v>
      </c>
      <c r="CA33" s="224">
        <f t="shared" si="12"/>
        <v>0.67588999999999999</v>
      </c>
      <c r="CB33" s="227">
        <v>74400</v>
      </c>
      <c r="CC33" s="224">
        <f t="shared" si="13"/>
        <v>0.74399999999999999</v>
      </c>
      <c r="CD33" s="227">
        <v>79400</v>
      </c>
      <c r="CE33" s="224">
        <f t="shared" si="14"/>
        <v>0.79400000000000004</v>
      </c>
      <c r="CF33" s="227">
        <v>82400</v>
      </c>
      <c r="CG33" s="224">
        <f t="shared" si="15"/>
        <v>0.82399999999999995</v>
      </c>
      <c r="CH33" s="227">
        <v>85900</v>
      </c>
      <c r="CI33" s="224">
        <f t="shared" si="16"/>
        <v>0.85899999999999999</v>
      </c>
      <c r="CJ33" s="227">
        <v>85900</v>
      </c>
      <c r="CK33" s="224">
        <f t="shared" si="17"/>
        <v>0.85899999999999999</v>
      </c>
      <c r="CL33" s="227">
        <v>95000</v>
      </c>
      <c r="CM33" s="224">
        <f t="shared" si="18"/>
        <v>0.95</v>
      </c>
      <c r="CN33" s="227">
        <v>95000</v>
      </c>
      <c r="CO33" s="224">
        <f t="shared" si="19"/>
        <v>0.95</v>
      </c>
      <c r="CP33" s="213" t="str">
        <f t="shared" si="23"/>
        <v>Không đạt</v>
      </c>
      <c r="CQ33" s="213" t="str">
        <f t="shared" si="24"/>
        <v>Không đạt</v>
      </c>
      <c r="CR33" s="192"/>
      <c r="CS33" s="214">
        <f t="shared" si="21"/>
        <v>7896.5872400000007</v>
      </c>
      <c r="CT33" s="223"/>
      <c r="CU33" s="163"/>
      <c r="CV33" s="232"/>
      <c r="CW33" s="195"/>
      <c r="CX33" s="196"/>
      <c r="CY33" s="196"/>
      <c r="CZ33" s="197"/>
      <c r="DA33" s="196"/>
      <c r="DB33" s="196"/>
      <c r="DC33" s="196"/>
      <c r="DE33" s="199"/>
      <c r="DF33" s="200"/>
      <c r="DG33" s="181"/>
    </row>
    <row r="34" spans="1:111" s="233" customFormat="1" ht="33" customHeight="1" outlineLevel="1" x14ac:dyDescent="0.25">
      <c r="A34" s="192">
        <f>MAX(A$17:$B33)+1</f>
        <v>14</v>
      </c>
      <c r="B34" s="222" t="s">
        <v>170</v>
      </c>
      <c r="C34" s="222">
        <v>8056091</v>
      </c>
      <c r="D34" s="214">
        <f t="shared" si="22"/>
        <v>100000</v>
      </c>
      <c r="E34" s="214"/>
      <c r="F34" s="214">
        <f t="shared" si="28"/>
        <v>100000</v>
      </c>
      <c r="G34" s="214">
        <v>80000</v>
      </c>
      <c r="H34" s="214">
        <v>20000</v>
      </c>
      <c r="I34" s="235"/>
      <c r="J34" s="235"/>
      <c r="K34" s="223"/>
      <c r="L34" s="235"/>
      <c r="M34" s="223"/>
      <c r="N34" s="223"/>
      <c r="O34" s="214">
        <f t="shared" si="29"/>
        <v>80000</v>
      </c>
      <c r="P34" s="214">
        <v>1700</v>
      </c>
      <c r="Q34" s="224">
        <f t="shared" si="4"/>
        <v>1.7000000000000001E-2</v>
      </c>
      <c r="R34" s="214">
        <v>16209.013931</v>
      </c>
      <c r="S34" s="225">
        <v>0.16209013930999999</v>
      </c>
      <c r="T34" s="225">
        <v>0.17062119927368422</v>
      </c>
      <c r="U34" s="214">
        <v>16387.773931</v>
      </c>
      <c r="V34" s="225">
        <v>0.16387773930999999</v>
      </c>
      <c r="W34" s="225">
        <v>0.17250288348421053</v>
      </c>
      <c r="X34" s="214">
        <v>16387.773931</v>
      </c>
      <c r="Y34" s="225">
        <v>0.16387773930999999</v>
      </c>
      <c r="Z34" s="225">
        <v>0.17250288348421053</v>
      </c>
      <c r="AA34" s="214">
        <v>16540</v>
      </c>
      <c r="AB34" s="225">
        <v>0.16539999999999999</v>
      </c>
      <c r="AC34" s="225">
        <v>0.17410526315789474</v>
      </c>
      <c r="AD34" s="214">
        <v>16540</v>
      </c>
      <c r="AE34" s="225">
        <v>0.16539999999999999</v>
      </c>
      <c r="AF34" s="225">
        <v>0.17410526315789474</v>
      </c>
      <c r="AG34" s="214">
        <v>16711.003930999999</v>
      </c>
      <c r="AH34" s="225">
        <v>0.16711003930999999</v>
      </c>
      <c r="AI34" s="225">
        <v>0.17590530453684211</v>
      </c>
      <c r="AJ34" s="214">
        <v>16711.003930999999</v>
      </c>
      <c r="AK34" s="225">
        <v>0.16711003930999999</v>
      </c>
      <c r="AL34" s="225">
        <v>0.17590530453684211</v>
      </c>
      <c r="AM34" s="214">
        <v>18629.810931</v>
      </c>
      <c r="AN34" s="225">
        <v>0.18629810930999999</v>
      </c>
      <c r="AO34" s="225">
        <v>0.19610327295789473</v>
      </c>
      <c r="AP34" s="225"/>
      <c r="AQ34" s="214">
        <v>21807.707931000001</v>
      </c>
      <c r="AR34" s="225">
        <v>0.21807707931</v>
      </c>
      <c r="AS34" s="225">
        <v>0.2295548203263158</v>
      </c>
      <c r="AT34" s="214">
        <v>21834.948930999999</v>
      </c>
      <c r="AU34" s="225">
        <v>0.21834948930999998</v>
      </c>
      <c r="AV34" s="225">
        <v>0.22984156769473682</v>
      </c>
      <c r="AW34" s="214">
        <v>21834.948930999999</v>
      </c>
      <c r="AX34" s="225">
        <v>0.21834948930999998</v>
      </c>
      <c r="AY34" s="225">
        <v>0.22984156769473682</v>
      </c>
      <c r="AZ34" s="214">
        <v>21834.948930999999</v>
      </c>
      <c r="BA34" s="225">
        <v>0.21834948930999998</v>
      </c>
      <c r="BB34" s="225">
        <v>0.22984156769473682</v>
      </c>
      <c r="BC34" s="214">
        <v>24573</v>
      </c>
      <c r="BD34" s="225">
        <v>0.24573</v>
      </c>
      <c r="BE34" s="225">
        <v>0.25866315789473682</v>
      </c>
      <c r="BF34" s="214"/>
      <c r="BG34" s="214">
        <v>27531.365931</v>
      </c>
      <c r="BH34" s="225">
        <v>0.27531365931000001</v>
      </c>
      <c r="BI34" s="225">
        <v>0.28980385190526314</v>
      </c>
      <c r="BJ34" s="214">
        <f t="shared" si="5"/>
        <v>95000</v>
      </c>
      <c r="BK34" s="214">
        <v>27531.365931</v>
      </c>
      <c r="BL34" s="225">
        <f t="shared" si="6"/>
        <v>0.27531365931000001</v>
      </c>
      <c r="BM34" s="225">
        <f t="shared" si="2"/>
        <v>0.28980385190526314</v>
      </c>
      <c r="BN34" s="205">
        <f t="shared" si="26"/>
        <v>10991.365931</v>
      </c>
      <c r="BO34" s="205"/>
      <c r="BP34" s="227"/>
      <c r="BQ34" s="224">
        <f t="shared" si="7"/>
        <v>0</v>
      </c>
      <c r="BR34" s="227">
        <v>2000</v>
      </c>
      <c r="BS34" s="224">
        <f t="shared" si="8"/>
        <v>0.02</v>
      </c>
      <c r="BT34" s="227">
        <v>8000</v>
      </c>
      <c r="BU34" s="224">
        <f t="shared" si="9"/>
        <v>0.08</v>
      </c>
      <c r="BV34" s="227">
        <v>10000</v>
      </c>
      <c r="BW34" s="224">
        <f t="shared" si="10"/>
        <v>0.1</v>
      </c>
      <c r="BX34" s="227">
        <v>15000</v>
      </c>
      <c r="BY34" s="224">
        <f t="shared" si="11"/>
        <v>0.15</v>
      </c>
      <c r="BZ34" s="227">
        <v>30000</v>
      </c>
      <c r="CA34" s="224">
        <f t="shared" si="12"/>
        <v>0.3</v>
      </c>
      <c r="CB34" s="227">
        <v>35000</v>
      </c>
      <c r="CC34" s="224">
        <f t="shared" si="13"/>
        <v>0.35</v>
      </c>
      <c r="CD34" s="227">
        <v>40000</v>
      </c>
      <c r="CE34" s="224">
        <f t="shared" si="14"/>
        <v>0.4</v>
      </c>
      <c r="CF34" s="227">
        <v>50000</v>
      </c>
      <c r="CG34" s="224">
        <f t="shared" si="15"/>
        <v>0.5</v>
      </c>
      <c r="CH34" s="227">
        <v>60000</v>
      </c>
      <c r="CI34" s="224">
        <f t="shared" si="16"/>
        <v>0.6</v>
      </c>
      <c r="CJ34" s="227">
        <v>80000</v>
      </c>
      <c r="CK34" s="224">
        <f t="shared" si="17"/>
        <v>0.8</v>
      </c>
      <c r="CL34" s="227">
        <v>95000</v>
      </c>
      <c r="CM34" s="224">
        <f t="shared" si="18"/>
        <v>0.95</v>
      </c>
      <c r="CN34" s="227">
        <v>95000</v>
      </c>
      <c r="CO34" s="224">
        <f t="shared" si="19"/>
        <v>0.95</v>
      </c>
      <c r="CP34" s="213" t="str">
        <f t="shared" si="23"/>
        <v>Không đạt</v>
      </c>
      <c r="CQ34" s="213" t="str">
        <f t="shared" si="24"/>
        <v>Không đạt</v>
      </c>
      <c r="CR34" s="192"/>
      <c r="CS34" s="214">
        <f t="shared" si="21"/>
        <v>5696.4170000000013</v>
      </c>
      <c r="CT34" s="223"/>
      <c r="CU34" s="163"/>
      <c r="CV34" s="232"/>
      <c r="CW34" s="195"/>
      <c r="CX34" s="196"/>
      <c r="CY34" s="196"/>
      <c r="CZ34" s="197"/>
      <c r="DA34" s="196"/>
      <c r="DB34" s="196"/>
      <c r="DC34" s="196"/>
      <c r="DE34" s="199"/>
      <c r="DF34" s="200"/>
      <c r="DG34" s="181"/>
    </row>
    <row r="35" spans="1:111" s="233" customFormat="1" ht="19.899999999999999" customHeight="1" outlineLevel="1" x14ac:dyDescent="0.25">
      <c r="A35" s="192">
        <f>MAX(A$17:$B34)+1</f>
        <v>15</v>
      </c>
      <c r="B35" s="222" t="s">
        <v>171</v>
      </c>
      <c r="C35" s="222">
        <v>7987729</v>
      </c>
      <c r="D35" s="214">
        <f t="shared" si="22"/>
        <v>380000.39100000006</v>
      </c>
      <c r="E35" s="214"/>
      <c r="F35" s="214">
        <f t="shared" si="28"/>
        <v>380000.39100000006</v>
      </c>
      <c r="G35" s="214">
        <v>334167</v>
      </c>
      <c r="H35" s="214">
        <v>45833.391000000061</v>
      </c>
      <c r="I35" s="235"/>
      <c r="J35" s="235"/>
      <c r="K35" s="223"/>
      <c r="L35" s="235"/>
      <c r="M35" s="223"/>
      <c r="N35" s="223"/>
      <c r="O35" s="214">
        <f t="shared" si="29"/>
        <v>334167</v>
      </c>
      <c r="P35" s="214">
        <v>0</v>
      </c>
      <c r="Q35" s="224">
        <f t="shared" si="4"/>
        <v>0</v>
      </c>
      <c r="R35" s="214">
        <v>4300</v>
      </c>
      <c r="S35" s="225">
        <v>1.1315777830344388E-2</v>
      </c>
      <c r="T35" s="225">
        <v>1.1911345084573042E-2</v>
      </c>
      <c r="U35" s="214">
        <v>4300</v>
      </c>
      <c r="V35" s="225">
        <v>1.1315777830344388E-2</v>
      </c>
      <c r="W35" s="225">
        <v>1.1911345084573042E-2</v>
      </c>
      <c r="X35" s="214">
        <v>4300</v>
      </c>
      <c r="Y35" s="225">
        <v>1.1315777830344388E-2</v>
      </c>
      <c r="Z35" s="225">
        <v>1.1911345084573042E-2</v>
      </c>
      <c r="AA35" s="214">
        <v>4300</v>
      </c>
      <c r="AB35" s="225">
        <v>1.1315777830344388E-2</v>
      </c>
      <c r="AC35" s="225">
        <v>1.1911345084573042E-2</v>
      </c>
      <c r="AD35" s="214">
        <v>4300</v>
      </c>
      <c r="AE35" s="225">
        <v>1.1315777830344388E-2</v>
      </c>
      <c r="AF35" s="225">
        <v>1.1911345084573042E-2</v>
      </c>
      <c r="AG35" s="214">
        <v>4300</v>
      </c>
      <c r="AH35" s="225">
        <v>1.1315777830344388E-2</v>
      </c>
      <c r="AI35" s="225">
        <v>1.1911345084573042E-2</v>
      </c>
      <c r="AJ35" s="214">
        <v>4300</v>
      </c>
      <c r="AK35" s="225">
        <v>1.1315777830344388E-2</v>
      </c>
      <c r="AL35" s="225">
        <v>1.1911345084573042E-2</v>
      </c>
      <c r="AM35" s="214">
        <v>4300</v>
      </c>
      <c r="AN35" s="225">
        <v>1.1315777830344388E-2</v>
      </c>
      <c r="AO35" s="225">
        <v>1.1911345084573042E-2</v>
      </c>
      <c r="AP35" s="225"/>
      <c r="AQ35" s="214">
        <v>4600</v>
      </c>
      <c r="AR35" s="225">
        <v>1.2105250702228881E-2</v>
      </c>
      <c r="AS35" s="225">
        <v>1.2742369160240928E-2</v>
      </c>
      <c r="AT35" s="214">
        <v>4600</v>
      </c>
      <c r="AU35" s="225">
        <v>1.2105250702228881E-2</v>
      </c>
      <c r="AV35" s="225">
        <v>1.2742369160240928E-2</v>
      </c>
      <c r="AW35" s="214">
        <v>4600</v>
      </c>
      <c r="AX35" s="225">
        <v>1.2105250702228881E-2</v>
      </c>
      <c r="AY35" s="225">
        <v>1.2742369160240928E-2</v>
      </c>
      <c r="AZ35" s="214">
        <v>4701.5749999999998</v>
      </c>
      <c r="BA35" s="225">
        <v>1.2372553058767772E-2</v>
      </c>
      <c r="BB35" s="225">
        <v>1.3023740061860812E-2</v>
      </c>
      <c r="BC35" s="214">
        <v>4701.5749999999998</v>
      </c>
      <c r="BD35" s="225">
        <v>1.2372553058767772E-2</v>
      </c>
      <c r="BE35" s="225">
        <v>1.3023740061860812E-2</v>
      </c>
      <c r="BF35" s="214"/>
      <c r="BG35" s="214">
        <v>6011.9650000000001</v>
      </c>
      <c r="BH35" s="225">
        <v>1.5820944247396839E-2</v>
      </c>
      <c r="BI35" s="225">
        <v>1.6653625523575619E-2</v>
      </c>
      <c r="BJ35" s="214">
        <f t="shared" si="5"/>
        <v>361000.37145000004</v>
      </c>
      <c r="BK35" s="214">
        <v>7511.9650000000001</v>
      </c>
      <c r="BL35" s="225">
        <f t="shared" si="6"/>
        <v>1.9768308606819298E-2</v>
      </c>
      <c r="BM35" s="225">
        <f t="shared" si="2"/>
        <v>2.0808745901915053E-2</v>
      </c>
      <c r="BN35" s="205">
        <f t="shared" si="26"/>
        <v>3211.9650000000001</v>
      </c>
      <c r="BO35" s="205"/>
      <c r="BP35" s="227"/>
      <c r="BQ35" s="224">
        <f t="shared" si="7"/>
        <v>0</v>
      </c>
      <c r="BR35" s="227">
        <v>2000</v>
      </c>
      <c r="BS35" s="224">
        <f t="shared" si="8"/>
        <v>5.2631524792299484E-3</v>
      </c>
      <c r="BT35" s="227">
        <v>2000</v>
      </c>
      <c r="BU35" s="224">
        <f t="shared" si="9"/>
        <v>5.2631524792299484E-3</v>
      </c>
      <c r="BV35" s="227">
        <v>32000</v>
      </c>
      <c r="BW35" s="224">
        <f t="shared" si="10"/>
        <v>8.4210439667679174E-2</v>
      </c>
      <c r="BX35" s="227">
        <v>37000</v>
      </c>
      <c r="BY35" s="224">
        <f t="shared" si="11"/>
        <v>9.7368320865754046E-2</v>
      </c>
      <c r="BZ35" s="227">
        <v>361000</v>
      </c>
      <c r="CA35" s="224">
        <f t="shared" si="12"/>
        <v>0.94999902250100565</v>
      </c>
      <c r="CB35" s="227">
        <v>361000</v>
      </c>
      <c r="CC35" s="224">
        <f t="shared" si="13"/>
        <v>0.94999902250100565</v>
      </c>
      <c r="CD35" s="227">
        <v>361000</v>
      </c>
      <c r="CE35" s="224">
        <f t="shared" si="14"/>
        <v>0.94999902250100565</v>
      </c>
      <c r="CF35" s="227">
        <v>361000</v>
      </c>
      <c r="CG35" s="224">
        <f t="shared" si="15"/>
        <v>0.94999902250100565</v>
      </c>
      <c r="CH35" s="227">
        <v>361000</v>
      </c>
      <c r="CI35" s="224">
        <f t="shared" si="16"/>
        <v>0.94999902250100565</v>
      </c>
      <c r="CJ35" s="227">
        <v>361000</v>
      </c>
      <c r="CK35" s="224">
        <f t="shared" si="17"/>
        <v>0.94999902250100565</v>
      </c>
      <c r="CL35" s="227">
        <f>380000*0.95</f>
        <v>361000</v>
      </c>
      <c r="CM35" s="224">
        <f t="shared" si="18"/>
        <v>0.94999902250100565</v>
      </c>
      <c r="CN35" s="227">
        <v>361000</v>
      </c>
      <c r="CO35" s="224">
        <f t="shared" si="19"/>
        <v>0.94999902250100565</v>
      </c>
      <c r="CP35" s="213" t="str">
        <f t="shared" si="23"/>
        <v>Không đạt</v>
      </c>
      <c r="CQ35" s="213" t="str">
        <f t="shared" si="24"/>
        <v>Không đạt</v>
      </c>
      <c r="CR35" s="192"/>
      <c r="CS35" s="214">
        <f t="shared" si="21"/>
        <v>2810.3900000000003</v>
      </c>
      <c r="CT35" s="223"/>
      <c r="CU35" s="163"/>
      <c r="CV35" s="232"/>
      <c r="CW35" s="195"/>
      <c r="CX35" s="196"/>
      <c r="CY35" s="196"/>
      <c r="CZ35" s="197"/>
      <c r="DA35" s="196"/>
      <c r="DB35" s="196"/>
      <c r="DC35" s="196"/>
      <c r="DE35" s="199"/>
      <c r="DF35" s="200"/>
      <c r="DG35" s="181"/>
    </row>
    <row r="36" spans="1:111" s="233" customFormat="1" ht="38.25" outlineLevel="1" x14ac:dyDescent="0.25">
      <c r="A36" s="192">
        <f>MAX(A$17:$B35)+1</f>
        <v>16</v>
      </c>
      <c r="B36" s="222" t="s">
        <v>172</v>
      </c>
      <c r="C36" s="222">
        <v>7986394</v>
      </c>
      <c r="D36" s="214">
        <f t="shared" si="22"/>
        <v>10000</v>
      </c>
      <c r="E36" s="214"/>
      <c r="F36" s="214">
        <f t="shared" si="28"/>
        <v>10000</v>
      </c>
      <c r="G36" s="214">
        <f>90000-80000</f>
        <v>10000</v>
      </c>
      <c r="H36" s="214">
        <f>15000-15000</f>
        <v>0</v>
      </c>
      <c r="I36" s="235"/>
      <c r="J36" s="235"/>
      <c r="K36" s="223"/>
      <c r="L36" s="235"/>
      <c r="M36" s="223"/>
      <c r="N36" s="223"/>
      <c r="O36" s="214">
        <f t="shared" si="29"/>
        <v>10000</v>
      </c>
      <c r="P36" s="214">
        <v>0</v>
      </c>
      <c r="Q36" s="224">
        <f t="shared" si="4"/>
        <v>0</v>
      </c>
      <c r="R36" s="214"/>
      <c r="S36" s="225">
        <v>0</v>
      </c>
      <c r="T36" s="225">
        <v>0</v>
      </c>
      <c r="U36" s="214"/>
      <c r="V36" s="225">
        <v>0</v>
      </c>
      <c r="W36" s="225">
        <v>0</v>
      </c>
      <c r="X36" s="214"/>
      <c r="Y36" s="225">
        <v>0</v>
      </c>
      <c r="Z36" s="225">
        <v>0</v>
      </c>
      <c r="AA36" s="214"/>
      <c r="AB36" s="225">
        <v>0</v>
      </c>
      <c r="AC36" s="225">
        <v>0</v>
      </c>
      <c r="AD36" s="214"/>
      <c r="AE36" s="225">
        <v>0</v>
      </c>
      <c r="AF36" s="225">
        <v>0</v>
      </c>
      <c r="AG36" s="214"/>
      <c r="AH36" s="225">
        <v>0</v>
      </c>
      <c r="AI36" s="225">
        <v>0</v>
      </c>
      <c r="AJ36" s="214"/>
      <c r="AK36" s="225">
        <v>0</v>
      </c>
      <c r="AL36" s="225">
        <v>0</v>
      </c>
      <c r="AM36" s="214"/>
      <c r="AN36" s="225">
        <v>0</v>
      </c>
      <c r="AO36" s="225">
        <v>0</v>
      </c>
      <c r="AP36" s="225"/>
      <c r="AQ36" s="214"/>
      <c r="AR36" s="225">
        <v>0</v>
      </c>
      <c r="AS36" s="225">
        <v>0</v>
      </c>
      <c r="AT36" s="214"/>
      <c r="AU36" s="225">
        <v>0</v>
      </c>
      <c r="AV36" s="225">
        <v>0</v>
      </c>
      <c r="AW36" s="214"/>
      <c r="AX36" s="225">
        <v>0</v>
      </c>
      <c r="AY36" s="225">
        <v>0</v>
      </c>
      <c r="AZ36" s="214"/>
      <c r="BA36" s="225">
        <v>0</v>
      </c>
      <c r="BB36" s="225">
        <v>0</v>
      </c>
      <c r="BC36" s="214"/>
      <c r="BD36" s="225">
        <v>0</v>
      </c>
      <c r="BE36" s="225">
        <v>0</v>
      </c>
      <c r="BF36" s="214"/>
      <c r="BG36" s="214"/>
      <c r="BH36" s="225">
        <v>0</v>
      </c>
      <c r="BI36" s="225">
        <v>0</v>
      </c>
      <c r="BJ36" s="214">
        <f t="shared" si="5"/>
        <v>9500</v>
      </c>
      <c r="BK36" s="214"/>
      <c r="BL36" s="225">
        <f t="shared" si="6"/>
        <v>0</v>
      </c>
      <c r="BM36" s="225">
        <f t="shared" si="2"/>
        <v>0</v>
      </c>
      <c r="BN36" s="205">
        <f t="shared" si="26"/>
        <v>0</v>
      </c>
      <c r="BO36" s="205"/>
      <c r="BP36" s="227"/>
      <c r="BQ36" s="224">
        <f t="shared" si="7"/>
        <v>0</v>
      </c>
      <c r="BR36" s="227"/>
      <c r="BS36" s="224">
        <f t="shared" si="8"/>
        <v>0</v>
      </c>
      <c r="BT36" s="227"/>
      <c r="BU36" s="224">
        <f t="shared" si="9"/>
        <v>0</v>
      </c>
      <c r="BV36" s="227"/>
      <c r="BW36" s="224">
        <f t="shared" si="10"/>
        <v>0</v>
      </c>
      <c r="BX36" s="227"/>
      <c r="BY36" s="224">
        <f t="shared" si="11"/>
        <v>0</v>
      </c>
      <c r="BZ36" s="227">
        <v>10000</v>
      </c>
      <c r="CA36" s="224">
        <f t="shared" si="12"/>
        <v>1</v>
      </c>
      <c r="CB36" s="227">
        <v>25000</v>
      </c>
      <c r="CC36" s="224">
        <f t="shared" si="13"/>
        <v>2.5</v>
      </c>
      <c r="CD36" s="227">
        <v>40000</v>
      </c>
      <c r="CE36" s="224">
        <f t="shared" si="14"/>
        <v>4</v>
      </c>
      <c r="CF36" s="227">
        <v>60000</v>
      </c>
      <c r="CG36" s="224">
        <f t="shared" si="15"/>
        <v>6</v>
      </c>
      <c r="CH36" s="227">
        <v>75000</v>
      </c>
      <c r="CI36" s="224">
        <f t="shared" si="16"/>
        <v>7.5</v>
      </c>
      <c r="CJ36" s="227">
        <v>85000</v>
      </c>
      <c r="CK36" s="224">
        <f t="shared" si="17"/>
        <v>8.5</v>
      </c>
      <c r="CL36" s="227">
        <f>105000*0.95</f>
        <v>99750</v>
      </c>
      <c r="CM36" s="224">
        <f t="shared" si="18"/>
        <v>9.9749999999999996</v>
      </c>
      <c r="CN36" s="227">
        <f>105000*0.95</f>
        <v>99750</v>
      </c>
      <c r="CO36" s="224">
        <f t="shared" si="19"/>
        <v>9.9749999999999996</v>
      </c>
      <c r="CP36" s="213" t="str">
        <f t="shared" si="23"/>
        <v>Không đạt</v>
      </c>
      <c r="CQ36" s="213" t="str">
        <f t="shared" si="24"/>
        <v>Không đạt</v>
      </c>
      <c r="CR36" s="192"/>
      <c r="CS36" s="214">
        <f t="shared" si="21"/>
        <v>0</v>
      </c>
      <c r="CT36" s="223"/>
      <c r="CU36" s="163"/>
      <c r="CV36" s="232"/>
      <c r="CW36" s="195"/>
      <c r="CX36" s="196"/>
      <c r="CY36" s="196"/>
      <c r="CZ36" s="197"/>
      <c r="DA36" s="196"/>
      <c r="DB36" s="196"/>
      <c r="DC36" s="196"/>
      <c r="DE36" s="199"/>
      <c r="DF36" s="200"/>
      <c r="DG36" s="181"/>
    </row>
    <row r="37" spans="1:111" s="233" customFormat="1" ht="25.5" outlineLevel="1" x14ac:dyDescent="0.25">
      <c r="A37" s="192">
        <f>MAX(A$17:$B36)+1</f>
        <v>17</v>
      </c>
      <c r="B37" s="222" t="s">
        <v>173</v>
      </c>
      <c r="C37" s="222">
        <v>8049904</v>
      </c>
      <c r="D37" s="214">
        <f t="shared" si="22"/>
        <v>21053</v>
      </c>
      <c r="E37" s="214"/>
      <c r="F37" s="214">
        <f t="shared" si="28"/>
        <v>21053</v>
      </c>
      <c r="G37" s="214">
        <v>21053</v>
      </c>
      <c r="H37" s="214">
        <f>20000-20000</f>
        <v>0</v>
      </c>
      <c r="I37" s="235">
        <v>8500</v>
      </c>
      <c r="J37" s="214">
        <v>8317.6948260000008</v>
      </c>
      <c r="K37" s="223"/>
      <c r="L37" s="235"/>
      <c r="M37" s="223"/>
      <c r="N37" s="223"/>
      <c r="O37" s="214">
        <f t="shared" si="29"/>
        <v>29553</v>
      </c>
      <c r="P37" s="214">
        <v>0</v>
      </c>
      <c r="Q37" s="224">
        <f t="shared" si="4"/>
        <v>0</v>
      </c>
      <c r="R37" s="214"/>
      <c r="S37" s="225">
        <v>0</v>
      </c>
      <c r="T37" s="225">
        <v>0</v>
      </c>
      <c r="U37" s="214"/>
      <c r="V37" s="225">
        <v>0</v>
      </c>
      <c r="W37" s="225">
        <v>0</v>
      </c>
      <c r="X37" s="214"/>
      <c r="Y37" s="225">
        <v>0</v>
      </c>
      <c r="Z37" s="225">
        <v>0</v>
      </c>
      <c r="AA37" s="214"/>
      <c r="AB37" s="225">
        <v>0</v>
      </c>
      <c r="AC37" s="225">
        <v>0</v>
      </c>
      <c r="AD37" s="214"/>
      <c r="AE37" s="225">
        <v>0</v>
      </c>
      <c r="AF37" s="225">
        <v>0</v>
      </c>
      <c r="AG37" s="214"/>
      <c r="AH37" s="225">
        <v>0</v>
      </c>
      <c r="AI37" s="225">
        <v>0</v>
      </c>
      <c r="AJ37" s="214"/>
      <c r="AK37" s="225">
        <v>0</v>
      </c>
      <c r="AL37" s="225">
        <v>0</v>
      </c>
      <c r="AM37" s="214"/>
      <c r="AN37" s="225">
        <v>0</v>
      </c>
      <c r="AO37" s="225">
        <v>0</v>
      </c>
      <c r="AP37" s="225"/>
      <c r="AQ37" s="214">
        <v>8317.6948260000008</v>
      </c>
      <c r="AR37" s="225">
        <v>0.41588474130000003</v>
      </c>
      <c r="AS37" s="225">
        <v>0.4377734118947369</v>
      </c>
      <c r="AT37" s="214">
        <v>8317.6948260000008</v>
      </c>
      <c r="AU37" s="225">
        <v>0.41588474130000003</v>
      </c>
      <c r="AV37" s="225">
        <v>0.4377734118947369</v>
      </c>
      <c r="AW37" s="214">
        <v>8317.6948260000008</v>
      </c>
      <c r="AX37" s="225">
        <v>0.41588474130000003</v>
      </c>
      <c r="AY37" s="225">
        <v>0.4377734118947369</v>
      </c>
      <c r="AZ37" s="214">
        <v>8317.6948260000008</v>
      </c>
      <c r="BA37" s="225">
        <v>0.41588474130000003</v>
      </c>
      <c r="BB37" s="225">
        <v>0.4377734118947369</v>
      </c>
      <c r="BC37" s="214">
        <v>8325.1328260000009</v>
      </c>
      <c r="BD37" s="225">
        <v>0.41625664130000006</v>
      </c>
      <c r="BE37" s="225">
        <v>0.43816488557894739</v>
      </c>
      <c r="BF37" s="214"/>
      <c r="BG37" s="214">
        <v>11262.048826</v>
      </c>
      <c r="BH37" s="225">
        <v>0.53493795782073816</v>
      </c>
      <c r="BI37" s="225">
        <v>0.56309258717972444</v>
      </c>
      <c r="BJ37" s="214">
        <f t="shared" si="5"/>
        <v>20000.349999999999</v>
      </c>
      <c r="BK37" s="214">
        <v>11262.048826</v>
      </c>
      <c r="BL37" s="225">
        <f t="shared" si="6"/>
        <v>0.53493795782073816</v>
      </c>
      <c r="BM37" s="225">
        <f t="shared" si="2"/>
        <v>0.56309258717972444</v>
      </c>
      <c r="BN37" s="205">
        <f t="shared" si="26"/>
        <v>11262.048826</v>
      </c>
      <c r="BO37" s="205"/>
      <c r="BP37" s="227"/>
      <c r="BQ37" s="224">
        <f t="shared" si="7"/>
        <v>0</v>
      </c>
      <c r="BR37" s="227">
        <v>1200</v>
      </c>
      <c r="BS37" s="224">
        <f t="shared" si="8"/>
        <v>5.6999002517455946E-2</v>
      </c>
      <c r="BT37" s="227">
        <v>1200</v>
      </c>
      <c r="BU37" s="224">
        <f t="shared" si="9"/>
        <v>5.6999002517455946E-2</v>
      </c>
      <c r="BV37" s="227">
        <v>6000</v>
      </c>
      <c r="BW37" s="224">
        <f t="shared" si="10"/>
        <v>0.28499501258727972</v>
      </c>
      <c r="BX37" s="227">
        <v>7500</v>
      </c>
      <c r="BY37" s="224">
        <f t="shared" si="11"/>
        <v>0.35624376573409966</v>
      </c>
      <c r="BZ37" s="227">
        <v>12000</v>
      </c>
      <c r="CA37" s="224">
        <f t="shared" si="12"/>
        <v>0.56999002517455943</v>
      </c>
      <c r="CB37" s="227">
        <v>13500</v>
      </c>
      <c r="CC37" s="224">
        <f t="shared" si="13"/>
        <v>0.64123877832137932</v>
      </c>
      <c r="CD37" s="227">
        <v>18000</v>
      </c>
      <c r="CE37" s="224">
        <f t="shared" si="14"/>
        <v>0.85498503776183921</v>
      </c>
      <c r="CF37" s="227">
        <v>19000</v>
      </c>
      <c r="CG37" s="224">
        <f t="shared" si="15"/>
        <v>0.90248420652638583</v>
      </c>
      <c r="CH37" s="227">
        <v>19000</v>
      </c>
      <c r="CI37" s="224">
        <f t="shared" si="16"/>
        <v>0.90248420652638583</v>
      </c>
      <c r="CJ37" s="227">
        <v>19000</v>
      </c>
      <c r="CK37" s="224">
        <f t="shared" si="17"/>
        <v>0.90248420652638583</v>
      </c>
      <c r="CL37" s="227">
        <v>19000</v>
      </c>
      <c r="CM37" s="224">
        <f t="shared" si="18"/>
        <v>0.90248420652638583</v>
      </c>
      <c r="CN37" s="227">
        <v>19000</v>
      </c>
      <c r="CO37" s="224">
        <f t="shared" si="19"/>
        <v>0.90248420652638583</v>
      </c>
      <c r="CP37" s="213" t="str">
        <f t="shared" si="23"/>
        <v>Đạt</v>
      </c>
      <c r="CQ37" s="213" t="str">
        <f t="shared" si="24"/>
        <v>Đạt</v>
      </c>
      <c r="CR37" s="192"/>
      <c r="CS37" s="214">
        <f t="shared" si="21"/>
        <v>2944.3539999999994</v>
      </c>
      <c r="CT37" s="223"/>
      <c r="CU37" s="163"/>
      <c r="CV37" s="232"/>
      <c r="CW37" s="195"/>
      <c r="CX37" s="196"/>
      <c r="CY37" s="196"/>
      <c r="CZ37" s="197"/>
      <c r="DA37" s="196"/>
      <c r="DB37" s="196"/>
      <c r="DC37" s="196"/>
      <c r="DE37" s="199"/>
      <c r="DF37" s="200"/>
      <c r="DG37" s="181"/>
    </row>
    <row r="38" spans="1:111" s="233" customFormat="1" ht="25.5" outlineLevel="1" x14ac:dyDescent="0.25">
      <c r="A38" s="192">
        <f>MAX(A$17:$B37)+1</f>
        <v>18</v>
      </c>
      <c r="B38" s="222" t="s">
        <v>174</v>
      </c>
      <c r="C38" s="222">
        <v>7957777</v>
      </c>
      <c r="D38" s="214">
        <f t="shared" si="22"/>
        <v>27368</v>
      </c>
      <c r="E38" s="214"/>
      <c r="F38" s="214">
        <f t="shared" si="28"/>
        <v>27368</v>
      </c>
      <c r="G38" s="214">
        <v>27368</v>
      </c>
      <c r="H38" s="214">
        <f>26000-26000</f>
        <v>0</v>
      </c>
      <c r="I38" s="235">
        <v>1900</v>
      </c>
      <c r="J38" s="214">
        <v>511.82100000000003</v>
      </c>
      <c r="K38" s="223"/>
      <c r="L38" s="235"/>
      <c r="M38" s="223"/>
      <c r="N38" s="223"/>
      <c r="O38" s="214">
        <f t="shared" si="29"/>
        <v>29268</v>
      </c>
      <c r="P38" s="214">
        <v>0</v>
      </c>
      <c r="Q38" s="224">
        <f t="shared" si="4"/>
        <v>0</v>
      </c>
      <c r="R38" s="214"/>
      <c r="S38" s="225">
        <v>0</v>
      </c>
      <c r="T38" s="225">
        <v>0</v>
      </c>
      <c r="U38" s="214"/>
      <c r="V38" s="225">
        <v>0</v>
      </c>
      <c r="W38" s="225">
        <v>0</v>
      </c>
      <c r="X38" s="214"/>
      <c r="Y38" s="225">
        <v>0</v>
      </c>
      <c r="Z38" s="225">
        <v>0</v>
      </c>
      <c r="AA38" s="214"/>
      <c r="AB38" s="225">
        <v>0</v>
      </c>
      <c r="AC38" s="225">
        <v>0</v>
      </c>
      <c r="AD38" s="214"/>
      <c r="AE38" s="225">
        <v>0</v>
      </c>
      <c r="AF38" s="225">
        <v>0</v>
      </c>
      <c r="AG38" s="214"/>
      <c r="AH38" s="225">
        <v>0</v>
      </c>
      <c r="AI38" s="225">
        <v>0</v>
      </c>
      <c r="AJ38" s="214"/>
      <c r="AK38" s="225">
        <v>0</v>
      </c>
      <c r="AL38" s="225">
        <v>0</v>
      </c>
      <c r="AM38" s="214"/>
      <c r="AN38" s="225">
        <v>0</v>
      </c>
      <c r="AO38" s="225">
        <v>0</v>
      </c>
      <c r="AP38" s="225"/>
      <c r="AQ38" s="214">
        <v>511.82100000000003</v>
      </c>
      <c r="AR38" s="225">
        <v>1.968542307692308E-2</v>
      </c>
      <c r="AS38" s="225">
        <v>2.0721497975708502E-2</v>
      </c>
      <c r="AT38" s="214">
        <v>511.82100000000003</v>
      </c>
      <c r="AU38" s="225">
        <v>1.968542307692308E-2</v>
      </c>
      <c r="AV38" s="225">
        <v>2.0721497975708502E-2</v>
      </c>
      <c r="AW38" s="214">
        <v>511.82100000000003</v>
      </c>
      <c r="AX38" s="225">
        <v>1.968542307692308E-2</v>
      </c>
      <c r="AY38" s="225">
        <v>2.0721497975708502E-2</v>
      </c>
      <c r="AZ38" s="214">
        <v>511.82100000000003</v>
      </c>
      <c r="BA38" s="225">
        <v>1.968542307692308E-2</v>
      </c>
      <c r="BB38" s="225">
        <v>2.0721497975708502E-2</v>
      </c>
      <c r="BC38" s="214">
        <v>511.82100000000003</v>
      </c>
      <c r="BD38" s="225">
        <v>1.968542307692308E-2</v>
      </c>
      <c r="BE38" s="225">
        <v>2.0721497975708502E-2</v>
      </c>
      <c r="BF38" s="214"/>
      <c r="BG38" s="214">
        <v>585.30700000000002</v>
      </c>
      <c r="BH38" s="225">
        <v>2.1386546331482022E-2</v>
      </c>
      <c r="BI38" s="225">
        <v>2.2512154033138974E-2</v>
      </c>
      <c r="BJ38" s="214">
        <f t="shared" si="5"/>
        <v>25999.599999999999</v>
      </c>
      <c r="BK38" s="214">
        <v>585.30700000000002</v>
      </c>
      <c r="BL38" s="225">
        <f t="shared" si="6"/>
        <v>2.1386546331482022E-2</v>
      </c>
      <c r="BM38" s="225">
        <f t="shared" si="2"/>
        <v>2.2512154033138974E-2</v>
      </c>
      <c r="BN38" s="205">
        <f t="shared" si="26"/>
        <v>585.30700000000002</v>
      </c>
      <c r="BO38" s="205"/>
      <c r="BP38" s="227"/>
      <c r="BQ38" s="224">
        <f t="shared" si="7"/>
        <v>0</v>
      </c>
      <c r="BR38" s="227"/>
      <c r="BS38" s="224">
        <f t="shared" si="8"/>
        <v>0</v>
      </c>
      <c r="BT38" s="227">
        <v>3000</v>
      </c>
      <c r="BU38" s="224">
        <f t="shared" si="9"/>
        <v>0.10961707103186202</v>
      </c>
      <c r="BV38" s="227">
        <v>3000</v>
      </c>
      <c r="BW38" s="224">
        <f t="shared" si="10"/>
        <v>0.10961707103186202</v>
      </c>
      <c r="BX38" s="227">
        <v>3000</v>
      </c>
      <c r="BY38" s="224">
        <f t="shared" si="11"/>
        <v>0.10961707103186202</v>
      </c>
      <c r="BZ38" s="227">
        <v>12169</v>
      </c>
      <c r="CA38" s="224">
        <f t="shared" si="12"/>
        <v>0.44464337912890967</v>
      </c>
      <c r="CB38" s="227">
        <v>12169</v>
      </c>
      <c r="CC38" s="224">
        <f t="shared" si="13"/>
        <v>0.44464337912890967</v>
      </c>
      <c r="CD38" s="227">
        <v>14669</v>
      </c>
      <c r="CE38" s="224">
        <f t="shared" si="14"/>
        <v>0.53599093832212807</v>
      </c>
      <c r="CF38" s="227">
        <v>20169</v>
      </c>
      <c r="CG38" s="224">
        <f t="shared" si="15"/>
        <v>0.73695556854720845</v>
      </c>
      <c r="CH38" s="227">
        <v>22158</v>
      </c>
      <c r="CI38" s="224">
        <f t="shared" si="16"/>
        <v>0.80963168664133289</v>
      </c>
      <c r="CJ38" s="227">
        <v>22158</v>
      </c>
      <c r="CK38" s="224">
        <f t="shared" si="17"/>
        <v>0.80963168664133289</v>
      </c>
      <c r="CL38" s="227">
        <v>24700</v>
      </c>
      <c r="CM38" s="224">
        <f t="shared" si="18"/>
        <v>0.90251388482899741</v>
      </c>
      <c r="CN38" s="227">
        <f>26000*0.95</f>
        <v>24700</v>
      </c>
      <c r="CO38" s="224">
        <f t="shared" si="19"/>
        <v>0.90251388482899741</v>
      </c>
      <c r="CP38" s="213" t="str">
        <f t="shared" si="23"/>
        <v>Không đạt</v>
      </c>
      <c r="CQ38" s="213" t="str">
        <f t="shared" si="24"/>
        <v>Không đạt</v>
      </c>
      <c r="CR38" s="192"/>
      <c r="CS38" s="214">
        <f t="shared" si="21"/>
        <v>73.48599999999999</v>
      </c>
      <c r="CT38" s="223"/>
      <c r="CU38" s="163"/>
      <c r="CV38" s="232"/>
      <c r="CW38" s="195"/>
      <c r="CX38" s="196"/>
      <c r="CY38" s="196"/>
      <c r="CZ38" s="197"/>
      <c r="DA38" s="196"/>
      <c r="DB38" s="196"/>
      <c r="DC38" s="196"/>
      <c r="DE38" s="199"/>
      <c r="DF38" s="200"/>
      <c r="DG38" s="181"/>
    </row>
    <row r="39" spans="1:111" s="233" customFormat="1" ht="51" outlineLevel="1" x14ac:dyDescent="0.25">
      <c r="A39" s="192">
        <f>MAX(A$17:$B38)+1</f>
        <v>19</v>
      </c>
      <c r="B39" s="222" t="s">
        <v>175</v>
      </c>
      <c r="C39" s="222">
        <v>8028502</v>
      </c>
      <c r="D39" s="214">
        <f t="shared" si="22"/>
        <v>16000</v>
      </c>
      <c r="E39" s="214"/>
      <c r="F39" s="214">
        <f t="shared" si="28"/>
        <v>16000</v>
      </c>
      <c r="G39" s="214"/>
      <c r="H39" s="214">
        <v>16000</v>
      </c>
      <c r="I39" s="235">
        <v>8300</v>
      </c>
      <c r="J39" s="214">
        <v>8104.8422520000004</v>
      </c>
      <c r="K39" s="223"/>
      <c r="L39" s="235"/>
      <c r="M39" s="223"/>
      <c r="N39" s="223"/>
      <c r="O39" s="214">
        <f t="shared" si="29"/>
        <v>8300</v>
      </c>
      <c r="P39" s="214">
        <v>3386.9992520000001</v>
      </c>
      <c r="Q39" s="224">
        <f t="shared" si="4"/>
        <v>0.21168745324999999</v>
      </c>
      <c r="R39" s="214">
        <v>4961.3782520000004</v>
      </c>
      <c r="S39" s="225">
        <v>0.31008614075000002</v>
      </c>
      <c r="T39" s="225">
        <v>0.32640646394736844</v>
      </c>
      <c r="U39" s="214">
        <v>6387</v>
      </c>
      <c r="V39" s="225">
        <v>0.39918749999999997</v>
      </c>
      <c r="W39" s="225">
        <v>0.42019736842105265</v>
      </c>
      <c r="X39" s="214">
        <v>6387</v>
      </c>
      <c r="Y39" s="225">
        <v>0.39918749999999997</v>
      </c>
      <c r="Z39" s="225">
        <v>0.42019736842105265</v>
      </c>
      <c r="AA39" s="214">
        <v>6387</v>
      </c>
      <c r="AB39" s="225">
        <v>0.39918749999999997</v>
      </c>
      <c r="AC39" s="225">
        <v>0.42019736842105265</v>
      </c>
      <c r="AD39" s="214">
        <v>6387</v>
      </c>
      <c r="AE39" s="225">
        <v>0.39918749999999997</v>
      </c>
      <c r="AF39" s="225">
        <v>0.42019736842105265</v>
      </c>
      <c r="AG39" s="214">
        <v>6387</v>
      </c>
      <c r="AH39" s="225">
        <v>0.39918749999999997</v>
      </c>
      <c r="AI39" s="225">
        <v>0.42019736842105265</v>
      </c>
      <c r="AJ39" s="214">
        <v>6387</v>
      </c>
      <c r="AK39" s="225">
        <v>0.39918749999999997</v>
      </c>
      <c r="AL39" s="225">
        <v>0.42019736842105265</v>
      </c>
      <c r="AM39" s="214">
        <v>8104.8422520000004</v>
      </c>
      <c r="AN39" s="225">
        <v>0.50655264075000006</v>
      </c>
      <c r="AO39" s="225">
        <v>0.53321330605263162</v>
      </c>
      <c r="AP39" s="225"/>
      <c r="AQ39" s="214">
        <v>8104.8422520000004</v>
      </c>
      <c r="AR39" s="225">
        <v>0.50655264075000006</v>
      </c>
      <c r="AS39" s="225">
        <v>0.53321330605263162</v>
      </c>
      <c r="AT39" s="214">
        <v>8104.8422520000004</v>
      </c>
      <c r="AU39" s="225">
        <v>0.50655264075000006</v>
      </c>
      <c r="AV39" s="225">
        <v>0.53321330605263162</v>
      </c>
      <c r="AW39" s="214">
        <v>8104.8422520000004</v>
      </c>
      <c r="AX39" s="225">
        <v>0.50655264075000006</v>
      </c>
      <c r="AY39" s="225">
        <v>0.53321330605263162</v>
      </c>
      <c r="AZ39" s="214">
        <v>8104.8422520000004</v>
      </c>
      <c r="BA39" s="225">
        <v>0.50655264075000006</v>
      </c>
      <c r="BB39" s="225">
        <v>0.53321330605263162</v>
      </c>
      <c r="BC39" s="214">
        <v>8104.8422520000004</v>
      </c>
      <c r="BD39" s="225">
        <v>0.50655264075000006</v>
      </c>
      <c r="BE39" s="225">
        <v>0.53321330605263162</v>
      </c>
      <c r="BF39" s="214">
        <v>14124.099559999999</v>
      </c>
      <c r="BG39" s="214">
        <v>14124.099559999999</v>
      </c>
      <c r="BH39" s="225">
        <v>0.88275622249999997</v>
      </c>
      <c r="BI39" s="225">
        <v>0.92921707631578943</v>
      </c>
      <c r="BJ39" s="214">
        <f t="shared" si="5"/>
        <v>15200</v>
      </c>
      <c r="BK39" s="214">
        <v>14124.099559999999</v>
      </c>
      <c r="BL39" s="225">
        <f t="shared" si="6"/>
        <v>0.88275622249999997</v>
      </c>
      <c r="BM39" s="225">
        <f t="shared" si="2"/>
        <v>0.92921707631578943</v>
      </c>
      <c r="BN39" s="205">
        <f t="shared" si="26"/>
        <v>7737.0995599999987</v>
      </c>
      <c r="BO39" s="205"/>
      <c r="BP39" s="227"/>
      <c r="BQ39" s="224">
        <f t="shared" si="7"/>
        <v>0</v>
      </c>
      <c r="BR39" s="227"/>
      <c r="BS39" s="224">
        <f t="shared" si="8"/>
        <v>0</v>
      </c>
      <c r="BT39" s="227">
        <v>5000</v>
      </c>
      <c r="BU39" s="224">
        <f t="shared" si="9"/>
        <v>0.3125</v>
      </c>
      <c r="BV39" s="227">
        <v>5000</v>
      </c>
      <c r="BW39" s="224">
        <f t="shared" si="10"/>
        <v>0.3125</v>
      </c>
      <c r="BX39" s="227">
        <v>5000</v>
      </c>
      <c r="BY39" s="224">
        <f t="shared" si="11"/>
        <v>0.3125</v>
      </c>
      <c r="BZ39" s="227">
        <v>8000</v>
      </c>
      <c r="CA39" s="224">
        <f t="shared" si="12"/>
        <v>0.5</v>
      </c>
      <c r="CB39" s="227">
        <v>8000</v>
      </c>
      <c r="CC39" s="224">
        <f t="shared" si="13"/>
        <v>0.5</v>
      </c>
      <c r="CD39" s="227">
        <v>8000</v>
      </c>
      <c r="CE39" s="224">
        <f t="shared" si="14"/>
        <v>0.5</v>
      </c>
      <c r="CF39" s="227">
        <v>12000</v>
      </c>
      <c r="CG39" s="224">
        <f t="shared" si="15"/>
        <v>0.75</v>
      </c>
      <c r="CH39" s="227">
        <v>12000</v>
      </c>
      <c r="CI39" s="224">
        <f t="shared" si="16"/>
        <v>0.75</v>
      </c>
      <c r="CJ39" s="227">
        <v>12000</v>
      </c>
      <c r="CK39" s="224">
        <f t="shared" si="17"/>
        <v>0.75</v>
      </c>
      <c r="CL39" s="227">
        <v>15200</v>
      </c>
      <c r="CM39" s="224">
        <f t="shared" si="18"/>
        <v>0.95</v>
      </c>
      <c r="CN39" s="227">
        <f>16000*0.95</f>
        <v>15200</v>
      </c>
      <c r="CO39" s="224">
        <f t="shared" si="19"/>
        <v>0.95</v>
      </c>
      <c r="CP39" s="213" t="str">
        <f t="shared" si="23"/>
        <v>Đạt</v>
      </c>
      <c r="CQ39" s="213" t="str">
        <f t="shared" si="24"/>
        <v>Đạt</v>
      </c>
      <c r="CR39" s="192"/>
      <c r="CS39" s="214">
        <f t="shared" si="21"/>
        <v>6019.2573079999984</v>
      </c>
      <c r="CT39" s="223"/>
      <c r="CU39" s="163"/>
      <c r="CV39" s="232"/>
      <c r="CW39" s="195"/>
      <c r="CX39" s="196"/>
      <c r="CY39" s="196"/>
      <c r="CZ39" s="197"/>
      <c r="DA39" s="196"/>
      <c r="DB39" s="196"/>
      <c r="DC39" s="196"/>
      <c r="DE39" s="199"/>
      <c r="DF39" s="200"/>
      <c r="DG39" s="181"/>
    </row>
    <row r="40" spans="1:111" s="233" customFormat="1" ht="51" outlineLevel="1" x14ac:dyDescent="0.25">
      <c r="A40" s="192">
        <f>MAX(A$17:$B39)+1</f>
        <v>20</v>
      </c>
      <c r="B40" s="222" t="s">
        <v>176</v>
      </c>
      <c r="C40" s="222" t="s">
        <v>177</v>
      </c>
      <c r="D40" s="214">
        <f t="shared" si="22"/>
        <v>10000</v>
      </c>
      <c r="E40" s="214"/>
      <c r="F40" s="214">
        <f t="shared" si="28"/>
        <v>10000</v>
      </c>
      <c r="G40" s="214"/>
      <c r="H40" s="214">
        <f>5000+5000</f>
        <v>10000</v>
      </c>
      <c r="I40" s="235">
        <v>2250</v>
      </c>
      <c r="J40" s="214">
        <v>1640.0350000000001</v>
      </c>
      <c r="K40" s="223"/>
      <c r="L40" s="235"/>
      <c r="M40" s="223"/>
      <c r="N40" s="223"/>
      <c r="O40" s="214">
        <f t="shared" si="29"/>
        <v>2250</v>
      </c>
      <c r="P40" s="214">
        <v>0</v>
      </c>
      <c r="Q40" s="224">
        <f t="shared" si="4"/>
        <v>0</v>
      </c>
      <c r="R40" s="214"/>
      <c r="S40" s="225">
        <v>0</v>
      </c>
      <c r="T40" s="225">
        <v>0</v>
      </c>
      <c r="U40" s="214"/>
      <c r="V40" s="225">
        <v>0</v>
      </c>
      <c r="W40" s="225">
        <v>0</v>
      </c>
      <c r="X40" s="214"/>
      <c r="Y40" s="225">
        <v>0</v>
      </c>
      <c r="Z40" s="225">
        <v>0</v>
      </c>
      <c r="AA40" s="214"/>
      <c r="AB40" s="225">
        <v>0</v>
      </c>
      <c r="AC40" s="225">
        <v>0</v>
      </c>
      <c r="AD40" s="214"/>
      <c r="AE40" s="225">
        <v>0</v>
      </c>
      <c r="AF40" s="225">
        <v>0</v>
      </c>
      <c r="AG40" s="214"/>
      <c r="AH40" s="225">
        <v>0</v>
      </c>
      <c r="AI40" s="225">
        <v>0</v>
      </c>
      <c r="AJ40" s="239"/>
      <c r="AK40" s="225">
        <v>0</v>
      </c>
      <c r="AL40" s="225">
        <v>0</v>
      </c>
      <c r="AM40" s="214"/>
      <c r="AN40" s="225">
        <v>0</v>
      </c>
      <c r="AO40" s="225">
        <v>0</v>
      </c>
      <c r="AP40" s="225"/>
      <c r="AQ40" s="214">
        <v>1640.0350000000001</v>
      </c>
      <c r="AR40" s="225">
        <v>0.32800699999999999</v>
      </c>
      <c r="AS40" s="225">
        <v>0.34527052631578947</v>
      </c>
      <c r="AT40" s="214">
        <v>1640.0350000000001</v>
      </c>
      <c r="AU40" s="225">
        <v>0.32800699999999999</v>
      </c>
      <c r="AV40" s="225">
        <v>0.34527052631578947</v>
      </c>
      <c r="AW40" s="214">
        <v>1640.0350000000001</v>
      </c>
      <c r="AX40" s="225">
        <v>0.32800699999999999</v>
      </c>
      <c r="AY40" s="225">
        <v>0.34527052631578947</v>
      </c>
      <c r="AZ40" s="214">
        <v>1640.0350000000001</v>
      </c>
      <c r="BA40" s="225">
        <v>0.32800699999999999</v>
      </c>
      <c r="BB40" s="225">
        <v>0.34527052631578947</v>
      </c>
      <c r="BC40" s="214">
        <v>1640.0350000000001</v>
      </c>
      <c r="BD40" s="225">
        <v>0.32800699999999999</v>
      </c>
      <c r="BE40" s="225">
        <v>0.34527052631578947</v>
      </c>
      <c r="BF40" s="214">
        <v>1760.847</v>
      </c>
      <c r="BG40" s="214">
        <v>1760.847</v>
      </c>
      <c r="BH40" s="225">
        <v>0.17608470000000001</v>
      </c>
      <c r="BI40" s="225">
        <v>0.18535231578947367</v>
      </c>
      <c r="BJ40" s="214">
        <f t="shared" si="5"/>
        <v>9500</v>
      </c>
      <c r="BK40" s="214">
        <v>5995.3366470000001</v>
      </c>
      <c r="BL40" s="225">
        <f t="shared" si="6"/>
        <v>0.59953366470000002</v>
      </c>
      <c r="BM40" s="225">
        <f t="shared" si="2"/>
        <v>0.63108806810526319</v>
      </c>
      <c r="BN40" s="205">
        <f t="shared" si="26"/>
        <v>5995.3366470000001</v>
      </c>
      <c r="BO40" s="205"/>
      <c r="BP40" s="227"/>
      <c r="BQ40" s="224">
        <f t="shared" si="7"/>
        <v>0</v>
      </c>
      <c r="BR40" s="227">
        <v>500</v>
      </c>
      <c r="BS40" s="224">
        <f t="shared" si="8"/>
        <v>0.05</v>
      </c>
      <c r="BT40" s="227">
        <v>2000</v>
      </c>
      <c r="BU40" s="224">
        <f t="shared" si="9"/>
        <v>0.2</v>
      </c>
      <c r="BV40" s="227">
        <v>3000</v>
      </c>
      <c r="BW40" s="224">
        <f t="shared" si="10"/>
        <v>0.3</v>
      </c>
      <c r="BX40" s="227">
        <v>4000</v>
      </c>
      <c r="BY40" s="224">
        <f t="shared" si="11"/>
        <v>0.4</v>
      </c>
      <c r="BZ40" s="227">
        <f>5000*0.95</f>
        <v>4750</v>
      </c>
      <c r="CA40" s="224">
        <f t="shared" si="12"/>
        <v>0.47499999999999998</v>
      </c>
      <c r="CB40" s="227">
        <f>5000*0.95</f>
        <v>4750</v>
      </c>
      <c r="CC40" s="224">
        <f t="shared" si="13"/>
        <v>0.47499999999999998</v>
      </c>
      <c r="CD40" s="227">
        <f>5000*0.95</f>
        <v>4750</v>
      </c>
      <c r="CE40" s="224">
        <f t="shared" si="14"/>
        <v>0.47499999999999998</v>
      </c>
      <c r="CF40" s="227">
        <f>5000*0.95</f>
        <v>4750</v>
      </c>
      <c r="CG40" s="224">
        <f t="shared" si="15"/>
        <v>0.47499999999999998</v>
      </c>
      <c r="CH40" s="227">
        <f>5000*0.95</f>
        <v>4750</v>
      </c>
      <c r="CI40" s="224">
        <f t="shared" si="16"/>
        <v>0.47499999999999998</v>
      </c>
      <c r="CJ40" s="227">
        <f>5000*0.95</f>
        <v>4750</v>
      </c>
      <c r="CK40" s="224">
        <f t="shared" si="17"/>
        <v>0.47499999999999998</v>
      </c>
      <c r="CL40" s="227">
        <f>5000*0.95</f>
        <v>4750</v>
      </c>
      <c r="CM40" s="224">
        <f t="shared" si="18"/>
        <v>0.47499999999999998</v>
      </c>
      <c r="CN40" s="227">
        <f>5000*0.95</f>
        <v>4750</v>
      </c>
      <c r="CO40" s="224">
        <f t="shared" si="19"/>
        <v>0.47499999999999998</v>
      </c>
      <c r="CP40" s="213" t="str">
        <f t="shared" si="23"/>
        <v>Đạt</v>
      </c>
      <c r="CQ40" s="213" t="str">
        <f t="shared" si="24"/>
        <v>Đạt</v>
      </c>
      <c r="CR40" s="192"/>
      <c r="CS40" s="214">
        <f t="shared" si="21"/>
        <v>4355.3016470000002</v>
      </c>
      <c r="CT40" s="223"/>
      <c r="CU40" s="163"/>
      <c r="CV40" s="232"/>
      <c r="CW40" s="195"/>
      <c r="CX40" s="196"/>
      <c r="CY40" s="196"/>
      <c r="CZ40" s="197"/>
      <c r="DA40" s="196"/>
      <c r="DB40" s="196"/>
      <c r="DC40" s="196"/>
      <c r="DE40" s="199"/>
      <c r="DF40" s="200"/>
      <c r="DG40" s="181"/>
    </row>
    <row r="41" spans="1:111" s="233" customFormat="1" ht="15" outlineLevel="1" x14ac:dyDescent="0.25">
      <c r="A41" s="191" t="s">
        <v>29</v>
      </c>
      <c r="B41" s="210" t="s">
        <v>178</v>
      </c>
      <c r="C41" s="210"/>
      <c r="D41" s="239">
        <f t="shared" ref="D41:I41" si="30">SUM(D42:D68)</f>
        <v>202705</v>
      </c>
      <c r="E41" s="239">
        <f t="shared" si="30"/>
        <v>0</v>
      </c>
      <c r="F41" s="239">
        <f t="shared" si="30"/>
        <v>202705</v>
      </c>
      <c r="G41" s="239">
        <f t="shared" si="30"/>
        <v>61179</v>
      </c>
      <c r="H41" s="239">
        <f t="shared" si="30"/>
        <v>141526</v>
      </c>
      <c r="I41" s="239">
        <f t="shared" si="30"/>
        <v>12000</v>
      </c>
      <c r="J41" s="239"/>
      <c r="K41" s="239">
        <f>SUM(K42:K68)</f>
        <v>0</v>
      </c>
      <c r="L41" s="239">
        <f>SUM(L42:L68)</f>
        <v>0</v>
      </c>
      <c r="M41" s="223"/>
      <c r="N41" s="223"/>
      <c r="O41" s="239">
        <f t="shared" si="29"/>
        <v>73179</v>
      </c>
      <c r="P41" s="239">
        <v>665.69</v>
      </c>
      <c r="Q41" s="186">
        <f t="shared" si="4"/>
        <v>3.2840334476209273E-3</v>
      </c>
      <c r="R41" s="239">
        <v>7892.442</v>
      </c>
      <c r="S41" s="211">
        <v>3.9344177467597205E-2</v>
      </c>
      <c r="T41" s="211">
        <v>4.1414923650102325E-2</v>
      </c>
      <c r="U41" s="239">
        <v>8573.0959999999995</v>
      </c>
      <c r="V41" s="211">
        <v>4.2737268195413756E-2</v>
      </c>
      <c r="W41" s="211">
        <v>4.4986598100435531E-2</v>
      </c>
      <c r="X41" s="239">
        <v>8573.0959999999995</v>
      </c>
      <c r="Y41" s="211">
        <v>4.2737268195413756E-2</v>
      </c>
      <c r="Z41" s="211">
        <v>4.4986598100435531E-2</v>
      </c>
      <c r="AA41" s="239">
        <v>8573.0959999999995</v>
      </c>
      <c r="AB41" s="211">
        <v>4.2737268195413756E-2</v>
      </c>
      <c r="AC41" s="211">
        <v>4.4986598100435531E-2</v>
      </c>
      <c r="AD41" s="239">
        <v>8573.0959999999995</v>
      </c>
      <c r="AE41" s="211">
        <v>4.2737268195413756E-2</v>
      </c>
      <c r="AF41" s="211">
        <v>4.4986598100435531E-2</v>
      </c>
      <c r="AG41" s="239">
        <v>8573.0959999999995</v>
      </c>
      <c r="AH41" s="211">
        <v>4.2737268195413756E-2</v>
      </c>
      <c r="AI41" s="211">
        <v>4.4986598100435531E-2</v>
      </c>
      <c r="AJ41" s="214">
        <v>8573.0959999999995</v>
      </c>
      <c r="AK41" s="211">
        <v>4.2737268195413756E-2</v>
      </c>
      <c r="AL41" s="211">
        <v>4.4986598100435531E-2</v>
      </c>
      <c r="AM41" s="239">
        <v>9033.7309999999998</v>
      </c>
      <c r="AN41" s="211">
        <v>4.503355433698903E-2</v>
      </c>
      <c r="AO41" s="211">
        <v>4.7403741407356877E-2</v>
      </c>
      <c r="AP41" s="211"/>
      <c r="AQ41" s="239">
        <v>9033.7309999999998</v>
      </c>
      <c r="AR41" s="211">
        <v>4.503355433698903E-2</v>
      </c>
      <c r="AS41" s="211">
        <v>4.7403741407356877E-2</v>
      </c>
      <c r="AT41" s="239">
        <v>9033.7309999999998</v>
      </c>
      <c r="AU41" s="211">
        <v>4.503355433698903E-2</v>
      </c>
      <c r="AV41" s="211">
        <v>4.7403741407356877E-2</v>
      </c>
      <c r="AW41" s="239">
        <v>9033.7309999999998</v>
      </c>
      <c r="AX41" s="211">
        <v>4.503355433698903E-2</v>
      </c>
      <c r="AY41" s="211">
        <v>4.7403741407356877E-2</v>
      </c>
      <c r="AZ41" s="239">
        <v>9033.7309999999998</v>
      </c>
      <c r="BA41" s="211">
        <v>4.503355433698903E-2</v>
      </c>
      <c r="BB41" s="211">
        <v>4.7403741407356877E-2</v>
      </c>
      <c r="BC41" s="239">
        <v>9033.7309999999998</v>
      </c>
      <c r="BD41" s="211">
        <v>4.503355433698903E-2</v>
      </c>
      <c r="BE41" s="211">
        <v>4.7403741407356877E-2</v>
      </c>
      <c r="BF41" s="239"/>
      <c r="BG41" s="239">
        <v>11069.901</v>
      </c>
      <c r="BH41" s="211">
        <v>5.4610892676549665E-2</v>
      </c>
      <c r="BI41" s="211">
        <v>5.748515018584175E-2</v>
      </c>
      <c r="BJ41" s="239">
        <f t="shared" si="5"/>
        <v>192569.75</v>
      </c>
      <c r="BK41" s="239">
        <f>SUM(BK42:BK68)</f>
        <v>16989.741000000002</v>
      </c>
      <c r="BL41" s="211">
        <f t="shared" si="6"/>
        <v>8.3815105695468795E-2</v>
      </c>
      <c r="BM41" s="211">
        <f t="shared" si="2"/>
        <v>8.8226427047861891E-2</v>
      </c>
      <c r="BN41" s="205">
        <f t="shared" si="26"/>
        <v>8416.6450000000023</v>
      </c>
      <c r="BO41" s="205"/>
      <c r="BP41" s="189">
        <f>SUM(BP42:BP68)</f>
        <v>0</v>
      </c>
      <c r="BQ41" s="212">
        <f t="shared" si="7"/>
        <v>0</v>
      </c>
      <c r="BR41" s="189">
        <f>SUM(BR42:BR68)</f>
        <v>8595</v>
      </c>
      <c r="BS41" s="212">
        <f t="shared" si="8"/>
        <v>4.2401519449446243E-2</v>
      </c>
      <c r="BT41" s="189">
        <f>SUM(BT42:BT68)</f>
        <v>46502</v>
      </c>
      <c r="BU41" s="186">
        <f t="shared" si="9"/>
        <v>0.22940726671764386</v>
      </c>
      <c r="BV41" s="189">
        <f>SUM(BV42:BV68)</f>
        <v>72992</v>
      </c>
      <c r="BW41" s="212">
        <f t="shared" si="10"/>
        <v>0.36008978564909599</v>
      </c>
      <c r="BX41" s="189">
        <f>SUM(BX42:BX68)</f>
        <v>84318</v>
      </c>
      <c r="BY41" s="212">
        <f t="shared" si="11"/>
        <v>0.41596408574036159</v>
      </c>
      <c r="BZ41" s="189">
        <f>SUM(BZ42:BZ68)</f>
        <v>100221</v>
      </c>
      <c r="CA41" s="212">
        <f t="shared" si="12"/>
        <v>0.49441799659603858</v>
      </c>
      <c r="CB41" s="189">
        <f>SUM(CB42:CB68)</f>
        <v>112465</v>
      </c>
      <c r="CC41" s="212">
        <f t="shared" si="13"/>
        <v>0.55482104536148591</v>
      </c>
      <c r="CD41" s="189">
        <f>SUM(CD42:CD68)</f>
        <v>126237</v>
      </c>
      <c r="CE41" s="212">
        <f t="shared" si="14"/>
        <v>0.622762142029057</v>
      </c>
      <c r="CF41" s="189">
        <f>SUM(CF42:CF68)</f>
        <v>145087</v>
      </c>
      <c r="CG41" s="212">
        <f t="shared" si="15"/>
        <v>0.71575442144989021</v>
      </c>
      <c r="CH41" s="189">
        <f>SUM(CH42:CH68)</f>
        <v>152780</v>
      </c>
      <c r="CI41" s="212">
        <f t="shared" si="16"/>
        <v>0.75370612466392051</v>
      </c>
      <c r="CJ41" s="189">
        <f>SUM(CJ42:CJ68)</f>
        <v>160560</v>
      </c>
      <c r="CK41" s="212">
        <f t="shared" si="17"/>
        <v>0.79208702301373912</v>
      </c>
      <c r="CL41" s="189">
        <f>SUM(CL42:CL68)</f>
        <v>181860</v>
      </c>
      <c r="CM41" s="212">
        <f t="shared" si="18"/>
        <v>0.89716583212056933</v>
      </c>
      <c r="CN41" s="189">
        <f>SUM(CN42:CN68)</f>
        <v>187310</v>
      </c>
      <c r="CO41" s="212">
        <f t="shared" si="19"/>
        <v>0.92405219407513384</v>
      </c>
      <c r="CP41" s="213" t="str">
        <f t="shared" si="23"/>
        <v>Không đạt</v>
      </c>
      <c r="CQ41" s="213" t="str">
        <f t="shared" si="24"/>
        <v>Không đạt</v>
      </c>
      <c r="CR41" s="192"/>
      <c r="CS41" s="239">
        <f t="shared" si="21"/>
        <v>7956.010000000002</v>
      </c>
      <c r="CT41" s="223"/>
      <c r="CU41" s="163"/>
      <c r="CV41" s="232"/>
      <c r="CW41" s="195"/>
      <c r="CX41" s="196"/>
      <c r="CY41" s="196"/>
      <c r="CZ41" s="197"/>
      <c r="DA41" s="196"/>
      <c r="DB41" s="196"/>
      <c r="DC41" s="196"/>
      <c r="DE41" s="199"/>
      <c r="DF41" s="200"/>
      <c r="DG41" s="181"/>
    </row>
    <row r="42" spans="1:111" s="233" customFormat="1" ht="15" outlineLevel="1" x14ac:dyDescent="0.25">
      <c r="A42" s="192"/>
      <c r="B42" s="240" t="s">
        <v>179</v>
      </c>
      <c r="C42" s="240"/>
      <c r="D42" s="214">
        <f t="shared" si="22"/>
        <v>0</v>
      </c>
      <c r="E42" s="214"/>
      <c r="F42" s="241"/>
      <c r="G42" s="214"/>
      <c r="H42" s="214"/>
      <c r="I42" s="235"/>
      <c r="J42" s="235"/>
      <c r="K42" s="223"/>
      <c r="L42" s="235"/>
      <c r="M42" s="223"/>
      <c r="N42" s="223"/>
      <c r="O42" s="214">
        <f t="shared" si="29"/>
        <v>0</v>
      </c>
      <c r="P42" s="214">
        <v>0</v>
      </c>
      <c r="Q42" s="224" t="e">
        <f t="shared" si="4"/>
        <v>#DIV/0!</v>
      </c>
      <c r="R42" s="214"/>
      <c r="S42" s="225"/>
      <c r="T42" s="225" t="e">
        <v>#DIV/0!</v>
      </c>
      <c r="U42" s="214"/>
      <c r="V42" s="225"/>
      <c r="W42" s="225" t="e">
        <v>#DIV/0!</v>
      </c>
      <c r="X42" s="214"/>
      <c r="Y42" s="225"/>
      <c r="Z42" s="225" t="e">
        <v>#DIV/0!</v>
      </c>
      <c r="AA42" s="214"/>
      <c r="AB42" s="225"/>
      <c r="AC42" s="225" t="e">
        <v>#DIV/0!</v>
      </c>
      <c r="AD42" s="214"/>
      <c r="AE42" s="225"/>
      <c r="AF42" s="225" t="e">
        <v>#DIV/0!</v>
      </c>
      <c r="AG42" s="214"/>
      <c r="AH42" s="225"/>
      <c r="AI42" s="225" t="e">
        <v>#DIV/0!</v>
      </c>
      <c r="AJ42" s="214"/>
      <c r="AK42" s="225"/>
      <c r="AL42" s="225" t="e">
        <v>#DIV/0!</v>
      </c>
      <c r="AM42" s="214"/>
      <c r="AN42" s="225"/>
      <c r="AO42" s="225"/>
      <c r="AP42" s="225"/>
      <c r="AQ42" s="214"/>
      <c r="AR42" s="225"/>
      <c r="AS42" s="225"/>
      <c r="AT42" s="214"/>
      <c r="AU42" s="225"/>
      <c r="AV42" s="225"/>
      <c r="AW42" s="214"/>
      <c r="AX42" s="225"/>
      <c r="AY42" s="225"/>
      <c r="AZ42" s="214"/>
      <c r="BA42" s="225"/>
      <c r="BB42" s="225"/>
      <c r="BC42" s="214"/>
      <c r="BD42" s="225"/>
      <c r="BE42" s="225"/>
      <c r="BF42" s="214"/>
      <c r="BG42" s="214"/>
      <c r="BH42" s="225"/>
      <c r="BI42" s="225"/>
      <c r="BJ42" s="214">
        <f t="shared" si="5"/>
        <v>0</v>
      </c>
      <c r="BK42" s="214"/>
      <c r="BL42" s="225"/>
      <c r="BM42" s="225"/>
      <c r="BN42" s="205">
        <f t="shared" si="26"/>
        <v>0</v>
      </c>
      <c r="BO42" s="205"/>
      <c r="BP42" s="227"/>
      <c r="BQ42" s="224"/>
      <c r="BR42" s="227"/>
      <c r="BS42" s="224"/>
      <c r="BT42" s="227"/>
      <c r="BU42" s="224"/>
      <c r="BV42" s="227"/>
      <c r="BW42" s="224"/>
      <c r="BX42" s="227"/>
      <c r="BY42" s="224"/>
      <c r="BZ42" s="227"/>
      <c r="CA42" s="224"/>
      <c r="CB42" s="227"/>
      <c r="CC42" s="224"/>
      <c r="CD42" s="227"/>
      <c r="CE42" s="224"/>
      <c r="CF42" s="227"/>
      <c r="CG42" s="224"/>
      <c r="CH42" s="227"/>
      <c r="CI42" s="224"/>
      <c r="CJ42" s="227"/>
      <c r="CK42" s="224"/>
      <c r="CL42" s="227"/>
      <c r="CM42" s="224"/>
      <c r="CN42" s="227"/>
      <c r="CO42" s="224"/>
      <c r="CP42" s="213" t="str">
        <f t="shared" si="23"/>
        <v>Không đạt</v>
      </c>
      <c r="CQ42" s="213" t="str">
        <f t="shared" si="24"/>
        <v>Không đạt</v>
      </c>
      <c r="CR42" s="192"/>
      <c r="CS42" s="214">
        <f t="shared" si="21"/>
        <v>0</v>
      </c>
      <c r="CT42" s="223"/>
      <c r="CU42" s="163"/>
      <c r="CV42" s="232"/>
      <c r="CW42" s="195"/>
      <c r="CX42" s="196"/>
      <c r="CY42" s="196"/>
      <c r="CZ42" s="197"/>
      <c r="DA42" s="196"/>
      <c r="DB42" s="196"/>
      <c r="DC42" s="196"/>
      <c r="DE42" s="199"/>
      <c r="DF42" s="200"/>
      <c r="DG42" s="181"/>
    </row>
    <row r="43" spans="1:111" s="233" customFormat="1" ht="25.5" outlineLevel="1" x14ac:dyDescent="0.25">
      <c r="A43" s="192">
        <f>MAX(A$17:$B42)+1</f>
        <v>21</v>
      </c>
      <c r="B43" s="222" t="s">
        <v>180</v>
      </c>
      <c r="C43" s="222">
        <v>7721463</v>
      </c>
      <c r="D43" s="214">
        <f t="shared" si="22"/>
        <v>6000</v>
      </c>
      <c r="E43" s="214"/>
      <c r="F43" s="214">
        <f t="shared" ref="F43:F68" si="31">G43+H43+K43+M43</f>
        <v>6000</v>
      </c>
      <c r="G43" s="214">
        <v>6000</v>
      </c>
      <c r="H43" s="214"/>
      <c r="I43" s="235"/>
      <c r="J43" s="235"/>
      <c r="K43" s="223"/>
      <c r="L43" s="235"/>
      <c r="M43" s="223"/>
      <c r="N43" s="223"/>
      <c r="O43" s="214">
        <f t="shared" si="29"/>
        <v>6000</v>
      </c>
      <c r="P43" s="214">
        <v>0</v>
      </c>
      <c r="Q43" s="224">
        <f t="shared" si="4"/>
        <v>0</v>
      </c>
      <c r="R43" s="214"/>
      <c r="S43" s="225">
        <v>0</v>
      </c>
      <c r="T43" s="225">
        <v>0</v>
      </c>
      <c r="U43" s="214"/>
      <c r="V43" s="225">
        <v>0</v>
      </c>
      <c r="W43" s="225">
        <v>0</v>
      </c>
      <c r="X43" s="214"/>
      <c r="Y43" s="225">
        <v>0</v>
      </c>
      <c r="Z43" s="225">
        <v>0</v>
      </c>
      <c r="AA43" s="214"/>
      <c r="AB43" s="225">
        <v>0</v>
      </c>
      <c r="AC43" s="225">
        <v>0</v>
      </c>
      <c r="AD43" s="214"/>
      <c r="AE43" s="225">
        <v>0</v>
      </c>
      <c r="AF43" s="225">
        <v>0</v>
      </c>
      <c r="AG43" s="214"/>
      <c r="AH43" s="225">
        <v>0</v>
      </c>
      <c r="AI43" s="225">
        <v>0</v>
      </c>
      <c r="AJ43" s="214"/>
      <c r="AK43" s="225">
        <v>0</v>
      </c>
      <c r="AL43" s="225">
        <v>0</v>
      </c>
      <c r="AM43" s="214"/>
      <c r="AN43" s="225">
        <v>0</v>
      </c>
      <c r="AO43" s="225">
        <v>0</v>
      </c>
      <c r="AP43" s="225"/>
      <c r="AQ43" s="214"/>
      <c r="AR43" s="225">
        <v>0</v>
      </c>
      <c r="AS43" s="225">
        <v>0</v>
      </c>
      <c r="AT43" s="214"/>
      <c r="AU43" s="225">
        <v>0</v>
      </c>
      <c r="AV43" s="225">
        <v>0</v>
      </c>
      <c r="AW43" s="214"/>
      <c r="AX43" s="225">
        <v>0</v>
      </c>
      <c r="AY43" s="225">
        <v>0</v>
      </c>
      <c r="AZ43" s="214"/>
      <c r="BA43" s="225">
        <v>0</v>
      </c>
      <c r="BB43" s="225">
        <v>0</v>
      </c>
      <c r="BC43" s="214"/>
      <c r="BD43" s="225">
        <v>0</v>
      </c>
      <c r="BE43" s="225">
        <v>0</v>
      </c>
      <c r="BF43" s="214"/>
      <c r="BG43" s="214"/>
      <c r="BH43" s="225">
        <v>0</v>
      </c>
      <c r="BI43" s="225">
        <v>0</v>
      </c>
      <c r="BJ43" s="214">
        <f t="shared" si="5"/>
        <v>5700</v>
      </c>
      <c r="BK43" s="214"/>
      <c r="BL43" s="225">
        <f t="shared" ref="BL43:BL52" si="32">BK43/$D43</f>
        <v>0</v>
      </c>
      <c r="BM43" s="225">
        <f t="shared" si="2"/>
        <v>0</v>
      </c>
      <c r="BN43" s="205">
        <f t="shared" si="26"/>
        <v>0</v>
      </c>
      <c r="BO43" s="205"/>
      <c r="BP43" s="227"/>
      <c r="BQ43" s="224">
        <f t="shared" si="7"/>
        <v>0</v>
      </c>
      <c r="BR43" s="227"/>
      <c r="BS43" s="224">
        <f t="shared" ref="BS43:BS52" si="33">BR43/$D43</f>
        <v>0</v>
      </c>
      <c r="BT43" s="227"/>
      <c r="BU43" s="224">
        <f t="shared" ref="BU43:BU52" si="34">BT43/$D43</f>
        <v>0</v>
      </c>
      <c r="BV43" s="227"/>
      <c r="BW43" s="224">
        <f t="shared" ref="BW43:BW52" si="35">BV43/$D43</f>
        <v>0</v>
      </c>
      <c r="BX43" s="227"/>
      <c r="BY43" s="224">
        <f t="shared" ref="BY43:BY52" si="36">BX43/$D43</f>
        <v>0</v>
      </c>
      <c r="BZ43" s="227">
        <v>2000</v>
      </c>
      <c r="CA43" s="224">
        <f t="shared" ref="CA43:CA52" si="37">BZ43/$D43</f>
        <v>0.33333333333333331</v>
      </c>
      <c r="CB43" s="227">
        <v>2000</v>
      </c>
      <c r="CC43" s="224">
        <f t="shared" ref="CC43:CC52" si="38">CB43/$D43</f>
        <v>0.33333333333333331</v>
      </c>
      <c r="CD43" s="227">
        <v>2000</v>
      </c>
      <c r="CE43" s="224">
        <f t="shared" ref="CE43:CE52" si="39">CD43/$D43</f>
        <v>0.33333333333333331</v>
      </c>
      <c r="CF43" s="227">
        <v>4000</v>
      </c>
      <c r="CG43" s="224">
        <f t="shared" ref="CG43:CG52" si="40">CF43/$D43</f>
        <v>0.66666666666666663</v>
      </c>
      <c r="CH43" s="227">
        <v>4000</v>
      </c>
      <c r="CI43" s="224">
        <f t="shared" ref="CI43:CI52" si="41">CH43/$D43</f>
        <v>0.66666666666666663</v>
      </c>
      <c r="CJ43" s="227">
        <v>4000</v>
      </c>
      <c r="CK43" s="224">
        <f t="shared" ref="CK43:CK52" si="42">CJ43/$D43</f>
        <v>0.66666666666666663</v>
      </c>
      <c r="CL43" s="227">
        <f>6000*0.95</f>
        <v>5700</v>
      </c>
      <c r="CM43" s="224">
        <f t="shared" ref="CM43:CM52" si="43">CL43/$D43</f>
        <v>0.95</v>
      </c>
      <c r="CN43" s="227">
        <f>6000*0.95</f>
        <v>5700</v>
      </c>
      <c r="CO43" s="224">
        <f t="shared" ref="CO43:CO52" si="44">CN43/$D43</f>
        <v>0.95</v>
      </c>
      <c r="CP43" s="213" t="str">
        <f t="shared" si="23"/>
        <v>Không đạt</v>
      </c>
      <c r="CQ43" s="213" t="str">
        <f t="shared" si="24"/>
        <v>Không đạt</v>
      </c>
      <c r="CR43" s="192"/>
      <c r="CS43" s="214">
        <f t="shared" si="21"/>
        <v>0</v>
      </c>
      <c r="CT43" s="223"/>
      <c r="CU43" s="163"/>
      <c r="CV43" s="232"/>
      <c r="CW43" s="195"/>
      <c r="CX43" s="196"/>
      <c r="CY43" s="196"/>
      <c r="CZ43" s="197"/>
      <c r="DA43" s="196"/>
      <c r="DB43" s="196"/>
      <c r="DC43" s="196"/>
      <c r="DE43" s="199"/>
      <c r="DF43" s="200"/>
      <c r="DG43" s="181"/>
    </row>
    <row r="44" spans="1:111" s="233" customFormat="1" ht="15" outlineLevel="1" x14ac:dyDescent="0.25">
      <c r="A44" s="192">
        <f>MAX(A$17:$B43)+1</f>
        <v>22</v>
      </c>
      <c r="B44" s="222" t="s">
        <v>181</v>
      </c>
      <c r="C44" s="222"/>
      <c r="D44" s="214">
        <f t="shared" si="22"/>
        <v>3000</v>
      </c>
      <c r="E44" s="214"/>
      <c r="F44" s="214">
        <f t="shared" si="31"/>
        <v>3000</v>
      </c>
      <c r="G44" s="214"/>
      <c r="H44" s="214">
        <v>3000</v>
      </c>
      <c r="I44" s="235"/>
      <c r="J44" s="235"/>
      <c r="K44" s="223"/>
      <c r="L44" s="235"/>
      <c r="M44" s="223"/>
      <c r="N44" s="223"/>
      <c r="O44" s="214">
        <f t="shared" si="29"/>
        <v>0</v>
      </c>
      <c r="P44" s="214">
        <v>0</v>
      </c>
      <c r="Q44" s="224">
        <f t="shared" si="4"/>
        <v>0</v>
      </c>
      <c r="R44" s="214"/>
      <c r="S44" s="225">
        <v>0</v>
      </c>
      <c r="T44" s="225">
        <v>0</v>
      </c>
      <c r="U44" s="214"/>
      <c r="V44" s="225">
        <v>0</v>
      </c>
      <c r="W44" s="225">
        <v>0</v>
      </c>
      <c r="X44" s="214"/>
      <c r="Y44" s="225">
        <v>0</v>
      </c>
      <c r="Z44" s="225">
        <v>0</v>
      </c>
      <c r="AA44" s="214"/>
      <c r="AB44" s="225">
        <v>0</v>
      </c>
      <c r="AC44" s="225">
        <v>0</v>
      </c>
      <c r="AD44" s="214"/>
      <c r="AE44" s="225">
        <v>0</v>
      </c>
      <c r="AF44" s="225">
        <v>0</v>
      </c>
      <c r="AG44" s="214"/>
      <c r="AH44" s="225">
        <v>0</v>
      </c>
      <c r="AI44" s="225">
        <v>0</v>
      </c>
      <c r="AJ44" s="214"/>
      <c r="AK44" s="225">
        <v>0</v>
      </c>
      <c r="AL44" s="225">
        <v>0</v>
      </c>
      <c r="AM44" s="214"/>
      <c r="AN44" s="225">
        <v>0</v>
      </c>
      <c r="AO44" s="225">
        <v>0</v>
      </c>
      <c r="AP44" s="225"/>
      <c r="AQ44" s="214"/>
      <c r="AR44" s="225">
        <v>0</v>
      </c>
      <c r="AS44" s="225">
        <v>0</v>
      </c>
      <c r="AT44" s="214"/>
      <c r="AU44" s="225">
        <v>0</v>
      </c>
      <c r="AV44" s="225">
        <v>0</v>
      </c>
      <c r="AW44" s="214"/>
      <c r="AX44" s="225">
        <v>0</v>
      </c>
      <c r="AY44" s="225">
        <v>0</v>
      </c>
      <c r="AZ44" s="214"/>
      <c r="BA44" s="225">
        <v>0</v>
      </c>
      <c r="BB44" s="225">
        <v>0</v>
      </c>
      <c r="BC44" s="214"/>
      <c r="BD44" s="225">
        <v>0</v>
      </c>
      <c r="BE44" s="225">
        <v>0</v>
      </c>
      <c r="BF44" s="214"/>
      <c r="BG44" s="214"/>
      <c r="BH44" s="225">
        <v>0</v>
      </c>
      <c r="BI44" s="225">
        <v>0</v>
      </c>
      <c r="BJ44" s="214">
        <f t="shared" si="5"/>
        <v>2850</v>
      </c>
      <c r="BK44" s="214"/>
      <c r="BL44" s="225">
        <f t="shared" si="32"/>
        <v>0</v>
      </c>
      <c r="BM44" s="225">
        <f t="shared" si="2"/>
        <v>0</v>
      </c>
      <c r="BN44" s="205">
        <f t="shared" si="26"/>
        <v>0</v>
      </c>
      <c r="BO44" s="205"/>
      <c r="BP44" s="227"/>
      <c r="BQ44" s="224">
        <f t="shared" si="7"/>
        <v>0</v>
      </c>
      <c r="BR44" s="227"/>
      <c r="BS44" s="224">
        <f t="shared" si="33"/>
        <v>0</v>
      </c>
      <c r="BT44" s="227">
        <v>1000</v>
      </c>
      <c r="BU44" s="224">
        <f t="shared" si="34"/>
        <v>0.33333333333333331</v>
      </c>
      <c r="BV44" s="227">
        <v>1000</v>
      </c>
      <c r="BW44" s="224">
        <f t="shared" si="35"/>
        <v>0.33333333333333331</v>
      </c>
      <c r="BX44" s="227">
        <v>2500</v>
      </c>
      <c r="BY44" s="224">
        <f t="shared" si="36"/>
        <v>0.83333333333333337</v>
      </c>
      <c r="BZ44" s="227">
        <f>3000*0.95</f>
        <v>2850</v>
      </c>
      <c r="CA44" s="224">
        <f t="shared" si="37"/>
        <v>0.95</v>
      </c>
      <c r="CB44" s="227">
        <f>3000*0.95</f>
        <v>2850</v>
      </c>
      <c r="CC44" s="224">
        <f t="shared" si="38"/>
        <v>0.95</v>
      </c>
      <c r="CD44" s="227">
        <f>3000*0.95</f>
        <v>2850</v>
      </c>
      <c r="CE44" s="224">
        <f t="shared" si="39"/>
        <v>0.95</v>
      </c>
      <c r="CF44" s="227">
        <f>3000*0.95</f>
        <v>2850</v>
      </c>
      <c r="CG44" s="224">
        <f t="shared" si="40"/>
        <v>0.95</v>
      </c>
      <c r="CH44" s="227">
        <f>3000*0.95</f>
        <v>2850</v>
      </c>
      <c r="CI44" s="224">
        <f t="shared" si="41"/>
        <v>0.95</v>
      </c>
      <c r="CJ44" s="227">
        <f>3000*0.95</f>
        <v>2850</v>
      </c>
      <c r="CK44" s="224">
        <f t="shared" si="42"/>
        <v>0.95</v>
      </c>
      <c r="CL44" s="227">
        <f>3000*0.95</f>
        <v>2850</v>
      </c>
      <c r="CM44" s="224">
        <f t="shared" si="43"/>
        <v>0.95</v>
      </c>
      <c r="CN44" s="227">
        <f>3000*0.95</f>
        <v>2850</v>
      </c>
      <c r="CO44" s="224">
        <f t="shared" si="44"/>
        <v>0.95</v>
      </c>
      <c r="CP44" s="213" t="str">
        <f t="shared" si="23"/>
        <v>Không đạt</v>
      </c>
      <c r="CQ44" s="213" t="str">
        <f t="shared" si="24"/>
        <v>Không đạt</v>
      </c>
      <c r="CR44" s="192"/>
      <c r="CS44" s="214">
        <f t="shared" si="21"/>
        <v>0</v>
      </c>
      <c r="CT44" s="223"/>
      <c r="CU44" s="163"/>
      <c r="CV44" s="232"/>
      <c r="CW44" s="195"/>
      <c r="CX44" s="196"/>
      <c r="CY44" s="196"/>
      <c r="CZ44" s="197"/>
      <c r="DA44" s="196"/>
      <c r="DB44" s="196"/>
      <c r="DC44" s="196"/>
      <c r="DE44" s="199"/>
      <c r="DF44" s="200"/>
      <c r="DG44" s="181"/>
    </row>
    <row r="45" spans="1:111" s="233" customFormat="1" ht="25.5" outlineLevel="1" x14ac:dyDescent="0.25">
      <c r="A45" s="192">
        <f>MAX(A$17:$B44)+1</f>
        <v>23</v>
      </c>
      <c r="B45" s="222" t="s">
        <v>182</v>
      </c>
      <c r="C45" s="222"/>
      <c r="D45" s="214">
        <f t="shared" si="22"/>
        <v>30000</v>
      </c>
      <c r="E45" s="214"/>
      <c r="F45" s="214">
        <f t="shared" si="31"/>
        <v>30000</v>
      </c>
      <c r="G45" s="214"/>
      <c r="H45" s="214">
        <v>30000</v>
      </c>
      <c r="I45" s="235"/>
      <c r="J45" s="235"/>
      <c r="K45" s="223"/>
      <c r="L45" s="235"/>
      <c r="M45" s="223"/>
      <c r="N45" s="223"/>
      <c r="O45" s="214">
        <f t="shared" si="29"/>
        <v>0</v>
      </c>
      <c r="P45" s="214">
        <v>0</v>
      </c>
      <c r="Q45" s="224">
        <f t="shared" si="4"/>
        <v>0</v>
      </c>
      <c r="R45" s="214"/>
      <c r="S45" s="225">
        <v>0</v>
      </c>
      <c r="T45" s="225">
        <v>0</v>
      </c>
      <c r="U45" s="214"/>
      <c r="V45" s="225">
        <v>0</v>
      </c>
      <c r="W45" s="225">
        <v>0</v>
      </c>
      <c r="X45" s="214"/>
      <c r="Y45" s="225">
        <v>0</v>
      </c>
      <c r="Z45" s="225">
        <v>0</v>
      </c>
      <c r="AA45" s="214"/>
      <c r="AB45" s="225">
        <v>0</v>
      </c>
      <c r="AC45" s="225">
        <v>0</v>
      </c>
      <c r="AD45" s="214"/>
      <c r="AE45" s="225">
        <v>0</v>
      </c>
      <c r="AF45" s="225">
        <v>0</v>
      </c>
      <c r="AG45" s="214"/>
      <c r="AH45" s="225">
        <v>0</v>
      </c>
      <c r="AI45" s="225">
        <v>0</v>
      </c>
      <c r="AJ45" s="214"/>
      <c r="AK45" s="225">
        <v>0</v>
      </c>
      <c r="AL45" s="225">
        <v>0</v>
      </c>
      <c r="AM45" s="214"/>
      <c r="AN45" s="225">
        <v>0</v>
      </c>
      <c r="AO45" s="225">
        <v>0</v>
      </c>
      <c r="AP45" s="225"/>
      <c r="AQ45" s="214"/>
      <c r="AR45" s="225">
        <v>0</v>
      </c>
      <c r="AS45" s="225">
        <v>0</v>
      </c>
      <c r="AT45" s="214"/>
      <c r="AU45" s="225">
        <v>0</v>
      </c>
      <c r="AV45" s="225">
        <v>0</v>
      </c>
      <c r="AW45" s="214"/>
      <c r="AX45" s="225">
        <v>0</v>
      </c>
      <c r="AY45" s="225">
        <v>0</v>
      </c>
      <c r="AZ45" s="214"/>
      <c r="BA45" s="225">
        <v>0</v>
      </c>
      <c r="BB45" s="225">
        <v>0</v>
      </c>
      <c r="BC45" s="214"/>
      <c r="BD45" s="225">
        <v>0</v>
      </c>
      <c r="BE45" s="225">
        <v>0</v>
      </c>
      <c r="BF45" s="214"/>
      <c r="BG45" s="214"/>
      <c r="BH45" s="225">
        <v>0</v>
      </c>
      <c r="BI45" s="225">
        <v>0</v>
      </c>
      <c r="BJ45" s="214">
        <f t="shared" si="5"/>
        <v>28500</v>
      </c>
      <c r="BK45" s="214">
        <v>2345.6</v>
      </c>
      <c r="BL45" s="225">
        <f t="shared" si="32"/>
        <v>7.8186666666666668E-2</v>
      </c>
      <c r="BM45" s="225">
        <f t="shared" si="2"/>
        <v>8.2301754385964904E-2</v>
      </c>
      <c r="BN45" s="205">
        <f t="shared" si="26"/>
        <v>2345.6</v>
      </c>
      <c r="BO45" s="205"/>
      <c r="BP45" s="227"/>
      <c r="BQ45" s="224">
        <f t="shared" si="7"/>
        <v>0</v>
      </c>
      <c r="BR45" s="227">
        <v>1500</v>
      </c>
      <c r="BS45" s="224">
        <f t="shared" si="33"/>
        <v>0.05</v>
      </c>
      <c r="BT45" s="227">
        <v>3000</v>
      </c>
      <c r="BU45" s="224">
        <f t="shared" si="34"/>
        <v>0.1</v>
      </c>
      <c r="BV45" s="227">
        <v>4500</v>
      </c>
      <c r="BW45" s="224">
        <f t="shared" si="35"/>
        <v>0.15</v>
      </c>
      <c r="BX45" s="227">
        <v>6000</v>
      </c>
      <c r="BY45" s="224">
        <f t="shared" si="36"/>
        <v>0.2</v>
      </c>
      <c r="BZ45" s="227">
        <v>7500</v>
      </c>
      <c r="CA45" s="224">
        <f t="shared" si="37"/>
        <v>0.25</v>
      </c>
      <c r="CB45" s="227">
        <v>9000</v>
      </c>
      <c r="CC45" s="224">
        <f t="shared" si="38"/>
        <v>0.3</v>
      </c>
      <c r="CD45" s="227">
        <v>10500</v>
      </c>
      <c r="CE45" s="224">
        <f t="shared" si="39"/>
        <v>0.35</v>
      </c>
      <c r="CF45" s="227">
        <v>12000</v>
      </c>
      <c r="CG45" s="224">
        <f t="shared" si="40"/>
        <v>0.4</v>
      </c>
      <c r="CH45" s="227">
        <v>15000</v>
      </c>
      <c r="CI45" s="224">
        <f t="shared" si="41"/>
        <v>0.5</v>
      </c>
      <c r="CJ45" s="227">
        <v>19500</v>
      </c>
      <c r="CK45" s="224">
        <f t="shared" si="42"/>
        <v>0.65</v>
      </c>
      <c r="CL45" s="227">
        <v>24000</v>
      </c>
      <c r="CM45" s="224">
        <f t="shared" si="43"/>
        <v>0.8</v>
      </c>
      <c r="CN45" s="227">
        <f>30000*0.95</f>
        <v>28500</v>
      </c>
      <c r="CO45" s="224">
        <f t="shared" si="44"/>
        <v>0.95</v>
      </c>
      <c r="CP45" s="213" t="str">
        <f t="shared" si="23"/>
        <v>Không đạt</v>
      </c>
      <c r="CQ45" s="213" t="str">
        <f t="shared" si="24"/>
        <v>Không đạt</v>
      </c>
      <c r="CR45" s="192"/>
      <c r="CS45" s="214">
        <f t="shared" si="21"/>
        <v>2345.6</v>
      </c>
      <c r="CT45" s="223"/>
      <c r="CU45" s="163"/>
      <c r="CV45" s="232"/>
      <c r="CW45" s="195"/>
      <c r="CX45" s="196"/>
      <c r="CY45" s="196"/>
      <c r="CZ45" s="197"/>
      <c r="DA45" s="196"/>
      <c r="DB45" s="196"/>
      <c r="DC45" s="196"/>
      <c r="DE45" s="199"/>
      <c r="DF45" s="200"/>
      <c r="DG45" s="181"/>
    </row>
    <row r="46" spans="1:111" s="233" customFormat="1" ht="15" outlineLevel="1" x14ac:dyDescent="0.25">
      <c r="A46" s="192">
        <f>MAX(A$17:$B45)+1</f>
        <v>24</v>
      </c>
      <c r="B46" s="222" t="s">
        <v>183</v>
      </c>
      <c r="C46" s="222">
        <v>7960425</v>
      </c>
      <c r="D46" s="214">
        <f t="shared" si="22"/>
        <v>10000</v>
      </c>
      <c r="E46" s="214"/>
      <c r="F46" s="214">
        <f t="shared" si="31"/>
        <v>10000</v>
      </c>
      <c r="G46" s="214">
        <v>3000</v>
      </c>
      <c r="H46" s="214">
        <v>7000</v>
      </c>
      <c r="I46" s="235"/>
      <c r="J46" s="235"/>
      <c r="K46" s="223"/>
      <c r="L46" s="235"/>
      <c r="M46" s="223"/>
      <c r="N46" s="223"/>
      <c r="O46" s="214">
        <f t="shared" si="29"/>
        <v>3000</v>
      </c>
      <c r="P46" s="214">
        <v>0</v>
      </c>
      <c r="Q46" s="224">
        <f t="shared" si="4"/>
        <v>0</v>
      </c>
      <c r="R46" s="214"/>
      <c r="S46" s="225">
        <v>0</v>
      </c>
      <c r="T46" s="225">
        <v>0</v>
      </c>
      <c r="U46" s="214"/>
      <c r="V46" s="225">
        <v>0</v>
      </c>
      <c r="W46" s="225">
        <v>0</v>
      </c>
      <c r="X46" s="214"/>
      <c r="Y46" s="225">
        <v>0</v>
      </c>
      <c r="Z46" s="225">
        <v>0</v>
      </c>
      <c r="AA46" s="214"/>
      <c r="AB46" s="225">
        <v>0</v>
      </c>
      <c r="AC46" s="225">
        <v>0</v>
      </c>
      <c r="AD46" s="214"/>
      <c r="AE46" s="225">
        <v>0</v>
      </c>
      <c r="AF46" s="225">
        <v>0</v>
      </c>
      <c r="AG46" s="214"/>
      <c r="AH46" s="225">
        <v>0</v>
      </c>
      <c r="AI46" s="225">
        <v>0</v>
      </c>
      <c r="AJ46" s="214"/>
      <c r="AK46" s="225">
        <v>0</v>
      </c>
      <c r="AL46" s="225">
        <v>0</v>
      </c>
      <c r="AM46" s="214"/>
      <c r="AN46" s="225">
        <v>0</v>
      </c>
      <c r="AO46" s="225">
        <v>0</v>
      </c>
      <c r="AP46" s="225"/>
      <c r="AQ46" s="214"/>
      <c r="AR46" s="225">
        <v>0</v>
      </c>
      <c r="AS46" s="225">
        <v>0</v>
      </c>
      <c r="AT46" s="214"/>
      <c r="AU46" s="225">
        <v>0</v>
      </c>
      <c r="AV46" s="225">
        <v>0</v>
      </c>
      <c r="AW46" s="214"/>
      <c r="AX46" s="225">
        <v>0</v>
      </c>
      <c r="AY46" s="225">
        <v>0</v>
      </c>
      <c r="AZ46" s="214"/>
      <c r="BA46" s="225">
        <v>0</v>
      </c>
      <c r="BB46" s="225">
        <v>0</v>
      </c>
      <c r="BC46" s="214"/>
      <c r="BD46" s="225">
        <v>0</v>
      </c>
      <c r="BE46" s="225">
        <v>0</v>
      </c>
      <c r="BF46" s="214"/>
      <c r="BG46" s="214"/>
      <c r="BH46" s="225">
        <v>0</v>
      </c>
      <c r="BI46" s="225">
        <v>0</v>
      </c>
      <c r="BJ46" s="214">
        <f t="shared" si="5"/>
        <v>9500</v>
      </c>
      <c r="BK46" s="214"/>
      <c r="BL46" s="225">
        <f t="shared" si="32"/>
        <v>0</v>
      </c>
      <c r="BM46" s="225">
        <f t="shared" si="2"/>
        <v>0</v>
      </c>
      <c r="BN46" s="205">
        <f t="shared" si="26"/>
        <v>0</v>
      </c>
      <c r="BO46" s="205"/>
      <c r="BP46" s="227"/>
      <c r="BQ46" s="224">
        <f t="shared" si="7"/>
        <v>0</v>
      </c>
      <c r="BR46" s="227"/>
      <c r="BS46" s="224">
        <f t="shared" si="33"/>
        <v>0</v>
      </c>
      <c r="BT46" s="227"/>
      <c r="BU46" s="224">
        <f t="shared" si="34"/>
        <v>0</v>
      </c>
      <c r="BV46" s="227"/>
      <c r="BW46" s="224">
        <f t="shared" si="35"/>
        <v>0</v>
      </c>
      <c r="BX46" s="227"/>
      <c r="BY46" s="224">
        <f t="shared" si="36"/>
        <v>0</v>
      </c>
      <c r="BZ46" s="227">
        <v>1000</v>
      </c>
      <c r="CA46" s="224">
        <f t="shared" si="37"/>
        <v>0.1</v>
      </c>
      <c r="CB46" s="227">
        <v>1000</v>
      </c>
      <c r="CC46" s="224">
        <f t="shared" si="38"/>
        <v>0.1</v>
      </c>
      <c r="CD46" s="227">
        <v>1000</v>
      </c>
      <c r="CE46" s="224">
        <f t="shared" si="39"/>
        <v>0.1</v>
      </c>
      <c r="CF46" s="227">
        <v>5000</v>
      </c>
      <c r="CG46" s="224">
        <f t="shared" si="40"/>
        <v>0.5</v>
      </c>
      <c r="CH46" s="227">
        <v>5000</v>
      </c>
      <c r="CI46" s="224">
        <f t="shared" si="41"/>
        <v>0.5</v>
      </c>
      <c r="CJ46" s="227">
        <v>5000</v>
      </c>
      <c r="CK46" s="224">
        <f t="shared" si="42"/>
        <v>0.5</v>
      </c>
      <c r="CL46" s="227">
        <v>9500</v>
      </c>
      <c r="CM46" s="224">
        <f t="shared" si="43"/>
        <v>0.95</v>
      </c>
      <c r="CN46" s="227">
        <v>9500</v>
      </c>
      <c r="CO46" s="224">
        <f t="shared" si="44"/>
        <v>0.95</v>
      </c>
      <c r="CP46" s="213" t="str">
        <f t="shared" si="23"/>
        <v>Không đạt</v>
      </c>
      <c r="CQ46" s="213" t="str">
        <f t="shared" si="24"/>
        <v>Không đạt</v>
      </c>
      <c r="CR46" s="192"/>
      <c r="CS46" s="214">
        <f t="shared" si="21"/>
        <v>0</v>
      </c>
      <c r="CT46" s="223"/>
      <c r="CU46" s="163"/>
      <c r="CV46" s="232"/>
      <c r="CW46" s="195"/>
      <c r="CX46" s="196"/>
      <c r="CY46" s="196"/>
      <c r="CZ46" s="197"/>
      <c r="DA46" s="196"/>
      <c r="DB46" s="196"/>
      <c r="DC46" s="196"/>
      <c r="DE46" s="199"/>
      <c r="DF46" s="200"/>
      <c r="DG46" s="181"/>
    </row>
    <row r="47" spans="1:111" s="233" customFormat="1" ht="15" outlineLevel="1" x14ac:dyDescent="0.25">
      <c r="A47" s="192">
        <f>MAX(A$17:$B46)+1</f>
        <v>25</v>
      </c>
      <c r="B47" s="222" t="s">
        <v>184</v>
      </c>
      <c r="C47" s="222">
        <v>8051468</v>
      </c>
      <c r="D47" s="214">
        <f t="shared" si="22"/>
        <v>3000</v>
      </c>
      <c r="E47" s="214"/>
      <c r="F47" s="214">
        <f t="shared" si="31"/>
        <v>3000</v>
      </c>
      <c r="G47" s="214">
        <v>3000</v>
      </c>
      <c r="H47" s="214"/>
      <c r="I47" s="235"/>
      <c r="J47" s="235"/>
      <c r="K47" s="223"/>
      <c r="L47" s="235"/>
      <c r="M47" s="223"/>
      <c r="N47" s="223"/>
      <c r="O47" s="214">
        <f t="shared" si="29"/>
        <v>3000</v>
      </c>
      <c r="P47" s="214">
        <v>0</v>
      </c>
      <c r="Q47" s="224">
        <f t="shared" si="4"/>
        <v>0</v>
      </c>
      <c r="R47" s="214"/>
      <c r="S47" s="225">
        <v>0</v>
      </c>
      <c r="T47" s="225">
        <v>0</v>
      </c>
      <c r="U47" s="214"/>
      <c r="V47" s="225">
        <v>0</v>
      </c>
      <c r="W47" s="225">
        <v>0</v>
      </c>
      <c r="X47" s="214"/>
      <c r="Y47" s="225">
        <v>0</v>
      </c>
      <c r="Z47" s="225">
        <v>0</v>
      </c>
      <c r="AA47" s="214"/>
      <c r="AB47" s="225">
        <v>0</v>
      </c>
      <c r="AC47" s="225">
        <v>0</v>
      </c>
      <c r="AD47" s="214"/>
      <c r="AE47" s="225">
        <v>0</v>
      </c>
      <c r="AF47" s="225">
        <v>0</v>
      </c>
      <c r="AG47" s="214"/>
      <c r="AH47" s="225">
        <v>0</v>
      </c>
      <c r="AI47" s="225">
        <v>0</v>
      </c>
      <c r="AJ47" s="214"/>
      <c r="AK47" s="225">
        <v>0</v>
      </c>
      <c r="AL47" s="225">
        <v>0</v>
      </c>
      <c r="AM47" s="214"/>
      <c r="AN47" s="225">
        <v>0</v>
      </c>
      <c r="AO47" s="225">
        <v>0</v>
      </c>
      <c r="AP47" s="225"/>
      <c r="AQ47" s="214"/>
      <c r="AR47" s="225">
        <v>0</v>
      </c>
      <c r="AS47" s="225">
        <v>0</v>
      </c>
      <c r="AT47" s="214"/>
      <c r="AU47" s="225">
        <v>0</v>
      </c>
      <c r="AV47" s="225">
        <v>0</v>
      </c>
      <c r="AW47" s="214"/>
      <c r="AX47" s="225">
        <v>0</v>
      </c>
      <c r="AY47" s="225">
        <v>0</v>
      </c>
      <c r="AZ47" s="214"/>
      <c r="BA47" s="225">
        <v>0</v>
      </c>
      <c r="BB47" s="225">
        <v>0</v>
      </c>
      <c r="BC47" s="214"/>
      <c r="BD47" s="225">
        <v>0</v>
      </c>
      <c r="BE47" s="225">
        <v>0</v>
      </c>
      <c r="BF47" s="214"/>
      <c r="BG47" s="214"/>
      <c r="BH47" s="225">
        <v>0</v>
      </c>
      <c r="BI47" s="225">
        <v>0</v>
      </c>
      <c r="BJ47" s="214">
        <f t="shared" si="5"/>
        <v>2850</v>
      </c>
      <c r="BK47" s="214"/>
      <c r="BL47" s="225">
        <f t="shared" si="32"/>
        <v>0</v>
      </c>
      <c r="BM47" s="225">
        <f t="shared" si="2"/>
        <v>0</v>
      </c>
      <c r="BN47" s="205">
        <f t="shared" si="26"/>
        <v>0</v>
      </c>
      <c r="BO47" s="205"/>
      <c r="BP47" s="227"/>
      <c r="BQ47" s="224">
        <f t="shared" si="7"/>
        <v>0</v>
      </c>
      <c r="BR47" s="227"/>
      <c r="BS47" s="224">
        <f t="shared" si="33"/>
        <v>0</v>
      </c>
      <c r="BT47" s="227"/>
      <c r="BU47" s="224">
        <f t="shared" si="34"/>
        <v>0</v>
      </c>
      <c r="BV47" s="227"/>
      <c r="BW47" s="224">
        <f t="shared" si="35"/>
        <v>0</v>
      </c>
      <c r="BX47" s="227"/>
      <c r="BY47" s="224">
        <f t="shared" si="36"/>
        <v>0</v>
      </c>
      <c r="BZ47" s="227"/>
      <c r="CA47" s="224">
        <f t="shared" si="37"/>
        <v>0</v>
      </c>
      <c r="CB47" s="227"/>
      <c r="CC47" s="224">
        <f t="shared" si="38"/>
        <v>0</v>
      </c>
      <c r="CD47" s="227"/>
      <c r="CE47" s="224">
        <f t="shared" si="39"/>
        <v>0</v>
      </c>
      <c r="CF47" s="227">
        <v>1200</v>
      </c>
      <c r="CG47" s="224">
        <f t="shared" si="40"/>
        <v>0.4</v>
      </c>
      <c r="CH47" s="227">
        <v>1200</v>
      </c>
      <c r="CI47" s="224">
        <f t="shared" si="41"/>
        <v>0.4</v>
      </c>
      <c r="CJ47" s="227">
        <v>2000</v>
      </c>
      <c r="CK47" s="224">
        <f t="shared" si="42"/>
        <v>0.66666666666666663</v>
      </c>
      <c r="CL47" s="227">
        <v>2500</v>
      </c>
      <c r="CM47" s="224">
        <f t="shared" si="43"/>
        <v>0.83333333333333337</v>
      </c>
      <c r="CN47" s="227">
        <v>2850</v>
      </c>
      <c r="CO47" s="224">
        <f t="shared" si="44"/>
        <v>0.95</v>
      </c>
      <c r="CP47" s="213" t="str">
        <f t="shared" si="23"/>
        <v>Không đạt</v>
      </c>
      <c r="CQ47" s="213" t="str">
        <f t="shared" si="24"/>
        <v>Không đạt</v>
      </c>
      <c r="CR47" s="192"/>
      <c r="CS47" s="214">
        <f t="shared" si="21"/>
        <v>0</v>
      </c>
      <c r="CT47" s="223"/>
      <c r="CU47" s="163"/>
      <c r="CV47" s="232"/>
      <c r="CW47" s="195"/>
      <c r="CX47" s="196"/>
      <c r="CY47" s="196"/>
      <c r="CZ47" s="197"/>
      <c r="DA47" s="196"/>
      <c r="DB47" s="196"/>
      <c r="DC47" s="196"/>
      <c r="DE47" s="199"/>
      <c r="DF47" s="200"/>
      <c r="DG47" s="181"/>
    </row>
    <row r="48" spans="1:111" s="233" customFormat="1" ht="38.25" outlineLevel="1" x14ac:dyDescent="0.25">
      <c r="A48" s="192">
        <f>MAX(A$17:$B47)+1</f>
        <v>26</v>
      </c>
      <c r="B48" s="222" t="s">
        <v>185</v>
      </c>
      <c r="C48" s="222">
        <v>8100024</v>
      </c>
      <c r="D48" s="214">
        <f>E48+F48</f>
        <v>500</v>
      </c>
      <c r="E48" s="214"/>
      <c r="F48" s="214">
        <f t="shared" si="31"/>
        <v>500</v>
      </c>
      <c r="G48" s="214">
        <v>500</v>
      </c>
      <c r="H48" s="214"/>
      <c r="I48" s="235"/>
      <c r="J48" s="235"/>
      <c r="K48" s="223"/>
      <c r="L48" s="235"/>
      <c r="M48" s="223"/>
      <c r="N48" s="223"/>
      <c r="O48" s="214">
        <f t="shared" si="29"/>
        <v>500</v>
      </c>
      <c r="P48" s="214">
        <v>226.83099999999999</v>
      </c>
      <c r="Q48" s="224">
        <f t="shared" si="4"/>
        <v>0.45366199999999995</v>
      </c>
      <c r="R48" s="214">
        <v>226.83099999999999</v>
      </c>
      <c r="S48" s="225">
        <v>0.45366199999999995</v>
      </c>
      <c r="T48" s="225">
        <v>0.47753894736842101</v>
      </c>
      <c r="U48" s="214">
        <v>268.36900000000003</v>
      </c>
      <c r="V48" s="225">
        <v>0.53673800000000005</v>
      </c>
      <c r="W48" s="225">
        <v>0.56498736842105268</v>
      </c>
      <c r="X48" s="214">
        <v>268.36900000000003</v>
      </c>
      <c r="Y48" s="225">
        <v>0.53673800000000005</v>
      </c>
      <c r="Z48" s="225">
        <v>0.56498736842105268</v>
      </c>
      <c r="AA48" s="214">
        <v>268.36900000000003</v>
      </c>
      <c r="AB48" s="225">
        <v>0.53673800000000005</v>
      </c>
      <c r="AC48" s="225">
        <v>0.56498736842105268</v>
      </c>
      <c r="AD48" s="214">
        <v>268.36900000000003</v>
      </c>
      <c r="AE48" s="225">
        <v>0.53673800000000005</v>
      </c>
      <c r="AF48" s="225">
        <v>0.56498736842105268</v>
      </c>
      <c r="AG48" s="214">
        <v>268.36900000000003</v>
      </c>
      <c r="AH48" s="225">
        <v>0.53673800000000005</v>
      </c>
      <c r="AI48" s="225">
        <v>0.56498736842105268</v>
      </c>
      <c r="AJ48" s="214">
        <v>268.36900000000003</v>
      </c>
      <c r="AK48" s="225">
        <v>0.53673800000000005</v>
      </c>
      <c r="AL48" s="225">
        <v>0.56498736842105268</v>
      </c>
      <c r="AM48" s="214">
        <v>291.46900000000005</v>
      </c>
      <c r="AN48" s="225">
        <v>0.58293800000000007</v>
      </c>
      <c r="AO48" s="225">
        <v>0.61361894736842115</v>
      </c>
      <c r="AP48" s="225"/>
      <c r="AQ48" s="214">
        <v>291.46900000000005</v>
      </c>
      <c r="AR48" s="225">
        <v>0.58293800000000007</v>
      </c>
      <c r="AS48" s="225">
        <v>0.61361894736842115</v>
      </c>
      <c r="AT48" s="214">
        <v>291.46900000000005</v>
      </c>
      <c r="AU48" s="225">
        <v>0.58293800000000007</v>
      </c>
      <c r="AV48" s="225">
        <v>0.61361894736842115</v>
      </c>
      <c r="AW48" s="214">
        <v>291.46900000000005</v>
      </c>
      <c r="AX48" s="225">
        <v>0.58293800000000007</v>
      </c>
      <c r="AY48" s="225">
        <v>0.61361894736842115</v>
      </c>
      <c r="AZ48" s="214">
        <v>291.46900000000005</v>
      </c>
      <c r="BA48" s="225">
        <v>0.58293800000000007</v>
      </c>
      <c r="BB48" s="225">
        <v>0.61361894736842115</v>
      </c>
      <c r="BC48" s="214">
        <v>291.46900000000005</v>
      </c>
      <c r="BD48" s="225">
        <v>0.58293800000000007</v>
      </c>
      <c r="BE48" s="225">
        <v>0.61361894736842115</v>
      </c>
      <c r="BF48" s="214"/>
      <c r="BG48" s="214">
        <v>291.46900000000005</v>
      </c>
      <c r="BH48" s="225">
        <v>0.58293800000000007</v>
      </c>
      <c r="BI48" s="225">
        <v>0.61361894736842115</v>
      </c>
      <c r="BJ48" s="214">
        <f t="shared" si="5"/>
        <v>475</v>
      </c>
      <c r="BK48" s="214">
        <v>291.46900000000005</v>
      </c>
      <c r="BL48" s="225">
        <f t="shared" si="32"/>
        <v>0.58293800000000007</v>
      </c>
      <c r="BM48" s="225">
        <f t="shared" si="2"/>
        <v>0.61361894736842115</v>
      </c>
      <c r="BN48" s="205">
        <f t="shared" si="26"/>
        <v>23.100000000000023</v>
      </c>
      <c r="BO48" s="205"/>
      <c r="BP48" s="227"/>
      <c r="BQ48" s="224">
        <f t="shared" si="7"/>
        <v>0</v>
      </c>
      <c r="BR48" s="227"/>
      <c r="BS48" s="224">
        <f t="shared" si="33"/>
        <v>0</v>
      </c>
      <c r="BT48" s="227">
        <f>500*0.95</f>
        <v>475</v>
      </c>
      <c r="BU48" s="224">
        <f t="shared" si="34"/>
        <v>0.95</v>
      </c>
      <c r="BV48" s="227">
        <f>500*0.95</f>
        <v>475</v>
      </c>
      <c r="BW48" s="224">
        <f t="shared" si="35"/>
        <v>0.95</v>
      </c>
      <c r="BX48" s="227">
        <f>500*0.95</f>
        <v>475</v>
      </c>
      <c r="BY48" s="224">
        <f t="shared" si="36"/>
        <v>0.95</v>
      </c>
      <c r="BZ48" s="227">
        <f>500*0.95</f>
        <v>475</v>
      </c>
      <c r="CA48" s="224">
        <f t="shared" si="37"/>
        <v>0.95</v>
      </c>
      <c r="CB48" s="227">
        <f>500*0.95</f>
        <v>475</v>
      </c>
      <c r="CC48" s="224">
        <f t="shared" si="38"/>
        <v>0.95</v>
      </c>
      <c r="CD48" s="227">
        <f>500*0.95</f>
        <v>475</v>
      </c>
      <c r="CE48" s="224">
        <f t="shared" si="39"/>
        <v>0.95</v>
      </c>
      <c r="CF48" s="227">
        <f>500*0.95</f>
        <v>475</v>
      </c>
      <c r="CG48" s="224">
        <f t="shared" si="40"/>
        <v>0.95</v>
      </c>
      <c r="CH48" s="227">
        <f>500*0.95</f>
        <v>475</v>
      </c>
      <c r="CI48" s="224">
        <f t="shared" si="41"/>
        <v>0.95</v>
      </c>
      <c r="CJ48" s="227">
        <f>500*0.95</f>
        <v>475</v>
      </c>
      <c r="CK48" s="224">
        <f t="shared" si="42"/>
        <v>0.95</v>
      </c>
      <c r="CL48" s="227">
        <f>500*0.95</f>
        <v>475</v>
      </c>
      <c r="CM48" s="224">
        <f t="shared" si="43"/>
        <v>0.95</v>
      </c>
      <c r="CN48" s="227">
        <f>500*0.95</f>
        <v>475</v>
      </c>
      <c r="CO48" s="224">
        <f t="shared" si="44"/>
        <v>0.95</v>
      </c>
      <c r="CP48" s="213" t="str">
        <f t="shared" si="23"/>
        <v>Đạt</v>
      </c>
      <c r="CQ48" s="213" t="str">
        <f t="shared" si="24"/>
        <v>Đạt</v>
      </c>
      <c r="CR48" s="192"/>
      <c r="CS48" s="214">
        <f t="shared" si="21"/>
        <v>0</v>
      </c>
      <c r="CT48" s="223"/>
      <c r="CU48" s="163"/>
      <c r="CV48" s="232"/>
      <c r="CW48" s="195"/>
      <c r="CX48" s="196"/>
      <c r="CY48" s="196"/>
      <c r="CZ48" s="197"/>
      <c r="DA48" s="196"/>
      <c r="DB48" s="196"/>
      <c r="DC48" s="196"/>
      <c r="DE48" s="199"/>
      <c r="DF48" s="200"/>
      <c r="DG48" s="181"/>
    </row>
    <row r="49" spans="1:111" s="233" customFormat="1" ht="25.5" outlineLevel="1" x14ac:dyDescent="0.25">
      <c r="A49" s="192">
        <f>MAX(A$17:$B48)+1</f>
        <v>27</v>
      </c>
      <c r="B49" s="222" t="s">
        <v>186</v>
      </c>
      <c r="C49" s="222">
        <v>8100023</v>
      </c>
      <c r="D49" s="214">
        <f>E49+F49</f>
        <v>3000</v>
      </c>
      <c r="E49" s="214"/>
      <c r="F49" s="214">
        <f t="shared" si="31"/>
        <v>3000</v>
      </c>
      <c r="G49" s="214">
        <v>3000</v>
      </c>
      <c r="H49" s="214"/>
      <c r="I49" s="235"/>
      <c r="J49" s="235"/>
      <c r="K49" s="223"/>
      <c r="L49" s="235"/>
      <c r="M49" s="223"/>
      <c r="N49" s="223"/>
      <c r="O49" s="214">
        <f t="shared" si="29"/>
        <v>3000</v>
      </c>
      <c r="P49" s="214">
        <v>0</v>
      </c>
      <c r="Q49" s="224">
        <f t="shared" si="4"/>
        <v>0</v>
      </c>
      <c r="R49" s="214"/>
      <c r="S49" s="225">
        <v>0</v>
      </c>
      <c r="T49" s="225">
        <v>0</v>
      </c>
      <c r="U49" s="214"/>
      <c r="V49" s="225">
        <v>0</v>
      </c>
      <c r="W49" s="225">
        <v>0</v>
      </c>
      <c r="X49" s="214"/>
      <c r="Y49" s="225">
        <v>0</v>
      </c>
      <c r="Z49" s="225">
        <v>0</v>
      </c>
      <c r="AA49" s="214"/>
      <c r="AB49" s="225">
        <v>0</v>
      </c>
      <c r="AC49" s="225">
        <v>0</v>
      </c>
      <c r="AD49" s="214"/>
      <c r="AE49" s="225">
        <v>0</v>
      </c>
      <c r="AF49" s="225">
        <v>0</v>
      </c>
      <c r="AG49" s="214"/>
      <c r="AH49" s="225">
        <v>0</v>
      </c>
      <c r="AI49" s="225">
        <v>0</v>
      </c>
      <c r="AJ49" s="214"/>
      <c r="AK49" s="225">
        <v>0</v>
      </c>
      <c r="AL49" s="225">
        <v>0</v>
      </c>
      <c r="AM49" s="214"/>
      <c r="AN49" s="225">
        <v>0</v>
      </c>
      <c r="AO49" s="225">
        <v>0</v>
      </c>
      <c r="AP49" s="225"/>
      <c r="AQ49" s="214"/>
      <c r="AR49" s="225">
        <v>0</v>
      </c>
      <c r="AS49" s="225">
        <v>0</v>
      </c>
      <c r="AT49" s="214"/>
      <c r="AU49" s="225">
        <v>0</v>
      </c>
      <c r="AV49" s="225">
        <v>0</v>
      </c>
      <c r="AW49" s="214"/>
      <c r="AX49" s="225">
        <v>0</v>
      </c>
      <c r="AY49" s="225">
        <v>0</v>
      </c>
      <c r="AZ49" s="214"/>
      <c r="BA49" s="225">
        <v>0</v>
      </c>
      <c r="BB49" s="225">
        <v>0</v>
      </c>
      <c r="BC49" s="214"/>
      <c r="BD49" s="225">
        <v>0</v>
      </c>
      <c r="BE49" s="225">
        <v>0</v>
      </c>
      <c r="BF49" s="214"/>
      <c r="BG49" s="214"/>
      <c r="BH49" s="225">
        <v>0</v>
      </c>
      <c r="BI49" s="225">
        <v>0</v>
      </c>
      <c r="BJ49" s="214">
        <f t="shared" si="5"/>
        <v>2850</v>
      </c>
      <c r="BK49" s="214"/>
      <c r="BL49" s="225">
        <f t="shared" si="32"/>
        <v>0</v>
      </c>
      <c r="BM49" s="225">
        <f t="shared" si="2"/>
        <v>0</v>
      </c>
      <c r="BN49" s="205">
        <f t="shared" si="26"/>
        <v>0</v>
      </c>
      <c r="BO49" s="205"/>
      <c r="BP49" s="227"/>
      <c r="BQ49" s="224">
        <f t="shared" si="7"/>
        <v>0</v>
      </c>
      <c r="BR49" s="227"/>
      <c r="BS49" s="224">
        <f t="shared" si="33"/>
        <v>0</v>
      </c>
      <c r="BT49" s="227"/>
      <c r="BU49" s="224">
        <f t="shared" si="34"/>
        <v>0</v>
      </c>
      <c r="BV49" s="227"/>
      <c r="BW49" s="224">
        <f t="shared" si="35"/>
        <v>0</v>
      </c>
      <c r="BX49" s="227"/>
      <c r="BY49" s="224">
        <f t="shared" si="36"/>
        <v>0</v>
      </c>
      <c r="BZ49" s="227">
        <v>1000</v>
      </c>
      <c r="CA49" s="224">
        <f t="shared" si="37"/>
        <v>0.33333333333333331</v>
      </c>
      <c r="CB49" s="227">
        <v>1000</v>
      </c>
      <c r="CC49" s="224">
        <f t="shared" si="38"/>
        <v>0.33333333333333331</v>
      </c>
      <c r="CD49" s="227">
        <v>1000</v>
      </c>
      <c r="CE49" s="224">
        <f t="shared" si="39"/>
        <v>0.33333333333333331</v>
      </c>
      <c r="CF49" s="227">
        <v>2850</v>
      </c>
      <c r="CG49" s="224">
        <f t="shared" si="40"/>
        <v>0.95</v>
      </c>
      <c r="CH49" s="227">
        <v>2850</v>
      </c>
      <c r="CI49" s="224">
        <f t="shared" si="41"/>
        <v>0.95</v>
      </c>
      <c r="CJ49" s="227">
        <v>2850</v>
      </c>
      <c r="CK49" s="224">
        <f t="shared" si="42"/>
        <v>0.95</v>
      </c>
      <c r="CL49" s="227">
        <v>2850</v>
      </c>
      <c r="CM49" s="224">
        <f t="shared" si="43"/>
        <v>0.95</v>
      </c>
      <c r="CN49" s="227">
        <v>2850</v>
      </c>
      <c r="CO49" s="224">
        <f t="shared" si="44"/>
        <v>0.95</v>
      </c>
      <c r="CP49" s="213" t="str">
        <f t="shared" si="23"/>
        <v>Không đạt</v>
      </c>
      <c r="CQ49" s="213" t="str">
        <f t="shared" si="24"/>
        <v>Không đạt</v>
      </c>
      <c r="CR49" s="192"/>
      <c r="CS49" s="214">
        <f t="shared" si="21"/>
        <v>0</v>
      </c>
      <c r="CT49" s="223"/>
      <c r="CU49" s="163"/>
      <c r="CV49" s="232"/>
      <c r="CW49" s="195"/>
      <c r="CX49" s="196"/>
      <c r="CY49" s="196"/>
      <c r="CZ49" s="197"/>
      <c r="DA49" s="196"/>
      <c r="DB49" s="196"/>
      <c r="DC49" s="196"/>
      <c r="DE49" s="199"/>
      <c r="DF49" s="200"/>
      <c r="DG49" s="181"/>
    </row>
    <row r="50" spans="1:111" s="233" customFormat="1" ht="25.5" outlineLevel="1" x14ac:dyDescent="0.25">
      <c r="A50" s="192">
        <f>MAX(A$17:$B49)+1</f>
        <v>28</v>
      </c>
      <c r="B50" s="222" t="s">
        <v>187</v>
      </c>
      <c r="C50" s="222"/>
      <c r="D50" s="214">
        <f>E50+F50</f>
        <v>10000</v>
      </c>
      <c r="E50" s="214"/>
      <c r="F50" s="214">
        <f t="shared" si="31"/>
        <v>10000</v>
      </c>
      <c r="G50" s="214"/>
      <c r="H50" s="214">
        <v>10000</v>
      </c>
      <c r="I50" s="235"/>
      <c r="J50" s="235"/>
      <c r="K50" s="223"/>
      <c r="L50" s="235"/>
      <c r="M50" s="223"/>
      <c r="N50" s="223"/>
      <c r="O50" s="214">
        <f t="shared" si="29"/>
        <v>0</v>
      </c>
      <c r="P50" s="214">
        <v>0</v>
      </c>
      <c r="Q50" s="224">
        <f t="shared" si="4"/>
        <v>0</v>
      </c>
      <c r="R50" s="214"/>
      <c r="S50" s="225">
        <v>0</v>
      </c>
      <c r="T50" s="225">
        <v>0</v>
      </c>
      <c r="U50" s="214"/>
      <c r="V50" s="225">
        <v>0</v>
      </c>
      <c r="W50" s="225">
        <v>0</v>
      </c>
      <c r="X50" s="214"/>
      <c r="Y50" s="225">
        <v>0</v>
      </c>
      <c r="Z50" s="225">
        <v>0</v>
      </c>
      <c r="AA50" s="214"/>
      <c r="AB50" s="225">
        <v>0</v>
      </c>
      <c r="AC50" s="225">
        <v>0</v>
      </c>
      <c r="AD50" s="214"/>
      <c r="AE50" s="225">
        <v>0</v>
      </c>
      <c r="AF50" s="225">
        <v>0</v>
      </c>
      <c r="AG50" s="214"/>
      <c r="AH50" s="225">
        <v>0</v>
      </c>
      <c r="AI50" s="225">
        <v>0</v>
      </c>
      <c r="AJ50" s="214"/>
      <c r="AK50" s="225">
        <v>0</v>
      </c>
      <c r="AL50" s="225">
        <v>0</v>
      </c>
      <c r="AM50" s="214"/>
      <c r="AN50" s="225">
        <v>0</v>
      </c>
      <c r="AO50" s="225">
        <v>0</v>
      </c>
      <c r="AP50" s="225"/>
      <c r="AQ50" s="214"/>
      <c r="AR50" s="225">
        <v>0</v>
      </c>
      <c r="AS50" s="225">
        <v>0</v>
      </c>
      <c r="AT50" s="214"/>
      <c r="AU50" s="225">
        <v>0</v>
      </c>
      <c r="AV50" s="225">
        <v>0</v>
      </c>
      <c r="AW50" s="214"/>
      <c r="AX50" s="225">
        <v>0</v>
      </c>
      <c r="AY50" s="225">
        <v>0</v>
      </c>
      <c r="AZ50" s="214"/>
      <c r="BA50" s="225">
        <v>0</v>
      </c>
      <c r="BB50" s="225">
        <v>0</v>
      </c>
      <c r="BC50" s="214"/>
      <c r="BD50" s="225">
        <v>0</v>
      </c>
      <c r="BE50" s="225">
        <v>0</v>
      </c>
      <c r="BF50" s="214"/>
      <c r="BG50" s="214"/>
      <c r="BH50" s="225">
        <v>0</v>
      </c>
      <c r="BI50" s="225">
        <v>0</v>
      </c>
      <c r="BJ50" s="214">
        <f t="shared" si="5"/>
        <v>9500</v>
      </c>
      <c r="BK50" s="214"/>
      <c r="BL50" s="225">
        <f t="shared" si="32"/>
        <v>0</v>
      </c>
      <c r="BM50" s="225">
        <f t="shared" si="2"/>
        <v>0</v>
      </c>
      <c r="BN50" s="205">
        <f t="shared" si="26"/>
        <v>0</v>
      </c>
      <c r="BO50" s="205"/>
      <c r="BP50" s="227"/>
      <c r="BQ50" s="224">
        <f t="shared" si="7"/>
        <v>0</v>
      </c>
      <c r="BR50" s="227"/>
      <c r="BS50" s="224">
        <f t="shared" si="33"/>
        <v>0</v>
      </c>
      <c r="BT50" s="227"/>
      <c r="BU50" s="224">
        <f t="shared" si="34"/>
        <v>0</v>
      </c>
      <c r="BV50" s="227"/>
      <c r="BW50" s="224">
        <f t="shared" si="35"/>
        <v>0</v>
      </c>
      <c r="BX50" s="227"/>
      <c r="BY50" s="224">
        <f t="shared" si="36"/>
        <v>0</v>
      </c>
      <c r="BZ50" s="227"/>
      <c r="CA50" s="224">
        <f t="shared" si="37"/>
        <v>0</v>
      </c>
      <c r="CB50" s="227"/>
      <c r="CC50" s="224">
        <f t="shared" si="38"/>
        <v>0</v>
      </c>
      <c r="CD50" s="227"/>
      <c r="CE50" s="224">
        <f t="shared" si="39"/>
        <v>0</v>
      </c>
      <c r="CF50" s="227"/>
      <c r="CG50" s="224">
        <f t="shared" si="40"/>
        <v>0</v>
      </c>
      <c r="CH50" s="227"/>
      <c r="CI50" s="224">
        <f t="shared" si="41"/>
        <v>0</v>
      </c>
      <c r="CJ50" s="227"/>
      <c r="CK50" s="224">
        <f t="shared" si="42"/>
        <v>0</v>
      </c>
      <c r="CL50" s="227">
        <v>9500</v>
      </c>
      <c r="CM50" s="224">
        <f t="shared" si="43"/>
        <v>0.95</v>
      </c>
      <c r="CN50" s="227">
        <v>9500</v>
      </c>
      <c r="CO50" s="224">
        <f t="shared" si="44"/>
        <v>0.95</v>
      </c>
      <c r="CP50" s="213" t="str">
        <f t="shared" si="23"/>
        <v>Không đạt</v>
      </c>
      <c r="CQ50" s="213" t="str">
        <f t="shared" si="24"/>
        <v>Không đạt</v>
      </c>
      <c r="CR50" s="192"/>
      <c r="CS50" s="214">
        <f t="shared" si="21"/>
        <v>0</v>
      </c>
      <c r="CT50" s="223"/>
      <c r="CU50" s="163"/>
      <c r="CV50" s="232"/>
      <c r="CW50" s="195"/>
      <c r="CX50" s="196"/>
      <c r="CY50" s="196"/>
      <c r="CZ50" s="197"/>
      <c r="DA50" s="196"/>
      <c r="DB50" s="196"/>
      <c r="DC50" s="196"/>
      <c r="DE50" s="199"/>
      <c r="DF50" s="200"/>
      <c r="DG50" s="181"/>
    </row>
    <row r="51" spans="1:111" s="233" customFormat="1" ht="38.25" outlineLevel="1" x14ac:dyDescent="0.25">
      <c r="A51" s="192">
        <f>MAX(A$17:$B50)+1</f>
        <v>29</v>
      </c>
      <c r="B51" s="222" t="s">
        <v>188</v>
      </c>
      <c r="C51" s="222">
        <v>8064546</v>
      </c>
      <c r="D51" s="214">
        <f>E51+F51</f>
        <v>4000</v>
      </c>
      <c r="E51" s="214"/>
      <c r="F51" s="214">
        <f t="shared" si="31"/>
        <v>4000</v>
      </c>
      <c r="G51" s="214">
        <v>4000</v>
      </c>
      <c r="H51" s="214"/>
      <c r="I51" s="235"/>
      <c r="J51" s="235"/>
      <c r="K51" s="223"/>
      <c r="L51" s="235"/>
      <c r="M51" s="223"/>
      <c r="N51" s="223"/>
      <c r="O51" s="214">
        <f t="shared" si="29"/>
        <v>4000</v>
      </c>
      <c r="P51" s="214">
        <v>0</v>
      </c>
      <c r="Q51" s="224">
        <f t="shared" si="4"/>
        <v>0</v>
      </c>
      <c r="R51" s="214"/>
      <c r="S51" s="225">
        <v>0</v>
      </c>
      <c r="T51" s="225">
        <v>0</v>
      </c>
      <c r="U51" s="214"/>
      <c r="V51" s="225">
        <v>0</v>
      </c>
      <c r="W51" s="225">
        <v>0</v>
      </c>
      <c r="X51" s="214"/>
      <c r="Y51" s="225">
        <v>0</v>
      </c>
      <c r="Z51" s="225">
        <v>0</v>
      </c>
      <c r="AA51" s="214"/>
      <c r="AB51" s="225">
        <v>0</v>
      </c>
      <c r="AC51" s="225">
        <v>0</v>
      </c>
      <c r="AD51" s="214"/>
      <c r="AE51" s="225">
        <v>0</v>
      </c>
      <c r="AF51" s="225">
        <v>0</v>
      </c>
      <c r="AG51" s="214"/>
      <c r="AH51" s="225">
        <v>0</v>
      </c>
      <c r="AI51" s="225">
        <v>0</v>
      </c>
      <c r="AJ51" s="214"/>
      <c r="AK51" s="225">
        <v>0</v>
      </c>
      <c r="AL51" s="225">
        <v>0</v>
      </c>
      <c r="AM51" s="214"/>
      <c r="AN51" s="225">
        <v>0</v>
      </c>
      <c r="AO51" s="225">
        <v>0</v>
      </c>
      <c r="AP51" s="225"/>
      <c r="AQ51" s="214"/>
      <c r="AR51" s="225">
        <v>0</v>
      </c>
      <c r="AS51" s="225">
        <v>0</v>
      </c>
      <c r="AT51" s="214"/>
      <c r="AU51" s="225">
        <v>0</v>
      </c>
      <c r="AV51" s="225">
        <v>0</v>
      </c>
      <c r="AW51" s="214"/>
      <c r="AX51" s="225">
        <v>0</v>
      </c>
      <c r="AY51" s="225">
        <v>0</v>
      </c>
      <c r="AZ51" s="214"/>
      <c r="BA51" s="225">
        <v>0</v>
      </c>
      <c r="BB51" s="225">
        <v>0</v>
      </c>
      <c r="BC51" s="214"/>
      <c r="BD51" s="225">
        <v>0</v>
      </c>
      <c r="BE51" s="225">
        <v>0</v>
      </c>
      <c r="BF51" s="214"/>
      <c r="BG51" s="214"/>
      <c r="BH51" s="225">
        <v>0</v>
      </c>
      <c r="BI51" s="225">
        <v>0</v>
      </c>
      <c r="BJ51" s="214">
        <f t="shared" si="5"/>
        <v>3800</v>
      </c>
      <c r="BK51" s="214"/>
      <c r="BL51" s="225">
        <f t="shared" si="32"/>
        <v>0</v>
      </c>
      <c r="BM51" s="225">
        <f t="shared" si="2"/>
        <v>0</v>
      </c>
      <c r="BN51" s="205">
        <f t="shared" si="26"/>
        <v>0</v>
      </c>
      <c r="BO51" s="205"/>
      <c r="BP51" s="227"/>
      <c r="BQ51" s="224">
        <f t="shared" si="7"/>
        <v>0</v>
      </c>
      <c r="BR51" s="227">
        <v>200</v>
      </c>
      <c r="BS51" s="224">
        <f t="shared" si="33"/>
        <v>0.05</v>
      </c>
      <c r="BT51" s="227">
        <v>400</v>
      </c>
      <c r="BU51" s="224">
        <f t="shared" si="34"/>
        <v>0.1</v>
      </c>
      <c r="BV51" s="227">
        <v>600</v>
      </c>
      <c r="BW51" s="224">
        <f t="shared" si="35"/>
        <v>0.15</v>
      </c>
      <c r="BX51" s="227">
        <v>800</v>
      </c>
      <c r="BY51" s="224">
        <f t="shared" si="36"/>
        <v>0.2</v>
      </c>
      <c r="BZ51" s="227">
        <v>1000</v>
      </c>
      <c r="CA51" s="224">
        <f t="shared" si="37"/>
        <v>0.25</v>
      </c>
      <c r="CB51" s="227">
        <v>1200</v>
      </c>
      <c r="CC51" s="224">
        <f t="shared" si="38"/>
        <v>0.3</v>
      </c>
      <c r="CD51" s="227">
        <v>1400</v>
      </c>
      <c r="CE51" s="224">
        <f t="shared" si="39"/>
        <v>0.35</v>
      </c>
      <c r="CF51" s="227">
        <v>1600</v>
      </c>
      <c r="CG51" s="224">
        <f t="shared" si="40"/>
        <v>0.4</v>
      </c>
      <c r="CH51" s="227">
        <v>2000</v>
      </c>
      <c r="CI51" s="224">
        <f t="shared" si="41"/>
        <v>0.5</v>
      </c>
      <c r="CJ51" s="227">
        <v>2600</v>
      </c>
      <c r="CK51" s="224">
        <f t="shared" si="42"/>
        <v>0.65</v>
      </c>
      <c r="CL51" s="227">
        <v>3200</v>
      </c>
      <c r="CM51" s="224">
        <f t="shared" si="43"/>
        <v>0.8</v>
      </c>
      <c r="CN51" s="227">
        <v>3800</v>
      </c>
      <c r="CO51" s="224">
        <f t="shared" si="44"/>
        <v>0.95</v>
      </c>
      <c r="CP51" s="213" t="str">
        <f t="shared" si="23"/>
        <v>Không đạt</v>
      </c>
      <c r="CQ51" s="213" t="str">
        <f t="shared" si="24"/>
        <v>Không đạt</v>
      </c>
      <c r="CR51" s="192"/>
      <c r="CS51" s="214">
        <f t="shared" si="21"/>
        <v>0</v>
      </c>
      <c r="CT51" s="223"/>
      <c r="CU51" s="163"/>
      <c r="CV51" s="232"/>
      <c r="CW51" s="195"/>
      <c r="CX51" s="196"/>
      <c r="CY51" s="196"/>
      <c r="CZ51" s="197"/>
      <c r="DA51" s="196"/>
      <c r="DB51" s="196"/>
      <c r="DC51" s="196"/>
      <c r="DE51" s="199"/>
      <c r="DF51" s="200"/>
      <c r="DG51" s="181"/>
    </row>
    <row r="52" spans="1:111" s="233" customFormat="1" ht="25.5" outlineLevel="1" x14ac:dyDescent="0.25">
      <c r="A52" s="192">
        <f>MAX(A$17:$B51)+1</f>
        <v>30</v>
      </c>
      <c r="B52" s="222" t="s">
        <v>189</v>
      </c>
      <c r="C52" s="222">
        <v>8100441</v>
      </c>
      <c r="D52" s="214">
        <f>E52+F52</f>
        <v>1400</v>
      </c>
      <c r="E52" s="214"/>
      <c r="F52" s="214">
        <f t="shared" si="31"/>
        <v>1400</v>
      </c>
      <c r="G52" s="214">
        <v>1400</v>
      </c>
      <c r="H52" s="214"/>
      <c r="I52" s="235"/>
      <c r="J52" s="235"/>
      <c r="K52" s="223"/>
      <c r="L52" s="235"/>
      <c r="M52" s="223"/>
      <c r="N52" s="223"/>
      <c r="O52" s="214">
        <f t="shared" si="29"/>
        <v>1400</v>
      </c>
      <c r="P52" s="214">
        <v>108.85899999999999</v>
      </c>
      <c r="Q52" s="224">
        <f t="shared" si="4"/>
        <v>7.7756428571428574E-2</v>
      </c>
      <c r="R52" s="214">
        <v>108.85899999999999</v>
      </c>
      <c r="S52" s="225">
        <v>7.7756428571428574E-2</v>
      </c>
      <c r="T52" s="225">
        <v>8.1848872180451129E-2</v>
      </c>
      <c r="U52" s="214">
        <v>108.85899999999999</v>
      </c>
      <c r="V52" s="225">
        <v>7.7756428571428574E-2</v>
      </c>
      <c r="W52" s="225">
        <v>8.1848872180451129E-2</v>
      </c>
      <c r="X52" s="214">
        <v>108.85899999999999</v>
      </c>
      <c r="Y52" s="225">
        <v>7.7756428571428574E-2</v>
      </c>
      <c r="Z52" s="225">
        <v>8.1848872180451129E-2</v>
      </c>
      <c r="AA52" s="214">
        <v>108.85899999999999</v>
      </c>
      <c r="AB52" s="225">
        <v>7.7756428571428574E-2</v>
      </c>
      <c r="AC52" s="225">
        <v>8.1848872180451129E-2</v>
      </c>
      <c r="AD52" s="214">
        <v>108.85899999999999</v>
      </c>
      <c r="AE52" s="225">
        <v>7.7756428571428574E-2</v>
      </c>
      <c r="AF52" s="225">
        <v>8.1848872180451129E-2</v>
      </c>
      <c r="AG52" s="214">
        <v>108.85899999999999</v>
      </c>
      <c r="AH52" s="225">
        <v>7.7756428571428574E-2</v>
      </c>
      <c r="AI52" s="225">
        <v>8.1848872180451129E-2</v>
      </c>
      <c r="AJ52" s="188">
        <v>108.85899999999999</v>
      </c>
      <c r="AK52" s="225">
        <v>7.7756428571428574E-2</v>
      </c>
      <c r="AL52" s="225">
        <v>8.1848872180451129E-2</v>
      </c>
      <c r="AM52" s="214">
        <v>108.85899999999999</v>
      </c>
      <c r="AN52" s="225">
        <v>7.7756428571428574E-2</v>
      </c>
      <c r="AO52" s="225">
        <v>8.1848872180451129E-2</v>
      </c>
      <c r="AP52" s="225"/>
      <c r="AQ52" s="214">
        <v>108.85899999999999</v>
      </c>
      <c r="AR52" s="225">
        <v>7.7756428571428574E-2</v>
      </c>
      <c r="AS52" s="225">
        <v>8.1848872180451129E-2</v>
      </c>
      <c r="AT52" s="214">
        <v>108.85899999999999</v>
      </c>
      <c r="AU52" s="225">
        <v>7.7756428571428574E-2</v>
      </c>
      <c r="AV52" s="225">
        <v>8.1848872180451129E-2</v>
      </c>
      <c r="AW52" s="214">
        <v>108.85899999999999</v>
      </c>
      <c r="AX52" s="225">
        <v>7.7756428571428574E-2</v>
      </c>
      <c r="AY52" s="225">
        <v>8.1848872180451129E-2</v>
      </c>
      <c r="AZ52" s="214">
        <v>108.85899999999999</v>
      </c>
      <c r="BA52" s="225">
        <v>7.7756428571428574E-2</v>
      </c>
      <c r="BB52" s="225">
        <v>8.1848872180451129E-2</v>
      </c>
      <c r="BC52" s="214">
        <v>108.85899999999999</v>
      </c>
      <c r="BD52" s="225">
        <v>7.7756428571428574E-2</v>
      </c>
      <c r="BE52" s="225">
        <v>8.1848872180451129E-2</v>
      </c>
      <c r="BF52" s="214"/>
      <c r="BG52" s="214">
        <v>108.85899999999999</v>
      </c>
      <c r="BH52" s="225">
        <v>7.7756428571428574E-2</v>
      </c>
      <c r="BI52" s="225">
        <v>8.1848872180451129E-2</v>
      </c>
      <c r="BJ52" s="214">
        <f t="shared" si="5"/>
        <v>1330</v>
      </c>
      <c r="BK52" s="214">
        <v>108.85899999999999</v>
      </c>
      <c r="BL52" s="225">
        <f t="shared" si="32"/>
        <v>7.7756428571428574E-2</v>
      </c>
      <c r="BM52" s="225">
        <f t="shared" si="2"/>
        <v>8.1848872180451129E-2</v>
      </c>
      <c r="BN52" s="205">
        <f t="shared" si="26"/>
        <v>0</v>
      </c>
      <c r="BO52" s="205"/>
      <c r="BP52" s="227"/>
      <c r="BQ52" s="224">
        <f t="shared" si="7"/>
        <v>0</v>
      </c>
      <c r="BR52" s="227"/>
      <c r="BS52" s="224">
        <f t="shared" si="33"/>
        <v>0</v>
      </c>
      <c r="BT52" s="227"/>
      <c r="BU52" s="224">
        <f t="shared" si="34"/>
        <v>0</v>
      </c>
      <c r="BV52" s="227"/>
      <c r="BW52" s="224">
        <f t="shared" si="35"/>
        <v>0</v>
      </c>
      <c r="BX52" s="227"/>
      <c r="BY52" s="224">
        <f t="shared" si="36"/>
        <v>0</v>
      </c>
      <c r="BZ52" s="227">
        <v>700</v>
      </c>
      <c r="CA52" s="224">
        <f t="shared" si="37"/>
        <v>0.5</v>
      </c>
      <c r="CB52" s="227">
        <v>700</v>
      </c>
      <c r="CC52" s="224">
        <f t="shared" si="38"/>
        <v>0.5</v>
      </c>
      <c r="CD52" s="227">
        <v>1200</v>
      </c>
      <c r="CE52" s="224">
        <f t="shared" si="39"/>
        <v>0.8571428571428571</v>
      </c>
      <c r="CF52" s="227">
        <v>1200</v>
      </c>
      <c r="CG52" s="224">
        <f t="shared" si="40"/>
        <v>0.8571428571428571</v>
      </c>
      <c r="CH52" s="227">
        <v>1200</v>
      </c>
      <c r="CI52" s="224">
        <f t="shared" si="41"/>
        <v>0.8571428571428571</v>
      </c>
      <c r="CJ52" s="227">
        <v>1330</v>
      </c>
      <c r="CK52" s="224">
        <f t="shared" si="42"/>
        <v>0.95</v>
      </c>
      <c r="CL52" s="227">
        <v>1330</v>
      </c>
      <c r="CM52" s="224">
        <f t="shared" si="43"/>
        <v>0.95</v>
      </c>
      <c r="CN52" s="227">
        <v>1330</v>
      </c>
      <c r="CO52" s="224">
        <f t="shared" si="44"/>
        <v>0.95</v>
      </c>
      <c r="CP52" s="213" t="str">
        <f t="shared" si="23"/>
        <v>Không đạt</v>
      </c>
      <c r="CQ52" s="213" t="str">
        <f t="shared" si="24"/>
        <v>Không đạt</v>
      </c>
      <c r="CR52" s="192"/>
      <c r="CS52" s="214">
        <f t="shared" si="21"/>
        <v>0</v>
      </c>
      <c r="CT52" s="223"/>
      <c r="CU52" s="163"/>
      <c r="CV52" s="232"/>
      <c r="CW52" s="195"/>
      <c r="CX52" s="196"/>
      <c r="CY52" s="196"/>
      <c r="CZ52" s="197"/>
      <c r="DA52" s="196"/>
      <c r="DB52" s="196"/>
      <c r="DC52" s="196"/>
      <c r="DE52" s="199"/>
      <c r="DF52" s="200"/>
      <c r="DG52" s="181"/>
    </row>
    <row r="53" spans="1:111" s="234" customFormat="1" ht="15" outlineLevel="1" x14ac:dyDescent="0.25">
      <c r="A53" s="213"/>
      <c r="B53" s="240" t="s">
        <v>190</v>
      </c>
      <c r="C53" s="240"/>
      <c r="D53" s="188">
        <f t="shared" si="22"/>
        <v>0</v>
      </c>
      <c r="E53" s="188"/>
      <c r="F53" s="188">
        <f t="shared" si="31"/>
        <v>0</v>
      </c>
      <c r="G53" s="188"/>
      <c r="H53" s="188"/>
      <c r="I53" s="242"/>
      <c r="J53" s="242"/>
      <c r="K53" s="231"/>
      <c r="L53" s="242"/>
      <c r="M53" s="231"/>
      <c r="N53" s="231"/>
      <c r="O53" s="188">
        <f t="shared" si="29"/>
        <v>0</v>
      </c>
      <c r="P53" s="188">
        <v>0</v>
      </c>
      <c r="Q53" s="212"/>
      <c r="R53" s="188"/>
      <c r="S53" s="211"/>
      <c r="T53" s="211"/>
      <c r="U53" s="188"/>
      <c r="V53" s="211"/>
      <c r="W53" s="211" t="e">
        <v>#DIV/0!</v>
      </c>
      <c r="X53" s="188"/>
      <c r="Y53" s="211"/>
      <c r="Z53" s="211" t="e">
        <v>#DIV/0!</v>
      </c>
      <c r="AA53" s="188"/>
      <c r="AB53" s="211"/>
      <c r="AC53" s="211" t="e">
        <v>#DIV/0!</v>
      </c>
      <c r="AD53" s="188"/>
      <c r="AE53" s="211"/>
      <c r="AF53" s="211" t="e">
        <v>#DIV/0!</v>
      </c>
      <c r="AG53" s="188"/>
      <c r="AH53" s="211"/>
      <c r="AI53" s="211" t="e">
        <v>#DIV/0!</v>
      </c>
      <c r="AJ53" s="214"/>
      <c r="AK53" s="211"/>
      <c r="AL53" s="211" t="e">
        <v>#DIV/0!</v>
      </c>
      <c r="AM53" s="188"/>
      <c r="AN53" s="211"/>
      <c r="AO53" s="211"/>
      <c r="AP53" s="211"/>
      <c r="AQ53" s="188"/>
      <c r="AR53" s="211"/>
      <c r="AS53" s="211"/>
      <c r="AT53" s="188"/>
      <c r="AU53" s="211"/>
      <c r="AV53" s="211"/>
      <c r="AW53" s="188"/>
      <c r="AX53" s="211"/>
      <c r="AY53" s="211"/>
      <c r="AZ53" s="188"/>
      <c r="BA53" s="211"/>
      <c r="BB53" s="211"/>
      <c r="BC53" s="188"/>
      <c r="BD53" s="211"/>
      <c r="BE53" s="211"/>
      <c r="BF53" s="188"/>
      <c r="BG53" s="188"/>
      <c r="BH53" s="211"/>
      <c r="BI53" s="211"/>
      <c r="BJ53" s="188">
        <f t="shared" si="5"/>
        <v>0</v>
      </c>
      <c r="BK53" s="188"/>
      <c r="BL53" s="211"/>
      <c r="BM53" s="211"/>
      <c r="BN53" s="205">
        <f t="shared" si="26"/>
        <v>0</v>
      </c>
      <c r="BO53" s="205"/>
      <c r="BP53" s="230"/>
      <c r="BQ53" s="212"/>
      <c r="BR53" s="230"/>
      <c r="BS53" s="212"/>
      <c r="BT53" s="230"/>
      <c r="BU53" s="212"/>
      <c r="BV53" s="230"/>
      <c r="BW53" s="212"/>
      <c r="BX53" s="230"/>
      <c r="BY53" s="212"/>
      <c r="BZ53" s="230"/>
      <c r="CA53" s="212"/>
      <c r="CB53" s="230"/>
      <c r="CC53" s="212"/>
      <c r="CD53" s="230"/>
      <c r="CE53" s="212"/>
      <c r="CF53" s="230"/>
      <c r="CG53" s="212"/>
      <c r="CH53" s="230"/>
      <c r="CI53" s="212"/>
      <c r="CJ53" s="230"/>
      <c r="CK53" s="212"/>
      <c r="CL53" s="230"/>
      <c r="CM53" s="212"/>
      <c r="CN53" s="230"/>
      <c r="CO53" s="212"/>
      <c r="CP53" s="213" t="str">
        <f t="shared" si="23"/>
        <v>Không đạt</v>
      </c>
      <c r="CQ53" s="213" t="str">
        <f t="shared" si="24"/>
        <v>Không đạt</v>
      </c>
      <c r="CR53" s="213"/>
      <c r="CS53" s="188">
        <f t="shared" si="21"/>
        <v>0</v>
      </c>
      <c r="CT53" s="231"/>
      <c r="CU53" s="163"/>
      <c r="CV53" s="243"/>
      <c r="CW53" s="195"/>
      <c r="CX53" s="196"/>
      <c r="CY53" s="196"/>
      <c r="CZ53" s="197"/>
      <c r="DA53" s="196"/>
      <c r="DB53" s="196"/>
      <c r="DC53" s="196"/>
      <c r="DD53" s="233"/>
      <c r="DE53" s="199"/>
      <c r="DF53" s="200"/>
      <c r="DG53" s="181"/>
    </row>
    <row r="54" spans="1:111" s="233" customFormat="1" ht="25.5" outlineLevel="1" x14ac:dyDescent="0.25">
      <c r="A54" s="192">
        <f>MAX(A$17:$B53)+1</f>
        <v>31</v>
      </c>
      <c r="B54" s="222" t="s">
        <v>191</v>
      </c>
      <c r="C54" s="222"/>
      <c r="D54" s="214">
        <f t="shared" si="22"/>
        <v>18000</v>
      </c>
      <c r="E54" s="214"/>
      <c r="F54" s="214">
        <f t="shared" si="31"/>
        <v>18000</v>
      </c>
      <c r="G54" s="214"/>
      <c r="H54" s="214">
        <v>18000</v>
      </c>
      <c r="I54" s="235"/>
      <c r="J54" s="235"/>
      <c r="K54" s="223"/>
      <c r="L54" s="235"/>
      <c r="M54" s="223"/>
      <c r="N54" s="223"/>
      <c r="O54" s="214">
        <f t="shared" si="29"/>
        <v>0</v>
      </c>
      <c r="P54" s="214">
        <v>0</v>
      </c>
      <c r="Q54" s="224">
        <f t="shared" si="4"/>
        <v>0</v>
      </c>
      <c r="R54" s="214"/>
      <c r="S54" s="225">
        <v>0</v>
      </c>
      <c r="T54" s="225">
        <v>0</v>
      </c>
      <c r="U54" s="214"/>
      <c r="V54" s="225">
        <v>0</v>
      </c>
      <c r="W54" s="225">
        <v>0</v>
      </c>
      <c r="X54" s="214"/>
      <c r="Y54" s="225">
        <v>0</v>
      </c>
      <c r="Z54" s="225">
        <v>0</v>
      </c>
      <c r="AA54" s="214"/>
      <c r="AB54" s="225">
        <v>0</v>
      </c>
      <c r="AC54" s="225">
        <v>0</v>
      </c>
      <c r="AD54" s="214"/>
      <c r="AE54" s="225">
        <v>0</v>
      </c>
      <c r="AF54" s="225">
        <v>0</v>
      </c>
      <c r="AG54" s="214"/>
      <c r="AH54" s="225">
        <v>0</v>
      </c>
      <c r="AI54" s="225">
        <v>0</v>
      </c>
      <c r="AJ54" s="214"/>
      <c r="AK54" s="225">
        <v>0</v>
      </c>
      <c r="AL54" s="225">
        <v>0</v>
      </c>
      <c r="AM54" s="214"/>
      <c r="AN54" s="225">
        <v>0</v>
      </c>
      <c r="AO54" s="225">
        <v>0</v>
      </c>
      <c r="AP54" s="225"/>
      <c r="AQ54" s="214"/>
      <c r="AR54" s="225">
        <v>0</v>
      </c>
      <c r="AS54" s="225">
        <v>0</v>
      </c>
      <c r="AT54" s="214"/>
      <c r="AU54" s="225">
        <v>0</v>
      </c>
      <c r="AV54" s="225">
        <v>0</v>
      </c>
      <c r="AW54" s="214"/>
      <c r="AX54" s="225">
        <v>0</v>
      </c>
      <c r="AY54" s="225">
        <v>0</v>
      </c>
      <c r="AZ54" s="214"/>
      <c r="BA54" s="225">
        <v>0</v>
      </c>
      <c r="BB54" s="225">
        <v>0</v>
      </c>
      <c r="BC54" s="214"/>
      <c r="BD54" s="225">
        <v>0</v>
      </c>
      <c r="BE54" s="225">
        <v>0</v>
      </c>
      <c r="BF54" s="214"/>
      <c r="BG54" s="214"/>
      <c r="BH54" s="225">
        <v>0</v>
      </c>
      <c r="BI54" s="225">
        <v>0</v>
      </c>
      <c r="BJ54" s="214">
        <f t="shared" si="5"/>
        <v>17100</v>
      </c>
      <c r="BK54" s="214"/>
      <c r="BL54" s="225">
        <f t="shared" ref="BL54:BL59" si="45">BK54/$D54</f>
        <v>0</v>
      </c>
      <c r="BM54" s="225">
        <f t="shared" si="2"/>
        <v>0</v>
      </c>
      <c r="BN54" s="205">
        <f t="shared" si="26"/>
        <v>0</v>
      </c>
      <c r="BO54" s="205"/>
      <c r="BP54" s="227"/>
      <c r="BQ54" s="224">
        <f t="shared" si="7"/>
        <v>0</v>
      </c>
      <c r="BR54" s="227"/>
      <c r="BS54" s="224">
        <f t="shared" ref="BS54:BS59" si="46">BR54/$D54</f>
        <v>0</v>
      </c>
      <c r="BT54" s="227"/>
      <c r="BU54" s="224">
        <f t="shared" ref="BU54:BU59" si="47">BT54/$D54</f>
        <v>0</v>
      </c>
      <c r="BV54" s="227">
        <v>9000</v>
      </c>
      <c r="BW54" s="224">
        <f t="shared" ref="BW54:BW59" si="48">BV54/$D54</f>
        <v>0.5</v>
      </c>
      <c r="BX54" s="227">
        <v>10000</v>
      </c>
      <c r="BY54" s="224">
        <f t="shared" ref="BY54:BY59" si="49">BX54/$D54</f>
        <v>0.55555555555555558</v>
      </c>
      <c r="BZ54" s="227">
        <v>12000</v>
      </c>
      <c r="CA54" s="224">
        <f t="shared" ref="CA54:CA59" si="50">BZ54/$D54</f>
        <v>0.66666666666666663</v>
      </c>
      <c r="CB54" s="227">
        <v>14000</v>
      </c>
      <c r="CC54" s="224">
        <f t="shared" ref="CC54:CC59" si="51">CB54/$D54</f>
        <v>0.77777777777777779</v>
      </c>
      <c r="CD54" s="227">
        <v>16000</v>
      </c>
      <c r="CE54" s="224">
        <f t="shared" ref="CE54:CE59" si="52">CD54/$D54</f>
        <v>0.88888888888888884</v>
      </c>
      <c r="CF54" s="227">
        <f>18000*0.95</f>
        <v>17100</v>
      </c>
      <c r="CG54" s="224">
        <f t="shared" ref="CG54:CG59" si="53">CF54/$D54</f>
        <v>0.95</v>
      </c>
      <c r="CH54" s="227">
        <f>18000*0.95</f>
        <v>17100</v>
      </c>
      <c r="CI54" s="224">
        <f t="shared" ref="CI54:CI59" si="54">CH54/$D54</f>
        <v>0.95</v>
      </c>
      <c r="CJ54" s="227">
        <f>18000*0.95</f>
        <v>17100</v>
      </c>
      <c r="CK54" s="224">
        <f t="shared" ref="CK54:CK59" si="55">CJ54/$D54</f>
        <v>0.95</v>
      </c>
      <c r="CL54" s="227">
        <f>18000*0.95</f>
        <v>17100</v>
      </c>
      <c r="CM54" s="224">
        <f t="shared" ref="CM54:CM59" si="56">CL54/$D54</f>
        <v>0.95</v>
      </c>
      <c r="CN54" s="227">
        <f>18000*0.95</f>
        <v>17100</v>
      </c>
      <c r="CO54" s="224">
        <f t="shared" ref="CO54:CO59" si="57">CN54/$D54</f>
        <v>0.95</v>
      </c>
      <c r="CP54" s="213" t="str">
        <f t="shared" si="23"/>
        <v>Không đạt</v>
      </c>
      <c r="CQ54" s="213" t="str">
        <f t="shared" si="24"/>
        <v>Không đạt</v>
      </c>
      <c r="CR54" s="192"/>
      <c r="CS54" s="214">
        <f t="shared" si="21"/>
        <v>0</v>
      </c>
      <c r="CT54" s="223"/>
      <c r="CU54" s="163"/>
      <c r="CV54" s="232"/>
      <c r="CW54" s="195"/>
      <c r="CX54" s="196"/>
      <c r="CY54" s="196"/>
      <c r="CZ54" s="197"/>
      <c r="DA54" s="196"/>
      <c r="DB54" s="196"/>
      <c r="DC54" s="196"/>
      <c r="DE54" s="199"/>
      <c r="DF54" s="200"/>
      <c r="DG54" s="181"/>
    </row>
    <row r="55" spans="1:111" s="233" customFormat="1" ht="38.25" outlineLevel="1" x14ac:dyDescent="0.25">
      <c r="A55" s="192">
        <f>MAX(A$17:$B54)+1</f>
        <v>32</v>
      </c>
      <c r="B55" s="222" t="s">
        <v>192</v>
      </c>
      <c r="C55" s="222"/>
      <c r="D55" s="214">
        <f t="shared" si="22"/>
        <v>15789</v>
      </c>
      <c r="E55" s="214"/>
      <c r="F55" s="214">
        <f t="shared" si="31"/>
        <v>15789</v>
      </c>
      <c r="G55" s="214">
        <v>15789</v>
      </c>
      <c r="H55" s="214">
        <f>15000-15000</f>
        <v>0</v>
      </c>
      <c r="I55" s="235"/>
      <c r="J55" s="235"/>
      <c r="K55" s="223"/>
      <c r="L55" s="235"/>
      <c r="M55" s="223"/>
      <c r="N55" s="223"/>
      <c r="O55" s="214">
        <f t="shared" si="29"/>
        <v>15789</v>
      </c>
      <c r="P55" s="214">
        <v>0</v>
      </c>
      <c r="Q55" s="224">
        <f t="shared" si="4"/>
        <v>0</v>
      </c>
      <c r="R55" s="214"/>
      <c r="S55" s="225">
        <v>0</v>
      </c>
      <c r="T55" s="225">
        <v>0</v>
      </c>
      <c r="U55" s="214"/>
      <c r="V55" s="225">
        <v>0</v>
      </c>
      <c r="W55" s="225">
        <v>0</v>
      </c>
      <c r="X55" s="214"/>
      <c r="Y55" s="225">
        <v>0</v>
      </c>
      <c r="Z55" s="225">
        <v>0</v>
      </c>
      <c r="AA55" s="214"/>
      <c r="AB55" s="225">
        <v>0</v>
      </c>
      <c r="AC55" s="225">
        <v>0</v>
      </c>
      <c r="AD55" s="214"/>
      <c r="AE55" s="225">
        <v>0</v>
      </c>
      <c r="AF55" s="225">
        <v>0</v>
      </c>
      <c r="AG55" s="214"/>
      <c r="AH55" s="225">
        <v>0</v>
      </c>
      <c r="AI55" s="225">
        <v>0</v>
      </c>
      <c r="AJ55" s="214"/>
      <c r="AK55" s="225">
        <v>0</v>
      </c>
      <c r="AL55" s="225">
        <v>0</v>
      </c>
      <c r="AM55" s="214"/>
      <c r="AN55" s="225">
        <v>0</v>
      </c>
      <c r="AO55" s="225">
        <v>0</v>
      </c>
      <c r="AP55" s="225"/>
      <c r="AQ55" s="214"/>
      <c r="AR55" s="225">
        <v>0</v>
      </c>
      <c r="AS55" s="225">
        <v>0</v>
      </c>
      <c r="AT55" s="214"/>
      <c r="AU55" s="225">
        <v>0</v>
      </c>
      <c r="AV55" s="225">
        <v>0</v>
      </c>
      <c r="AW55" s="214"/>
      <c r="AX55" s="225">
        <v>0</v>
      </c>
      <c r="AY55" s="225">
        <v>0</v>
      </c>
      <c r="AZ55" s="214"/>
      <c r="BA55" s="225">
        <v>0</v>
      </c>
      <c r="BB55" s="225">
        <v>0</v>
      </c>
      <c r="BC55" s="214"/>
      <c r="BD55" s="225">
        <v>0</v>
      </c>
      <c r="BE55" s="225">
        <v>0</v>
      </c>
      <c r="BF55" s="214"/>
      <c r="BG55" s="214"/>
      <c r="BH55" s="225">
        <v>0</v>
      </c>
      <c r="BI55" s="225">
        <v>0</v>
      </c>
      <c r="BJ55" s="214">
        <f t="shared" si="5"/>
        <v>14999.55</v>
      </c>
      <c r="BK55" s="214"/>
      <c r="BL55" s="225">
        <f t="shared" si="45"/>
        <v>0</v>
      </c>
      <c r="BM55" s="225">
        <f t="shared" si="2"/>
        <v>0</v>
      </c>
      <c r="BN55" s="205">
        <f t="shared" si="26"/>
        <v>0</v>
      </c>
      <c r="BO55" s="205"/>
      <c r="BP55" s="227"/>
      <c r="BQ55" s="224">
        <f t="shared" si="7"/>
        <v>0</v>
      </c>
      <c r="BR55" s="227"/>
      <c r="BS55" s="224">
        <f t="shared" si="46"/>
        <v>0</v>
      </c>
      <c r="BT55" s="227">
        <v>9000</v>
      </c>
      <c r="BU55" s="224">
        <f t="shared" si="47"/>
        <v>0.57001710051301535</v>
      </c>
      <c r="BV55" s="227">
        <f>15000*0.95</f>
        <v>14250</v>
      </c>
      <c r="BW55" s="224">
        <f t="shared" si="48"/>
        <v>0.90252707581227432</v>
      </c>
      <c r="BX55" s="227">
        <f>15000*0.95</f>
        <v>14250</v>
      </c>
      <c r="BY55" s="224">
        <f t="shared" si="49"/>
        <v>0.90252707581227432</v>
      </c>
      <c r="BZ55" s="227">
        <f>15000*0.95</f>
        <v>14250</v>
      </c>
      <c r="CA55" s="224">
        <f t="shared" si="50"/>
        <v>0.90252707581227432</v>
      </c>
      <c r="CB55" s="227">
        <f>15000*0.95</f>
        <v>14250</v>
      </c>
      <c r="CC55" s="224">
        <f t="shared" si="51"/>
        <v>0.90252707581227432</v>
      </c>
      <c r="CD55" s="227">
        <f>15000*0.95</f>
        <v>14250</v>
      </c>
      <c r="CE55" s="224">
        <f t="shared" si="52"/>
        <v>0.90252707581227432</v>
      </c>
      <c r="CF55" s="227">
        <f>15000*0.95</f>
        <v>14250</v>
      </c>
      <c r="CG55" s="224">
        <f t="shared" si="53"/>
        <v>0.90252707581227432</v>
      </c>
      <c r="CH55" s="227">
        <f>15000*0.95</f>
        <v>14250</v>
      </c>
      <c r="CI55" s="224">
        <f t="shared" si="54"/>
        <v>0.90252707581227432</v>
      </c>
      <c r="CJ55" s="227">
        <f>15000*0.95</f>
        <v>14250</v>
      </c>
      <c r="CK55" s="224">
        <f t="shared" si="55"/>
        <v>0.90252707581227432</v>
      </c>
      <c r="CL55" s="227">
        <f>15000*0.95</f>
        <v>14250</v>
      </c>
      <c r="CM55" s="224">
        <f t="shared" si="56"/>
        <v>0.90252707581227432</v>
      </c>
      <c r="CN55" s="227">
        <f>15000*0.95</f>
        <v>14250</v>
      </c>
      <c r="CO55" s="224">
        <f t="shared" si="57"/>
        <v>0.90252707581227432</v>
      </c>
      <c r="CP55" s="213" t="str">
        <f t="shared" si="23"/>
        <v>Không đạt</v>
      </c>
      <c r="CQ55" s="213" t="str">
        <f t="shared" si="24"/>
        <v>Không đạt</v>
      </c>
      <c r="CR55" s="192"/>
      <c r="CS55" s="214">
        <f t="shared" si="21"/>
        <v>0</v>
      </c>
      <c r="CT55" s="223"/>
      <c r="CU55" s="163"/>
      <c r="CV55" s="232"/>
      <c r="CW55" s="195"/>
      <c r="CX55" s="196"/>
      <c r="CY55" s="196"/>
      <c r="CZ55" s="197"/>
      <c r="DA55" s="196"/>
      <c r="DB55" s="196"/>
      <c r="DC55" s="196"/>
      <c r="DE55" s="199"/>
      <c r="DF55" s="200"/>
      <c r="DG55" s="181"/>
    </row>
    <row r="56" spans="1:111" s="233" customFormat="1" ht="15" outlineLevel="1" x14ac:dyDescent="0.25">
      <c r="A56" s="192">
        <f>MAX(A$17:$B55)+1</f>
        <v>33</v>
      </c>
      <c r="B56" s="222" t="s">
        <v>193</v>
      </c>
      <c r="C56" s="222"/>
      <c r="D56" s="214">
        <f>E56+F56</f>
        <v>15000</v>
      </c>
      <c r="E56" s="214"/>
      <c r="F56" s="214">
        <f t="shared" si="31"/>
        <v>15000</v>
      </c>
      <c r="G56" s="214"/>
      <c r="H56" s="214">
        <v>15000</v>
      </c>
      <c r="I56" s="235"/>
      <c r="J56" s="235"/>
      <c r="K56" s="223"/>
      <c r="L56" s="235"/>
      <c r="M56" s="223"/>
      <c r="N56" s="223"/>
      <c r="O56" s="214">
        <f t="shared" si="29"/>
        <v>0</v>
      </c>
      <c r="P56" s="214">
        <v>0</v>
      </c>
      <c r="Q56" s="224">
        <f t="shared" si="4"/>
        <v>0</v>
      </c>
      <c r="R56" s="214"/>
      <c r="S56" s="225">
        <v>0</v>
      </c>
      <c r="T56" s="225">
        <v>0</v>
      </c>
      <c r="U56" s="214"/>
      <c r="V56" s="225">
        <v>0</v>
      </c>
      <c r="W56" s="225">
        <v>0</v>
      </c>
      <c r="X56" s="214"/>
      <c r="Y56" s="225">
        <v>0</v>
      </c>
      <c r="Z56" s="225">
        <v>0</v>
      </c>
      <c r="AA56" s="214"/>
      <c r="AB56" s="225">
        <v>0</v>
      </c>
      <c r="AC56" s="225">
        <v>0</v>
      </c>
      <c r="AD56" s="214"/>
      <c r="AE56" s="225">
        <v>0</v>
      </c>
      <c r="AF56" s="225">
        <v>0</v>
      </c>
      <c r="AG56" s="214"/>
      <c r="AH56" s="225">
        <v>0</v>
      </c>
      <c r="AI56" s="225">
        <v>0</v>
      </c>
      <c r="AJ56" s="214"/>
      <c r="AK56" s="225">
        <v>0</v>
      </c>
      <c r="AL56" s="225">
        <v>0</v>
      </c>
      <c r="AM56" s="214"/>
      <c r="AN56" s="225">
        <v>0</v>
      </c>
      <c r="AO56" s="225">
        <v>0</v>
      </c>
      <c r="AP56" s="225"/>
      <c r="AQ56" s="214"/>
      <c r="AR56" s="225">
        <v>0</v>
      </c>
      <c r="AS56" s="225">
        <v>0</v>
      </c>
      <c r="AT56" s="214"/>
      <c r="AU56" s="225">
        <v>0</v>
      </c>
      <c r="AV56" s="225">
        <v>0</v>
      </c>
      <c r="AW56" s="214"/>
      <c r="AX56" s="225">
        <v>0</v>
      </c>
      <c r="AY56" s="225">
        <v>0</v>
      </c>
      <c r="AZ56" s="214"/>
      <c r="BA56" s="225">
        <v>0</v>
      </c>
      <c r="BB56" s="225">
        <v>0</v>
      </c>
      <c r="BC56" s="214"/>
      <c r="BD56" s="225">
        <v>0</v>
      </c>
      <c r="BE56" s="225">
        <v>0</v>
      </c>
      <c r="BF56" s="214"/>
      <c r="BG56" s="214"/>
      <c r="BH56" s="225">
        <v>0</v>
      </c>
      <c r="BI56" s="225">
        <v>0</v>
      </c>
      <c r="BJ56" s="214">
        <f t="shared" si="5"/>
        <v>14250</v>
      </c>
      <c r="BK56" s="214"/>
      <c r="BL56" s="225">
        <f t="shared" si="45"/>
        <v>0</v>
      </c>
      <c r="BM56" s="225">
        <f t="shared" si="2"/>
        <v>0</v>
      </c>
      <c r="BN56" s="205">
        <f t="shared" si="26"/>
        <v>0</v>
      </c>
      <c r="BO56" s="205"/>
      <c r="BP56" s="227"/>
      <c r="BQ56" s="224">
        <f t="shared" si="7"/>
        <v>0</v>
      </c>
      <c r="BR56" s="227">
        <v>1670</v>
      </c>
      <c r="BS56" s="224">
        <f t="shared" si="46"/>
        <v>0.11133333333333334</v>
      </c>
      <c r="BT56" s="227">
        <v>3412</v>
      </c>
      <c r="BU56" s="224">
        <f t="shared" si="47"/>
        <v>0.22746666666666668</v>
      </c>
      <c r="BV56" s="227">
        <v>5412</v>
      </c>
      <c r="BW56" s="224">
        <f t="shared" si="48"/>
        <v>0.36080000000000001</v>
      </c>
      <c r="BX56" s="227">
        <v>7038</v>
      </c>
      <c r="BY56" s="224">
        <f t="shared" si="49"/>
        <v>0.46920000000000001</v>
      </c>
      <c r="BZ56" s="227">
        <v>8441</v>
      </c>
      <c r="CA56" s="224">
        <f t="shared" si="50"/>
        <v>0.56273333333333331</v>
      </c>
      <c r="CB56" s="227">
        <v>9985</v>
      </c>
      <c r="CC56" s="224">
        <f t="shared" si="51"/>
        <v>0.66566666666666663</v>
      </c>
      <c r="CD56" s="227">
        <v>10557</v>
      </c>
      <c r="CE56" s="224">
        <f t="shared" si="52"/>
        <v>0.70379999999999998</v>
      </c>
      <c r="CF56" s="227">
        <v>10557</v>
      </c>
      <c r="CG56" s="224">
        <f t="shared" si="53"/>
        <v>0.70379999999999998</v>
      </c>
      <c r="CH56" s="227">
        <v>11000</v>
      </c>
      <c r="CI56" s="224">
        <f t="shared" si="54"/>
        <v>0.73333333333333328</v>
      </c>
      <c r="CJ56" s="227">
        <v>11000</v>
      </c>
      <c r="CK56" s="224">
        <f t="shared" si="55"/>
        <v>0.73333333333333328</v>
      </c>
      <c r="CL56" s="227">
        <v>11000</v>
      </c>
      <c r="CM56" s="224">
        <f t="shared" si="56"/>
        <v>0.73333333333333328</v>
      </c>
      <c r="CN56" s="227">
        <v>11000</v>
      </c>
      <c r="CO56" s="224">
        <f t="shared" si="57"/>
        <v>0.73333333333333328</v>
      </c>
      <c r="CP56" s="213" t="str">
        <f t="shared" si="23"/>
        <v>Không đạt</v>
      </c>
      <c r="CQ56" s="213" t="str">
        <f t="shared" si="24"/>
        <v>Không đạt</v>
      </c>
      <c r="CR56" s="192"/>
      <c r="CS56" s="214">
        <f t="shared" si="21"/>
        <v>0</v>
      </c>
      <c r="CT56" s="223"/>
      <c r="CU56" s="163"/>
      <c r="CV56" s="232"/>
      <c r="CW56" s="195"/>
      <c r="CX56" s="196"/>
      <c r="CY56" s="196"/>
      <c r="CZ56" s="197"/>
      <c r="DA56" s="196"/>
      <c r="DB56" s="196"/>
      <c r="DC56" s="196"/>
      <c r="DE56" s="199"/>
      <c r="DF56" s="200"/>
      <c r="DG56" s="181"/>
    </row>
    <row r="57" spans="1:111" s="233" customFormat="1" ht="25.5" outlineLevel="1" x14ac:dyDescent="0.25">
      <c r="A57" s="192">
        <f>MAX(A$17:$B56)+1</f>
        <v>34</v>
      </c>
      <c r="B57" s="222" t="s">
        <v>194</v>
      </c>
      <c r="C57" s="222">
        <v>8123179</v>
      </c>
      <c r="D57" s="214">
        <f>E57+F57</f>
        <v>10526</v>
      </c>
      <c r="E57" s="214"/>
      <c r="F57" s="214">
        <f t="shared" si="31"/>
        <v>10526</v>
      </c>
      <c r="G57" s="214">
        <v>10526</v>
      </c>
      <c r="H57" s="214">
        <f>10000-10000</f>
        <v>0</v>
      </c>
      <c r="I57" s="235">
        <v>500</v>
      </c>
      <c r="J57" s="214">
        <v>150</v>
      </c>
      <c r="K57" s="223"/>
      <c r="L57" s="235"/>
      <c r="M57" s="223"/>
      <c r="N57" s="223"/>
      <c r="O57" s="214">
        <f t="shared" si="29"/>
        <v>11026</v>
      </c>
      <c r="P57" s="214">
        <v>150</v>
      </c>
      <c r="Q57" s="224">
        <f t="shared" si="4"/>
        <v>1.4250427512825384E-2</v>
      </c>
      <c r="R57" s="214">
        <v>150</v>
      </c>
      <c r="S57" s="225">
        <v>1.4999999999999999E-2</v>
      </c>
      <c r="T57" s="225">
        <v>1.5789473684210527E-2</v>
      </c>
      <c r="U57" s="214">
        <v>150</v>
      </c>
      <c r="V57" s="225">
        <v>1.4999999999999999E-2</v>
      </c>
      <c r="W57" s="225">
        <v>1.5789473684210527E-2</v>
      </c>
      <c r="X57" s="214">
        <v>150</v>
      </c>
      <c r="Y57" s="225">
        <v>1.4999999999999999E-2</v>
      </c>
      <c r="Z57" s="225">
        <v>1.5789473684210527E-2</v>
      </c>
      <c r="AA57" s="214">
        <v>150</v>
      </c>
      <c r="AB57" s="225">
        <v>1.4999999999999999E-2</v>
      </c>
      <c r="AC57" s="225">
        <v>1.5789473684210527E-2</v>
      </c>
      <c r="AD57" s="214">
        <v>150</v>
      </c>
      <c r="AE57" s="225">
        <v>1.4999999999999999E-2</v>
      </c>
      <c r="AF57" s="225">
        <v>1.5789473684210527E-2</v>
      </c>
      <c r="AG57" s="214">
        <v>150</v>
      </c>
      <c r="AH57" s="225">
        <v>1.4999999999999999E-2</v>
      </c>
      <c r="AI57" s="225">
        <v>1.5789473684210527E-2</v>
      </c>
      <c r="AJ57" s="214">
        <v>150</v>
      </c>
      <c r="AK57" s="225">
        <v>1.4999999999999999E-2</v>
      </c>
      <c r="AL57" s="225">
        <v>1.5789473684210527E-2</v>
      </c>
      <c r="AM57" s="214">
        <v>150</v>
      </c>
      <c r="AN57" s="225">
        <v>1.4999999999999999E-2</v>
      </c>
      <c r="AO57" s="225">
        <v>1.5789473684210527E-2</v>
      </c>
      <c r="AP57" s="225"/>
      <c r="AQ57" s="214">
        <v>150</v>
      </c>
      <c r="AR57" s="225">
        <v>1.4999999999999999E-2</v>
      </c>
      <c r="AS57" s="225">
        <v>1.5789473684210527E-2</v>
      </c>
      <c r="AT57" s="214">
        <v>150</v>
      </c>
      <c r="AU57" s="225">
        <v>1.4999999999999999E-2</v>
      </c>
      <c r="AV57" s="225">
        <v>1.5789473684210527E-2</v>
      </c>
      <c r="AW57" s="214">
        <v>150</v>
      </c>
      <c r="AX57" s="225">
        <v>1.4999999999999999E-2</v>
      </c>
      <c r="AY57" s="225">
        <v>1.5789473684210527E-2</v>
      </c>
      <c r="AZ57" s="214">
        <v>150</v>
      </c>
      <c r="BA57" s="225">
        <v>1.4999999999999999E-2</v>
      </c>
      <c r="BB57" s="225">
        <v>1.5789473684210527E-2</v>
      </c>
      <c r="BC57" s="214">
        <v>150</v>
      </c>
      <c r="BD57" s="225">
        <v>1.4999999999999999E-2</v>
      </c>
      <c r="BE57" s="225">
        <v>1.5789473684210527E-2</v>
      </c>
      <c r="BF57" s="214"/>
      <c r="BG57" s="214">
        <v>150</v>
      </c>
      <c r="BH57" s="225">
        <v>1.4250427512825384E-2</v>
      </c>
      <c r="BI57" s="225">
        <v>1.5000450013500406E-2</v>
      </c>
      <c r="BJ57" s="214">
        <f t="shared" si="5"/>
        <v>9999.6999999999989</v>
      </c>
      <c r="BK57" s="214">
        <v>150</v>
      </c>
      <c r="BL57" s="225">
        <f t="shared" si="45"/>
        <v>1.4250427512825384E-2</v>
      </c>
      <c r="BM57" s="225">
        <f t="shared" si="2"/>
        <v>1.5000450013500406E-2</v>
      </c>
      <c r="BN57" s="205">
        <f t="shared" si="26"/>
        <v>0</v>
      </c>
      <c r="BO57" s="205"/>
      <c r="BP57" s="227"/>
      <c r="BQ57" s="224">
        <f t="shared" si="7"/>
        <v>0</v>
      </c>
      <c r="BR57" s="227"/>
      <c r="BS57" s="224">
        <f t="shared" si="46"/>
        <v>0</v>
      </c>
      <c r="BT57" s="227">
        <v>7500</v>
      </c>
      <c r="BU57" s="224">
        <f t="shared" si="47"/>
        <v>0.71252137564126927</v>
      </c>
      <c r="BV57" s="227">
        <v>9500</v>
      </c>
      <c r="BW57" s="224">
        <f t="shared" si="48"/>
        <v>0.90252707581227432</v>
      </c>
      <c r="BX57" s="227">
        <v>9500</v>
      </c>
      <c r="BY57" s="224">
        <f t="shared" si="49"/>
        <v>0.90252707581227432</v>
      </c>
      <c r="BZ57" s="227">
        <v>9500</v>
      </c>
      <c r="CA57" s="224">
        <f t="shared" si="50"/>
        <v>0.90252707581227432</v>
      </c>
      <c r="CB57" s="227">
        <v>9500</v>
      </c>
      <c r="CC57" s="224">
        <f t="shared" si="51"/>
        <v>0.90252707581227432</v>
      </c>
      <c r="CD57" s="227">
        <v>9500</v>
      </c>
      <c r="CE57" s="224">
        <f t="shared" si="52"/>
        <v>0.90252707581227432</v>
      </c>
      <c r="CF57" s="227">
        <v>9500</v>
      </c>
      <c r="CG57" s="224">
        <f t="shared" si="53"/>
        <v>0.90252707581227432</v>
      </c>
      <c r="CH57" s="227">
        <v>9500</v>
      </c>
      <c r="CI57" s="224">
        <f t="shared" si="54"/>
        <v>0.90252707581227432</v>
      </c>
      <c r="CJ57" s="227">
        <v>9500</v>
      </c>
      <c r="CK57" s="224">
        <f t="shared" si="55"/>
        <v>0.90252707581227432</v>
      </c>
      <c r="CL57" s="227">
        <v>9500</v>
      </c>
      <c r="CM57" s="224">
        <f t="shared" si="56"/>
        <v>0.90252707581227432</v>
      </c>
      <c r="CN57" s="227">
        <v>9500</v>
      </c>
      <c r="CO57" s="224">
        <f t="shared" si="57"/>
        <v>0.90252707581227432</v>
      </c>
      <c r="CP57" s="213" t="str">
        <f t="shared" si="23"/>
        <v>Không đạt</v>
      </c>
      <c r="CQ57" s="213" t="str">
        <f t="shared" si="24"/>
        <v>Không đạt</v>
      </c>
      <c r="CR57" s="192"/>
      <c r="CS57" s="214">
        <f t="shared" si="21"/>
        <v>0</v>
      </c>
      <c r="CT57" s="223"/>
      <c r="CU57" s="163"/>
      <c r="CV57" s="232"/>
      <c r="CW57" s="195"/>
      <c r="CX57" s="196"/>
      <c r="CY57" s="196"/>
      <c r="CZ57" s="197"/>
      <c r="DA57" s="196"/>
      <c r="DB57" s="196"/>
      <c r="DC57" s="196"/>
      <c r="DE57" s="199"/>
      <c r="DF57" s="200"/>
      <c r="DG57" s="181"/>
    </row>
    <row r="58" spans="1:111" s="233" customFormat="1" ht="25.5" outlineLevel="1" x14ac:dyDescent="0.25">
      <c r="A58" s="192">
        <f>MAX(A$17:$B57)+1</f>
        <v>35</v>
      </c>
      <c r="B58" s="222" t="s">
        <v>195</v>
      </c>
      <c r="C58" s="222">
        <v>8118738</v>
      </c>
      <c r="D58" s="214">
        <f>E58+F58</f>
        <v>10000</v>
      </c>
      <c r="E58" s="214"/>
      <c r="F58" s="214">
        <f t="shared" si="31"/>
        <v>10000</v>
      </c>
      <c r="G58" s="214"/>
      <c r="H58" s="214">
        <v>10000</v>
      </c>
      <c r="I58" s="235">
        <v>9500</v>
      </c>
      <c r="J58" s="214">
        <v>7463.83</v>
      </c>
      <c r="K58" s="223"/>
      <c r="L58" s="235"/>
      <c r="M58" s="223"/>
      <c r="N58" s="223"/>
      <c r="O58" s="214">
        <f t="shared" si="29"/>
        <v>9500</v>
      </c>
      <c r="P58" s="214">
        <v>150</v>
      </c>
      <c r="Q58" s="224">
        <f t="shared" si="4"/>
        <v>1.4999999999999999E-2</v>
      </c>
      <c r="R58" s="214">
        <v>7376.7520000000004</v>
      </c>
      <c r="S58" s="225">
        <v>0.73767520000000009</v>
      </c>
      <c r="T58" s="225">
        <v>0.77650021052631579</v>
      </c>
      <c r="U58" s="214">
        <v>7463.83</v>
      </c>
      <c r="V58" s="225">
        <v>0.74638300000000002</v>
      </c>
      <c r="W58" s="225">
        <v>0.78566631578947366</v>
      </c>
      <c r="X58" s="214">
        <v>7463.83</v>
      </c>
      <c r="Y58" s="225">
        <v>0.74638300000000002</v>
      </c>
      <c r="Z58" s="225">
        <v>0.78566631578947366</v>
      </c>
      <c r="AA58" s="214">
        <v>7463.83</v>
      </c>
      <c r="AB58" s="225">
        <v>0.74638300000000002</v>
      </c>
      <c r="AC58" s="225">
        <v>0.78566631578947366</v>
      </c>
      <c r="AD58" s="214">
        <v>7463.83</v>
      </c>
      <c r="AE58" s="225">
        <v>0.74638300000000002</v>
      </c>
      <c r="AF58" s="225">
        <v>0.78566631578947366</v>
      </c>
      <c r="AG58" s="214">
        <v>7463.83</v>
      </c>
      <c r="AH58" s="225">
        <v>0.74638300000000002</v>
      </c>
      <c r="AI58" s="225">
        <v>0.78566631578947366</v>
      </c>
      <c r="AJ58" s="214">
        <v>7463.83</v>
      </c>
      <c r="AK58" s="225">
        <v>0.74638300000000002</v>
      </c>
      <c r="AL58" s="225">
        <v>0.78566631578947366</v>
      </c>
      <c r="AM58" s="214">
        <v>7463.83</v>
      </c>
      <c r="AN58" s="225">
        <v>0.74638300000000002</v>
      </c>
      <c r="AO58" s="225">
        <v>0.78566631578947366</v>
      </c>
      <c r="AP58" s="225"/>
      <c r="AQ58" s="214">
        <v>7463.83</v>
      </c>
      <c r="AR58" s="225">
        <v>0.74638300000000002</v>
      </c>
      <c r="AS58" s="225">
        <v>0.78566631578947366</v>
      </c>
      <c r="AT58" s="214">
        <v>7463.83</v>
      </c>
      <c r="AU58" s="225">
        <v>0.74638300000000002</v>
      </c>
      <c r="AV58" s="225">
        <v>0.78566631578947366</v>
      </c>
      <c r="AW58" s="214">
        <v>7463.83</v>
      </c>
      <c r="AX58" s="225">
        <v>0.74638300000000002</v>
      </c>
      <c r="AY58" s="225">
        <v>0.78566631578947366</v>
      </c>
      <c r="AZ58" s="214">
        <v>7463.83</v>
      </c>
      <c r="BA58" s="225">
        <v>0.74638300000000002</v>
      </c>
      <c r="BB58" s="225">
        <v>0.78566631578947366</v>
      </c>
      <c r="BC58" s="214">
        <v>7463.83</v>
      </c>
      <c r="BD58" s="225">
        <v>0.74638300000000002</v>
      </c>
      <c r="BE58" s="225">
        <v>0.78566631578947366</v>
      </c>
      <c r="BF58" s="214">
        <v>9500</v>
      </c>
      <c r="BG58" s="214">
        <v>9500</v>
      </c>
      <c r="BH58" s="225">
        <v>0.95</v>
      </c>
      <c r="BI58" s="225">
        <v>1</v>
      </c>
      <c r="BJ58" s="214">
        <f t="shared" si="5"/>
        <v>9500</v>
      </c>
      <c r="BK58" s="214">
        <v>9500</v>
      </c>
      <c r="BL58" s="225">
        <f t="shared" si="45"/>
        <v>0.95</v>
      </c>
      <c r="BM58" s="225">
        <f t="shared" si="2"/>
        <v>1</v>
      </c>
      <c r="BN58" s="205">
        <f t="shared" si="26"/>
        <v>2036.17</v>
      </c>
      <c r="BO58" s="205"/>
      <c r="BP58" s="227"/>
      <c r="BQ58" s="224">
        <f t="shared" si="7"/>
        <v>0</v>
      </c>
      <c r="BR58" s="227"/>
      <c r="BS58" s="224">
        <f t="shared" si="46"/>
        <v>0</v>
      </c>
      <c r="BT58" s="227">
        <v>9000</v>
      </c>
      <c r="BU58" s="224">
        <f t="shared" si="47"/>
        <v>0.9</v>
      </c>
      <c r="BV58" s="227">
        <v>9500</v>
      </c>
      <c r="BW58" s="224">
        <f t="shared" si="48"/>
        <v>0.95</v>
      </c>
      <c r="BX58" s="227">
        <v>9500</v>
      </c>
      <c r="BY58" s="224">
        <f t="shared" si="49"/>
        <v>0.95</v>
      </c>
      <c r="BZ58" s="227">
        <v>9500</v>
      </c>
      <c r="CA58" s="224">
        <f t="shared" si="50"/>
        <v>0.95</v>
      </c>
      <c r="CB58" s="227">
        <v>9500</v>
      </c>
      <c r="CC58" s="224">
        <f t="shared" si="51"/>
        <v>0.95</v>
      </c>
      <c r="CD58" s="227">
        <v>9500</v>
      </c>
      <c r="CE58" s="224">
        <f t="shared" si="52"/>
        <v>0.95</v>
      </c>
      <c r="CF58" s="227">
        <v>9500</v>
      </c>
      <c r="CG58" s="224">
        <f t="shared" si="53"/>
        <v>0.95</v>
      </c>
      <c r="CH58" s="227">
        <v>9500</v>
      </c>
      <c r="CI58" s="224">
        <f t="shared" si="54"/>
        <v>0.95</v>
      </c>
      <c r="CJ58" s="227">
        <v>9500</v>
      </c>
      <c r="CK58" s="224">
        <f t="shared" si="55"/>
        <v>0.95</v>
      </c>
      <c r="CL58" s="227">
        <v>9500</v>
      </c>
      <c r="CM58" s="224">
        <f t="shared" si="56"/>
        <v>0.95</v>
      </c>
      <c r="CN58" s="227">
        <v>9500</v>
      </c>
      <c r="CO58" s="224">
        <f t="shared" si="57"/>
        <v>0.95</v>
      </c>
      <c r="CP58" s="213" t="str">
        <f t="shared" si="23"/>
        <v>Đạt</v>
      </c>
      <c r="CQ58" s="213" t="str">
        <f t="shared" si="24"/>
        <v>Đạt</v>
      </c>
      <c r="CR58" s="192"/>
      <c r="CS58" s="214">
        <f t="shared" si="21"/>
        <v>2036.17</v>
      </c>
      <c r="CT58" s="223"/>
      <c r="CU58" s="163"/>
      <c r="CV58" s="232"/>
      <c r="CW58" s="195"/>
      <c r="CX58" s="196"/>
      <c r="CY58" s="196"/>
      <c r="CZ58" s="197"/>
      <c r="DA58" s="196"/>
      <c r="DB58" s="196"/>
      <c r="DC58" s="196"/>
      <c r="DE58" s="199"/>
      <c r="DF58" s="200"/>
      <c r="DG58" s="181"/>
    </row>
    <row r="59" spans="1:111" s="233" customFormat="1" ht="28.5" customHeight="1" outlineLevel="1" x14ac:dyDescent="0.25">
      <c r="A59" s="192">
        <f>MAX(A$17:$B58)+1</f>
        <v>36</v>
      </c>
      <c r="B59" s="222" t="s">
        <v>196</v>
      </c>
      <c r="C59" s="222">
        <v>8118733</v>
      </c>
      <c r="D59" s="214">
        <f>E59+F59</f>
        <v>2000</v>
      </c>
      <c r="E59" s="214"/>
      <c r="F59" s="214">
        <f t="shared" si="31"/>
        <v>2000</v>
      </c>
      <c r="G59" s="214">
        <v>2000</v>
      </c>
      <c r="H59" s="214"/>
      <c r="I59" s="235"/>
      <c r="J59" s="235"/>
      <c r="K59" s="223"/>
      <c r="L59" s="235"/>
      <c r="M59" s="223"/>
      <c r="N59" s="223"/>
      <c r="O59" s="214">
        <f t="shared" si="29"/>
        <v>2000</v>
      </c>
      <c r="P59" s="214">
        <v>30</v>
      </c>
      <c r="Q59" s="224">
        <f t="shared" si="4"/>
        <v>1.4999999999999999E-2</v>
      </c>
      <c r="R59" s="214">
        <v>30</v>
      </c>
      <c r="S59" s="225">
        <v>1.4999999999999999E-2</v>
      </c>
      <c r="T59" s="225">
        <v>1.5789473684210527E-2</v>
      </c>
      <c r="U59" s="214">
        <v>582.03800000000001</v>
      </c>
      <c r="V59" s="225">
        <v>0.29101900000000003</v>
      </c>
      <c r="W59" s="225">
        <v>0.30633578947368423</v>
      </c>
      <c r="X59" s="214">
        <v>582.03800000000001</v>
      </c>
      <c r="Y59" s="225">
        <v>0.29101900000000003</v>
      </c>
      <c r="Z59" s="225">
        <v>0.30633578947368423</v>
      </c>
      <c r="AA59" s="214">
        <v>582.03800000000001</v>
      </c>
      <c r="AB59" s="225">
        <v>0.29101900000000003</v>
      </c>
      <c r="AC59" s="225">
        <v>0.30633578947368423</v>
      </c>
      <c r="AD59" s="214">
        <v>582.03800000000001</v>
      </c>
      <c r="AE59" s="225">
        <v>0.29101900000000003</v>
      </c>
      <c r="AF59" s="225">
        <v>0.30633578947368423</v>
      </c>
      <c r="AG59" s="214">
        <v>582.03800000000001</v>
      </c>
      <c r="AH59" s="225">
        <v>0.29101900000000003</v>
      </c>
      <c r="AI59" s="225">
        <v>0.30633578947368423</v>
      </c>
      <c r="AJ59" s="214">
        <v>582.03800000000001</v>
      </c>
      <c r="AK59" s="225">
        <v>0.29101900000000003</v>
      </c>
      <c r="AL59" s="225">
        <v>0.30633578947368423</v>
      </c>
      <c r="AM59" s="214">
        <v>582.03800000000001</v>
      </c>
      <c r="AN59" s="225">
        <v>0.29101900000000003</v>
      </c>
      <c r="AO59" s="225">
        <v>0.30633578947368423</v>
      </c>
      <c r="AP59" s="225"/>
      <c r="AQ59" s="214">
        <v>582.03800000000001</v>
      </c>
      <c r="AR59" s="225">
        <v>0.29101900000000003</v>
      </c>
      <c r="AS59" s="225">
        <v>0.30633578947368423</v>
      </c>
      <c r="AT59" s="214">
        <v>582.03800000000001</v>
      </c>
      <c r="AU59" s="225">
        <v>0.29101900000000003</v>
      </c>
      <c r="AV59" s="225">
        <v>0.30633578947368423</v>
      </c>
      <c r="AW59" s="214">
        <v>582.03800000000001</v>
      </c>
      <c r="AX59" s="225">
        <v>0.29101900000000003</v>
      </c>
      <c r="AY59" s="225">
        <v>0.30633578947368423</v>
      </c>
      <c r="AZ59" s="214">
        <v>582.03800000000001</v>
      </c>
      <c r="BA59" s="225">
        <v>0.29101900000000003</v>
      </c>
      <c r="BB59" s="225">
        <v>0.30633578947368423</v>
      </c>
      <c r="BC59" s="214">
        <v>582.03800000000001</v>
      </c>
      <c r="BD59" s="225">
        <v>0.29101900000000003</v>
      </c>
      <c r="BE59" s="225">
        <v>0.30633578947368423</v>
      </c>
      <c r="BF59" s="214"/>
      <c r="BG59" s="214">
        <v>582.03800000000001</v>
      </c>
      <c r="BH59" s="225">
        <v>0.29101900000000003</v>
      </c>
      <c r="BI59" s="225">
        <v>0.30633578947368423</v>
      </c>
      <c r="BJ59" s="214">
        <f t="shared" si="5"/>
        <v>1900</v>
      </c>
      <c r="BK59" s="214">
        <v>582.03800000000001</v>
      </c>
      <c r="BL59" s="225">
        <f t="shared" si="45"/>
        <v>0.29101900000000003</v>
      </c>
      <c r="BM59" s="225">
        <f t="shared" si="2"/>
        <v>0.30633578947368423</v>
      </c>
      <c r="BN59" s="205">
        <f t="shared" si="26"/>
        <v>0</v>
      </c>
      <c r="BO59" s="205"/>
      <c r="BP59" s="227"/>
      <c r="BQ59" s="224">
        <f t="shared" si="7"/>
        <v>0</v>
      </c>
      <c r="BR59" s="227">
        <v>900</v>
      </c>
      <c r="BS59" s="224">
        <f t="shared" si="46"/>
        <v>0.45</v>
      </c>
      <c r="BT59" s="227">
        <v>1890</v>
      </c>
      <c r="BU59" s="224">
        <f t="shared" si="47"/>
        <v>0.94499999999999995</v>
      </c>
      <c r="BV59" s="227">
        <v>1890</v>
      </c>
      <c r="BW59" s="224">
        <f t="shared" si="48"/>
        <v>0.94499999999999995</v>
      </c>
      <c r="BX59" s="227">
        <v>1890</v>
      </c>
      <c r="BY59" s="224">
        <f t="shared" si="49"/>
        <v>0.94499999999999995</v>
      </c>
      <c r="BZ59" s="227">
        <v>1890</v>
      </c>
      <c r="CA59" s="224">
        <f t="shared" si="50"/>
        <v>0.94499999999999995</v>
      </c>
      <c r="CB59" s="227">
        <v>1890</v>
      </c>
      <c r="CC59" s="224">
        <f t="shared" si="51"/>
        <v>0.94499999999999995</v>
      </c>
      <c r="CD59" s="227">
        <v>1890</v>
      </c>
      <c r="CE59" s="224">
        <f t="shared" si="52"/>
        <v>0.94499999999999995</v>
      </c>
      <c r="CF59" s="227">
        <v>1890</v>
      </c>
      <c r="CG59" s="224">
        <f t="shared" si="53"/>
        <v>0.94499999999999995</v>
      </c>
      <c r="CH59" s="227">
        <v>1890</v>
      </c>
      <c r="CI59" s="224">
        <f t="shared" si="54"/>
        <v>0.94499999999999995</v>
      </c>
      <c r="CJ59" s="227">
        <v>1890</v>
      </c>
      <c r="CK59" s="224">
        <f t="shared" si="55"/>
        <v>0.94499999999999995</v>
      </c>
      <c r="CL59" s="227">
        <v>1890</v>
      </c>
      <c r="CM59" s="224">
        <f t="shared" si="56"/>
        <v>0.94499999999999995</v>
      </c>
      <c r="CN59" s="227">
        <v>1890</v>
      </c>
      <c r="CO59" s="224">
        <f t="shared" si="57"/>
        <v>0.94499999999999995</v>
      </c>
      <c r="CP59" s="213" t="str">
        <f t="shared" si="23"/>
        <v>Không đạt</v>
      </c>
      <c r="CQ59" s="213" t="str">
        <f t="shared" si="24"/>
        <v>Không đạt</v>
      </c>
      <c r="CR59" s="192"/>
      <c r="CS59" s="214">
        <f t="shared" si="21"/>
        <v>0</v>
      </c>
      <c r="CT59" s="223"/>
      <c r="CU59" s="163"/>
      <c r="CV59" s="232"/>
      <c r="CW59" s="195"/>
      <c r="CX59" s="196"/>
      <c r="CY59" s="196"/>
      <c r="CZ59" s="197"/>
      <c r="DA59" s="196"/>
      <c r="DB59" s="196"/>
      <c r="DC59" s="196"/>
      <c r="DE59" s="199"/>
      <c r="DF59" s="200"/>
      <c r="DG59" s="181"/>
    </row>
    <row r="60" spans="1:111" s="233" customFormat="1" ht="15" outlineLevel="1" x14ac:dyDescent="0.25">
      <c r="A60" s="192"/>
      <c r="B60" s="240" t="s">
        <v>197</v>
      </c>
      <c r="C60" s="240"/>
      <c r="D60" s="214">
        <f t="shared" si="22"/>
        <v>0</v>
      </c>
      <c r="E60" s="214"/>
      <c r="F60" s="214">
        <f t="shared" si="31"/>
        <v>0</v>
      </c>
      <c r="G60" s="214"/>
      <c r="H60" s="214"/>
      <c r="I60" s="235"/>
      <c r="J60" s="235"/>
      <c r="K60" s="223"/>
      <c r="L60" s="235"/>
      <c r="M60" s="223"/>
      <c r="N60" s="223"/>
      <c r="O60" s="214">
        <f t="shared" si="29"/>
        <v>0</v>
      </c>
      <c r="P60" s="214">
        <v>0</v>
      </c>
      <c r="Q60" s="224" t="e">
        <f t="shared" si="4"/>
        <v>#DIV/0!</v>
      </c>
      <c r="R60" s="214"/>
      <c r="S60" s="225"/>
      <c r="T60" s="225"/>
      <c r="U60" s="214"/>
      <c r="V60" s="225"/>
      <c r="W60" s="225"/>
      <c r="X60" s="214"/>
      <c r="Y60" s="225"/>
      <c r="Z60" s="225"/>
      <c r="AA60" s="214"/>
      <c r="AB60" s="225"/>
      <c r="AC60" s="225"/>
      <c r="AD60" s="214"/>
      <c r="AE60" s="225"/>
      <c r="AF60" s="225"/>
      <c r="AG60" s="214"/>
      <c r="AH60" s="225"/>
      <c r="AI60" s="225"/>
      <c r="AJ60" s="214"/>
      <c r="AK60" s="225"/>
      <c r="AL60" s="225"/>
      <c r="AM60" s="214"/>
      <c r="AN60" s="225"/>
      <c r="AO60" s="225"/>
      <c r="AP60" s="225"/>
      <c r="AQ60" s="214"/>
      <c r="AR60" s="225"/>
      <c r="AS60" s="225"/>
      <c r="AT60" s="214"/>
      <c r="AU60" s="225"/>
      <c r="AV60" s="225"/>
      <c r="AW60" s="214"/>
      <c r="AX60" s="225"/>
      <c r="AY60" s="225"/>
      <c r="AZ60" s="214"/>
      <c r="BA60" s="225"/>
      <c r="BB60" s="225"/>
      <c r="BC60" s="214"/>
      <c r="BD60" s="225"/>
      <c r="BE60" s="225"/>
      <c r="BF60" s="214"/>
      <c r="BG60" s="214"/>
      <c r="BH60" s="225"/>
      <c r="BI60" s="225"/>
      <c r="BJ60" s="214">
        <f t="shared" si="5"/>
        <v>0</v>
      </c>
      <c r="BK60" s="214"/>
      <c r="BL60" s="225"/>
      <c r="BM60" s="225"/>
      <c r="BN60" s="205">
        <f t="shared" si="26"/>
        <v>0</v>
      </c>
      <c r="BO60" s="205"/>
      <c r="BP60" s="227"/>
      <c r="BQ60" s="224"/>
      <c r="BR60" s="227"/>
      <c r="BS60" s="224"/>
      <c r="BT60" s="227"/>
      <c r="BU60" s="224"/>
      <c r="BV60" s="227"/>
      <c r="BW60" s="224"/>
      <c r="BX60" s="227"/>
      <c r="BY60" s="224"/>
      <c r="BZ60" s="227"/>
      <c r="CA60" s="224"/>
      <c r="CB60" s="227"/>
      <c r="CC60" s="224"/>
      <c r="CD60" s="227"/>
      <c r="CE60" s="224"/>
      <c r="CF60" s="227"/>
      <c r="CG60" s="224"/>
      <c r="CH60" s="227"/>
      <c r="CI60" s="224"/>
      <c r="CJ60" s="227"/>
      <c r="CK60" s="224"/>
      <c r="CL60" s="227"/>
      <c r="CM60" s="224"/>
      <c r="CN60" s="227"/>
      <c r="CO60" s="224"/>
      <c r="CP60" s="213" t="str">
        <f t="shared" si="23"/>
        <v>Không đạt</v>
      </c>
      <c r="CQ60" s="213" t="str">
        <f t="shared" si="24"/>
        <v>Không đạt</v>
      </c>
      <c r="CR60" s="192"/>
      <c r="CS60" s="214">
        <f t="shared" si="21"/>
        <v>0</v>
      </c>
      <c r="CT60" s="223"/>
      <c r="CU60" s="163"/>
      <c r="CV60" s="232"/>
      <c r="CW60" s="195"/>
      <c r="CX60" s="196"/>
      <c r="CY60" s="196"/>
      <c r="CZ60" s="197"/>
      <c r="DA60" s="196"/>
      <c r="DB60" s="196"/>
      <c r="DC60" s="196"/>
      <c r="DE60" s="199"/>
      <c r="DF60" s="200"/>
      <c r="DG60" s="181"/>
    </row>
    <row r="61" spans="1:111" s="233" customFormat="1" ht="15" outlineLevel="1" x14ac:dyDescent="0.25">
      <c r="A61" s="192">
        <f>MAX(A$17:$B60)+1</f>
        <v>37</v>
      </c>
      <c r="B61" s="222" t="s">
        <v>198</v>
      </c>
      <c r="C61" s="222">
        <v>7940482</v>
      </c>
      <c r="D61" s="214">
        <f t="shared" si="22"/>
        <v>3500</v>
      </c>
      <c r="E61" s="214"/>
      <c r="F61" s="214">
        <f t="shared" si="31"/>
        <v>3500</v>
      </c>
      <c r="G61" s="214">
        <v>3500</v>
      </c>
      <c r="H61" s="214"/>
      <c r="I61" s="235"/>
      <c r="J61" s="235"/>
      <c r="K61" s="223"/>
      <c r="L61" s="235"/>
      <c r="M61" s="223"/>
      <c r="N61" s="223"/>
      <c r="O61" s="214">
        <f t="shared" si="29"/>
        <v>3500</v>
      </c>
      <c r="P61" s="214">
        <v>0</v>
      </c>
      <c r="Q61" s="224">
        <f t="shared" si="4"/>
        <v>0</v>
      </c>
      <c r="R61" s="214"/>
      <c r="S61" s="225">
        <v>0</v>
      </c>
      <c r="T61" s="225">
        <v>0</v>
      </c>
      <c r="U61" s="214"/>
      <c r="V61" s="225">
        <v>0</v>
      </c>
      <c r="W61" s="225">
        <v>0</v>
      </c>
      <c r="X61" s="214"/>
      <c r="Y61" s="225">
        <v>0</v>
      </c>
      <c r="Z61" s="225">
        <v>0</v>
      </c>
      <c r="AA61" s="214"/>
      <c r="AB61" s="225">
        <v>0</v>
      </c>
      <c r="AC61" s="225">
        <v>0</v>
      </c>
      <c r="AD61" s="214"/>
      <c r="AE61" s="225">
        <v>0</v>
      </c>
      <c r="AF61" s="225">
        <v>0</v>
      </c>
      <c r="AG61" s="214"/>
      <c r="AH61" s="225">
        <v>0</v>
      </c>
      <c r="AI61" s="225">
        <v>0</v>
      </c>
      <c r="AJ61" s="214"/>
      <c r="AK61" s="225">
        <v>0</v>
      </c>
      <c r="AL61" s="225">
        <v>0</v>
      </c>
      <c r="AM61" s="214"/>
      <c r="AN61" s="225">
        <v>0</v>
      </c>
      <c r="AO61" s="225">
        <v>0</v>
      </c>
      <c r="AP61" s="225"/>
      <c r="AQ61" s="214"/>
      <c r="AR61" s="225">
        <v>0</v>
      </c>
      <c r="AS61" s="225">
        <v>0</v>
      </c>
      <c r="AT61" s="214"/>
      <c r="AU61" s="225">
        <v>0</v>
      </c>
      <c r="AV61" s="225">
        <v>0</v>
      </c>
      <c r="AW61" s="214"/>
      <c r="AX61" s="225">
        <v>0</v>
      </c>
      <c r="AY61" s="225">
        <v>0</v>
      </c>
      <c r="AZ61" s="214"/>
      <c r="BA61" s="225">
        <v>0</v>
      </c>
      <c r="BB61" s="225">
        <v>0</v>
      </c>
      <c r="BC61" s="214"/>
      <c r="BD61" s="225">
        <v>0</v>
      </c>
      <c r="BE61" s="225">
        <v>0</v>
      </c>
      <c r="BF61" s="214"/>
      <c r="BG61" s="214"/>
      <c r="BH61" s="225">
        <v>0</v>
      </c>
      <c r="BI61" s="225">
        <v>0</v>
      </c>
      <c r="BJ61" s="214">
        <f t="shared" si="5"/>
        <v>3325</v>
      </c>
      <c r="BK61" s="214"/>
      <c r="BL61" s="225">
        <f>BK61/$D61</f>
        <v>0</v>
      </c>
      <c r="BM61" s="225">
        <f>BK61/(E61+0.95*F61)</f>
        <v>0</v>
      </c>
      <c r="BN61" s="205">
        <f t="shared" si="26"/>
        <v>0</v>
      </c>
      <c r="BO61" s="205"/>
      <c r="BP61" s="227"/>
      <c r="BQ61" s="224">
        <f t="shared" si="7"/>
        <v>0</v>
      </c>
      <c r="BR61" s="227">
        <f>3500*0.95</f>
        <v>3325</v>
      </c>
      <c r="BS61" s="224">
        <f>BR61/$D61</f>
        <v>0.95</v>
      </c>
      <c r="BT61" s="227">
        <f>3500*0.95</f>
        <v>3325</v>
      </c>
      <c r="BU61" s="224">
        <f>BT61/$D61</f>
        <v>0.95</v>
      </c>
      <c r="BV61" s="227">
        <f>3500*0.95</f>
        <v>3325</v>
      </c>
      <c r="BW61" s="224">
        <f>BV61/$D61</f>
        <v>0.95</v>
      </c>
      <c r="BX61" s="227">
        <f>3500*0.95</f>
        <v>3325</v>
      </c>
      <c r="BY61" s="224">
        <f>BX61/$D61</f>
        <v>0.95</v>
      </c>
      <c r="BZ61" s="227">
        <f>3500*0.95</f>
        <v>3325</v>
      </c>
      <c r="CA61" s="224">
        <f>BZ61/$D61</f>
        <v>0.95</v>
      </c>
      <c r="CB61" s="227">
        <f>3500*0.95</f>
        <v>3325</v>
      </c>
      <c r="CC61" s="224">
        <f>CB61/$D61</f>
        <v>0.95</v>
      </c>
      <c r="CD61" s="227">
        <f>3500*0.95</f>
        <v>3325</v>
      </c>
      <c r="CE61" s="224">
        <f>CD61/$D61</f>
        <v>0.95</v>
      </c>
      <c r="CF61" s="227">
        <f>3500*0.95</f>
        <v>3325</v>
      </c>
      <c r="CG61" s="224">
        <f>CF61/$D61</f>
        <v>0.95</v>
      </c>
      <c r="CH61" s="227">
        <f>3500*0.95</f>
        <v>3325</v>
      </c>
      <c r="CI61" s="224">
        <f>CH61/$D61</f>
        <v>0.95</v>
      </c>
      <c r="CJ61" s="227">
        <f>3500*0.95</f>
        <v>3325</v>
      </c>
      <c r="CK61" s="224">
        <f>CJ61/$D61</f>
        <v>0.95</v>
      </c>
      <c r="CL61" s="227">
        <f>3500*0.95</f>
        <v>3325</v>
      </c>
      <c r="CM61" s="224">
        <f>CL61/$D61</f>
        <v>0.95</v>
      </c>
      <c r="CN61" s="227">
        <f>3500*0.95</f>
        <v>3325</v>
      </c>
      <c r="CO61" s="224">
        <f>CN61/$D61</f>
        <v>0.95</v>
      </c>
      <c r="CP61" s="213" t="str">
        <f t="shared" si="23"/>
        <v>Không đạt</v>
      </c>
      <c r="CQ61" s="213" t="str">
        <f t="shared" si="24"/>
        <v>Không đạt</v>
      </c>
      <c r="CR61" s="192"/>
      <c r="CS61" s="214">
        <f t="shared" si="21"/>
        <v>0</v>
      </c>
      <c r="CT61" s="223"/>
      <c r="CU61" s="163"/>
      <c r="CV61" s="232"/>
      <c r="CW61" s="195"/>
      <c r="CX61" s="196"/>
      <c r="CY61" s="196"/>
      <c r="CZ61" s="197"/>
      <c r="DA61" s="196"/>
      <c r="DB61" s="196"/>
      <c r="DC61" s="196"/>
      <c r="DE61" s="199"/>
      <c r="DF61" s="200"/>
      <c r="DG61" s="181"/>
    </row>
    <row r="62" spans="1:111" s="233" customFormat="1" ht="15" outlineLevel="1" x14ac:dyDescent="0.25">
      <c r="A62" s="192">
        <f>MAX(A$17:$B61)+1</f>
        <v>38</v>
      </c>
      <c r="B62" s="222" t="s">
        <v>199</v>
      </c>
      <c r="C62" s="222"/>
      <c r="D62" s="214">
        <f t="shared" si="22"/>
        <v>25000</v>
      </c>
      <c r="E62" s="214"/>
      <c r="F62" s="214">
        <f t="shared" si="31"/>
        <v>25000</v>
      </c>
      <c r="G62" s="214"/>
      <c r="H62" s="214">
        <v>25000</v>
      </c>
      <c r="I62" s="235">
        <v>2000</v>
      </c>
      <c r="J62" s="214">
        <v>437.53500000000003</v>
      </c>
      <c r="K62" s="223"/>
      <c r="L62" s="235"/>
      <c r="M62" s="223"/>
      <c r="N62" s="223"/>
      <c r="O62" s="214">
        <f t="shared" si="29"/>
        <v>2000</v>
      </c>
      <c r="P62" s="214">
        <v>0</v>
      </c>
      <c r="Q62" s="224">
        <f t="shared" si="4"/>
        <v>0</v>
      </c>
      <c r="R62" s="214"/>
      <c r="S62" s="225">
        <v>0</v>
      </c>
      <c r="T62" s="225">
        <v>0</v>
      </c>
      <c r="U62" s="214"/>
      <c r="V62" s="225">
        <v>0</v>
      </c>
      <c r="W62" s="225">
        <v>0</v>
      </c>
      <c r="X62" s="214"/>
      <c r="Y62" s="225">
        <v>0</v>
      </c>
      <c r="Z62" s="225">
        <v>0</v>
      </c>
      <c r="AA62" s="214"/>
      <c r="AB62" s="225">
        <v>0</v>
      </c>
      <c r="AC62" s="225">
        <v>0</v>
      </c>
      <c r="AD62" s="214"/>
      <c r="AE62" s="225">
        <v>0</v>
      </c>
      <c r="AF62" s="225">
        <v>0</v>
      </c>
      <c r="AG62" s="214"/>
      <c r="AH62" s="225">
        <v>0</v>
      </c>
      <c r="AI62" s="225">
        <v>0</v>
      </c>
      <c r="AJ62" s="214"/>
      <c r="AK62" s="225">
        <v>0</v>
      </c>
      <c r="AL62" s="225">
        <v>0</v>
      </c>
      <c r="AM62" s="214">
        <v>437.53500000000003</v>
      </c>
      <c r="AN62" s="225">
        <v>1.75014E-2</v>
      </c>
      <c r="AO62" s="225">
        <v>1.8422526315789476E-2</v>
      </c>
      <c r="AP62" s="225"/>
      <c r="AQ62" s="214">
        <v>437.53500000000003</v>
      </c>
      <c r="AR62" s="225">
        <v>1.75014E-2</v>
      </c>
      <c r="AS62" s="225">
        <v>1.8422526315789476E-2</v>
      </c>
      <c r="AT62" s="214">
        <v>437.53500000000003</v>
      </c>
      <c r="AU62" s="225">
        <v>1.75014E-2</v>
      </c>
      <c r="AV62" s="225">
        <v>1.8422526315789476E-2</v>
      </c>
      <c r="AW62" s="214">
        <v>437.53500000000003</v>
      </c>
      <c r="AX62" s="225">
        <v>1.75014E-2</v>
      </c>
      <c r="AY62" s="225">
        <v>1.8422526315789476E-2</v>
      </c>
      <c r="AZ62" s="214">
        <v>437.53500000000003</v>
      </c>
      <c r="BA62" s="225">
        <v>1.75014E-2</v>
      </c>
      <c r="BB62" s="225">
        <v>1.8422526315789476E-2</v>
      </c>
      <c r="BC62" s="214">
        <v>437.53500000000003</v>
      </c>
      <c r="BD62" s="225">
        <v>1.75014E-2</v>
      </c>
      <c r="BE62" s="225">
        <v>1.8422526315789476E-2</v>
      </c>
      <c r="BF62" s="214">
        <v>437.53500000000003</v>
      </c>
      <c r="BG62" s="214">
        <v>437.53500000000003</v>
      </c>
      <c r="BH62" s="225">
        <v>1.75014E-2</v>
      </c>
      <c r="BI62" s="225">
        <v>1.8422526315789476E-2</v>
      </c>
      <c r="BJ62" s="214">
        <f t="shared" si="5"/>
        <v>23750</v>
      </c>
      <c r="BK62" s="214">
        <v>437.53500000000003</v>
      </c>
      <c r="BL62" s="225">
        <f>BK62/$D62</f>
        <v>1.75014E-2</v>
      </c>
      <c r="BM62" s="225">
        <f>BK62/(E62+0.95*F62)</f>
        <v>1.8422526315789476E-2</v>
      </c>
      <c r="BN62" s="205">
        <f t="shared" si="26"/>
        <v>437.53500000000003</v>
      </c>
      <c r="BO62" s="205"/>
      <c r="BP62" s="227"/>
      <c r="BQ62" s="224">
        <f t="shared" si="7"/>
        <v>0</v>
      </c>
      <c r="BR62" s="227">
        <v>1000</v>
      </c>
      <c r="BS62" s="224">
        <f>BR62/$D62</f>
        <v>0.04</v>
      </c>
      <c r="BT62" s="227">
        <v>2000</v>
      </c>
      <c r="BU62" s="224">
        <f>BT62/$D62</f>
        <v>0.08</v>
      </c>
      <c r="BV62" s="227">
        <v>3000</v>
      </c>
      <c r="BW62" s="224">
        <f>BV62/$D62</f>
        <v>0.12</v>
      </c>
      <c r="BX62" s="227">
        <v>4000</v>
      </c>
      <c r="BY62" s="224">
        <f>BX62/$D62</f>
        <v>0.16</v>
      </c>
      <c r="BZ62" s="227">
        <v>5000</v>
      </c>
      <c r="CA62" s="224">
        <f>BZ62/$D62</f>
        <v>0.2</v>
      </c>
      <c r="CB62" s="227">
        <v>10000</v>
      </c>
      <c r="CC62" s="224">
        <f>CB62/$D62</f>
        <v>0.4</v>
      </c>
      <c r="CD62" s="227">
        <v>15000</v>
      </c>
      <c r="CE62" s="224">
        <f>CD62/$D62</f>
        <v>0.6</v>
      </c>
      <c r="CF62" s="227">
        <v>20000</v>
      </c>
      <c r="CG62" s="224">
        <f>CF62/$D62</f>
        <v>0.8</v>
      </c>
      <c r="CH62" s="227">
        <v>22000</v>
      </c>
      <c r="CI62" s="224">
        <f>CH62/$D62</f>
        <v>0.88</v>
      </c>
      <c r="CJ62" s="227">
        <f>25000*0.95</f>
        <v>23750</v>
      </c>
      <c r="CK62" s="224">
        <f>CJ62/$D62</f>
        <v>0.95</v>
      </c>
      <c r="CL62" s="227">
        <f>25000*0.95</f>
        <v>23750</v>
      </c>
      <c r="CM62" s="224">
        <f>CL62/$D62</f>
        <v>0.95</v>
      </c>
      <c r="CN62" s="227">
        <f>25000*0.95</f>
        <v>23750</v>
      </c>
      <c r="CO62" s="224">
        <f>CN62/$D62</f>
        <v>0.95</v>
      </c>
      <c r="CP62" s="213" t="str">
        <f t="shared" si="23"/>
        <v>Không đạt</v>
      </c>
      <c r="CQ62" s="213" t="str">
        <f t="shared" si="24"/>
        <v>Không đạt</v>
      </c>
      <c r="CR62" s="192"/>
      <c r="CS62" s="214">
        <f t="shared" si="21"/>
        <v>0</v>
      </c>
      <c r="CT62" s="223"/>
      <c r="CU62" s="163"/>
      <c r="CV62" s="232"/>
      <c r="CW62" s="195"/>
      <c r="CX62" s="196"/>
      <c r="CY62" s="196"/>
      <c r="CZ62" s="197"/>
      <c r="DA62" s="196"/>
      <c r="DB62" s="196"/>
      <c r="DC62" s="196"/>
      <c r="DE62" s="199"/>
      <c r="DF62" s="200"/>
      <c r="DG62" s="181"/>
    </row>
    <row r="63" spans="1:111" s="233" customFormat="1" ht="15" outlineLevel="1" x14ac:dyDescent="0.25">
      <c r="A63" s="192"/>
      <c r="B63" s="240" t="s">
        <v>200</v>
      </c>
      <c r="C63" s="240"/>
      <c r="D63" s="214">
        <f t="shared" si="22"/>
        <v>0</v>
      </c>
      <c r="E63" s="214"/>
      <c r="F63" s="214">
        <f t="shared" si="31"/>
        <v>0</v>
      </c>
      <c r="G63" s="214"/>
      <c r="H63" s="214"/>
      <c r="I63" s="235"/>
      <c r="J63" s="235"/>
      <c r="K63" s="223"/>
      <c r="L63" s="235"/>
      <c r="M63" s="223"/>
      <c r="N63" s="223"/>
      <c r="O63" s="214">
        <f t="shared" si="29"/>
        <v>0</v>
      </c>
      <c r="P63" s="214">
        <v>0</v>
      </c>
      <c r="Q63" s="224" t="e">
        <f t="shared" si="4"/>
        <v>#DIV/0!</v>
      </c>
      <c r="R63" s="214"/>
      <c r="S63" s="225"/>
      <c r="T63" s="225"/>
      <c r="U63" s="214"/>
      <c r="V63" s="225"/>
      <c r="W63" s="225"/>
      <c r="X63" s="214"/>
      <c r="Y63" s="225"/>
      <c r="Z63" s="225"/>
      <c r="AA63" s="214"/>
      <c r="AB63" s="225"/>
      <c r="AC63" s="225"/>
      <c r="AD63" s="214"/>
      <c r="AE63" s="225"/>
      <c r="AF63" s="225"/>
      <c r="AG63" s="214"/>
      <c r="AH63" s="225"/>
      <c r="AI63" s="225"/>
      <c r="AJ63" s="214"/>
      <c r="AK63" s="225"/>
      <c r="AL63" s="225"/>
      <c r="AM63" s="214"/>
      <c r="AN63" s="225"/>
      <c r="AO63" s="225"/>
      <c r="AP63" s="225"/>
      <c r="AQ63" s="214"/>
      <c r="AR63" s="225"/>
      <c r="AS63" s="225"/>
      <c r="AT63" s="214"/>
      <c r="AU63" s="225"/>
      <c r="AV63" s="225"/>
      <c r="AW63" s="214"/>
      <c r="AX63" s="225"/>
      <c r="AY63" s="225"/>
      <c r="AZ63" s="214"/>
      <c r="BA63" s="225"/>
      <c r="BB63" s="225"/>
      <c r="BC63" s="214"/>
      <c r="BD63" s="225"/>
      <c r="BE63" s="225"/>
      <c r="BF63" s="214"/>
      <c r="BG63" s="214"/>
      <c r="BH63" s="225"/>
      <c r="BI63" s="225"/>
      <c r="BJ63" s="214">
        <f t="shared" si="5"/>
        <v>0</v>
      </c>
      <c r="BK63" s="214"/>
      <c r="BL63" s="225"/>
      <c r="BM63" s="225"/>
      <c r="BN63" s="205">
        <f t="shared" si="26"/>
        <v>0</v>
      </c>
      <c r="BO63" s="205"/>
      <c r="BP63" s="227"/>
      <c r="BQ63" s="224"/>
      <c r="BR63" s="227"/>
      <c r="BS63" s="224"/>
      <c r="BT63" s="227"/>
      <c r="BU63" s="224"/>
      <c r="BV63" s="227"/>
      <c r="BW63" s="224"/>
      <c r="BX63" s="227"/>
      <c r="BY63" s="224"/>
      <c r="BZ63" s="227"/>
      <c r="CA63" s="224"/>
      <c r="CB63" s="227"/>
      <c r="CC63" s="224"/>
      <c r="CD63" s="227"/>
      <c r="CE63" s="224"/>
      <c r="CF63" s="227"/>
      <c r="CG63" s="224"/>
      <c r="CH63" s="227"/>
      <c r="CI63" s="224"/>
      <c r="CJ63" s="227"/>
      <c r="CK63" s="224"/>
      <c r="CL63" s="227"/>
      <c r="CM63" s="224"/>
      <c r="CN63" s="227"/>
      <c r="CO63" s="224"/>
      <c r="CP63" s="213" t="str">
        <f t="shared" si="23"/>
        <v>Không đạt</v>
      </c>
      <c r="CQ63" s="213" t="str">
        <f t="shared" si="24"/>
        <v>Không đạt</v>
      </c>
      <c r="CR63" s="192"/>
      <c r="CS63" s="214">
        <f t="shared" si="21"/>
        <v>0</v>
      </c>
      <c r="CT63" s="223"/>
      <c r="CU63" s="163"/>
      <c r="CV63" s="232"/>
      <c r="CW63" s="195"/>
      <c r="CX63" s="196"/>
      <c r="CY63" s="196"/>
      <c r="CZ63" s="197"/>
      <c r="DA63" s="196"/>
      <c r="DB63" s="196"/>
      <c r="DC63" s="196"/>
      <c r="DE63" s="199"/>
      <c r="DF63" s="200"/>
      <c r="DG63" s="181"/>
    </row>
    <row r="64" spans="1:111" s="233" customFormat="1" ht="31.9" customHeight="1" outlineLevel="1" x14ac:dyDescent="0.25">
      <c r="A64" s="192">
        <f>MAX(A$17:$B63)+1</f>
        <v>39</v>
      </c>
      <c r="B64" s="222" t="s">
        <v>201</v>
      </c>
      <c r="C64" s="222"/>
      <c r="D64" s="214">
        <f t="shared" si="22"/>
        <v>8000</v>
      </c>
      <c r="E64" s="214"/>
      <c r="F64" s="214">
        <f t="shared" si="31"/>
        <v>8000</v>
      </c>
      <c r="G64" s="214"/>
      <c r="H64" s="214">
        <v>8000</v>
      </c>
      <c r="I64" s="235"/>
      <c r="J64" s="235"/>
      <c r="K64" s="223"/>
      <c r="L64" s="235"/>
      <c r="M64" s="223"/>
      <c r="N64" s="223"/>
      <c r="O64" s="214">
        <f t="shared" si="29"/>
        <v>0</v>
      </c>
      <c r="P64" s="214">
        <v>0</v>
      </c>
      <c r="Q64" s="224">
        <f t="shared" si="4"/>
        <v>0</v>
      </c>
      <c r="R64" s="214"/>
      <c r="S64" s="225">
        <v>0</v>
      </c>
      <c r="T64" s="225">
        <v>0</v>
      </c>
      <c r="U64" s="214"/>
      <c r="V64" s="225">
        <v>0</v>
      </c>
      <c r="W64" s="225">
        <v>0</v>
      </c>
      <c r="X64" s="214"/>
      <c r="Y64" s="225">
        <v>0</v>
      </c>
      <c r="Z64" s="225">
        <v>0</v>
      </c>
      <c r="AA64" s="214"/>
      <c r="AB64" s="225">
        <v>0</v>
      </c>
      <c r="AC64" s="225">
        <v>0</v>
      </c>
      <c r="AD64" s="214"/>
      <c r="AE64" s="225">
        <v>0</v>
      </c>
      <c r="AF64" s="225">
        <v>0</v>
      </c>
      <c r="AG64" s="214"/>
      <c r="AH64" s="225">
        <v>0</v>
      </c>
      <c r="AI64" s="225">
        <v>0</v>
      </c>
      <c r="AJ64" s="214"/>
      <c r="AK64" s="225">
        <v>0</v>
      </c>
      <c r="AL64" s="225">
        <v>0</v>
      </c>
      <c r="AM64" s="214"/>
      <c r="AN64" s="225">
        <v>0</v>
      </c>
      <c r="AO64" s="225">
        <v>0</v>
      </c>
      <c r="AP64" s="225"/>
      <c r="AQ64" s="214"/>
      <c r="AR64" s="225">
        <v>0</v>
      </c>
      <c r="AS64" s="225">
        <v>0</v>
      </c>
      <c r="AT64" s="214"/>
      <c r="AU64" s="225">
        <v>0</v>
      </c>
      <c r="AV64" s="225">
        <v>0</v>
      </c>
      <c r="AW64" s="214"/>
      <c r="AX64" s="225">
        <v>0</v>
      </c>
      <c r="AY64" s="225">
        <v>0</v>
      </c>
      <c r="AZ64" s="214"/>
      <c r="BA64" s="225">
        <v>0</v>
      </c>
      <c r="BB64" s="225">
        <v>0</v>
      </c>
      <c r="BC64" s="214"/>
      <c r="BD64" s="225">
        <v>0</v>
      </c>
      <c r="BE64" s="225">
        <v>0</v>
      </c>
      <c r="BF64" s="214"/>
      <c r="BG64" s="214"/>
      <c r="BH64" s="225">
        <v>0</v>
      </c>
      <c r="BI64" s="225">
        <v>0</v>
      </c>
      <c r="BJ64" s="214">
        <f t="shared" si="5"/>
        <v>7600</v>
      </c>
      <c r="BK64" s="214">
        <v>1012</v>
      </c>
      <c r="BL64" s="225">
        <f>BK64/$D64</f>
        <v>0.1265</v>
      </c>
      <c r="BM64" s="225">
        <f>BK64/(E64+0.95*F64)</f>
        <v>0.13315789473684211</v>
      </c>
      <c r="BN64" s="205">
        <f t="shared" si="26"/>
        <v>1012</v>
      </c>
      <c r="BO64" s="205"/>
      <c r="BP64" s="227"/>
      <c r="BQ64" s="224">
        <f t="shared" si="7"/>
        <v>0</v>
      </c>
      <c r="BR64" s="227"/>
      <c r="BS64" s="224">
        <f>BR64/$D64</f>
        <v>0</v>
      </c>
      <c r="BT64" s="227">
        <v>1500</v>
      </c>
      <c r="BU64" s="224">
        <f>BT64/$D64</f>
        <v>0.1875</v>
      </c>
      <c r="BV64" s="227">
        <v>1500</v>
      </c>
      <c r="BW64" s="224">
        <f>BV64/$D64</f>
        <v>0.1875</v>
      </c>
      <c r="BX64" s="227">
        <v>4000</v>
      </c>
      <c r="BY64" s="224">
        <f>BX64/$D64</f>
        <v>0.5</v>
      </c>
      <c r="BZ64" s="227">
        <v>4000</v>
      </c>
      <c r="CA64" s="224">
        <f>BZ64/$D64</f>
        <v>0.5</v>
      </c>
      <c r="CB64" s="227">
        <v>4000</v>
      </c>
      <c r="CC64" s="224">
        <f>CB64/$D64</f>
        <v>0.5</v>
      </c>
      <c r="CD64" s="227">
        <v>6000</v>
      </c>
      <c r="CE64" s="224">
        <f>CD64/$D64</f>
        <v>0.75</v>
      </c>
      <c r="CF64" s="227">
        <v>6000</v>
      </c>
      <c r="CG64" s="224">
        <f>CF64/$D64</f>
        <v>0.75</v>
      </c>
      <c r="CH64" s="227">
        <f>8000*0.95</f>
        <v>7600</v>
      </c>
      <c r="CI64" s="224">
        <f>CH64/$D64</f>
        <v>0.95</v>
      </c>
      <c r="CJ64" s="227">
        <f>8000*0.95</f>
        <v>7600</v>
      </c>
      <c r="CK64" s="224">
        <f>CJ64/$D64</f>
        <v>0.95</v>
      </c>
      <c r="CL64" s="227">
        <f>8000*0.95</f>
        <v>7600</v>
      </c>
      <c r="CM64" s="224">
        <f>CL64/$D64</f>
        <v>0.95</v>
      </c>
      <c r="CN64" s="227">
        <f>8000*0.95</f>
        <v>7600</v>
      </c>
      <c r="CO64" s="224">
        <f>CN64/$D64</f>
        <v>0.95</v>
      </c>
      <c r="CP64" s="213" t="str">
        <f t="shared" si="23"/>
        <v>Không đạt</v>
      </c>
      <c r="CQ64" s="213" t="str">
        <f t="shared" si="24"/>
        <v>Không đạt</v>
      </c>
      <c r="CR64" s="192"/>
      <c r="CS64" s="214">
        <f t="shared" si="21"/>
        <v>1012</v>
      </c>
      <c r="CT64" s="223"/>
      <c r="CU64" s="163"/>
      <c r="CV64" s="232"/>
      <c r="CW64" s="195"/>
      <c r="CX64" s="196"/>
      <c r="CY64" s="196"/>
      <c r="CZ64" s="197"/>
      <c r="DA64" s="196"/>
      <c r="DB64" s="196"/>
      <c r="DC64" s="196"/>
      <c r="DE64" s="199"/>
      <c r="DF64" s="200"/>
      <c r="DG64" s="181"/>
    </row>
    <row r="65" spans="1:113" s="233" customFormat="1" ht="15" outlineLevel="1" x14ac:dyDescent="0.25">
      <c r="A65" s="192">
        <f>MAX(A$17:$B64)+1</f>
        <v>40</v>
      </c>
      <c r="B65" s="222" t="s">
        <v>202</v>
      </c>
      <c r="C65" s="222"/>
      <c r="D65" s="214">
        <f t="shared" si="22"/>
        <v>5000</v>
      </c>
      <c r="E65" s="214"/>
      <c r="F65" s="214">
        <f t="shared" si="31"/>
        <v>5000</v>
      </c>
      <c r="G65" s="214"/>
      <c r="H65" s="214">
        <v>5000</v>
      </c>
      <c r="I65" s="235"/>
      <c r="J65" s="235"/>
      <c r="K65" s="223"/>
      <c r="L65" s="235"/>
      <c r="M65" s="223"/>
      <c r="N65" s="223"/>
      <c r="O65" s="214">
        <f t="shared" si="29"/>
        <v>0</v>
      </c>
      <c r="P65" s="214">
        <v>0</v>
      </c>
      <c r="Q65" s="224">
        <f t="shared" si="4"/>
        <v>0</v>
      </c>
      <c r="R65" s="214"/>
      <c r="S65" s="225">
        <v>0</v>
      </c>
      <c r="T65" s="225">
        <v>0</v>
      </c>
      <c r="U65" s="214"/>
      <c r="V65" s="225">
        <v>0</v>
      </c>
      <c r="W65" s="225">
        <v>0</v>
      </c>
      <c r="X65" s="214"/>
      <c r="Y65" s="225">
        <v>0</v>
      </c>
      <c r="Z65" s="225">
        <v>0</v>
      </c>
      <c r="AA65" s="214"/>
      <c r="AB65" s="225">
        <v>0</v>
      </c>
      <c r="AC65" s="225">
        <v>0</v>
      </c>
      <c r="AD65" s="214"/>
      <c r="AE65" s="225">
        <v>0</v>
      </c>
      <c r="AF65" s="225">
        <v>0</v>
      </c>
      <c r="AG65" s="214"/>
      <c r="AH65" s="225">
        <v>0</v>
      </c>
      <c r="AI65" s="225">
        <v>0</v>
      </c>
      <c r="AJ65" s="214"/>
      <c r="AK65" s="225">
        <v>0</v>
      </c>
      <c r="AL65" s="225">
        <v>0</v>
      </c>
      <c r="AM65" s="214"/>
      <c r="AN65" s="225">
        <v>0</v>
      </c>
      <c r="AO65" s="225">
        <v>0</v>
      </c>
      <c r="AP65" s="225"/>
      <c r="AQ65" s="214"/>
      <c r="AR65" s="225">
        <v>0</v>
      </c>
      <c r="AS65" s="225">
        <v>0</v>
      </c>
      <c r="AT65" s="214"/>
      <c r="AU65" s="225">
        <v>0</v>
      </c>
      <c r="AV65" s="225">
        <v>0</v>
      </c>
      <c r="AW65" s="214"/>
      <c r="AX65" s="225">
        <v>0</v>
      </c>
      <c r="AY65" s="225">
        <v>0</v>
      </c>
      <c r="AZ65" s="214"/>
      <c r="BA65" s="225">
        <v>0</v>
      </c>
      <c r="BB65" s="225">
        <v>0</v>
      </c>
      <c r="BC65" s="214"/>
      <c r="BD65" s="225">
        <v>0</v>
      </c>
      <c r="BE65" s="225">
        <v>0</v>
      </c>
      <c r="BF65" s="214"/>
      <c r="BG65" s="214"/>
      <c r="BH65" s="225">
        <v>0</v>
      </c>
      <c r="BI65" s="225">
        <v>0</v>
      </c>
      <c r="BJ65" s="214">
        <f t="shared" si="5"/>
        <v>4750</v>
      </c>
      <c r="BK65" s="214">
        <v>21.137</v>
      </c>
      <c r="BL65" s="225">
        <f>BK65/$D65</f>
        <v>4.2274000000000001E-3</v>
      </c>
      <c r="BM65" s="225">
        <f>BK65/(E65+0.95*F65)</f>
        <v>4.4498947368421049E-3</v>
      </c>
      <c r="BN65" s="205">
        <f t="shared" si="26"/>
        <v>21.137</v>
      </c>
      <c r="BO65" s="205"/>
      <c r="BP65" s="227"/>
      <c r="BQ65" s="224">
        <f t="shared" si="7"/>
        <v>0</v>
      </c>
      <c r="BR65" s="227"/>
      <c r="BS65" s="224">
        <f>BR65/$D65</f>
        <v>0</v>
      </c>
      <c r="BT65" s="227"/>
      <c r="BU65" s="224">
        <f>BT65/$D65</f>
        <v>0</v>
      </c>
      <c r="BV65" s="227">
        <v>2000</v>
      </c>
      <c r="BW65" s="224">
        <f>BV65/$D65</f>
        <v>0.4</v>
      </c>
      <c r="BX65" s="227">
        <v>2000</v>
      </c>
      <c r="BY65" s="224">
        <f>BX65/$D65</f>
        <v>0.4</v>
      </c>
      <c r="BZ65" s="227">
        <f>5000*0.95</f>
        <v>4750</v>
      </c>
      <c r="CA65" s="224">
        <f>BZ65/$D65</f>
        <v>0.95</v>
      </c>
      <c r="CB65" s="227">
        <f>5000*0.95</f>
        <v>4750</v>
      </c>
      <c r="CC65" s="224">
        <f>CB65/$D65</f>
        <v>0.95</v>
      </c>
      <c r="CD65" s="227">
        <f>5000*0.95</f>
        <v>4750</v>
      </c>
      <c r="CE65" s="224">
        <f>CD65/$D65</f>
        <v>0.95</v>
      </c>
      <c r="CF65" s="227">
        <f>5000*0.95</f>
        <v>4750</v>
      </c>
      <c r="CG65" s="224">
        <f>CF65/$D65</f>
        <v>0.95</v>
      </c>
      <c r="CH65" s="227">
        <f>5000*0.95</f>
        <v>4750</v>
      </c>
      <c r="CI65" s="224">
        <f>CH65/$D65</f>
        <v>0.95</v>
      </c>
      <c r="CJ65" s="227">
        <f>5000*0.95</f>
        <v>4750</v>
      </c>
      <c r="CK65" s="224">
        <f>CJ65/$D65</f>
        <v>0.95</v>
      </c>
      <c r="CL65" s="227">
        <f>5000*0.95</f>
        <v>4750</v>
      </c>
      <c r="CM65" s="224">
        <f>CL65/$D65</f>
        <v>0.95</v>
      </c>
      <c r="CN65" s="227">
        <f>5000*0.95</f>
        <v>4750</v>
      </c>
      <c r="CO65" s="224">
        <f>CN65/$D65</f>
        <v>0.95</v>
      </c>
      <c r="CP65" s="213" t="str">
        <f t="shared" si="23"/>
        <v>Không đạt</v>
      </c>
      <c r="CQ65" s="213" t="str">
        <f t="shared" si="24"/>
        <v>Không đạt</v>
      </c>
      <c r="CR65" s="192"/>
      <c r="CS65" s="214">
        <f t="shared" si="21"/>
        <v>21.137</v>
      </c>
      <c r="CT65" s="223"/>
      <c r="CU65" s="163"/>
      <c r="CV65" s="232"/>
      <c r="CW65" s="195"/>
      <c r="CX65" s="196"/>
      <c r="CY65" s="196"/>
      <c r="CZ65" s="197"/>
      <c r="DA65" s="196"/>
      <c r="DB65" s="196"/>
      <c r="DC65" s="196"/>
      <c r="DE65" s="199"/>
      <c r="DF65" s="200"/>
      <c r="DG65" s="181"/>
    </row>
    <row r="66" spans="1:113" s="233" customFormat="1" ht="15" outlineLevel="1" x14ac:dyDescent="0.25">
      <c r="A66" s="192"/>
      <c r="B66" s="240" t="s">
        <v>203</v>
      </c>
      <c r="C66" s="240"/>
      <c r="D66" s="214">
        <f t="shared" si="22"/>
        <v>0</v>
      </c>
      <c r="E66" s="214"/>
      <c r="F66" s="214">
        <f t="shared" si="31"/>
        <v>0</v>
      </c>
      <c r="G66" s="214"/>
      <c r="H66" s="214"/>
      <c r="I66" s="235"/>
      <c r="J66" s="235"/>
      <c r="K66" s="223"/>
      <c r="L66" s="235"/>
      <c r="M66" s="223"/>
      <c r="N66" s="223"/>
      <c r="O66" s="214">
        <f t="shared" si="29"/>
        <v>0</v>
      </c>
      <c r="P66" s="214">
        <v>0</v>
      </c>
      <c r="Q66" s="224" t="e">
        <f t="shared" si="4"/>
        <v>#DIV/0!</v>
      </c>
      <c r="R66" s="214"/>
      <c r="S66" s="225"/>
      <c r="T66" s="225"/>
      <c r="U66" s="214"/>
      <c r="V66" s="225"/>
      <c r="W66" s="225"/>
      <c r="X66" s="214"/>
      <c r="Y66" s="225"/>
      <c r="Z66" s="225"/>
      <c r="AA66" s="214"/>
      <c r="AB66" s="225"/>
      <c r="AC66" s="225"/>
      <c r="AD66" s="214"/>
      <c r="AE66" s="225"/>
      <c r="AF66" s="225"/>
      <c r="AG66" s="214"/>
      <c r="AH66" s="225"/>
      <c r="AI66" s="225"/>
      <c r="AJ66" s="214"/>
      <c r="AK66" s="225"/>
      <c r="AL66" s="225"/>
      <c r="AM66" s="214"/>
      <c r="AN66" s="225"/>
      <c r="AO66" s="225"/>
      <c r="AP66" s="225"/>
      <c r="AQ66" s="214"/>
      <c r="AR66" s="225"/>
      <c r="AS66" s="225"/>
      <c r="AT66" s="214"/>
      <c r="AU66" s="225"/>
      <c r="AV66" s="225"/>
      <c r="AW66" s="214"/>
      <c r="AX66" s="225"/>
      <c r="AY66" s="225"/>
      <c r="AZ66" s="214"/>
      <c r="BA66" s="225"/>
      <c r="BB66" s="225"/>
      <c r="BC66" s="214"/>
      <c r="BD66" s="225"/>
      <c r="BE66" s="225"/>
      <c r="BF66" s="214"/>
      <c r="BG66" s="214"/>
      <c r="BH66" s="225"/>
      <c r="BI66" s="225"/>
      <c r="BJ66" s="214">
        <f t="shared" si="5"/>
        <v>0</v>
      </c>
      <c r="BK66" s="214"/>
      <c r="BL66" s="225"/>
      <c r="BM66" s="225"/>
      <c r="BN66" s="205">
        <f t="shared" si="26"/>
        <v>0</v>
      </c>
      <c r="BO66" s="205"/>
      <c r="BP66" s="227"/>
      <c r="BQ66" s="224"/>
      <c r="BR66" s="227"/>
      <c r="BS66" s="224"/>
      <c r="BT66" s="227"/>
      <c r="BU66" s="224"/>
      <c r="BV66" s="227"/>
      <c r="BW66" s="224"/>
      <c r="BX66" s="227"/>
      <c r="BY66" s="224"/>
      <c r="BZ66" s="227"/>
      <c r="CA66" s="224"/>
      <c r="CB66" s="227"/>
      <c r="CC66" s="224"/>
      <c r="CD66" s="227"/>
      <c r="CE66" s="224"/>
      <c r="CF66" s="227"/>
      <c r="CG66" s="224"/>
      <c r="CH66" s="227"/>
      <c r="CI66" s="224"/>
      <c r="CJ66" s="227"/>
      <c r="CK66" s="224"/>
      <c r="CL66" s="227"/>
      <c r="CM66" s="224"/>
      <c r="CN66" s="227"/>
      <c r="CO66" s="224"/>
      <c r="CP66" s="213" t="str">
        <f t="shared" si="23"/>
        <v>Không đạt</v>
      </c>
      <c r="CQ66" s="213" t="str">
        <f t="shared" si="24"/>
        <v>Không đạt</v>
      </c>
      <c r="CR66" s="192"/>
      <c r="CS66" s="214">
        <f t="shared" si="21"/>
        <v>0</v>
      </c>
      <c r="CT66" s="223"/>
      <c r="CU66" s="163"/>
      <c r="CV66" s="232"/>
      <c r="CW66" s="195"/>
      <c r="CX66" s="196"/>
      <c r="CY66" s="196"/>
      <c r="CZ66" s="197"/>
      <c r="DA66" s="196"/>
      <c r="DB66" s="196"/>
      <c r="DC66" s="196"/>
      <c r="DE66" s="199"/>
      <c r="DF66" s="200"/>
      <c r="DG66" s="181"/>
    </row>
    <row r="67" spans="1:113" s="233" customFormat="1" ht="15" outlineLevel="1" x14ac:dyDescent="0.25">
      <c r="A67" s="192">
        <f>MAX(A$17:$B66)+1</f>
        <v>41</v>
      </c>
      <c r="B67" s="222" t="s">
        <v>204</v>
      </c>
      <c r="C67" s="222">
        <v>8139576</v>
      </c>
      <c r="D67" s="214">
        <f t="shared" si="22"/>
        <v>3200</v>
      </c>
      <c r="E67" s="214"/>
      <c r="F67" s="214">
        <f t="shared" si="31"/>
        <v>3200</v>
      </c>
      <c r="G67" s="214">
        <v>3200</v>
      </c>
      <c r="H67" s="214"/>
      <c r="I67" s="235"/>
      <c r="J67" s="235"/>
      <c r="K67" s="223"/>
      <c r="L67" s="235"/>
      <c r="M67" s="223"/>
      <c r="N67" s="223"/>
      <c r="O67" s="214">
        <f t="shared" si="29"/>
        <v>3200</v>
      </c>
      <c r="P67" s="214">
        <v>0</v>
      </c>
      <c r="Q67" s="224">
        <f t="shared" si="4"/>
        <v>0</v>
      </c>
      <c r="R67" s="214"/>
      <c r="S67" s="225">
        <v>0</v>
      </c>
      <c r="T67" s="225">
        <v>0</v>
      </c>
      <c r="U67" s="214"/>
      <c r="V67" s="225">
        <v>0</v>
      </c>
      <c r="W67" s="225">
        <v>0</v>
      </c>
      <c r="X67" s="214"/>
      <c r="Y67" s="225">
        <v>0</v>
      </c>
      <c r="Z67" s="225">
        <v>0</v>
      </c>
      <c r="AA67" s="214"/>
      <c r="AB67" s="225">
        <v>0</v>
      </c>
      <c r="AC67" s="225">
        <v>0</v>
      </c>
      <c r="AD67" s="214"/>
      <c r="AE67" s="225">
        <v>0</v>
      </c>
      <c r="AF67" s="225">
        <v>0</v>
      </c>
      <c r="AG67" s="214"/>
      <c r="AH67" s="225">
        <v>0</v>
      </c>
      <c r="AI67" s="225">
        <v>0</v>
      </c>
      <c r="AJ67" s="214"/>
      <c r="AK67" s="225">
        <v>0</v>
      </c>
      <c r="AL67" s="225">
        <v>0</v>
      </c>
      <c r="AM67" s="214"/>
      <c r="AN67" s="225">
        <v>0</v>
      </c>
      <c r="AO67" s="225">
        <v>0</v>
      </c>
      <c r="AP67" s="225"/>
      <c r="AQ67" s="214"/>
      <c r="AR67" s="225">
        <v>0</v>
      </c>
      <c r="AS67" s="225">
        <v>0</v>
      </c>
      <c r="AT67" s="214"/>
      <c r="AU67" s="225">
        <v>0</v>
      </c>
      <c r="AV67" s="225">
        <v>0</v>
      </c>
      <c r="AW67" s="214"/>
      <c r="AX67" s="225">
        <v>0</v>
      </c>
      <c r="AY67" s="225">
        <v>0</v>
      </c>
      <c r="AZ67" s="214"/>
      <c r="BA67" s="225">
        <v>0</v>
      </c>
      <c r="BB67" s="225">
        <v>0</v>
      </c>
      <c r="BC67" s="214"/>
      <c r="BD67" s="225">
        <v>0</v>
      </c>
      <c r="BE67" s="225">
        <v>0</v>
      </c>
      <c r="BF67" s="214"/>
      <c r="BG67" s="214"/>
      <c r="BH67" s="225">
        <v>0</v>
      </c>
      <c r="BI67" s="225">
        <v>0</v>
      </c>
      <c r="BJ67" s="214">
        <f t="shared" si="5"/>
        <v>3040</v>
      </c>
      <c r="BK67" s="214"/>
      <c r="BL67" s="225">
        <f t="shared" ref="BL67:BL80" si="58">BK67/$D67</f>
        <v>0</v>
      </c>
      <c r="BM67" s="225">
        <f t="shared" ref="BM67:BM80" si="59">BK67/(E67+0.95*F67)</f>
        <v>0</v>
      </c>
      <c r="BN67" s="205">
        <f t="shared" si="26"/>
        <v>0</v>
      </c>
      <c r="BO67" s="205"/>
      <c r="BP67" s="227"/>
      <c r="BQ67" s="224">
        <f t="shared" si="7"/>
        <v>0</v>
      </c>
      <c r="BR67" s="227"/>
      <c r="BS67" s="224">
        <f t="shared" ref="BS67:BS80" si="60">BR67/$D67</f>
        <v>0</v>
      </c>
      <c r="BT67" s="227">
        <v>2000</v>
      </c>
      <c r="BU67" s="224">
        <f t="shared" ref="BU67:BU80" si="61">BT67/$D67</f>
        <v>0.625</v>
      </c>
      <c r="BV67" s="227">
        <f>3200*0.95</f>
        <v>3040</v>
      </c>
      <c r="BW67" s="224">
        <f t="shared" ref="BW67:BW80" si="62">BV67/$D67</f>
        <v>0.95</v>
      </c>
      <c r="BX67" s="227">
        <f>3200*0.95</f>
        <v>3040</v>
      </c>
      <c r="BY67" s="224">
        <f t="shared" ref="BY67:BY80" si="63">BX67/$D67</f>
        <v>0.95</v>
      </c>
      <c r="BZ67" s="227">
        <f>3200*0.95</f>
        <v>3040</v>
      </c>
      <c r="CA67" s="224">
        <f t="shared" ref="CA67:CA80" si="64">BZ67/$D67</f>
        <v>0.95</v>
      </c>
      <c r="CB67" s="227">
        <f>3200*0.95</f>
        <v>3040</v>
      </c>
      <c r="CC67" s="224">
        <f t="shared" ref="CC67:CC80" si="65">CB67/$D67</f>
        <v>0.95</v>
      </c>
      <c r="CD67" s="227">
        <f>3200*0.95</f>
        <v>3040</v>
      </c>
      <c r="CE67" s="224">
        <f t="shared" ref="CE67:CE80" si="66">CD67/$D67</f>
        <v>0.95</v>
      </c>
      <c r="CF67" s="227">
        <f>3200*0.95</f>
        <v>3040</v>
      </c>
      <c r="CG67" s="224">
        <f t="shared" ref="CG67:CG80" si="67">CF67/$D67</f>
        <v>0.95</v>
      </c>
      <c r="CH67" s="227">
        <f>3200*0.95</f>
        <v>3040</v>
      </c>
      <c r="CI67" s="224">
        <f t="shared" ref="CI67:CI80" si="68">CH67/$D67</f>
        <v>0.95</v>
      </c>
      <c r="CJ67" s="227">
        <f>3200*0.95</f>
        <v>3040</v>
      </c>
      <c r="CK67" s="224">
        <f t="shared" ref="CK67:CK80" si="69">CJ67/$D67</f>
        <v>0.95</v>
      </c>
      <c r="CL67" s="227">
        <f>3200*0.95</f>
        <v>3040</v>
      </c>
      <c r="CM67" s="224">
        <f t="shared" ref="CM67:CM80" si="70">CL67/$D67</f>
        <v>0.95</v>
      </c>
      <c r="CN67" s="227">
        <f>3200*0.95</f>
        <v>3040</v>
      </c>
      <c r="CO67" s="224">
        <f t="shared" ref="CO67:CO80" si="71">CN67/$D67</f>
        <v>0.95</v>
      </c>
      <c r="CP67" s="213" t="str">
        <f t="shared" si="23"/>
        <v>Không đạt</v>
      </c>
      <c r="CQ67" s="213" t="str">
        <f t="shared" si="24"/>
        <v>Không đạt</v>
      </c>
      <c r="CR67" s="192"/>
      <c r="CS67" s="214">
        <f t="shared" si="21"/>
        <v>0</v>
      </c>
      <c r="CT67" s="223"/>
      <c r="CU67" s="163"/>
      <c r="CV67" s="232"/>
      <c r="CW67" s="195"/>
      <c r="CX67" s="196"/>
      <c r="CY67" s="196"/>
      <c r="CZ67" s="197"/>
      <c r="DA67" s="196"/>
      <c r="DB67" s="196"/>
      <c r="DC67" s="196"/>
      <c r="DE67" s="199"/>
      <c r="DF67" s="200"/>
      <c r="DG67" s="181"/>
    </row>
    <row r="68" spans="1:113" s="233" customFormat="1" ht="38.25" outlineLevel="1" x14ac:dyDescent="0.25">
      <c r="A68" s="192">
        <f>MAX(A$17:$B67)+1</f>
        <v>42</v>
      </c>
      <c r="B68" s="222" t="s">
        <v>205</v>
      </c>
      <c r="C68" s="222"/>
      <c r="D68" s="214">
        <f>E68+F68</f>
        <v>15790</v>
      </c>
      <c r="E68" s="214"/>
      <c r="F68" s="214">
        <f t="shared" si="31"/>
        <v>15790</v>
      </c>
      <c r="G68" s="214">
        <v>5264</v>
      </c>
      <c r="H68" s="214">
        <f>15000-4474</f>
        <v>10526</v>
      </c>
      <c r="I68" s="235"/>
      <c r="J68" s="235"/>
      <c r="K68" s="223"/>
      <c r="L68" s="235"/>
      <c r="M68" s="223"/>
      <c r="N68" s="223"/>
      <c r="O68" s="214">
        <f t="shared" si="29"/>
        <v>5264</v>
      </c>
      <c r="P68" s="214">
        <v>0</v>
      </c>
      <c r="Q68" s="224">
        <f t="shared" si="4"/>
        <v>0</v>
      </c>
      <c r="R68" s="214"/>
      <c r="S68" s="225">
        <v>0</v>
      </c>
      <c r="T68" s="225">
        <v>0</v>
      </c>
      <c r="U68" s="214"/>
      <c r="V68" s="225">
        <v>0</v>
      </c>
      <c r="W68" s="225">
        <v>0</v>
      </c>
      <c r="X68" s="214"/>
      <c r="Y68" s="225">
        <v>0</v>
      </c>
      <c r="Z68" s="225">
        <v>0</v>
      </c>
      <c r="AA68" s="214"/>
      <c r="AB68" s="225">
        <v>0</v>
      </c>
      <c r="AC68" s="225">
        <v>0</v>
      </c>
      <c r="AD68" s="214"/>
      <c r="AE68" s="225">
        <v>0</v>
      </c>
      <c r="AF68" s="225">
        <v>0</v>
      </c>
      <c r="AG68" s="214"/>
      <c r="AH68" s="225">
        <v>0</v>
      </c>
      <c r="AI68" s="225">
        <v>0</v>
      </c>
      <c r="AJ68" s="205"/>
      <c r="AK68" s="225">
        <v>0</v>
      </c>
      <c r="AL68" s="225">
        <v>0</v>
      </c>
      <c r="AM68" s="214"/>
      <c r="AN68" s="225">
        <v>0</v>
      </c>
      <c r="AO68" s="225">
        <v>0</v>
      </c>
      <c r="AP68" s="225"/>
      <c r="AQ68" s="214"/>
      <c r="AR68" s="225">
        <v>0</v>
      </c>
      <c r="AS68" s="225">
        <v>0</v>
      </c>
      <c r="AT68" s="214"/>
      <c r="AU68" s="225">
        <v>0</v>
      </c>
      <c r="AV68" s="225">
        <v>0</v>
      </c>
      <c r="AW68" s="214"/>
      <c r="AX68" s="225">
        <v>0</v>
      </c>
      <c r="AY68" s="225">
        <v>0</v>
      </c>
      <c r="AZ68" s="214"/>
      <c r="BA68" s="225">
        <v>0</v>
      </c>
      <c r="BB68" s="225">
        <v>0</v>
      </c>
      <c r="BC68" s="214"/>
      <c r="BD68" s="225">
        <v>0</v>
      </c>
      <c r="BE68" s="225">
        <v>0</v>
      </c>
      <c r="BF68" s="214"/>
      <c r="BG68" s="214"/>
      <c r="BH68" s="225">
        <v>0</v>
      </c>
      <c r="BI68" s="225">
        <v>0</v>
      </c>
      <c r="BJ68" s="214">
        <f t="shared" si="5"/>
        <v>15000.5</v>
      </c>
      <c r="BK68" s="214">
        <v>2541.1030000000001</v>
      </c>
      <c r="BL68" s="225">
        <f t="shared" si="58"/>
        <v>0.16093115896136795</v>
      </c>
      <c r="BM68" s="225">
        <f t="shared" si="59"/>
        <v>0.16940121995933469</v>
      </c>
      <c r="BN68" s="205">
        <f t="shared" si="26"/>
        <v>2541.1030000000001</v>
      </c>
      <c r="BO68" s="205"/>
      <c r="BP68" s="227"/>
      <c r="BQ68" s="224">
        <f t="shared" si="7"/>
        <v>0</v>
      </c>
      <c r="BR68" s="227"/>
      <c r="BS68" s="224">
        <f t="shared" si="60"/>
        <v>0</v>
      </c>
      <c r="BT68" s="227">
        <v>2000</v>
      </c>
      <c r="BU68" s="224">
        <f t="shared" si="61"/>
        <v>0.1266624445851805</v>
      </c>
      <c r="BV68" s="227">
        <v>4000</v>
      </c>
      <c r="BW68" s="224">
        <f t="shared" si="62"/>
        <v>0.253324889170361</v>
      </c>
      <c r="BX68" s="227">
        <v>6000</v>
      </c>
      <c r="BY68" s="224">
        <f t="shared" si="63"/>
        <v>0.3799873337555415</v>
      </c>
      <c r="BZ68" s="227">
        <v>8000</v>
      </c>
      <c r="CA68" s="224">
        <f t="shared" si="64"/>
        <v>0.506649778340722</v>
      </c>
      <c r="CB68" s="227">
        <v>10000</v>
      </c>
      <c r="CC68" s="224">
        <f t="shared" si="65"/>
        <v>0.6333122229259025</v>
      </c>
      <c r="CD68" s="227">
        <v>12000</v>
      </c>
      <c r="CE68" s="224">
        <f t="shared" si="66"/>
        <v>0.759974667511083</v>
      </c>
      <c r="CF68" s="227">
        <v>14000</v>
      </c>
      <c r="CG68" s="224">
        <f t="shared" si="67"/>
        <v>0.8866371120962635</v>
      </c>
      <c r="CH68" s="227">
        <v>14250</v>
      </c>
      <c r="CI68" s="224">
        <f t="shared" si="68"/>
        <v>0.90246991766941098</v>
      </c>
      <c r="CJ68" s="227">
        <v>14250</v>
      </c>
      <c r="CK68" s="224">
        <f t="shared" si="69"/>
        <v>0.90246991766941098</v>
      </c>
      <c r="CL68" s="227">
        <v>14250</v>
      </c>
      <c r="CM68" s="224">
        <f t="shared" si="70"/>
        <v>0.90246991766941098</v>
      </c>
      <c r="CN68" s="227">
        <v>14250</v>
      </c>
      <c r="CO68" s="224">
        <f t="shared" si="71"/>
        <v>0.90246991766941098</v>
      </c>
      <c r="CP68" s="213" t="str">
        <f t="shared" si="23"/>
        <v>Không đạt</v>
      </c>
      <c r="CQ68" s="213" t="str">
        <f t="shared" si="24"/>
        <v>Không đạt</v>
      </c>
      <c r="CR68" s="192"/>
      <c r="CS68" s="214">
        <f t="shared" si="21"/>
        <v>2541.1030000000001</v>
      </c>
      <c r="CT68" s="223"/>
      <c r="CU68" s="163"/>
      <c r="CV68" s="232"/>
      <c r="CW68" s="195"/>
      <c r="CX68" s="196"/>
      <c r="CY68" s="196"/>
      <c r="CZ68" s="197"/>
      <c r="DA68" s="196"/>
      <c r="DB68" s="196"/>
      <c r="DC68" s="196"/>
      <c r="DE68" s="199"/>
      <c r="DF68" s="200"/>
      <c r="DG68" s="181"/>
    </row>
    <row r="69" spans="1:113" s="233" customFormat="1" ht="30" customHeight="1" x14ac:dyDescent="0.25">
      <c r="A69" s="191">
        <v>2</v>
      </c>
      <c r="B69" s="210" t="s">
        <v>206</v>
      </c>
      <c r="C69" s="210"/>
      <c r="D69" s="205">
        <f t="shared" ref="D69:K69" si="72">D71+D80+D70</f>
        <v>1267366</v>
      </c>
      <c r="E69" s="205">
        <f t="shared" si="72"/>
        <v>0</v>
      </c>
      <c r="F69" s="205">
        <f t="shared" si="72"/>
        <v>1267366</v>
      </c>
      <c r="G69" s="205">
        <f t="shared" si="72"/>
        <v>593366</v>
      </c>
      <c r="H69" s="205">
        <f t="shared" si="72"/>
        <v>447000</v>
      </c>
      <c r="I69" s="205">
        <f t="shared" si="72"/>
        <v>20835</v>
      </c>
      <c r="J69" s="205">
        <f t="shared" si="72"/>
        <v>0</v>
      </c>
      <c r="K69" s="205">
        <f t="shared" si="72"/>
        <v>227000</v>
      </c>
      <c r="L69" s="205">
        <f>L71+L80</f>
        <v>0</v>
      </c>
      <c r="M69" s="231"/>
      <c r="N69" s="231"/>
      <c r="O69" s="205">
        <f t="shared" si="29"/>
        <v>614201</v>
      </c>
      <c r="P69" s="205">
        <v>34787.741999999998</v>
      </c>
      <c r="Q69" s="186">
        <f t="shared" si="4"/>
        <v>2.7448852186345539E-2</v>
      </c>
      <c r="R69" s="205">
        <v>91789.770329000006</v>
      </c>
      <c r="S69" s="185">
        <v>7.3402455281087575E-2</v>
      </c>
      <c r="T69" s="185">
        <v>7.726574240114481E-2</v>
      </c>
      <c r="U69" s="205">
        <v>97711.616329000011</v>
      </c>
      <c r="V69" s="185">
        <v>7.8138037848060782E-2</v>
      </c>
      <c r="W69" s="185">
        <v>8.2250566155853452E-2</v>
      </c>
      <c r="X69" s="205">
        <v>97711.616329000011</v>
      </c>
      <c r="Y69" s="185">
        <v>7.8138037848060782E-2</v>
      </c>
      <c r="Z69" s="185">
        <v>8.2250566155853452E-2</v>
      </c>
      <c r="AA69" s="205">
        <v>99376.636329000001</v>
      </c>
      <c r="AB69" s="185">
        <v>7.9469521254698125E-2</v>
      </c>
      <c r="AC69" s="185">
        <v>8.365212763652434E-2</v>
      </c>
      <c r="AD69" s="205">
        <v>118426.12832900001</v>
      </c>
      <c r="AE69" s="185">
        <v>9.4703021454618161E-2</v>
      </c>
      <c r="AF69" s="185">
        <v>9.9687391004861223E-2</v>
      </c>
      <c r="AG69" s="205">
        <v>127438.15632900002</v>
      </c>
      <c r="AH69" s="185">
        <v>0.10190976115873653</v>
      </c>
      <c r="AI69" s="185">
        <v>0.10727343279867002</v>
      </c>
      <c r="AJ69" s="226">
        <v>127438.15632900002</v>
      </c>
      <c r="AK69" s="185">
        <v>0.10190976115873653</v>
      </c>
      <c r="AL69" s="185">
        <v>0.10727343279867002</v>
      </c>
      <c r="AM69" s="205">
        <v>136236.79732899999</v>
      </c>
      <c r="AN69" s="185">
        <v>0.10894585951939224</v>
      </c>
      <c r="AO69" s="185">
        <v>0.11467985212567604</v>
      </c>
      <c r="AP69" s="185"/>
      <c r="AQ69" s="205">
        <v>196873.90332900002</v>
      </c>
      <c r="AR69" s="185">
        <v>0.15743614820391846</v>
      </c>
      <c r="AS69" s="185">
        <v>0.16572226126728257</v>
      </c>
      <c r="AT69" s="205">
        <v>198545.90367000003</v>
      </c>
      <c r="AU69" s="185">
        <v>0.15877321365053981</v>
      </c>
      <c r="AV69" s="185">
        <v>0.1671296985795156</v>
      </c>
      <c r="AW69" s="205">
        <v>198545.90367000003</v>
      </c>
      <c r="AX69" s="185">
        <v>0.15877321365053981</v>
      </c>
      <c r="AY69" s="185">
        <v>0.1671296985795156</v>
      </c>
      <c r="AZ69" s="205">
        <v>214472</v>
      </c>
      <c r="BA69" s="185">
        <v>0.16959188104602746</v>
      </c>
      <c r="BB69" s="185">
        <v>0.17851776952213416</v>
      </c>
      <c r="BC69" s="205">
        <v>241906.49655099993</v>
      </c>
      <c r="BD69" s="185">
        <v>0.19057269262844595</v>
      </c>
      <c r="BE69" s="185">
        <v>0.20060283434573259</v>
      </c>
      <c r="BF69" s="205"/>
      <c r="BG69" s="205">
        <v>264417.14743999997</v>
      </c>
      <c r="BH69" s="185">
        <v>0.20863519097087974</v>
      </c>
      <c r="BI69" s="185">
        <v>0.21961599049566288</v>
      </c>
      <c r="BJ69" s="205">
        <f t="shared" si="5"/>
        <v>1203997.7</v>
      </c>
      <c r="BK69" s="205">
        <v>300428.58</v>
      </c>
      <c r="BL69" s="185">
        <f t="shared" si="58"/>
        <v>0.23704958157312095</v>
      </c>
      <c r="BM69" s="185">
        <f t="shared" si="59"/>
        <v>0.24952587534012732</v>
      </c>
      <c r="BN69" s="205">
        <f t="shared" si="26"/>
        <v>182002.45167099999</v>
      </c>
      <c r="BO69" s="205"/>
      <c r="BP69" s="189">
        <f>BP71+BP80</f>
        <v>37521</v>
      </c>
      <c r="BQ69" s="186">
        <f t="shared" si="7"/>
        <v>2.9605496754686492E-2</v>
      </c>
      <c r="BR69" s="189">
        <f>BR71+BR80</f>
        <v>282538</v>
      </c>
      <c r="BS69" s="186">
        <f t="shared" si="60"/>
        <v>0.22293323317810324</v>
      </c>
      <c r="BT69" s="189">
        <f>BT71+BT80</f>
        <v>332078</v>
      </c>
      <c r="BU69" s="186">
        <f t="shared" si="61"/>
        <v>0.26202217828156982</v>
      </c>
      <c r="BV69" s="189">
        <f>BV71+BV80</f>
        <v>386283</v>
      </c>
      <c r="BW69" s="186">
        <f t="shared" si="62"/>
        <v>0.30479198589831191</v>
      </c>
      <c r="BX69" s="189">
        <f>BX71+BX80</f>
        <v>486398</v>
      </c>
      <c r="BY69" s="186">
        <f t="shared" si="63"/>
        <v>0.38378653048921935</v>
      </c>
      <c r="BZ69" s="189">
        <f>BZ71+BZ80</f>
        <v>637974</v>
      </c>
      <c r="CA69" s="186">
        <f t="shared" si="64"/>
        <v>0.50338576228177179</v>
      </c>
      <c r="CB69" s="189">
        <f>CB71+CB80</f>
        <v>739874</v>
      </c>
      <c r="CC69" s="186">
        <f t="shared" si="65"/>
        <v>0.5837887397957654</v>
      </c>
      <c r="CD69" s="189">
        <f>CD71+CD80</f>
        <v>798649</v>
      </c>
      <c r="CE69" s="186">
        <f t="shared" si="66"/>
        <v>0.63016445131082888</v>
      </c>
      <c r="CF69" s="189">
        <f>CF71+CF80</f>
        <v>926406</v>
      </c>
      <c r="CG69" s="186">
        <f t="shared" si="67"/>
        <v>0.73096958573924187</v>
      </c>
      <c r="CH69" s="189">
        <f>CH71+CH80</f>
        <v>957881</v>
      </c>
      <c r="CI69" s="186">
        <f t="shared" si="68"/>
        <v>0.75580455843063488</v>
      </c>
      <c r="CJ69" s="189">
        <f>CJ71+CJ80</f>
        <v>1032131</v>
      </c>
      <c r="CK69" s="186">
        <f t="shared" si="69"/>
        <v>0.81439063380270582</v>
      </c>
      <c r="CL69" s="189">
        <f>CL71+CL80</f>
        <v>1130950</v>
      </c>
      <c r="CM69" s="186">
        <f t="shared" si="70"/>
        <v>0.89236258507802801</v>
      </c>
      <c r="CN69" s="189">
        <f>CN71+CN80</f>
        <v>1187975</v>
      </c>
      <c r="CO69" s="186">
        <f t="shared" si="71"/>
        <v>0.93735748000183061</v>
      </c>
      <c r="CP69" s="213" t="str">
        <f t="shared" si="23"/>
        <v>Không đạt</v>
      </c>
      <c r="CQ69" s="213" t="str">
        <f t="shared" si="24"/>
        <v>Không đạt</v>
      </c>
      <c r="CR69" s="213"/>
      <c r="CS69" s="205">
        <f t="shared" si="21"/>
        <v>85956.580000000016</v>
      </c>
      <c r="CT69" s="213"/>
      <c r="CU69" s="163"/>
      <c r="CV69" s="232"/>
      <c r="CW69" s="195"/>
      <c r="CX69" s="196"/>
      <c r="CY69" s="196"/>
      <c r="CZ69" s="197"/>
      <c r="DA69" s="196"/>
      <c r="DB69" s="196"/>
      <c r="DC69" s="196"/>
      <c r="DE69" s="199"/>
      <c r="DF69" s="200"/>
      <c r="DG69" s="181"/>
      <c r="DI69" s="244"/>
    </row>
    <row r="70" spans="1:113" s="233" customFormat="1" ht="19.149999999999999" hidden="1" customHeight="1" x14ac:dyDescent="0.25">
      <c r="A70" s="191" t="s">
        <v>29</v>
      </c>
      <c r="B70" s="210" t="s">
        <v>154</v>
      </c>
      <c r="C70" s="210"/>
      <c r="D70" s="188">
        <f t="shared" ref="D70:D79" si="73">E70+F70</f>
        <v>16866</v>
      </c>
      <c r="E70" s="205"/>
      <c r="F70" s="188">
        <f t="shared" ref="F70:F79" si="74">G70+H70+K70+M70</f>
        <v>16866</v>
      </c>
      <c r="G70" s="205">
        <v>16866</v>
      </c>
      <c r="H70" s="205"/>
      <c r="I70" s="205"/>
      <c r="J70" s="205"/>
      <c r="K70" s="205"/>
      <c r="L70" s="205"/>
      <c r="M70" s="231"/>
      <c r="N70" s="231"/>
      <c r="O70" s="205"/>
      <c r="P70" s="205"/>
      <c r="Q70" s="186"/>
      <c r="R70" s="205"/>
      <c r="S70" s="185"/>
      <c r="T70" s="185"/>
      <c r="U70" s="205"/>
      <c r="V70" s="185"/>
      <c r="W70" s="185"/>
      <c r="X70" s="205"/>
      <c r="Y70" s="185"/>
      <c r="Z70" s="185"/>
      <c r="AA70" s="205"/>
      <c r="AB70" s="185"/>
      <c r="AC70" s="185"/>
      <c r="AD70" s="205"/>
      <c r="AE70" s="185"/>
      <c r="AF70" s="185"/>
      <c r="AG70" s="205"/>
      <c r="AH70" s="185"/>
      <c r="AI70" s="185"/>
      <c r="AJ70" s="226"/>
      <c r="AK70" s="185"/>
      <c r="AL70" s="185"/>
      <c r="AM70" s="205"/>
      <c r="AN70" s="185"/>
      <c r="AO70" s="185"/>
      <c r="AP70" s="185"/>
      <c r="AQ70" s="205"/>
      <c r="AR70" s="185"/>
      <c r="AS70" s="185"/>
      <c r="AT70" s="205"/>
      <c r="AU70" s="185"/>
      <c r="AV70" s="185"/>
      <c r="AW70" s="205"/>
      <c r="AX70" s="185"/>
      <c r="AY70" s="185"/>
      <c r="AZ70" s="205">
        <v>14136.011330000008</v>
      </c>
      <c r="BA70" s="185"/>
      <c r="BB70" s="185"/>
      <c r="BC70" s="205">
        <v>16717.052110999939</v>
      </c>
      <c r="BD70" s="185">
        <v>0.88609414348563231</v>
      </c>
      <c r="BE70" s="185"/>
      <c r="BF70" s="205"/>
      <c r="BG70" s="205">
        <v>16866</v>
      </c>
      <c r="BH70" s="185">
        <v>1</v>
      </c>
      <c r="BI70" s="185"/>
      <c r="BJ70" s="205">
        <f t="shared" si="5"/>
        <v>16022.699999999999</v>
      </c>
      <c r="BK70" s="205">
        <v>16866</v>
      </c>
      <c r="BL70" s="185">
        <f t="shared" si="58"/>
        <v>1</v>
      </c>
      <c r="BM70" s="185"/>
      <c r="BN70" s="205"/>
      <c r="BO70" s="205"/>
      <c r="BP70" s="189"/>
      <c r="BQ70" s="186"/>
      <c r="BR70" s="189"/>
      <c r="BS70" s="186"/>
      <c r="BT70" s="189"/>
      <c r="BU70" s="186"/>
      <c r="BV70" s="189"/>
      <c r="BW70" s="186"/>
      <c r="BX70" s="189"/>
      <c r="BY70" s="186"/>
      <c r="BZ70" s="189"/>
      <c r="CA70" s="186"/>
      <c r="CB70" s="189"/>
      <c r="CC70" s="186"/>
      <c r="CD70" s="189"/>
      <c r="CE70" s="186"/>
      <c r="CF70" s="189"/>
      <c r="CG70" s="186"/>
      <c r="CH70" s="189"/>
      <c r="CI70" s="186"/>
      <c r="CJ70" s="189"/>
      <c r="CK70" s="186"/>
      <c r="CL70" s="189"/>
      <c r="CM70" s="186"/>
      <c r="CN70" s="189"/>
      <c r="CO70" s="186"/>
      <c r="CP70" s="213" t="str">
        <f t="shared" si="23"/>
        <v>Không đạt</v>
      </c>
      <c r="CQ70" s="213" t="str">
        <f t="shared" si="24"/>
        <v>Không đạt</v>
      </c>
      <c r="CR70" s="213"/>
      <c r="CS70" s="205">
        <f t="shared" si="21"/>
        <v>2729.9886699999915</v>
      </c>
      <c r="CT70" s="213"/>
      <c r="CU70" s="163"/>
      <c r="CV70" s="232"/>
      <c r="CW70" s="195"/>
      <c r="CX70" s="196"/>
      <c r="CY70" s="196"/>
      <c r="CZ70" s="197"/>
      <c r="DA70" s="196"/>
      <c r="DB70" s="196"/>
      <c r="DC70" s="196"/>
      <c r="DE70" s="199"/>
      <c r="DF70" s="200"/>
      <c r="DG70" s="181"/>
      <c r="DH70" s="244"/>
    </row>
    <row r="71" spans="1:113" s="234" customFormat="1" ht="23.45" customHeight="1" outlineLevel="1" x14ac:dyDescent="0.25">
      <c r="A71" s="191" t="s">
        <v>29</v>
      </c>
      <c r="B71" s="210" t="s">
        <v>157</v>
      </c>
      <c r="C71" s="210"/>
      <c r="D71" s="226">
        <f t="shared" ref="D71:L71" si="75">SUM(D72:D79)</f>
        <v>764000</v>
      </c>
      <c r="E71" s="226">
        <f t="shared" si="75"/>
        <v>0</v>
      </c>
      <c r="F71" s="226">
        <f t="shared" si="75"/>
        <v>764000</v>
      </c>
      <c r="G71" s="226">
        <f t="shared" si="75"/>
        <v>419500</v>
      </c>
      <c r="H71" s="226">
        <f t="shared" si="75"/>
        <v>242500</v>
      </c>
      <c r="I71" s="231">
        <f t="shared" si="75"/>
        <v>0</v>
      </c>
      <c r="J71" s="231"/>
      <c r="K71" s="226">
        <f t="shared" si="75"/>
        <v>102000</v>
      </c>
      <c r="L71" s="231">
        <f t="shared" si="75"/>
        <v>0</v>
      </c>
      <c r="M71" s="231"/>
      <c r="N71" s="231"/>
      <c r="O71" s="231">
        <f t="shared" si="29"/>
        <v>419500</v>
      </c>
      <c r="P71" s="231">
        <v>27078.295252</v>
      </c>
      <c r="Q71" s="212">
        <f t="shared" si="4"/>
        <v>3.5442794832460732E-2</v>
      </c>
      <c r="R71" s="226">
        <v>78966.215000000011</v>
      </c>
      <c r="S71" s="211">
        <v>0.10335892015706807</v>
      </c>
      <c r="T71" s="211">
        <v>0.10879886332322955</v>
      </c>
      <c r="U71" s="226">
        <v>81591.22</v>
      </c>
      <c r="V71" s="211">
        <v>0.10679479057591623</v>
      </c>
      <c r="W71" s="211">
        <v>0.11241556902728024</v>
      </c>
      <c r="X71" s="226">
        <v>81591.22</v>
      </c>
      <c r="Y71" s="211">
        <v>0.10679479057591623</v>
      </c>
      <c r="Z71" s="211">
        <v>0.11241556902728024</v>
      </c>
      <c r="AA71" s="226">
        <v>82591.534</v>
      </c>
      <c r="AB71" s="211">
        <v>0.10810410209424083</v>
      </c>
      <c r="AC71" s="211">
        <v>0.11379379167814825</v>
      </c>
      <c r="AD71" s="226">
        <v>84932.780000000013</v>
      </c>
      <c r="AE71" s="211">
        <v>0.1111685602094241</v>
      </c>
      <c r="AF71" s="211">
        <v>0.11701953706255168</v>
      </c>
      <c r="AG71" s="226">
        <v>93792.093000000008</v>
      </c>
      <c r="AH71" s="211">
        <v>0.12276451963350786</v>
      </c>
      <c r="AI71" s="211">
        <v>0.12922581014053458</v>
      </c>
      <c r="AJ71" s="245">
        <v>93792.093000000008</v>
      </c>
      <c r="AK71" s="211">
        <v>0.12276451963350786</v>
      </c>
      <c r="AL71" s="211">
        <v>0.12922581014053458</v>
      </c>
      <c r="AM71" s="226">
        <v>102416.13999999998</v>
      </c>
      <c r="AN71" s="211">
        <v>0.13405253926701569</v>
      </c>
      <c r="AO71" s="211">
        <v>0.14110793607054284</v>
      </c>
      <c r="AP71" s="211"/>
      <c r="AQ71" s="226">
        <v>135268.12600000002</v>
      </c>
      <c r="AR71" s="211">
        <v>0.17705252094240839</v>
      </c>
      <c r="AS71" s="211">
        <v>0.18637107467621936</v>
      </c>
      <c r="AT71" s="226">
        <v>135268.12600000002</v>
      </c>
      <c r="AU71" s="211">
        <v>0.17705252094240839</v>
      </c>
      <c r="AV71" s="211">
        <v>0.18637107467621936</v>
      </c>
      <c r="AW71" s="226">
        <v>135268.12600000002</v>
      </c>
      <c r="AX71" s="211">
        <v>0.17705252094240839</v>
      </c>
      <c r="AY71" s="211">
        <v>0.18637107467621936</v>
      </c>
      <c r="AZ71" s="226">
        <v>136517.503</v>
      </c>
      <c r="BA71" s="211">
        <v>0.17868783115183245</v>
      </c>
      <c r="BB71" s="211">
        <v>0.18809245384403417</v>
      </c>
      <c r="BC71" s="226">
        <v>152383.95299999998</v>
      </c>
      <c r="BD71" s="211">
        <v>0.19945543586387432</v>
      </c>
      <c r="BE71" s="211">
        <v>0.20995309038302559</v>
      </c>
      <c r="BF71" s="226"/>
      <c r="BG71" s="226">
        <v>160657.63399999996</v>
      </c>
      <c r="BH71" s="211">
        <v>0.21028486125654444</v>
      </c>
      <c r="BI71" s="211">
        <v>0.22135248553320469</v>
      </c>
      <c r="BJ71" s="226">
        <f t="shared" si="5"/>
        <v>725800</v>
      </c>
      <c r="BK71" s="226">
        <f>SUM(BK72:BK79)</f>
        <v>165021.40299999996</v>
      </c>
      <c r="BL71" s="211">
        <f t="shared" si="58"/>
        <v>0.21599660078534028</v>
      </c>
      <c r="BM71" s="211">
        <f t="shared" si="59"/>
        <v>0.22736484293193712</v>
      </c>
      <c r="BN71" s="205">
        <f t="shared" ref="BN71:BN134" si="76">BK71-AD71</f>
        <v>80088.622999999949</v>
      </c>
      <c r="BO71" s="205"/>
      <c r="BP71" s="230">
        <f>SUM(BP72:BP79)</f>
        <v>36521</v>
      </c>
      <c r="BQ71" s="212">
        <f t="shared" si="7"/>
        <v>4.7802356020942412E-2</v>
      </c>
      <c r="BR71" s="230">
        <f>SUM(BR72:BR79)</f>
        <v>266188</v>
      </c>
      <c r="BS71" s="212">
        <f t="shared" si="60"/>
        <v>0.34841361256544501</v>
      </c>
      <c r="BT71" s="230">
        <f>SUM(BT72:BT79)</f>
        <v>279288</v>
      </c>
      <c r="BU71" s="212">
        <f t="shared" si="61"/>
        <v>0.36556020942408379</v>
      </c>
      <c r="BV71" s="230">
        <f>SUM(BV72:BV79)</f>
        <v>296288</v>
      </c>
      <c r="BW71" s="212">
        <f t="shared" si="62"/>
        <v>0.38781151832460731</v>
      </c>
      <c r="BX71" s="230">
        <f>SUM(BX72:BX79)</f>
        <v>351288</v>
      </c>
      <c r="BY71" s="212">
        <f t="shared" si="63"/>
        <v>0.45980104712041886</v>
      </c>
      <c r="BZ71" s="230">
        <f>SUM(BZ72:BZ79)</f>
        <v>432174</v>
      </c>
      <c r="CA71" s="212">
        <f t="shared" si="64"/>
        <v>0.56567277486910994</v>
      </c>
      <c r="CB71" s="230">
        <f>SUM(CB72:CB79)</f>
        <v>468174</v>
      </c>
      <c r="CC71" s="212">
        <f t="shared" si="65"/>
        <v>0.61279319371727747</v>
      </c>
      <c r="CD71" s="230">
        <f>SUM(CD72:CD79)</f>
        <v>489174</v>
      </c>
      <c r="CE71" s="212">
        <f t="shared" si="66"/>
        <v>0.64028010471204189</v>
      </c>
      <c r="CF71" s="230">
        <f>SUM(CF72:CF79)</f>
        <v>582231</v>
      </c>
      <c r="CG71" s="212">
        <f t="shared" si="67"/>
        <v>0.76208246073298425</v>
      </c>
      <c r="CH71" s="230">
        <f>SUM(CH72:CH79)</f>
        <v>593231</v>
      </c>
      <c r="CI71" s="212">
        <f t="shared" si="68"/>
        <v>0.77648036649214658</v>
      </c>
      <c r="CJ71" s="230">
        <f>SUM(CJ72:CJ79)</f>
        <v>633731</v>
      </c>
      <c r="CK71" s="212">
        <f t="shared" si="69"/>
        <v>0.82949083769633503</v>
      </c>
      <c r="CL71" s="230">
        <f>SUM(CL72:CL79)</f>
        <v>701800</v>
      </c>
      <c r="CM71" s="212">
        <f t="shared" si="70"/>
        <v>0.91858638743455501</v>
      </c>
      <c r="CN71" s="230">
        <f>SUM(CN72:CN79)</f>
        <v>725800</v>
      </c>
      <c r="CO71" s="212">
        <f t="shared" si="71"/>
        <v>0.95</v>
      </c>
      <c r="CP71" s="213" t="str">
        <f t="shared" si="23"/>
        <v>Không đạt</v>
      </c>
      <c r="CQ71" s="213" t="str">
        <f t="shared" si="24"/>
        <v>Không đạt</v>
      </c>
      <c r="CR71" s="213"/>
      <c r="CS71" s="226">
        <f t="shared" si="21"/>
        <v>28503.899999999965</v>
      </c>
      <c r="CT71" s="231"/>
      <c r="CU71" s="163"/>
      <c r="CV71" s="232"/>
      <c r="CW71" s="195"/>
      <c r="CX71" s="196"/>
      <c r="CY71" s="196"/>
      <c r="CZ71" s="197"/>
      <c r="DA71" s="196"/>
      <c r="DB71" s="196"/>
      <c r="DC71" s="196"/>
      <c r="DD71" s="233"/>
      <c r="DE71" s="199"/>
      <c r="DF71" s="200"/>
      <c r="DG71" s="181"/>
      <c r="DH71" s="246"/>
    </row>
    <row r="72" spans="1:113" s="233" customFormat="1" ht="25.5" outlineLevel="1" x14ac:dyDescent="0.25">
      <c r="A72" s="192">
        <v>1</v>
      </c>
      <c r="B72" s="247" t="s">
        <v>207</v>
      </c>
      <c r="C72" s="248">
        <v>7909965</v>
      </c>
      <c r="D72" s="214">
        <f t="shared" si="73"/>
        <v>10000</v>
      </c>
      <c r="E72" s="214"/>
      <c r="F72" s="214">
        <f t="shared" si="74"/>
        <v>10000</v>
      </c>
      <c r="G72" s="245">
        <v>10000</v>
      </c>
      <c r="H72" s="245"/>
      <c r="I72" s="235"/>
      <c r="J72" s="235"/>
      <c r="K72" s="245"/>
      <c r="L72" s="235"/>
      <c r="M72" s="223"/>
      <c r="N72" s="223"/>
      <c r="O72" s="245">
        <f t="shared" si="29"/>
        <v>10000</v>
      </c>
      <c r="P72" s="245">
        <v>987.99900000000002</v>
      </c>
      <c r="Q72" s="224">
        <f t="shared" si="4"/>
        <v>9.8799899999999996E-2</v>
      </c>
      <c r="R72" s="245">
        <v>987.99900000000002</v>
      </c>
      <c r="S72" s="225">
        <v>9.8799899999999996E-2</v>
      </c>
      <c r="T72" s="225">
        <v>0.10399989473684211</v>
      </c>
      <c r="U72" s="245">
        <v>987.99900000000002</v>
      </c>
      <c r="V72" s="225">
        <v>9.8799899999999996E-2</v>
      </c>
      <c r="W72" s="225">
        <v>0.10399989473684211</v>
      </c>
      <c r="X72" s="245">
        <v>987.99900000000002</v>
      </c>
      <c r="Y72" s="225">
        <v>9.8799899999999996E-2</v>
      </c>
      <c r="Z72" s="225">
        <v>0.10399989473684211</v>
      </c>
      <c r="AA72" s="245">
        <v>987.99900000000002</v>
      </c>
      <c r="AB72" s="225">
        <v>9.8799899999999996E-2</v>
      </c>
      <c r="AC72" s="225">
        <v>0.10399989473684211</v>
      </c>
      <c r="AD72" s="245">
        <v>987.99900000000002</v>
      </c>
      <c r="AE72" s="225">
        <v>9.8799899999999996E-2</v>
      </c>
      <c r="AF72" s="225">
        <v>0.10399989473684211</v>
      </c>
      <c r="AG72" s="245">
        <v>987.99900000000002</v>
      </c>
      <c r="AH72" s="225">
        <v>9.8799899999999996E-2</v>
      </c>
      <c r="AI72" s="225">
        <v>0.10399989473684211</v>
      </c>
      <c r="AJ72" s="245">
        <v>987.99900000000002</v>
      </c>
      <c r="AK72" s="225">
        <v>9.8799899999999996E-2</v>
      </c>
      <c r="AL72" s="225">
        <v>0.10399989473684211</v>
      </c>
      <c r="AM72" s="245">
        <v>1052.1970000000001</v>
      </c>
      <c r="AN72" s="225">
        <v>0.10521970000000001</v>
      </c>
      <c r="AO72" s="225">
        <v>0.11075757894736843</v>
      </c>
      <c r="AP72" s="225"/>
      <c r="AQ72" s="245">
        <v>1052.1970000000001</v>
      </c>
      <c r="AR72" s="225">
        <v>0.10521970000000001</v>
      </c>
      <c r="AS72" s="225">
        <v>0.11075757894736843</v>
      </c>
      <c r="AT72" s="245">
        <v>1052.1970000000001</v>
      </c>
      <c r="AU72" s="225">
        <v>0.10521970000000001</v>
      </c>
      <c r="AV72" s="225">
        <v>0.11075757894736843</v>
      </c>
      <c r="AW72" s="245">
        <v>1052.1970000000001</v>
      </c>
      <c r="AX72" s="225">
        <v>0.10521970000000001</v>
      </c>
      <c r="AY72" s="225">
        <v>0.11075757894736843</v>
      </c>
      <c r="AZ72" s="245">
        <v>1052.1970000000001</v>
      </c>
      <c r="BA72" s="225">
        <v>0.10521970000000001</v>
      </c>
      <c r="BB72" s="225">
        <v>0.11075757894736843</v>
      </c>
      <c r="BC72" s="245">
        <v>1052.1970000000001</v>
      </c>
      <c r="BD72" s="225">
        <v>0.10521970000000001</v>
      </c>
      <c r="BE72" s="225">
        <v>0.11075757894736843</v>
      </c>
      <c r="BF72" s="245"/>
      <c r="BG72" s="245">
        <v>1052.1970000000001</v>
      </c>
      <c r="BH72" s="225">
        <v>0.10521970000000001</v>
      </c>
      <c r="BI72" s="225">
        <v>0.11075757894736843</v>
      </c>
      <c r="BJ72" s="245">
        <f t="shared" si="5"/>
        <v>9500</v>
      </c>
      <c r="BK72" s="245">
        <v>3207.9610000000002</v>
      </c>
      <c r="BL72" s="225">
        <f t="shared" si="58"/>
        <v>0.32079610000000003</v>
      </c>
      <c r="BM72" s="225">
        <f t="shared" si="59"/>
        <v>0.33768010526315789</v>
      </c>
      <c r="BN72" s="205">
        <f t="shared" si="76"/>
        <v>2219.9620000000004</v>
      </c>
      <c r="BO72" s="205"/>
      <c r="BP72" s="227"/>
      <c r="BQ72" s="224">
        <f t="shared" si="7"/>
        <v>0</v>
      </c>
      <c r="BR72" s="227"/>
      <c r="BS72" s="224">
        <f t="shared" si="60"/>
        <v>0</v>
      </c>
      <c r="BT72" s="227">
        <v>1500</v>
      </c>
      <c r="BU72" s="224">
        <f t="shared" si="61"/>
        <v>0.15</v>
      </c>
      <c r="BV72" s="227">
        <v>2500</v>
      </c>
      <c r="BW72" s="224">
        <f t="shared" si="62"/>
        <v>0.25</v>
      </c>
      <c r="BX72" s="227">
        <v>3500</v>
      </c>
      <c r="BY72" s="224">
        <f t="shared" si="63"/>
        <v>0.35</v>
      </c>
      <c r="BZ72" s="227">
        <v>4500</v>
      </c>
      <c r="CA72" s="224">
        <f t="shared" si="64"/>
        <v>0.45</v>
      </c>
      <c r="CB72" s="227">
        <v>5500</v>
      </c>
      <c r="CC72" s="224">
        <f t="shared" si="65"/>
        <v>0.55000000000000004</v>
      </c>
      <c r="CD72" s="227">
        <v>6500</v>
      </c>
      <c r="CE72" s="224">
        <f t="shared" si="66"/>
        <v>0.65</v>
      </c>
      <c r="CF72" s="227">
        <v>7500</v>
      </c>
      <c r="CG72" s="224">
        <f t="shared" si="67"/>
        <v>0.75</v>
      </c>
      <c r="CH72" s="227">
        <v>8500</v>
      </c>
      <c r="CI72" s="224">
        <f t="shared" si="68"/>
        <v>0.85</v>
      </c>
      <c r="CJ72" s="227">
        <v>9000</v>
      </c>
      <c r="CK72" s="224">
        <f t="shared" si="69"/>
        <v>0.9</v>
      </c>
      <c r="CL72" s="227">
        <v>9500</v>
      </c>
      <c r="CM72" s="224">
        <f t="shared" si="70"/>
        <v>0.95</v>
      </c>
      <c r="CN72" s="227">
        <v>9500</v>
      </c>
      <c r="CO72" s="224">
        <f t="shared" si="71"/>
        <v>0.95</v>
      </c>
      <c r="CP72" s="213" t="str">
        <f t="shared" si="23"/>
        <v>Không đạt</v>
      </c>
      <c r="CQ72" s="213" t="str">
        <f t="shared" si="24"/>
        <v>Không đạt</v>
      </c>
      <c r="CR72" s="192"/>
      <c r="CS72" s="245">
        <f t="shared" si="21"/>
        <v>2155.7640000000001</v>
      </c>
      <c r="CT72" s="223"/>
      <c r="CU72" s="163"/>
      <c r="CV72" s="232"/>
      <c r="CW72" s="195"/>
      <c r="CX72" s="196"/>
      <c r="CY72" s="196"/>
      <c r="CZ72" s="197"/>
      <c r="DA72" s="196"/>
      <c r="DB72" s="196"/>
      <c r="DC72" s="196"/>
      <c r="DE72" s="199"/>
      <c r="DF72" s="200"/>
      <c r="DG72" s="181"/>
      <c r="DH72" s="244"/>
    </row>
    <row r="73" spans="1:113" s="233" customFormat="1" ht="38.25" outlineLevel="1" x14ac:dyDescent="0.25">
      <c r="A73" s="192">
        <f>MAX(A$72:$B72)+1</f>
        <v>2</v>
      </c>
      <c r="B73" s="222" t="s">
        <v>208</v>
      </c>
      <c r="C73" s="249">
        <v>8040128</v>
      </c>
      <c r="D73" s="214">
        <f t="shared" si="73"/>
        <v>102000</v>
      </c>
      <c r="E73" s="214"/>
      <c r="F73" s="214">
        <f t="shared" si="74"/>
        <v>102000</v>
      </c>
      <c r="G73" s="245"/>
      <c r="H73" s="245"/>
      <c r="I73" s="235"/>
      <c r="J73" s="235"/>
      <c r="K73" s="245">
        <f>110000-8000</f>
        <v>102000</v>
      </c>
      <c r="L73" s="235"/>
      <c r="M73" s="223"/>
      <c r="N73" s="223"/>
      <c r="O73" s="245">
        <f t="shared" si="29"/>
        <v>0</v>
      </c>
      <c r="P73" s="245">
        <v>21584.84</v>
      </c>
      <c r="Q73" s="224">
        <f t="shared" si="4"/>
        <v>0.21161607843137256</v>
      </c>
      <c r="R73" s="245">
        <v>37496</v>
      </c>
      <c r="S73" s="225">
        <v>0.36760784313725492</v>
      </c>
      <c r="T73" s="225">
        <v>0.38695562435500513</v>
      </c>
      <c r="U73" s="245">
        <v>39560.470999999998</v>
      </c>
      <c r="V73" s="225">
        <v>0.38784775490196077</v>
      </c>
      <c r="W73" s="225">
        <v>0.4082607946336429</v>
      </c>
      <c r="X73" s="245">
        <v>39560.470999999998</v>
      </c>
      <c r="Y73" s="225">
        <v>0.38784775490196077</v>
      </c>
      <c r="Z73" s="225">
        <v>0.4082607946336429</v>
      </c>
      <c r="AA73" s="245">
        <v>39560.470999999998</v>
      </c>
      <c r="AB73" s="225">
        <v>0.38784775490196077</v>
      </c>
      <c r="AC73" s="225">
        <v>0.4082607946336429</v>
      </c>
      <c r="AD73" s="245">
        <v>40522.097999999998</v>
      </c>
      <c r="AE73" s="225">
        <v>0.39727547058823526</v>
      </c>
      <c r="AF73" s="225">
        <v>0.4181847058823529</v>
      </c>
      <c r="AG73" s="245">
        <v>47786.12</v>
      </c>
      <c r="AH73" s="225">
        <v>0.46849137254901962</v>
      </c>
      <c r="AI73" s="225">
        <v>0.49314881320949433</v>
      </c>
      <c r="AJ73" s="245">
        <v>47786.12</v>
      </c>
      <c r="AK73" s="225">
        <v>0.46849137254901962</v>
      </c>
      <c r="AL73" s="225">
        <v>0.49314881320949433</v>
      </c>
      <c r="AM73" s="245">
        <v>53645.668999999987</v>
      </c>
      <c r="AN73" s="225">
        <v>0.52593793137254885</v>
      </c>
      <c r="AO73" s="225">
        <v>0.55361887512899888</v>
      </c>
      <c r="AP73" s="225"/>
      <c r="AQ73" s="245">
        <v>56854.957000000002</v>
      </c>
      <c r="AR73" s="225">
        <v>0.55740153921568625</v>
      </c>
      <c r="AS73" s="225">
        <v>0.58673846233230131</v>
      </c>
      <c r="AT73" s="245">
        <v>56854.957000000002</v>
      </c>
      <c r="AU73" s="225">
        <v>0.55740153921568625</v>
      </c>
      <c r="AV73" s="225">
        <v>0.58673846233230131</v>
      </c>
      <c r="AW73" s="245">
        <v>56854.957000000002</v>
      </c>
      <c r="AX73" s="225">
        <v>0.55740153921568625</v>
      </c>
      <c r="AY73" s="225">
        <v>0.58673846233230131</v>
      </c>
      <c r="AZ73" s="245">
        <v>58104.333999999988</v>
      </c>
      <c r="BA73" s="225">
        <v>0.56965033333333326</v>
      </c>
      <c r="BB73" s="225">
        <v>0.59963192982456126</v>
      </c>
      <c r="BC73" s="245">
        <v>64364.347999999991</v>
      </c>
      <c r="BD73" s="225">
        <v>0.63102301960784302</v>
      </c>
      <c r="BE73" s="225">
        <v>0.66423475748194005</v>
      </c>
      <c r="BF73" s="245"/>
      <c r="BG73" s="245">
        <v>65858.140999999989</v>
      </c>
      <c r="BH73" s="225">
        <v>0.64566804901960773</v>
      </c>
      <c r="BI73" s="225">
        <v>0.67965057791537653</v>
      </c>
      <c r="BJ73" s="245">
        <f t="shared" si="5"/>
        <v>96900</v>
      </c>
      <c r="BK73" s="245">
        <v>66336.713999999993</v>
      </c>
      <c r="BL73" s="225">
        <f t="shared" si="58"/>
        <v>0.65035994117647056</v>
      </c>
      <c r="BM73" s="225">
        <f t="shared" si="59"/>
        <v>0.68458941176470578</v>
      </c>
      <c r="BN73" s="205">
        <f t="shared" si="76"/>
        <v>25814.615999999995</v>
      </c>
      <c r="BO73" s="205"/>
      <c r="BP73" s="227">
        <v>5000</v>
      </c>
      <c r="BQ73" s="224">
        <f t="shared" si="7"/>
        <v>4.9019607843137254E-2</v>
      </c>
      <c r="BR73" s="227">
        <v>15000</v>
      </c>
      <c r="BS73" s="224">
        <f t="shared" si="60"/>
        <v>0.14705882352941177</v>
      </c>
      <c r="BT73" s="227">
        <v>20000</v>
      </c>
      <c r="BU73" s="224">
        <f t="shared" si="61"/>
        <v>0.19607843137254902</v>
      </c>
      <c r="BV73" s="227">
        <v>30000</v>
      </c>
      <c r="BW73" s="224">
        <f t="shared" si="62"/>
        <v>0.29411764705882354</v>
      </c>
      <c r="BX73" s="227">
        <v>40000</v>
      </c>
      <c r="BY73" s="224">
        <f t="shared" si="63"/>
        <v>0.39215686274509803</v>
      </c>
      <c r="BZ73" s="227">
        <v>50000</v>
      </c>
      <c r="CA73" s="224">
        <f t="shared" si="64"/>
        <v>0.49019607843137253</v>
      </c>
      <c r="CB73" s="227">
        <v>60000</v>
      </c>
      <c r="CC73" s="224">
        <f t="shared" si="65"/>
        <v>0.58823529411764708</v>
      </c>
      <c r="CD73" s="227">
        <v>70000</v>
      </c>
      <c r="CE73" s="224">
        <f t="shared" si="66"/>
        <v>0.68627450980392157</v>
      </c>
      <c r="CF73" s="227">
        <v>80000</v>
      </c>
      <c r="CG73" s="224">
        <f t="shared" si="67"/>
        <v>0.78431372549019607</v>
      </c>
      <c r="CH73" s="227">
        <v>85000</v>
      </c>
      <c r="CI73" s="224">
        <f t="shared" si="68"/>
        <v>0.83333333333333337</v>
      </c>
      <c r="CJ73" s="227">
        <v>90000</v>
      </c>
      <c r="CK73" s="224">
        <f t="shared" si="69"/>
        <v>0.88235294117647056</v>
      </c>
      <c r="CL73" s="227">
        <v>96900</v>
      </c>
      <c r="CM73" s="224">
        <f t="shared" si="70"/>
        <v>0.95</v>
      </c>
      <c r="CN73" s="227">
        <v>96900</v>
      </c>
      <c r="CO73" s="224">
        <f t="shared" si="71"/>
        <v>0.95</v>
      </c>
      <c r="CP73" s="213" t="str">
        <f t="shared" si="23"/>
        <v>Đạt</v>
      </c>
      <c r="CQ73" s="213" t="str">
        <f t="shared" si="24"/>
        <v>Đạt</v>
      </c>
      <c r="CR73" s="192"/>
      <c r="CS73" s="245">
        <f t="shared" si="21"/>
        <v>8232.3800000000047</v>
      </c>
      <c r="CT73" s="223"/>
      <c r="CU73" s="163"/>
      <c r="CV73" s="232"/>
      <c r="CW73" s="195"/>
      <c r="CX73" s="196"/>
      <c r="CY73" s="196"/>
      <c r="CZ73" s="197"/>
      <c r="DA73" s="196"/>
      <c r="DB73" s="196"/>
      <c r="DC73" s="196"/>
      <c r="DE73" s="199"/>
      <c r="DF73" s="200"/>
      <c r="DG73" s="181"/>
    </row>
    <row r="74" spans="1:113" s="233" customFormat="1" ht="15" outlineLevel="1" x14ac:dyDescent="0.25">
      <c r="A74" s="192">
        <f>MAX(A$72:$B73)+1</f>
        <v>3</v>
      </c>
      <c r="B74" s="222" t="s">
        <v>209</v>
      </c>
      <c r="C74" s="222">
        <v>8040129</v>
      </c>
      <c r="D74" s="214">
        <f t="shared" si="73"/>
        <v>10000</v>
      </c>
      <c r="E74" s="214"/>
      <c r="F74" s="214">
        <f t="shared" si="74"/>
        <v>10000</v>
      </c>
      <c r="G74" s="245">
        <v>10000</v>
      </c>
      <c r="H74" s="245"/>
      <c r="I74" s="235"/>
      <c r="J74" s="235"/>
      <c r="K74" s="245"/>
      <c r="L74" s="235"/>
      <c r="M74" s="223"/>
      <c r="N74" s="223"/>
      <c r="O74" s="245">
        <f t="shared" si="29"/>
        <v>10000</v>
      </c>
      <c r="P74" s="245">
        <v>2686.9940000000001</v>
      </c>
      <c r="Q74" s="224">
        <f t="shared" si="4"/>
        <v>0.26869940000000003</v>
      </c>
      <c r="R74" s="245">
        <v>4812.7809999999999</v>
      </c>
      <c r="S74" s="225">
        <v>0.48127809999999999</v>
      </c>
      <c r="T74" s="225">
        <v>0.50660852631578945</v>
      </c>
      <c r="U74" s="245">
        <v>4873.3149999999996</v>
      </c>
      <c r="V74" s="225">
        <v>0.48733149999999997</v>
      </c>
      <c r="W74" s="225">
        <v>0.51298052631578939</v>
      </c>
      <c r="X74" s="245">
        <v>4873.3149999999996</v>
      </c>
      <c r="Y74" s="225">
        <v>0.48733149999999997</v>
      </c>
      <c r="Z74" s="225">
        <v>0.51298052631578939</v>
      </c>
      <c r="AA74" s="245">
        <v>4873.3149999999996</v>
      </c>
      <c r="AB74" s="225">
        <v>0.48733149999999997</v>
      </c>
      <c r="AC74" s="225">
        <v>0.51298052631578939</v>
      </c>
      <c r="AD74" s="245">
        <v>4955.3509999999997</v>
      </c>
      <c r="AE74" s="225">
        <v>0.49553509999999995</v>
      </c>
      <c r="AF74" s="225">
        <v>0.52161589473684211</v>
      </c>
      <c r="AG74" s="245">
        <v>5766.4930000000004</v>
      </c>
      <c r="AH74" s="225">
        <v>0.57664930000000003</v>
      </c>
      <c r="AI74" s="225">
        <v>0.60699926315789476</v>
      </c>
      <c r="AJ74" s="245">
        <v>5766.4930000000004</v>
      </c>
      <c r="AK74" s="225">
        <v>0.57664930000000003</v>
      </c>
      <c r="AL74" s="225">
        <v>0.60699926315789476</v>
      </c>
      <c r="AM74" s="245">
        <v>7437.4679999999989</v>
      </c>
      <c r="AN74" s="225">
        <v>0.74374679999999993</v>
      </c>
      <c r="AO74" s="225">
        <v>0.78289136842105256</v>
      </c>
      <c r="AP74" s="225"/>
      <c r="AQ74" s="245">
        <v>7437.4679999999989</v>
      </c>
      <c r="AR74" s="225">
        <v>0.74374679999999993</v>
      </c>
      <c r="AS74" s="225">
        <v>0.78289136842105256</v>
      </c>
      <c r="AT74" s="245">
        <v>7437.4679999999989</v>
      </c>
      <c r="AU74" s="225">
        <v>0.74374679999999993</v>
      </c>
      <c r="AV74" s="225">
        <v>0.78289136842105256</v>
      </c>
      <c r="AW74" s="245">
        <v>7437.4679999999989</v>
      </c>
      <c r="AX74" s="225">
        <v>0.74374679999999993</v>
      </c>
      <c r="AY74" s="225">
        <v>0.78289136842105256</v>
      </c>
      <c r="AZ74" s="245">
        <v>7437.4679999999989</v>
      </c>
      <c r="BA74" s="225">
        <v>0.74374679999999993</v>
      </c>
      <c r="BB74" s="225">
        <v>0.78289136842105256</v>
      </c>
      <c r="BC74" s="245">
        <v>8232.025999999998</v>
      </c>
      <c r="BD74" s="225">
        <v>0.82320259999999978</v>
      </c>
      <c r="BE74" s="225">
        <v>0.86652905263157876</v>
      </c>
      <c r="BF74" s="245"/>
      <c r="BG74" s="245">
        <v>8241.5379999999986</v>
      </c>
      <c r="BH74" s="225">
        <v>0.82415379999999983</v>
      </c>
      <c r="BI74" s="225">
        <v>0.86753031578947359</v>
      </c>
      <c r="BJ74" s="245">
        <f t="shared" si="5"/>
        <v>9500</v>
      </c>
      <c r="BK74" s="245">
        <v>8822.2639999999992</v>
      </c>
      <c r="BL74" s="225">
        <f t="shared" si="58"/>
        <v>0.88222639999999997</v>
      </c>
      <c r="BM74" s="225">
        <f t="shared" si="59"/>
        <v>0.92865936842105257</v>
      </c>
      <c r="BN74" s="205">
        <f t="shared" si="76"/>
        <v>3866.9129999999996</v>
      </c>
      <c r="BO74" s="205"/>
      <c r="BP74" s="227">
        <v>1000</v>
      </c>
      <c r="BQ74" s="224">
        <f t="shared" si="7"/>
        <v>0.1</v>
      </c>
      <c r="BR74" s="227">
        <v>3200</v>
      </c>
      <c r="BS74" s="224">
        <f t="shared" si="60"/>
        <v>0.32</v>
      </c>
      <c r="BT74" s="227">
        <v>5500</v>
      </c>
      <c r="BU74" s="224">
        <f t="shared" si="61"/>
        <v>0.55000000000000004</v>
      </c>
      <c r="BV74" s="227">
        <v>6500</v>
      </c>
      <c r="BW74" s="224">
        <f t="shared" si="62"/>
        <v>0.65</v>
      </c>
      <c r="BX74" s="227">
        <v>8500</v>
      </c>
      <c r="BY74" s="224">
        <f t="shared" si="63"/>
        <v>0.85</v>
      </c>
      <c r="BZ74" s="227">
        <v>9500</v>
      </c>
      <c r="CA74" s="224">
        <f t="shared" si="64"/>
        <v>0.95</v>
      </c>
      <c r="CB74" s="227">
        <v>9500</v>
      </c>
      <c r="CC74" s="224">
        <f t="shared" si="65"/>
        <v>0.95</v>
      </c>
      <c r="CD74" s="227">
        <v>9500</v>
      </c>
      <c r="CE74" s="224">
        <f t="shared" si="66"/>
        <v>0.95</v>
      </c>
      <c r="CF74" s="227">
        <v>9500</v>
      </c>
      <c r="CG74" s="224">
        <f t="shared" si="67"/>
        <v>0.95</v>
      </c>
      <c r="CH74" s="227">
        <v>9500</v>
      </c>
      <c r="CI74" s="224">
        <f t="shared" si="68"/>
        <v>0.95</v>
      </c>
      <c r="CJ74" s="227">
        <v>9500</v>
      </c>
      <c r="CK74" s="224">
        <f t="shared" si="69"/>
        <v>0.95</v>
      </c>
      <c r="CL74" s="227">
        <v>9500</v>
      </c>
      <c r="CM74" s="224">
        <f t="shared" si="70"/>
        <v>0.95</v>
      </c>
      <c r="CN74" s="227">
        <v>9500</v>
      </c>
      <c r="CO74" s="224">
        <f t="shared" si="71"/>
        <v>0.95</v>
      </c>
      <c r="CP74" s="213" t="str">
        <f t="shared" si="23"/>
        <v>Đạt</v>
      </c>
      <c r="CQ74" s="213" t="str">
        <f t="shared" si="24"/>
        <v>Đạt</v>
      </c>
      <c r="CR74" s="192"/>
      <c r="CS74" s="245">
        <f t="shared" si="21"/>
        <v>1384.7960000000003</v>
      </c>
      <c r="CT74" s="223"/>
      <c r="CU74" s="163"/>
      <c r="CV74" s="232"/>
      <c r="CW74" s="195"/>
      <c r="CX74" s="196"/>
      <c r="CY74" s="196"/>
      <c r="CZ74" s="197"/>
      <c r="DA74" s="196"/>
      <c r="DB74" s="196"/>
      <c r="DC74" s="196"/>
      <c r="DE74" s="199"/>
      <c r="DF74" s="200"/>
      <c r="DG74" s="181"/>
    </row>
    <row r="75" spans="1:113" outlineLevel="1" x14ac:dyDescent="0.25">
      <c r="A75" s="192">
        <f>MAX(A$72:$B74)+1</f>
        <v>4</v>
      </c>
      <c r="B75" s="222" t="s">
        <v>210</v>
      </c>
      <c r="C75" s="222">
        <v>8049906</v>
      </c>
      <c r="D75" s="214">
        <f t="shared" si="73"/>
        <v>9500</v>
      </c>
      <c r="E75" s="214"/>
      <c r="F75" s="214">
        <f t="shared" si="74"/>
        <v>9500</v>
      </c>
      <c r="G75" s="245">
        <v>9500</v>
      </c>
      <c r="H75" s="245"/>
      <c r="I75" s="235"/>
      <c r="J75" s="235"/>
      <c r="K75" s="245"/>
      <c r="L75" s="235"/>
      <c r="M75" s="223"/>
      <c r="N75" s="223"/>
      <c r="O75" s="245">
        <f t="shared" si="29"/>
        <v>9500</v>
      </c>
      <c r="P75" s="245">
        <v>815.18</v>
      </c>
      <c r="Q75" s="224">
        <f t="shared" si="4"/>
        <v>8.5808421052631575E-2</v>
      </c>
      <c r="R75" s="245">
        <v>1848.2439999999999</v>
      </c>
      <c r="S75" s="225">
        <v>0.194552</v>
      </c>
      <c r="T75" s="225">
        <v>0.20479157894736841</v>
      </c>
      <c r="U75" s="245">
        <v>1848.2439999999999</v>
      </c>
      <c r="V75" s="225">
        <v>0.194552</v>
      </c>
      <c r="W75" s="225">
        <v>0.20479157894736841</v>
      </c>
      <c r="X75" s="245">
        <v>1848.2439999999999</v>
      </c>
      <c r="Y75" s="225">
        <v>0.194552</v>
      </c>
      <c r="Z75" s="225">
        <v>0.20479157894736841</v>
      </c>
      <c r="AA75" s="245">
        <v>1848.2439999999999</v>
      </c>
      <c r="AB75" s="225">
        <v>0.194552</v>
      </c>
      <c r="AC75" s="225">
        <v>0.20479157894736841</v>
      </c>
      <c r="AD75" s="245">
        <v>2462.9319999999998</v>
      </c>
      <c r="AE75" s="225">
        <v>0.25925599999999999</v>
      </c>
      <c r="AF75" s="225">
        <v>0.27290105263157893</v>
      </c>
      <c r="AG75" s="245">
        <v>2462.9319999999998</v>
      </c>
      <c r="AH75" s="225">
        <v>0.25925599999999999</v>
      </c>
      <c r="AI75" s="225">
        <v>0.27290105263157893</v>
      </c>
      <c r="AJ75" s="245">
        <v>2462.9319999999998</v>
      </c>
      <c r="AK75" s="225">
        <v>0.25925599999999999</v>
      </c>
      <c r="AL75" s="225">
        <v>0.27290105263157893</v>
      </c>
      <c r="AM75" s="245">
        <v>3337.6030000000001</v>
      </c>
      <c r="AN75" s="225">
        <v>0.35132663157894739</v>
      </c>
      <c r="AO75" s="225">
        <v>0.36981750692520776</v>
      </c>
      <c r="AP75" s="225"/>
      <c r="AQ75" s="245">
        <v>3337.6030000000001</v>
      </c>
      <c r="AR75" s="225">
        <v>0.35132663157894739</v>
      </c>
      <c r="AS75" s="225">
        <v>0.36981750692520776</v>
      </c>
      <c r="AT75" s="245">
        <v>3337.6030000000001</v>
      </c>
      <c r="AU75" s="225">
        <v>0.35132663157894739</v>
      </c>
      <c r="AV75" s="225">
        <v>0.36981750692520776</v>
      </c>
      <c r="AW75" s="245">
        <v>3337.6030000000001</v>
      </c>
      <c r="AX75" s="225">
        <v>0.35132663157894739</v>
      </c>
      <c r="AY75" s="225">
        <v>0.36981750692520776</v>
      </c>
      <c r="AZ75" s="245">
        <v>3337.6030000000001</v>
      </c>
      <c r="BA75" s="225">
        <v>0.35132663157894739</v>
      </c>
      <c r="BB75" s="225">
        <v>0.36981750692520776</v>
      </c>
      <c r="BC75" s="245">
        <v>5006.817</v>
      </c>
      <c r="BD75" s="225">
        <v>0.52703336842105264</v>
      </c>
      <c r="BE75" s="225">
        <v>0.55477196675900275</v>
      </c>
      <c r="BF75" s="245"/>
      <c r="BG75" s="245">
        <v>5006.817</v>
      </c>
      <c r="BH75" s="225">
        <v>0.52703336842105264</v>
      </c>
      <c r="BI75" s="225">
        <v>0.55477196675900275</v>
      </c>
      <c r="BJ75" s="245">
        <f t="shared" si="5"/>
        <v>9025</v>
      </c>
      <c r="BK75" s="245">
        <v>5006.817</v>
      </c>
      <c r="BL75" s="225">
        <f t="shared" si="58"/>
        <v>0.52703336842105264</v>
      </c>
      <c r="BM75" s="225">
        <f t="shared" si="59"/>
        <v>0.55477196675900275</v>
      </c>
      <c r="BN75" s="205">
        <f t="shared" si="76"/>
        <v>2543.8850000000002</v>
      </c>
      <c r="BO75" s="205"/>
      <c r="BP75" s="227">
        <v>1000</v>
      </c>
      <c r="BQ75" s="224">
        <f t="shared" si="7"/>
        <v>0.10526315789473684</v>
      </c>
      <c r="BR75" s="227">
        <v>2000</v>
      </c>
      <c r="BS75" s="224">
        <f t="shared" si="60"/>
        <v>0.21052631578947367</v>
      </c>
      <c r="BT75" s="227">
        <v>3000</v>
      </c>
      <c r="BU75" s="224">
        <f t="shared" si="61"/>
        <v>0.31578947368421051</v>
      </c>
      <c r="BV75" s="227">
        <v>5000</v>
      </c>
      <c r="BW75" s="224">
        <f t="shared" si="62"/>
        <v>0.52631578947368418</v>
      </c>
      <c r="BX75" s="227">
        <v>7000</v>
      </c>
      <c r="BY75" s="224">
        <f t="shared" si="63"/>
        <v>0.73684210526315785</v>
      </c>
      <c r="BZ75" s="227">
        <v>9025</v>
      </c>
      <c r="CA75" s="224">
        <f t="shared" si="64"/>
        <v>0.95</v>
      </c>
      <c r="CB75" s="227">
        <v>9025</v>
      </c>
      <c r="CC75" s="224">
        <f t="shared" si="65"/>
        <v>0.95</v>
      </c>
      <c r="CD75" s="227">
        <v>9025</v>
      </c>
      <c r="CE75" s="224">
        <f t="shared" si="66"/>
        <v>0.95</v>
      </c>
      <c r="CF75" s="227">
        <v>9025</v>
      </c>
      <c r="CG75" s="224">
        <f t="shared" si="67"/>
        <v>0.95</v>
      </c>
      <c r="CH75" s="227">
        <v>9025</v>
      </c>
      <c r="CI75" s="224">
        <f t="shared" si="68"/>
        <v>0.95</v>
      </c>
      <c r="CJ75" s="227">
        <v>9025</v>
      </c>
      <c r="CK75" s="224">
        <f t="shared" si="69"/>
        <v>0.95</v>
      </c>
      <c r="CL75" s="227">
        <v>9025</v>
      </c>
      <c r="CM75" s="224">
        <f t="shared" si="70"/>
        <v>0.95</v>
      </c>
      <c r="CN75" s="227">
        <v>9025</v>
      </c>
      <c r="CO75" s="224">
        <f t="shared" si="71"/>
        <v>0.95</v>
      </c>
      <c r="CP75" s="213" t="str">
        <f t="shared" si="23"/>
        <v>Đạt</v>
      </c>
      <c r="CQ75" s="213" t="str">
        <f t="shared" si="24"/>
        <v>Đạt</v>
      </c>
      <c r="CR75" s="192"/>
      <c r="CS75" s="245">
        <f t="shared" si="21"/>
        <v>1669.2139999999999</v>
      </c>
      <c r="CT75" s="223"/>
      <c r="CU75" s="163"/>
      <c r="CW75" s="195"/>
      <c r="CX75" s="196"/>
      <c r="CY75" s="196"/>
      <c r="CZ75" s="197"/>
      <c r="DA75" s="196"/>
      <c r="DB75" s="196"/>
      <c r="DC75" s="196"/>
      <c r="DE75" s="199"/>
      <c r="DF75" s="200"/>
      <c r="DG75" s="181"/>
    </row>
    <row r="76" spans="1:113" ht="51" outlineLevel="1" x14ac:dyDescent="0.25">
      <c r="A76" s="192">
        <f>MAX(A$72:$B75)+1</f>
        <v>5</v>
      </c>
      <c r="B76" s="222" t="s">
        <v>211</v>
      </c>
      <c r="C76" s="222">
        <v>8056092</v>
      </c>
      <c r="D76" s="214">
        <f t="shared" si="73"/>
        <v>100000</v>
      </c>
      <c r="E76" s="214"/>
      <c r="F76" s="214">
        <f t="shared" si="74"/>
        <v>100000</v>
      </c>
      <c r="G76" s="245">
        <v>70000</v>
      </c>
      <c r="H76" s="245">
        <v>30000</v>
      </c>
      <c r="I76" s="235"/>
      <c r="J76" s="235"/>
      <c r="K76" s="245"/>
      <c r="L76" s="235"/>
      <c r="M76" s="223"/>
      <c r="N76" s="223"/>
      <c r="O76" s="245">
        <f t="shared" si="29"/>
        <v>70000</v>
      </c>
      <c r="P76" s="245">
        <v>1457.585</v>
      </c>
      <c r="Q76" s="224">
        <f t="shared" si="4"/>
        <v>1.457585E-2</v>
      </c>
      <c r="R76" s="245">
        <v>28598.414000000001</v>
      </c>
      <c r="S76" s="225">
        <v>0.28598414</v>
      </c>
      <c r="T76" s="225">
        <v>0.30103593684210528</v>
      </c>
      <c r="U76" s="245">
        <v>28598.414000000001</v>
      </c>
      <c r="V76" s="225">
        <v>0.28598414</v>
      </c>
      <c r="W76" s="225">
        <v>0.30103593684210528</v>
      </c>
      <c r="X76" s="245">
        <v>28598.414000000001</v>
      </c>
      <c r="Y76" s="225">
        <v>0.28598414</v>
      </c>
      <c r="Z76" s="225">
        <v>0.30103593684210528</v>
      </c>
      <c r="AA76" s="245">
        <v>28598.414000000001</v>
      </c>
      <c r="AB76" s="225">
        <v>0.28598414</v>
      </c>
      <c r="AC76" s="225">
        <v>0.30103593684210528</v>
      </c>
      <c r="AD76" s="245">
        <v>29281.309000000001</v>
      </c>
      <c r="AE76" s="225">
        <v>0.29281309</v>
      </c>
      <c r="AF76" s="225">
        <v>0.30822430526315792</v>
      </c>
      <c r="AG76" s="245">
        <v>29806.768</v>
      </c>
      <c r="AH76" s="225">
        <v>0.29806768</v>
      </c>
      <c r="AI76" s="225">
        <v>0.31375545263157895</v>
      </c>
      <c r="AJ76" s="245">
        <v>29806.768</v>
      </c>
      <c r="AK76" s="225">
        <v>0.29806768</v>
      </c>
      <c r="AL76" s="225">
        <v>0.31375545263157895</v>
      </c>
      <c r="AM76" s="245">
        <v>29898.802</v>
      </c>
      <c r="AN76" s="225">
        <v>0.29898802000000002</v>
      </c>
      <c r="AO76" s="225">
        <v>0.31472423157894736</v>
      </c>
      <c r="AP76" s="225"/>
      <c r="AQ76" s="245">
        <v>59357.336000000003</v>
      </c>
      <c r="AR76" s="225">
        <v>0.59357336000000005</v>
      </c>
      <c r="AS76" s="225">
        <v>0.62481406315789478</v>
      </c>
      <c r="AT76" s="245">
        <v>59357.336000000003</v>
      </c>
      <c r="AU76" s="225">
        <v>0.59357336000000005</v>
      </c>
      <c r="AV76" s="225">
        <v>0.62481406315789478</v>
      </c>
      <c r="AW76" s="245">
        <v>59357.336000000003</v>
      </c>
      <c r="AX76" s="225">
        <v>0.59357336000000005</v>
      </c>
      <c r="AY76" s="225">
        <v>0.62481406315789478</v>
      </c>
      <c r="AZ76" s="245">
        <v>59357.336000000003</v>
      </c>
      <c r="BA76" s="225">
        <v>0.59357336000000005</v>
      </c>
      <c r="BB76" s="225">
        <v>0.62481406315789478</v>
      </c>
      <c r="BC76" s="245">
        <v>66499.999999999985</v>
      </c>
      <c r="BD76" s="225">
        <v>0.66499999999999981</v>
      </c>
      <c r="BE76" s="225">
        <v>0.69999999999999984</v>
      </c>
      <c r="BF76" s="245">
        <f>BK76-G76</f>
        <v>2628.1089999999822</v>
      </c>
      <c r="BG76" s="245">
        <v>72471.850999999981</v>
      </c>
      <c r="BH76" s="225">
        <v>0.72471850999999976</v>
      </c>
      <c r="BI76" s="225">
        <v>0.76286158947368399</v>
      </c>
      <c r="BJ76" s="245">
        <f t="shared" si="5"/>
        <v>95000</v>
      </c>
      <c r="BK76" s="245">
        <v>72628.108999999982</v>
      </c>
      <c r="BL76" s="225">
        <f t="shared" si="58"/>
        <v>0.72628108999999985</v>
      </c>
      <c r="BM76" s="225">
        <f t="shared" si="59"/>
        <v>0.76450641052631563</v>
      </c>
      <c r="BN76" s="205">
        <f t="shared" si="76"/>
        <v>43346.799999999981</v>
      </c>
      <c r="BO76" s="205"/>
      <c r="BP76" s="227">
        <v>27400</v>
      </c>
      <c r="BQ76" s="224">
        <f t="shared" si="7"/>
        <v>0.27400000000000002</v>
      </c>
      <c r="BR76" s="227">
        <v>29400</v>
      </c>
      <c r="BS76" s="224">
        <f t="shared" si="60"/>
        <v>0.29399999999999998</v>
      </c>
      <c r="BT76" s="227">
        <v>32400</v>
      </c>
      <c r="BU76" s="224">
        <f t="shared" si="61"/>
        <v>0.32400000000000001</v>
      </c>
      <c r="BV76" s="227">
        <v>35400</v>
      </c>
      <c r="BW76" s="224">
        <f t="shared" si="62"/>
        <v>0.35399999999999998</v>
      </c>
      <c r="BX76" s="227">
        <v>55400</v>
      </c>
      <c r="BY76" s="224">
        <f t="shared" si="63"/>
        <v>0.55400000000000005</v>
      </c>
      <c r="BZ76" s="227">
        <v>60400</v>
      </c>
      <c r="CA76" s="224">
        <f t="shared" si="64"/>
        <v>0.60399999999999998</v>
      </c>
      <c r="CB76" s="227">
        <v>65400</v>
      </c>
      <c r="CC76" s="224">
        <f t="shared" si="65"/>
        <v>0.65400000000000003</v>
      </c>
      <c r="CD76" s="227">
        <v>75400</v>
      </c>
      <c r="CE76" s="224">
        <f t="shared" si="66"/>
        <v>0.754</v>
      </c>
      <c r="CF76" s="227">
        <v>80400</v>
      </c>
      <c r="CG76" s="224">
        <f t="shared" si="67"/>
        <v>0.80400000000000005</v>
      </c>
      <c r="CH76" s="227">
        <v>85400</v>
      </c>
      <c r="CI76" s="224">
        <f t="shared" si="68"/>
        <v>0.85399999999999998</v>
      </c>
      <c r="CJ76" s="227">
        <v>90400</v>
      </c>
      <c r="CK76" s="224">
        <f t="shared" si="69"/>
        <v>0.90400000000000003</v>
      </c>
      <c r="CL76" s="227">
        <v>95000</v>
      </c>
      <c r="CM76" s="224">
        <f t="shared" si="70"/>
        <v>0.95</v>
      </c>
      <c r="CN76" s="227">
        <v>95000</v>
      </c>
      <c r="CO76" s="224">
        <f t="shared" si="71"/>
        <v>0.95</v>
      </c>
      <c r="CP76" s="213" t="str">
        <f t="shared" si="23"/>
        <v>Đạt</v>
      </c>
      <c r="CQ76" s="213" t="str">
        <f t="shared" si="24"/>
        <v>Đạt</v>
      </c>
      <c r="CR76" s="192"/>
      <c r="CS76" s="245">
        <f t="shared" si="21"/>
        <v>13270.772999999979</v>
      </c>
      <c r="CT76" s="223"/>
      <c r="CU76" s="163"/>
      <c r="CW76" s="195"/>
      <c r="CX76" s="196"/>
      <c r="CY76" s="196"/>
      <c r="CZ76" s="197"/>
      <c r="DA76" s="196"/>
      <c r="DB76" s="196"/>
      <c r="DC76" s="196"/>
      <c r="DE76" s="199"/>
      <c r="DF76" s="200"/>
      <c r="DG76" s="181"/>
    </row>
    <row r="77" spans="1:113" ht="38.25" outlineLevel="1" x14ac:dyDescent="0.25">
      <c r="A77" s="192">
        <f>MAX(A$72:$B76)+1</f>
        <v>6</v>
      </c>
      <c r="B77" s="222" t="s">
        <v>212</v>
      </c>
      <c r="C77" s="222">
        <v>7808109</v>
      </c>
      <c r="D77" s="214">
        <f t="shared" si="73"/>
        <v>382500</v>
      </c>
      <c r="E77" s="214"/>
      <c r="F77" s="214">
        <f t="shared" si="74"/>
        <v>382500</v>
      </c>
      <c r="G77" s="245">
        <v>200000</v>
      </c>
      <c r="H77" s="245">
        <f>182500-5000+5000</f>
        <v>182500</v>
      </c>
      <c r="I77" s="235"/>
      <c r="J77" s="235"/>
      <c r="K77" s="245"/>
      <c r="L77" s="235"/>
      <c r="M77" s="223"/>
      <c r="N77" s="223"/>
      <c r="O77" s="245">
        <f t="shared" si="29"/>
        <v>200000</v>
      </c>
      <c r="P77" s="245">
        <v>0</v>
      </c>
      <c r="Q77" s="224">
        <f t="shared" si="4"/>
        <v>0</v>
      </c>
      <c r="R77" s="245">
        <v>3391.0909999999999</v>
      </c>
      <c r="S77" s="225">
        <v>8.8655973856209148E-3</v>
      </c>
      <c r="T77" s="225">
        <v>9.3322077743378043E-3</v>
      </c>
      <c r="U77" s="245">
        <v>3891.0909999999999</v>
      </c>
      <c r="V77" s="225">
        <v>1.0172786928104575E-2</v>
      </c>
      <c r="W77" s="225">
        <v>1.0708196766425869E-2</v>
      </c>
      <c r="X77" s="245">
        <v>3891.0909999999999</v>
      </c>
      <c r="Y77" s="225">
        <v>1.0172786928104575E-2</v>
      </c>
      <c r="Z77" s="225">
        <v>1.0708196766425869E-2</v>
      </c>
      <c r="AA77" s="245">
        <v>3891.0909999999999</v>
      </c>
      <c r="AB77" s="225">
        <v>1.0172786928104575E-2</v>
      </c>
      <c r="AC77" s="225">
        <v>1.0708196766425869E-2</v>
      </c>
      <c r="AD77" s="245">
        <v>3891.0909999999999</v>
      </c>
      <c r="AE77" s="225">
        <v>1.0172786928104575E-2</v>
      </c>
      <c r="AF77" s="225">
        <v>1.0708196766425869E-2</v>
      </c>
      <c r="AG77" s="245">
        <v>3891.0909999999999</v>
      </c>
      <c r="AH77" s="225">
        <v>1.0172786928104575E-2</v>
      </c>
      <c r="AI77" s="225">
        <v>1.0708196766425869E-2</v>
      </c>
      <c r="AJ77" s="245">
        <v>3891.0909999999999</v>
      </c>
      <c r="AK77" s="225">
        <v>1.0172786928104575E-2</v>
      </c>
      <c r="AL77" s="225">
        <v>1.0708196766425869E-2</v>
      </c>
      <c r="AM77" s="245">
        <v>3953.7109999999998</v>
      </c>
      <c r="AN77" s="225">
        <v>1.0336499346405228E-2</v>
      </c>
      <c r="AO77" s="225">
        <v>1.0880525627794978E-2</v>
      </c>
      <c r="AP77" s="225"/>
      <c r="AQ77" s="245">
        <v>4137.875</v>
      </c>
      <c r="AR77" s="225">
        <v>1.081797385620915E-2</v>
      </c>
      <c r="AS77" s="225">
        <v>1.138734090127279E-2</v>
      </c>
      <c r="AT77" s="245">
        <v>4137.875</v>
      </c>
      <c r="AU77" s="225">
        <v>1.081797385620915E-2</v>
      </c>
      <c r="AV77" s="225">
        <v>1.138734090127279E-2</v>
      </c>
      <c r="AW77" s="245">
        <v>4137.875</v>
      </c>
      <c r="AX77" s="225">
        <v>1.081797385620915E-2</v>
      </c>
      <c r="AY77" s="225">
        <v>1.138734090127279E-2</v>
      </c>
      <c r="AZ77" s="245">
        <v>4137.875</v>
      </c>
      <c r="BA77" s="225">
        <v>1.081797385620915E-2</v>
      </c>
      <c r="BB77" s="225">
        <v>1.138734090127279E-2</v>
      </c>
      <c r="BC77" s="245">
        <v>4137.875</v>
      </c>
      <c r="BD77" s="225">
        <v>1.081797385620915E-2</v>
      </c>
      <c r="BE77" s="225">
        <v>1.138734090127279E-2</v>
      </c>
      <c r="BF77" s="245"/>
      <c r="BG77" s="245">
        <v>4137.875</v>
      </c>
      <c r="BH77" s="225">
        <v>1.081797385620915E-2</v>
      </c>
      <c r="BI77" s="225">
        <v>1.138734090127279E-2</v>
      </c>
      <c r="BJ77" s="245">
        <f t="shared" si="5"/>
        <v>363375</v>
      </c>
      <c r="BK77" s="245">
        <v>4137.875</v>
      </c>
      <c r="BL77" s="225">
        <f t="shared" si="58"/>
        <v>1.081797385620915E-2</v>
      </c>
      <c r="BM77" s="225">
        <f t="shared" si="59"/>
        <v>1.138734090127279E-2</v>
      </c>
      <c r="BN77" s="205">
        <f t="shared" si="76"/>
        <v>246.78400000000011</v>
      </c>
      <c r="BO77" s="205"/>
      <c r="BP77" s="227">
        <v>621</v>
      </c>
      <c r="BQ77" s="224">
        <f t="shared" si="7"/>
        <v>1.623529411764706E-3</v>
      </c>
      <c r="BR77" s="227">
        <v>214588</v>
      </c>
      <c r="BS77" s="224">
        <f t="shared" si="60"/>
        <v>0.56101437908496732</v>
      </c>
      <c r="BT77" s="227">
        <v>214588</v>
      </c>
      <c r="BU77" s="224">
        <f t="shared" si="61"/>
        <v>0.56101437908496732</v>
      </c>
      <c r="BV77" s="227">
        <v>214588</v>
      </c>
      <c r="BW77" s="224">
        <f t="shared" si="62"/>
        <v>0.56101437908496732</v>
      </c>
      <c r="BX77" s="227">
        <v>214588</v>
      </c>
      <c r="BY77" s="224">
        <f t="shared" si="63"/>
        <v>0.56101437908496732</v>
      </c>
      <c r="BZ77" s="227">
        <v>250249</v>
      </c>
      <c r="CA77" s="224">
        <f t="shared" si="64"/>
        <v>0.65424575163398691</v>
      </c>
      <c r="CB77" s="227">
        <v>250249</v>
      </c>
      <c r="CC77" s="224">
        <f t="shared" si="65"/>
        <v>0.65424575163398691</v>
      </c>
      <c r="CD77" s="227">
        <v>250249</v>
      </c>
      <c r="CE77" s="224">
        <f t="shared" si="66"/>
        <v>0.65424575163398691</v>
      </c>
      <c r="CF77" s="227">
        <v>307306</v>
      </c>
      <c r="CG77" s="224">
        <f t="shared" si="67"/>
        <v>0.80341437908496727</v>
      </c>
      <c r="CH77" s="227">
        <v>307306</v>
      </c>
      <c r="CI77" s="224">
        <f t="shared" si="68"/>
        <v>0.80341437908496727</v>
      </c>
      <c r="CJ77" s="227">
        <v>307306</v>
      </c>
      <c r="CK77" s="224">
        <f t="shared" si="69"/>
        <v>0.80341437908496727</v>
      </c>
      <c r="CL77" s="227">
        <v>363375</v>
      </c>
      <c r="CM77" s="224">
        <f t="shared" si="70"/>
        <v>0.95</v>
      </c>
      <c r="CN77" s="227">
        <v>363375</v>
      </c>
      <c r="CO77" s="224">
        <f t="shared" si="71"/>
        <v>0.95</v>
      </c>
      <c r="CP77" s="213" t="str">
        <f t="shared" si="23"/>
        <v>Không đạt</v>
      </c>
      <c r="CQ77" s="213" t="str">
        <f t="shared" si="24"/>
        <v>Không đạt</v>
      </c>
      <c r="CR77" s="192"/>
      <c r="CS77" s="245">
        <f t="shared" si="21"/>
        <v>0</v>
      </c>
      <c r="CT77" s="223"/>
      <c r="CU77" s="163"/>
      <c r="CW77" s="195"/>
      <c r="CX77" s="196"/>
      <c r="CY77" s="196"/>
      <c r="CZ77" s="197"/>
      <c r="DA77" s="196"/>
      <c r="DB77" s="196"/>
      <c r="DC77" s="196"/>
      <c r="DE77" s="199"/>
      <c r="DF77" s="200"/>
      <c r="DG77" s="181"/>
    </row>
    <row r="78" spans="1:113" ht="27" customHeight="1" outlineLevel="1" x14ac:dyDescent="0.25">
      <c r="A78" s="192">
        <f>MAX(A$72:$B77)+1</f>
        <v>7</v>
      </c>
      <c r="B78" s="222" t="s">
        <v>213</v>
      </c>
      <c r="C78" s="222">
        <v>8112035</v>
      </c>
      <c r="D78" s="214">
        <f t="shared" si="73"/>
        <v>120000</v>
      </c>
      <c r="E78" s="214"/>
      <c r="F78" s="214">
        <f t="shared" si="74"/>
        <v>120000</v>
      </c>
      <c r="G78" s="245">
        <v>90000</v>
      </c>
      <c r="H78" s="245">
        <v>30000</v>
      </c>
      <c r="I78" s="235"/>
      <c r="J78" s="235"/>
      <c r="K78" s="245"/>
      <c r="L78" s="235"/>
      <c r="M78" s="223"/>
      <c r="N78" s="223"/>
      <c r="O78" s="245">
        <f t="shared" si="29"/>
        <v>90000</v>
      </c>
      <c r="P78" s="245">
        <v>0</v>
      </c>
      <c r="Q78" s="224">
        <f t="shared" si="4"/>
        <v>0</v>
      </c>
      <c r="R78" s="245"/>
      <c r="S78" s="225">
        <v>0</v>
      </c>
      <c r="T78" s="225">
        <v>0</v>
      </c>
      <c r="U78" s="245"/>
      <c r="V78" s="225">
        <v>0</v>
      </c>
      <c r="W78" s="225">
        <v>0</v>
      </c>
      <c r="X78" s="245"/>
      <c r="Y78" s="225">
        <v>0</v>
      </c>
      <c r="Z78" s="225">
        <v>0</v>
      </c>
      <c r="AA78" s="245"/>
      <c r="AB78" s="225">
        <v>0</v>
      </c>
      <c r="AC78" s="225">
        <v>0</v>
      </c>
      <c r="AD78" s="245"/>
      <c r="AE78" s="225">
        <v>0</v>
      </c>
      <c r="AF78" s="225">
        <v>0</v>
      </c>
      <c r="AG78" s="245"/>
      <c r="AH78" s="225">
        <v>0</v>
      </c>
      <c r="AI78" s="225">
        <v>0</v>
      </c>
      <c r="AJ78" s="245"/>
      <c r="AK78" s="225">
        <v>0</v>
      </c>
      <c r="AL78" s="225">
        <v>0</v>
      </c>
      <c r="AM78" s="245"/>
      <c r="AN78" s="225">
        <v>0</v>
      </c>
      <c r="AO78" s="225">
        <v>0</v>
      </c>
      <c r="AP78" s="225"/>
      <c r="AQ78" s="245"/>
      <c r="AR78" s="225">
        <v>0</v>
      </c>
      <c r="AS78" s="225">
        <v>0</v>
      </c>
      <c r="AT78" s="245"/>
      <c r="AU78" s="225">
        <v>0</v>
      </c>
      <c r="AV78" s="225">
        <v>0</v>
      </c>
      <c r="AW78" s="245"/>
      <c r="AX78" s="225">
        <v>0</v>
      </c>
      <c r="AY78" s="225">
        <v>0</v>
      </c>
      <c r="AZ78" s="245"/>
      <c r="BA78" s="225">
        <v>0</v>
      </c>
      <c r="BB78" s="225">
        <v>0</v>
      </c>
      <c r="BC78" s="245"/>
      <c r="BD78" s="225">
        <v>0</v>
      </c>
      <c r="BE78" s="225">
        <v>0</v>
      </c>
      <c r="BF78" s="245"/>
      <c r="BG78" s="245">
        <v>798.52499999999998</v>
      </c>
      <c r="BH78" s="225">
        <v>6.6543749999999997E-3</v>
      </c>
      <c r="BI78" s="225">
        <v>7.0046052631578945E-3</v>
      </c>
      <c r="BJ78" s="245">
        <f t="shared" si="5"/>
        <v>114000</v>
      </c>
      <c r="BK78" s="245">
        <v>1790.973</v>
      </c>
      <c r="BL78" s="225">
        <f t="shared" si="58"/>
        <v>1.4924775E-2</v>
      </c>
      <c r="BM78" s="225">
        <f t="shared" si="59"/>
        <v>1.5710289473684209E-2</v>
      </c>
      <c r="BN78" s="205">
        <f t="shared" si="76"/>
        <v>1790.973</v>
      </c>
      <c r="BO78" s="205"/>
      <c r="BP78" s="227"/>
      <c r="BQ78" s="224">
        <f t="shared" si="7"/>
        <v>0</v>
      </c>
      <c r="BR78" s="227"/>
      <c r="BS78" s="224">
        <f t="shared" si="60"/>
        <v>0</v>
      </c>
      <c r="BT78" s="227"/>
      <c r="BU78" s="224">
        <f t="shared" si="61"/>
        <v>0</v>
      </c>
      <c r="BV78" s="227"/>
      <c r="BW78" s="224">
        <f t="shared" si="62"/>
        <v>0</v>
      </c>
      <c r="BX78" s="227">
        <v>20000</v>
      </c>
      <c r="BY78" s="224">
        <f t="shared" si="63"/>
        <v>0.16666666666666666</v>
      </c>
      <c r="BZ78" s="227">
        <v>20000</v>
      </c>
      <c r="CA78" s="224">
        <f t="shared" si="64"/>
        <v>0.16666666666666666</v>
      </c>
      <c r="CB78" s="227">
        <v>40000</v>
      </c>
      <c r="CC78" s="224">
        <f t="shared" si="65"/>
        <v>0.33333333333333331</v>
      </c>
      <c r="CD78" s="227">
        <v>40000</v>
      </c>
      <c r="CE78" s="224">
        <f t="shared" si="66"/>
        <v>0.33333333333333331</v>
      </c>
      <c r="CF78" s="227">
        <v>60000</v>
      </c>
      <c r="CG78" s="224">
        <f t="shared" si="67"/>
        <v>0.5</v>
      </c>
      <c r="CH78" s="227">
        <v>60000</v>
      </c>
      <c r="CI78" s="224">
        <f t="shared" si="68"/>
        <v>0.5</v>
      </c>
      <c r="CJ78" s="227">
        <v>90000</v>
      </c>
      <c r="CK78" s="224">
        <f t="shared" si="69"/>
        <v>0.75</v>
      </c>
      <c r="CL78" s="227">
        <v>90000</v>
      </c>
      <c r="CM78" s="224">
        <f t="shared" si="70"/>
        <v>0.75</v>
      </c>
      <c r="CN78" s="227">
        <v>114000</v>
      </c>
      <c r="CO78" s="224">
        <f t="shared" si="71"/>
        <v>0.95</v>
      </c>
      <c r="CP78" s="213" t="str">
        <f t="shared" si="23"/>
        <v>Không đạt</v>
      </c>
      <c r="CQ78" s="213" t="str">
        <f t="shared" si="24"/>
        <v>Không đạt</v>
      </c>
      <c r="CR78" s="192"/>
      <c r="CS78" s="245">
        <f t="shared" si="21"/>
        <v>1790.973</v>
      </c>
      <c r="CT78" s="223"/>
      <c r="CU78" s="163"/>
      <c r="CW78" s="195"/>
      <c r="CX78" s="196"/>
      <c r="CY78" s="196"/>
      <c r="CZ78" s="197"/>
      <c r="DA78" s="196"/>
      <c r="DB78" s="196"/>
      <c r="DC78" s="196"/>
      <c r="DE78" s="199"/>
      <c r="DF78" s="200"/>
      <c r="DG78" s="181"/>
    </row>
    <row r="79" spans="1:113" ht="63.75" outlineLevel="1" x14ac:dyDescent="0.25">
      <c r="A79" s="192">
        <f>MAX(A$72:$B78)+1</f>
        <v>8</v>
      </c>
      <c r="B79" s="222" t="s">
        <v>214</v>
      </c>
      <c r="C79" s="222">
        <v>8123883</v>
      </c>
      <c r="D79" s="214">
        <f t="shared" si="73"/>
        <v>30000</v>
      </c>
      <c r="E79" s="214"/>
      <c r="F79" s="214">
        <f t="shared" si="74"/>
        <v>30000</v>
      </c>
      <c r="G79" s="245">
        <v>30000</v>
      </c>
      <c r="H79" s="245"/>
      <c r="I79" s="235"/>
      <c r="J79" s="235"/>
      <c r="K79" s="245"/>
      <c r="L79" s="235"/>
      <c r="M79" s="223"/>
      <c r="N79" s="223"/>
      <c r="O79" s="245">
        <f t="shared" si="29"/>
        <v>30000</v>
      </c>
      <c r="P79" s="245">
        <v>1831.6860000000001</v>
      </c>
      <c r="Q79" s="224">
        <f t="shared" si="4"/>
        <v>6.1056200000000005E-2</v>
      </c>
      <c r="R79" s="245">
        <v>1831.6859999999999</v>
      </c>
      <c r="S79" s="225">
        <v>6.1056199999999998E-2</v>
      </c>
      <c r="T79" s="225">
        <v>6.4269684210526312E-2</v>
      </c>
      <c r="U79" s="245">
        <v>1831.6859999999999</v>
      </c>
      <c r="V79" s="225">
        <v>6.1056199999999998E-2</v>
      </c>
      <c r="W79" s="225">
        <v>6.4269684210526312E-2</v>
      </c>
      <c r="X79" s="245">
        <v>1831.6859999999999</v>
      </c>
      <c r="Y79" s="225">
        <v>6.1056199999999998E-2</v>
      </c>
      <c r="Z79" s="225">
        <v>6.4269684210526312E-2</v>
      </c>
      <c r="AA79" s="245">
        <v>2832</v>
      </c>
      <c r="AB79" s="225">
        <v>9.4399999999999998E-2</v>
      </c>
      <c r="AC79" s="225">
        <v>9.9368421052631578E-2</v>
      </c>
      <c r="AD79" s="245">
        <v>2832</v>
      </c>
      <c r="AE79" s="225">
        <v>9.4399999999999998E-2</v>
      </c>
      <c r="AF79" s="225">
        <v>9.9368421052631578E-2</v>
      </c>
      <c r="AG79" s="245">
        <v>3090.69</v>
      </c>
      <c r="AH79" s="225">
        <v>0.103023</v>
      </c>
      <c r="AI79" s="225">
        <v>0.10844526315789474</v>
      </c>
      <c r="AJ79" s="231">
        <v>3090.69</v>
      </c>
      <c r="AK79" s="225">
        <v>0.103023</v>
      </c>
      <c r="AL79" s="225">
        <v>0.10844526315789474</v>
      </c>
      <c r="AM79" s="245">
        <v>3090.69</v>
      </c>
      <c r="AN79" s="225">
        <v>0.103023</v>
      </c>
      <c r="AO79" s="225">
        <v>0.10844526315789474</v>
      </c>
      <c r="AP79" s="225"/>
      <c r="AQ79" s="245">
        <v>3090.69</v>
      </c>
      <c r="AR79" s="225">
        <v>0.103023</v>
      </c>
      <c r="AS79" s="225">
        <v>0.10844526315789474</v>
      </c>
      <c r="AT79" s="245">
        <v>3090.69</v>
      </c>
      <c r="AU79" s="225">
        <v>0.103023</v>
      </c>
      <c r="AV79" s="225">
        <v>0.10844526315789474</v>
      </c>
      <c r="AW79" s="245">
        <v>3090.69</v>
      </c>
      <c r="AX79" s="225">
        <v>0.103023</v>
      </c>
      <c r="AY79" s="225">
        <v>0.10844526315789474</v>
      </c>
      <c r="AZ79" s="245">
        <v>3090.69</v>
      </c>
      <c r="BA79" s="225">
        <v>0.103023</v>
      </c>
      <c r="BB79" s="225">
        <v>0.10844526315789474</v>
      </c>
      <c r="BC79" s="245">
        <v>3090.69</v>
      </c>
      <c r="BD79" s="225">
        <v>0.103023</v>
      </c>
      <c r="BE79" s="225">
        <v>0.10844526315789474</v>
      </c>
      <c r="BF79" s="245"/>
      <c r="BG79" s="245">
        <v>3090.69</v>
      </c>
      <c r="BH79" s="225">
        <v>0.103023</v>
      </c>
      <c r="BI79" s="225">
        <v>0.10844526315789474</v>
      </c>
      <c r="BJ79" s="245">
        <f t="shared" si="5"/>
        <v>28500</v>
      </c>
      <c r="BK79" s="245">
        <v>3090.69</v>
      </c>
      <c r="BL79" s="225">
        <f t="shared" si="58"/>
        <v>0.103023</v>
      </c>
      <c r="BM79" s="225">
        <f t="shared" si="59"/>
        <v>0.10844526315789474</v>
      </c>
      <c r="BN79" s="205">
        <f t="shared" si="76"/>
        <v>258.69000000000005</v>
      </c>
      <c r="BO79" s="205"/>
      <c r="BP79" s="227">
        <v>1500</v>
      </c>
      <c r="BQ79" s="224">
        <f t="shared" si="7"/>
        <v>0.05</v>
      </c>
      <c r="BR79" s="227">
        <v>2000</v>
      </c>
      <c r="BS79" s="224">
        <f t="shared" si="60"/>
        <v>6.6666666666666666E-2</v>
      </c>
      <c r="BT79" s="227">
        <v>2300</v>
      </c>
      <c r="BU79" s="224">
        <f t="shared" si="61"/>
        <v>7.6666666666666661E-2</v>
      </c>
      <c r="BV79" s="227">
        <v>2300</v>
      </c>
      <c r="BW79" s="224">
        <f t="shared" si="62"/>
        <v>7.6666666666666661E-2</v>
      </c>
      <c r="BX79" s="227">
        <v>2300</v>
      </c>
      <c r="BY79" s="224">
        <f t="shared" si="63"/>
        <v>7.6666666666666661E-2</v>
      </c>
      <c r="BZ79" s="227">
        <v>28500</v>
      </c>
      <c r="CA79" s="224">
        <f t="shared" si="64"/>
        <v>0.95</v>
      </c>
      <c r="CB79" s="227">
        <v>28500</v>
      </c>
      <c r="CC79" s="224">
        <f t="shared" si="65"/>
        <v>0.95</v>
      </c>
      <c r="CD79" s="227">
        <v>28500</v>
      </c>
      <c r="CE79" s="224">
        <f t="shared" si="66"/>
        <v>0.95</v>
      </c>
      <c r="CF79" s="227">
        <v>28500</v>
      </c>
      <c r="CG79" s="224">
        <f t="shared" si="67"/>
        <v>0.95</v>
      </c>
      <c r="CH79" s="227">
        <v>28500</v>
      </c>
      <c r="CI79" s="224">
        <f t="shared" si="68"/>
        <v>0.95</v>
      </c>
      <c r="CJ79" s="227">
        <v>28500</v>
      </c>
      <c r="CK79" s="224">
        <f t="shared" si="69"/>
        <v>0.95</v>
      </c>
      <c r="CL79" s="227">
        <v>28500</v>
      </c>
      <c r="CM79" s="224">
        <f t="shared" si="70"/>
        <v>0.95</v>
      </c>
      <c r="CN79" s="227">
        <v>28500</v>
      </c>
      <c r="CO79" s="224">
        <f t="shared" si="71"/>
        <v>0.95</v>
      </c>
      <c r="CP79" s="213" t="str">
        <f t="shared" si="23"/>
        <v>Không đạt</v>
      </c>
      <c r="CQ79" s="213" t="str">
        <f t="shared" si="24"/>
        <v>Không đạt</v>
      </c>
      <c r="CR79" s="192"/>
      <c r="CS79" s="245">
        <f t="shared" si="21"/>
        <v>0</v>
      </c>
      <c r="CT79" s="223"/>
      <c r="CU79" s="163"/>
      <c r="CW79" s="195"/>
      <c r="CX79" s="196"/>
      <c r="CY79" s="196"/>
      <c r="CZ79" s="197"/>
      <c r="DA79" s="196"/>
      <c r="DB79" s="196"/>
      <c r="DC79" s="196"/>
      <c r="DE79" s="199"/>
      <c r="DF79" s="200"/>
      <c r="DG79" s="181"/>
    </row>
    <row r="80" spans="1:113" s="255" customFormat="1" outlineLevel="1" x14ac:dyDescent="0.25">
      <c r="A80" s="191" t="s">
        <v>29</v>
      </c>
      <c r="B80" s="210" t="s">
        <v>178</v>
      </c>
      <c r="C80" s="210"/>
      <c r="D80" s="231">
        <f t="shared" ref="D80:L80" si="77">SUM(D81:D129)</f>
        <v>486500</v>
      </c>
      <c r="E80" s="231">
        <f t="shared" si="77"/>
        <v>0</v>
      </c>
      <c r="F80" s="231">
        <f t="shared" si="77"/>
        <v>486500</v>
      </c>
      <c r="G80" s="231">
        <f t="shared" si="77"/>
        <v>157000</v>
      </c>
      <c r="H80" s="231">
        <f t="shared" si="77"/>
        <v>204500</v>
      </c>
      <c r="I80" s="231">
        <f t="shared" si="77"/>
        <v>20835</v>
      </c>
      <c r="J80" s="231"/>
      <c r="K80" s="231">
        <f t="shared" si="77"/>
        <v>125000</v>
      </c>
      <c r="L80" s="231">
        <f t="shared" si="77"/>
        <v>0</v>
      </c>
      <c r="M80" s="231"/>
      <c r="N80" s="231"/>
      <c r="O80" s="231">
        <f t="shared" si="29"/>
        <v>177835</v>
      </c>
      <c r="P80" s="231">
        <v>665.69</v>
      </c>
      <c r="Q80" s="212">
        <f t="shared" si="4"/>
        <v>1.3683247687564235E-3</v>
      </c>
      <c r="R80" s="231">
        <v>12823.555329000001</v>
      </c>
      <c r="S80" s="211">
        <v>2.6358798209660843E-2</v>
      </c>
      <c r="T80" s="211">
        <v>2.7746103378590362E-2</v>
      </c>
      <c r="U80" s="231">
        <v>16120.396329000003</v>
      </c>
      <c r="V80" s="211">
        <v>3.3135449802672155E-2</v>
      </c>
      <c r="W80" s="211">
        <v>3.4879420844918053E-2</v>
      </c>
      <c r="X80" s="231">
        <v>16120.396329000003</v>
      </c>
      <c r="Y80" s="211">
        <v>3.3135449802672155E-2</v>
      </c>
      <c r="Z80" s="211">
        <v>3.4879420844918053E-2</v>
      </c>
      <c r="AA80" s="231">
        <v>16785.102329000001</v>
      </c>
      <c r="AB80" s="211">
        <v>3.4501751960945529E-2</v>
      </c>
      <c r="AC80" s="211">
        <v>3.6317633643100561E-2</v>
      </c>
      <c r="AD80" s="231">
        <v>33493.348329</v>
      </c>
      <c r="AE80" s="211">
        <v>6.8845525856115114E-2</v>
      </c>
      <c r="AF80" s="211">
        <v>7.246897458538433E-2</v>
      </c>
      <c r="AG80" s="231">
        <v>33646.063329000004</v>
      </c>
      <c r="AH80" s="211">
        <v>6.9159431303186025E-2</v>
      </c>
      <c r="AI80" s="211">
        <v>7.2799401371774763E-2</v>
      </c>
      <c r="AJ80" s="250">
        <v>33646.063329000004</v>
      </c>
      <c r="AK80" s="211">
        <v>6.9159431303186025E-2</v>
      </c>
      <c r="AL80" s="211">
        <v>7.2799401371774763E-2</v>
      </c>
      <c r="AM80" s="231">
        <v>33820.657329000001</v>
      </c>
      <c r="AN80" s="211">
        <v>6.9518309001027748E-2</v>
      </c>
      <c r="AO80" s="211">
        <v>7.3177167369502902E-2</v>
      </c>
      <c r="AP80" s="211"/>
      <c r="AQ80" s="251">
        <v>61605.777329000004</v>
      </c>
      <c r="AR80" s="211">
        <v>0.12663058032682425</v>
      </c>
      <c r="AS80" s="211">
        <v>0.13329534771244658</v>
      </c>
      <c r="AT80" s="251">
        <v>63277.777669999996</v>
      </c>
      <c r="AU80" s="211">
        <v>0.13006737445015415</v>
      </c>
      <c r="AV80" s="211">
        <v>0.13691302573700437</v>
      </c>
      <c r="AW80" s="251">
        <v>63277.777669999996</v>
      </c>
      <c r="AX80" s="211">
        <v>0.13006737445015415</v>
      </c>
      <c r="AY80" s="211">
        <v>0.13691302573700437</v>
      </c>
      <c r="AZ80" s="251">
        <v>63818.485669999995</v>
      </c>
      <c r="BA80" s="211">
        <v>0.13117879891058581</v>
      </c>
      <c r="BB80" s="211">
        <v>0.13808294622166928</v>
      </c>
      <c r="BC80" s="251">
        <v>72805.491439999998</v>
      </c>
      <c r="BD80" s="211">
        <v>0.14965157541623844</v>
      </c>
      <c r="BE80" s="211">
        <v>0.15752797412235625</v>
      </c>
      <c r="BF80" s="251"/>
      <c r="BG80" s="251">
        <v>86893.513439999995</v>
      </c>
      <c r="BH80" s="211">
        <v>0.17860948291880779</v>
      </c>
      <c r="BI80" s="211">
        <v>0.18800998201979768</v>
      </c>
      <c r="BJ80" s="251">
        <f t="shared" ref="BJ80:BJ143" si="78">E80+(F80*0.95)</f>
        <v>462175</v>
      </c>
      <c r="BK80" s="251">
        <f>SUM(BK81:BK129)</f>
        <v>92043.531439999977</v>
      </c>
      <c r="BL80" s="211">
        <f t="shared" si="58"/>
        <v>0.18919533697841723</v>
      </c>
      <c r="BM80" s="211">
        <f t="shared" si="59"/>
        <v>0.19915298629307077</v>
      </c>
      <c r="BN80" s="205">
        <f t="shared" si="76"/>
        <v>58550.183110999977</v>
      </c>
      <c r="BO80" s="205"/>
      <c r="BP80" s="230">
        <f>SUM(BP81:BP129)</f>
        <v>1000</v>
      </c>
      <c r="BQ80" s="212">
        <f t="shared" si="7"/>
        <v>2.0554984583761563E-3</v>
      </c>
      <c r="BR80" s="230">
        <f>SUM(BR81:BR129)</f>
        <v>16350</v>
      </c>
      <c r="BS80" s="212">
        <f t="shared" si="60"/>
        <v>3.3607399794450155E-2</v>
      </c>
      <c r="BT80" s="230">
        <f>SUM(BT81:BT129)</f>
        <v>52790</v>
      </c>
      <c r="BU80" s="212">
        <f t="shared" si="61"/>
        <v>0.10850976361767729</v>
      </c>
      <c r="BV80" s="230">
        <f>SUM(BV81:BV129)</f>
        <v>89995</v>
      </c>
      <c r="BW80" s="212">
        <f t="shared" si="62"/>
        <v>0.18498458376156218</v>
      </c>
      <c r="BX80" s="230">
        <f>SUM(BX81:BX129)</f>
        <v>135110</v>
      </c>
      <c r="BY80" s="212">
        <f t="shared" si="63"/>
        <v>0.27771839671120246</v>
      </c>
      <c r="BZ80" s="230">
        <f>SUM(BZ81:BZ129)</f>
        <v>205800</v>
      </c>
      <c r="CA80" s="212">
        <f t="shared" si="64"/>
        <v>0.42302158273381296</v>
      </c>
      <c r="CB80" s="230">
        <f>SUM(CB81:CB129)</f>
        <v>271700</v>
      </c>
      <c r="CC80" s="212">
        <f t="shared" si="65"/>
        <v>0.5584789311408016</v>
      </c>
      <c r="CD80" s="230">
        <f>SUM(CD81:CD129)</f>
        <v>309475</v>
      </c>
      <c r="CE80" s="212">
        <f t="shared" si="66"/>
        <v>0.63612538540596097</v>
      </c>
      <c r="CF80" s="230">
        <f>SUM(CF81:CF129)</f>
        <v>344175</v>
      </c>
      <c r="CG80" s="212">
        <f t="shared" si="67"/>
        <v>0.7074511819116136</v>
      </c>
      <c r="CH80" s="230">
        <f>SUM(CH81:CH129)</f>
        <v>364650</v>
      </c>
      <c r="CI80" s="212">
        <f t="shared" si="68"/>
        <v>0.74953751284686532</v>
      </c>
      <c r="CJ80" s="230">
        <f>SUM(CJ81:CJ129)</f>
        <v>398400</v>
      </c>
      <c r="CK80" s="212">
        <f t="shared" si="69"/>
        <v>0.81891058581706067</v>
      </c>
      <c r="CL80" s="230">
        <f>SUM(CL81:CL129)</f>
        <v>429150</v>
      </c>
      <c r="CM80" s="212">
        <f t="shared" si="70"/>
        <v>0.88211716341212743</v>
      </c>
      <c r="CN80" s="230">
        <f>SUM(CN81:CN129)</f>
        <v>462175</v>
      </c>
      <c r="CO80" s="212">
        <f t="shared" si="71"/>
        <v>0.95</v>
      </c>
      <c r="CP80" s="213" t="str">
        <f t="shared" si="23"/>
        <v>Không đạt</v>
      </c>
      <c r="CQ80" s="213" t="str">
        <f t="shared" si="24"/>
        <v>Không đạt</v>
      </c>
      <c r="CR80" s="213"/>
      <c r="CS80" s="251">
        <f t="shared" si="21"/>
        <v>28225.045769999982</v>
      </c>
      <c r="CT80" s="231"/>
      <c r="CU80" s="163"/>
      <c r="CV80" s="252"/>
      <c r="CW80" s="253"/>
      <c r="CX80" s="254"/>
      <c r="CY80" s="254"/>
      <c r="CZ80" s="198"/>
      <c r="DA80" s="254"/>
      <c r="DB80" s="254"/>
      <c r="DC80" s="254"/>
      <c r="DE80" s="199"/>
      <c r="DF80" s="200"/>
      <c r="DG80" s="181"/>
    </row>
    <row r="81" spans="1:111" outlineLevel="1" x14ac:dyDescent="0.25">
      <c r="A81" s="256"/>
      <c r="B81" s="210" t="s">
        <v>215</v>
      </c>
      <c r="C81" s="210"/>
      <c r="D81" s="214">
        <f t="shared" ref="D81:D129" si="79">E81+F81</f>
        <v>0</v>
      </c>
      <c r="E81" s="214"/>
      <c r="F81" s="214">
        <f t="shared" ref="F81:F129" si="80">G81+H81+K81+M81</f>
        <v>0</v>
      </c>
      <c r="G81" s="250"/>
      <c r="H81" s="250"/>
      <c r="I81" s="235"/>
      <c r="J81" s="235"/>
      <c r="K81" s="250"/>
      <c r="L81" s="235"/>
      <c r="M81" s="223"/>
      <c r="N81" s="223"/>
      <c r="O81" s="250">
        <f t="shared" si="29"/>
        <v>0</v>
      </c>
      <c r="P81" s="250">
        <v>0</v>
      </c>
      <c r="Q81" s="224" t="e">
        <f t="shared" si="4"/>
        <v>#DIV/0!</v>
      </c>
      <c r="R81" s="250"/>
      <c r="S81" s="225"/>
      <c r="T81" s="225"/>
      <c r="U81" s="250"/>
      <c r="V81" s="225"/>
      <c r="W81" s="225"/>
      <c r="X81" s="250"/>
      <c r="Y81" s="225"/>
      <c r="Z81" s="225"/>
      <c r="AA81" s="250"/>
      <c r="AB81" s="225"/>
      <c r="AC81" s="225"/>
      <c r="AD81" s="250"/>
      <c r="AE81" s="225"/>
      <c r="AF81" s="225"/>
      <c r="AG81" s="250"/>
      <c r="AH81" s="225"/>
      <c r="AI81" s="225"/>
      <c r="AJ81" s="257"/>
      <c r="AK81" s="225"/>
      <c r="AL81" s="225"/>
      <c r="AM81" s="250"/>
      <c r="AN81" s="225"/>
      <c r="AO81" s="225"/>
      <c r="AP81" s="225"/>
      <c r="AQ81" s="250"/>
      <c r="AR81" s="225"/>
      <c r="AS81" s="225"/>
      <c r="AT81" s="250"/>
      <c r="AU81" s="225"/>
      <c r="AV81" s="225"/>
      <c r="AW81" s="250"/>
      <c r="AX81" s="225"/>
      <c r="AY81" s="225"/>
      <c r="AZ81" s="250"/>
      <c r="BA81" s="225"/>
      <c r="BB81" s="225"/>
      <c r="BC81" s="250"/>
      <c r="BD81" s="225"/>
      <c r="BE81" s="225"/>
      <c r="BF81" s="250"/>
      <c r="BG81" s="250"/>
      <c r="BH81" s="225"/>
      <c r="BI81" s="225"/>
      <c r="BJ81" s="250">
        <f t="shared" si="78"/>
        <v>0</v>
      </c>
      <c r="BK81" s="250"/>
      <c r="BL81" s="225"/>
      <c r="BM81" s="225"/>
      <c r="BN81" s="205">
        <f t="shared" si="76"/>
        <v>0</v>
      </c>
      <c r="BO81" s="205"/>
      <c r="BP81" s="227"/>
      <c r="BQ81" s="224"/>
      <c r="BR81" s="227"/>
      <c r="BS81" s="224"/>
      <c r="BT81" s="227"/>
      <c r="BU81" s="224"/>
      <c r="BV81" s="227"/>
      <c r="BW81" s="224"/>
      <c r="BX81" s="227"/>
      <c r="BY81" s="224"/>
      <c r="BZ81" s="227"/>
      <c r="CA81" s="224"/>
      <c r="CB81" s="227"/>
      <c r="CC81" s="224"/>
      <c r="CD81" s="227"/>
      <c r="CE81" s="224"/>
      <c r="CF81" s="227"/>
      <c r="CG81" s="224"/>
      <c r="CH81" s="227"/>
      <c r="CI81" s="224"/>
      <c r="CJ81" s="227"/>
      <c r="CK81" s="224"/>
      <c r="CL81" s="227"/>
      <c r="CM81" s="224"/>
      <c r="CN81" s="227"/>
      <c r="CO81" s="224"/>
      <c r="CP81" s="213" t="str">
        <f t="shared" si="23"/>
        <v>Không đạt</v>
      </c>
      <c r="CQ81" s="213" t="str">
        <f t="shared" si="24"/>
        <v>Không đạt</v>
      </c>
      <c r="CR81" s="192"/>
      <c r="CS81" s="250">
        <f t="shared" ref="CS81:CS129" si="81">BK81-AZ81</f>
        <v>0</v>
      </c>
      <c r="CT81" s="223"/>
      <c r="CU81" s="163"/>
      <c r="CW81" s="195"/>
      <c r="CX81" s="196"/>
      <c r="CY81" s="196"/>
      <c r="CZ81" s="197"/>
      <c r="DA81" s="196"/>
      <c r="DB81" s="196"/>
      <c r="DC81" s="196"/>
      <c r="DE81" s="199"/>
      <c r="DF81" s="200"/>
      <c r="DG81" s="181"/>
    </row>
    <row r="82" spans="1:111" ht="25.5" outlineLevel="1" x14ac:dyDescent="0.25">
      <c r="A82" s="192">
        <f>MAX(A$72:$B81)+1</f>
        <v>9</v>
      </c>
      <c r="B82" s="222" t="s">
        <v>216</v>
      </c>
      <c r="C82" s="222"/>
      <c r="D82" s="214">
        <f t="shared" si="79"/>
        <v>12000</v>
      </c>
      <c r="E82" s="214"/>
      <c r="F82" s="214">
        <f t="shared" si="80"/>
        <v>12000</v>
      </c>
      <c r="G82" s="257"/>
      <c r="H82" s="257">
        <v>12000</v>
      </c>
      <c r="I82" s="235"/>
      <c r="J82" s="235"/>
      <c r="K82" s="257"/>
      <c r="L82" s="235"/>
      <c r="M82" s="223"/>
      <c r="N82" s="223"/>
      <c r="O82" s="257">
        <f t="shared" si="29"/>
        <v>0</v>
      </c>
      <c r="P82" s="257">
        <v>0</v>
      </c>
      <c r="Q82" s="224">
        <f t="shared" ref="Q82:Q138" si="82">P82/$D82</f>
        <v>0</v>
      </c>
      <c r="R82" s="257">
        <v>0</v>
      </c>
      <c r="S82" s="225">
        <v>0</v>
      </c>
      <c r="T82" s="225">
        <v>0</v>
      </c>
      <c r="U82" s="257">
        <v>0</v>
      </c>
      <c r="V82" s="225">
        <v>0</v>
      </c>
      <c r="W82" s="225">
        <v>0</v>
      </c>
      <c r="X82" s="257">
        <v>0</v>
      </c>
      <c r="Y82" s="225">
        <v>0</v>
      </c>
      <c r="Z82" s="225">
        <v>0</v>
      </c>
      <c r="AA82" s="257">
        <v>0</v>
      </c>
      <c r="AB82" s="225">
        <v>0</v>
      </c>
      <c r="AC82" s="225">
        <v>0</v>
      </c>
      <c r="AD82" s="257">
        <v>0</v>
      </c>
      <c r="AE82" s="225">
        <v>0</v>
      </c>
      <c r="AF82" s="225">
        <v>0</v>
      </c>
      <c r="AG82" s="257">
        <v>0</v>
      </c>
      <c r="AH82" s="225">
        <v>0</v>
      </c>
      <c r="AI82" s="225">
        <v>0</v>
      </c>
      <c r="AJ82" s="250">
        <v>0</v>
      </c>
      <c r="AK82" s="225">
        <v>0</v>
      </c>
      <c r="AL82" s="225">
        <v>0</v>
      </c>
      <c r="AM82" s="257">
        <v>0</v>
      </c>
      <c r="AN82" s="225">
        <v>0</v>
      </c>
      <c r="AO82" s="225">
        <v>0</v>
      </c>
      <c r="AP82" s="225"/>
      <c r="AQ82" s="257">
        <v>0</v>
      </c>
      <c r="AR82" s="225">
        <v>0</v>
      </c>
      <c r="AS82" s="225">
        <v>0</v>
      </c>
      <c r="AT82" s="257">
        <v>0</v>
      </c>
      <c r="AU82" s="225">
        <v>0</v>
      </c>
      <c r="AV82" s="225">
        <v>0</v>
      </c>
      <c r="AW82" s="257">
        <v>0</v>
      </c>
      <c r="AX82" s="225">
        <v>0</v>
      </c>
      <c r="AY82" s="225">
        <v>0</v>
      </c>
      <c r="AZ82" s="257">
        <v>0</v>
      </c>
      <c r="BA82" s="225">
        <v>0</v>
      </c>
      <c r="BB82" s="225">
        <v>0</v>
      </c>
      <c r="BC82" s="257">
        <v>0</v>
      </c>
      <c r="BD82" s="225">
        <v>0</v>
      </c>
      <c r="BE82" s="225">
        <v>0</v>
      </c>
      <c r="BF82" s="257"/>
      <c r="BG82" s="257">
        <v>0</v>
      </c>
      <c r="BH82" s="225">
        <v>0</v>
      </c>
      <c r="BI82" s="225">
        <v>0</v>
      </c>
      <c r="BJ82" s="257">
        <f t="shared" si="78"/>
        <v>11400</v>
      </c>
      <c r="BK82" s="257">
        <v>0</v>
      </c>
      <c r="BL82" s="225">
        <f>BK82/$D82</f>
        <v>0</v>
      </c>
      <c r="BM82" s="225">
        <f t="shared" ref="BM82:BM145" si="83">BK82/(E82+0.95*F82)</f>
        <v>0</v>
      </c>
      <c r="BN82" s="205">
        <f t="shared" si="76"/>
        <v>0</v>
      </c>
      <c r="BO82" s="205"/>
      <c r="BP82" s="227">
        <v>0</v>
      </c>
      <c r="BQ82" s="224">
        <f t="shared" ref="BQ82:BQ145" si="84">BP82/$D82</f>
        <v>0</v>
      </c>
      <c r="BR82" s="227">
        <v>1400</v>
      </c>
      <c r="BS82" s="224">
        <f>BR82/$D82</f>
        <v>0.11666666666666667</v>
      </c>
      <c r="BT82" s="227">
        <v>2400</v>
      </c>
      <c r="BU82" s="224">
        <f>BT82/$D82</f>
        <v>0.2</v>
      </c>
      <c r="BV82" s="227">
        <v>4400</v>
      </c>
      <c r="BW82" s="224">
        <f>BV82/$D82</f>
        <v>0.36666666666666664</v>
      </c>
      <c r="BX82" s="227">
        <v>6400</v>
      </c>
      <c r="BY82" s="224">
        <f>BX82/$D82</f>
        <v>0.53333333333333333</v>
      </c>
      <c r="BZ82" s="227">
        <v>8400</v>
      </c>
      <c r="CA82" s="224">
        <f>BZ82/$D82</f>
        <v>0.7</v>
      </c>
      <c r="CB82" s="227">
        <v>10400</v>
      </c>
      <c r="CC82" s="224">
        <f>CB82/$D82</f>
        <v>0.8666666666666667</v>
      </c>
      <c r="CD82" s="227">
        <v>11400</v>
      </c>
      <c r="CE82" s="224">
        <f>CD82/$D82</f>
        <v>0.95</v>
      </c>
      <c r="CF82" s="227">
        <v>11400</v>
      </c>
      <c r="CG82" s="224">
        <f>CF82/$D82</f>
        <v>0.95</v>
      </c>
      <c r="CH82" s="227">
        <v>11400</v>
      </c>
      <c r="CI82" s="224">
        <f>CH82/$D82</f>
        <v>0.95</v>
      </c>
      <c r="CJ82" s="227">
        <v>11400</v>
      </c>
      <c r="CK82" s="224">
        <f>CJ82/$D82</f>
        <v>0.95</v>
      </c>
      <c r="CL82" s="227">
        <v>11400</v>
      </c>
      <c r="CM82" s="224">
        <f>CL82/$D82</f>
        <v>0.95</v>
      </c>
      <c r="CN82" s="227">
        <v>11400</v>
      </c>
      <c r="CO82" s="224">
        <f>CN82/$D82</f>
        <v>0.95</v>
      </c>
      <c r="CP82" s="213" t="str">
        <f t="shared" ref="CP82:CP145" si="85">IF(BM82&gt;34.7%,"Đạt","Không đạt")</f>
        <v>Không đạt</v>
      </c>
      <c r="CQ82" s="213" t="str">
        <f t="shared" ref="CQ82:CQ145" si="86">IF(BM82&gt;43.8%,"Đạt","Không đạt")</f>
        <v>Không đạt</v>
      </c>
      <c r="CR82" s="192"/>
      <c r="CS82" s="257">
        <f t="shared" si="81"/>
        <v>0</v>
      </c>
      <c r="CT82" s="223"/>
      <c r="CU82" s="163"/>
      <c r="CW82" s="195"/>
      <c r="CX82" s="196"/>
      <c r="CY82" s="196"/>
      <c r="CZ82" s="197"/>
      <c r="DA82" s="196"/>
      <c r="DB82" s="196"/>
      <c r="DC82" s="196"/>
      <c r="DE82" s="199"/>
      <c r="DF82" s="200"/>
      <c r="DG82" s="181"/>
    </row>
    <row r="83" spans="1:111" ht="25.5" outlineLevel="1" x14ac:dyDescent="0.25">
      <c r="A83" s="192">
        <f>MAX(A$72:$B82)+1</f>
        <v>10</v>
      </c>
      <c r="B83" s="222" t="s">
        <v>217</v>
      </c>
      <c r="C83" s="222">
        <v>8071361</v>
      </c>
      <c r="D83" s="214">
        <f>E83+F83</f>
        <v>24000</v>
      </c>
      <c r="E83" s="214"/>
      <c r="F83" s="214">
        <f>G83+H83+K83+M83</f>
        <v>24000</v>
      </c>
      <c r="G83" s="257">
        <v>5000</v>
      </c>
      <c r="H83" s="257">
        <v>19000</v>
      </c>
      <c r="I83" s="235">
        <v>1700</v>
      </c>
      <c r="J83" s="235">
        <v>1700</v>
      </c>
      <c r="K83" s="257"/>
      <c r="L83" s="235"/>
      <c r="M83" s="223"/>
      <c r="N83" s="223"/>
      <c r="O83" s="257">
        <f>G83+I83+L83+N83</f>
        <v>6700</v>
      </c>
      <c r="P83" s="257">
        <v>399.46100000000001</v>
      </c>
      <c r="Q83" s="224">
        <f>P83/$D83</f>
        <v>1.6644208333333334E-2</v>
      </c>
      <c r="R83" s="257">
        <v>1581.63</v>
      </c>
      <c r="S83" s="225">
        <v>6.5901250000000008E-2</v>
      </c>
      <c r="T83" s="225">
        <v>6.9369736842105262E-2</v>
      </c>
      <c r="U83" s="257">
        <v>1593.163</v>
      </c>
      <c r="V83" s="225">
        <v>6.6381791666666662E-2</v>
      </c>
      <c r="W83" s="225">
        <v>6.9875570175438592E-2</v>
      </c>
      <c r="X83" s="257">
        <v>1593.163</v>
      </c>
      <c r="Y83" s="225">
        <v>6.6381791666666662E-2</v>
      </c>
      <c r="Z83" s="225">
        <v>6.9875570175438592E-2</v>
      </c>
      <c r="AA83" s="257">
        <v>1757</v>
      </c>
      <c r="AB83" s="225">
        <v>7.3208333333333334E-2</v>
      </c>
      <c r="AC83" s="225">
        <v>7.7061403508771928E-2</v>
      </c>
      <c r="AD83" s="257">
        <v>3345.9380000000001</v>
      </c>
      <c r="AE83" s="225">
        <v>0.13941408333333333</v>
      </c>
      <c r="AF83" s="225">
        <v>0.14675166666666667</v>
      </c>
      <c r="AG83" s="257">
        <v>3345.9380000000001</v>
      </c>
      <c r="AH83" s="225">
        <v>0.13941408333333333</v>
      </c>
      <c r="AI83" s="225">
        <v>0.14675166666666667</v>
      </c>
      <c r="AJ83" s="257">
        <v>3345.9380000000001</v>
      </c>
      <c r="AK83" s="225">
        <v>0.13941408333333333</v>
      </c>
      <c r="AL83" s="225">
        <v>0.14675166666666667</v>
      </c>
      <c r="AM83" s="257">
        <v>3345.9380000000001</v>
      </c>
      <c r="AN83" s="225">
        <v>0.13941408333333333</v>
      </c>
      <c r="AO83" s="225">
        <v>0.14675166666666667</v>
      </c>
      <c r="AP83" s="225"/>
      <c r="AQ83" s="257">
        <v>3345.9380000000001</v>
      </c>
      <c r="AR83" s="225">
        <v>0.13941408333333333</v>
      </c>
      <c r="AS83" s="225">
        <v>0.14675166666666667</v>
      </c>
      <c r="AT83" s="257">
        <v>3345.9380000000001</v>
      </c>
      <c r="AU83" s="225">
        <v>0.13941408333333333</v>
      </c>
      <c r="AV83" s="225">
        <v>0.14675166666666667</v>
      </c>
      <c r="AW83" s="257">
        <v>3345.9380000000001</v>
      </c>
      <c r="AX83" s="225">
        <v>0.13941408333333333</v>
      </c>
      <c r="AY83" s="225">
        <v>0.14675166666666667</v>
      </c>
      <c r="AZ83" s="257">
        <v>3345.9380000000001</v>
      </c>
      <c r="BA83" s="225">
        <v>0.13941408333333333</v>
      </c>
      <c r="BB83" s="225">
        <v>0.14675166666666667</v>
      </c>
      <c r="BC83" s="257">
        <v>3345.9380000000001</v>
      </c>
      <c r="BD83" s="225">
        <v>0.13941408333333333</v>
      </c>
      <c r="BE83" s="225">
        <v>0.14675166666666667</v>
      </c>
      <c r="BF83" s="257"/>
      <c r="BG83" s="257">
        <v>3828.0419999999995</v>
      </c>
      <c r="BH83" s="225">
        <v>0.15950174999999997</v>
      </c>
      <c r="BI83" s="225">
        <v>0.1678965789473684</v>
      </c>
      <c r="BJ83" s="257">
        <f t="shared" si="78"/>
        <v>22800</v>
      </c>
      <c r="BK83" s="257">
        <v>6522</v>
      </c>
      <c r="BL83" s="225">
        <f>BK83/$D83</f>
        <v>0.27174999999999999</v>
      </c>
      <c r="BM83" s="225">
        <f>BK83/(E83+0.95*F83)</f>
        <v>0.28605263157894739</v>
      </c>
      <c r="BN83" s="205">
        <f t="shared" si="76"/>
        <v>3176.0619999999999</v>
      </c>
      <c r="BO83" s="205"/>
      <c r="BP83" s="227">
        <v>0</v>
      </c>
      <c r="BQ83" s="224">
        <f>BP83/$D83</f>
        <v>0</v>
      </c>
      <c r="BR83" s="227">
        <v>3400</v>
      </c>
      <c r="BS83" s="224">
        <f>BR83/$D83</f>
        <v>0.14166666666666666</v>
      </c>
      <c r="BT83" s="227">
        <v>6800</v>
      </c>
      <c r="BU83" s="224">
        <f>BT83/$D83</f>
        <v>0.28333333333333333</v>
      </c>
      <c r="BV83" s="227">
        <v>10200</v>
      </c>
      <c r="BW83" s="224">
        <f>BV83/$D83</f>
        <v>0.42499999999999999</v>
      </c>
      <c r="BX83" s="227">
        <v>13600</v>
      </c>
      <c r="BY83" s="224">
        <f>BX83/$D83</f>
        <v>0.56666666666666665</v>
      </c>
      <c r="BZ83" s="227">
        <v>17000</v>
      </c>
      <c r="CA83" s="224">
        <f>BZ83/$D83</f>
        <v>0.70833333333333337</v>
      </c>
      <c r="CB83" s="227">
        <v>20400</v>
      </c>
      <c r="CC83" s="224">
        <f>CB83/$D83</f>
        <v>0.85</v>
      </c>
      <c r="CD83" s="227">
        <v>21400</v>
      </c>
      <c r="CE83" s="224">
        <f>CD83/$D83</f>
        <v>0.89166666666666672</v>
      </c>
      <c r="CF83" s="227">
        <v>22800</v>
      </c>
      <c r="CG83" s="224">
        <f>CF83/$D83</f>
        <v>0.95</v>
      </c>
      <c r="CH83" s="227">
        <v>22800</v>
      </c>
      <c r="CI83" s="224">
        <f>CH83/$D83</f>
        <v>0.95</v>
      </c>
      <c r="CJ83" s="227">
        <v>22800</v>
      </c>
      <c r="CK83" s="224">
        <f>CJ83/$D83</f>
        <v>0.95</v>
      </c>
      <c r="CL83" s="227">
        <v>22800</v>
      </c>
      <c r="CM83" s="224">
        <f>CL83/$D83</f>
        <v>0.95</v>
      </c>
      <c r="CN83" s="227">
        <v>22800</v>
      </c>
      <c r="CO83" s="224">
        <f>CN83/$D83</f>
        <v>0.95</v>
      </c>
      <c r="CP83" s="213" t="str">
        <f t="shared" si="85"/>
        <v>Không đạt</v>
      </c>
      <c r="CQ83" s="213" t="str">
        <f t="shared" si="86"/>
        <v>Không đạt</v>
      </c>
      <c r="CR83" s="192"/>
      <c r="CS83" s="257">
        <f t="shared" si="81"/>
        <v>3176.0619999999999</v>
      </c>
      <c r="CT83" s="223"/>
      <c r="CU83" s="163"/>
      <c r="CW83" s="195"/>
      <c r="CX83" s="196"/>
      <c r="CY83" s="196"/>
      <c r="CZ83" s="197"/>
      <c r="DA83" s="196"/>
      <c r="DB83" s="196"/>
      <c r="DC83" s="196"/>
      <c r="DE83" s="199"/>
      <c r="DF83" s="200"/>
      <c r="DG83" s="181"/>
    </row>
    <row r="84" spans="1:111" ht="25.5" outlineLevel="1" x14ac:dyDescent="0.25">
      <c r="A84" s="192">
        <f>MAX(A$72:$B83)+1</f>
        <v>11</v>
      </c>
      <c r="B84" s="222" t="s">
        <v>218</v>
      </c>
      <c r="C84" s="222">
        <v>8157651</v>
      </c>
      <c r="D84" s="214">
        <f>E84+F84</f>
        <v>1000</v>
      </c>
      <c r="E84" s="214"/>
      <c r="F84" s="214">
        <f>G84+H84+K84+M84</f>
        <v>1000</v>
      </c>
      <c r="G84" s="257">
        <v>1000</v>
      </c>
      <c r="H84" s="257"/>
      <c r="I84" s="235"/>
      <c r="J84" s="235"/>
      <c r="K84" s="257"/>
      <c r="L84" s="235"/>
      <c r="M84" s="223"/>
      <c r="N84" s="223"/>
      <c r="O84" s="257">
        <f>G84+I84+L84+N84</f>
        <v>1000</v>
      </c>
      <c r="P84" s="257">
        <v>0</v>
      </c>
      <c r="Q84" s="224">
        <f>P84/$D84</f>
        <v>0</v>
      </c>
      <c r="R84" s="257">
        <v>728.83799999999997</v>
      </c>
      <c r="S84" s="225">
        <v>0.72883799999999999</v>
      </c>
      <c r="T84" s="225">
        <v>0.76719789473684208</v>
      </c>
      <c r="U84" s="257">
        <v>728.83799999999997</v>
      </c>
      <c r="V84" s="225">
        <v>0.72883799999999999</v>
      </c>
      <c r="W84" s="225">
        <v>0.76719789473684208</v>
      </c>
      <c r="X84" s="257">
        <v>728.83799999999997</v>
      </c>
      <c r="Y84" s="225">
        <v>0.72883799999999999</v>
      </c>
      <c r="Z84" s="225">
        <v>0.76719789473684208</v>
      </c>
      <c r="AA84" s="257">
        <v>728.83799999999997</v>
      </c>
      <c r="AB84" s="225">
        <v>0.72883799999999999</v>
      </c>
      <c r="AC84" s="225">
        <v>0.76719789473684208</v>
      </c>
      <c r="AD84" s="257">
        <v>950</v>
      </c>
      <c r="AE84" s="225">
        <v>0.95</v>
      </c>
      <c r="AF84" s="225">
        <v>1</v>
      </c>
      <c r="AG84" s="257">
        <v>950</v>
      </c>
      <c r="AH84" s="225">
        <v>0.95</v>
      </c>
      <c r="AI84" s="225">
        <v>1</v>
      </c>
      <c r="AJ84" s="250">
        <v>950</v>
      </c>
      <c r="AK84" s="225">
        <v>0.95</v>
      </c>
      <c r="AL84" s="225">
        <v>1</v>
      </c>
      <c r="AM84" s="257">
        <v>950</v>
      </c>
      <c r="AN84" s="225">
        <v>0.95</v>
      </c>
      <c r="AO84" s="225">
        <v>1</v>
      </c>
      <c r="AP84" s="225"/>
      <c r="AQ84" s="257">
        <v>950</v>
      </c>
      <c r="AR84" s="225">
        <v>0.95</v>
      </c>
      <c r="AS84" s="225">
        <v>1</v>
      </c>
      <c r="AT84" s="257">
        <v>950</v>
      </c>
      <c r="AU84" s="225">
        <v>0.95</v>
      </c>
      <c r="AV84" s="225">
        <v>1</v>
      </c>
      <c r="AW84" s="257">
        <v>950</v>
      </c>
      <c r="AX84" s="225">
        <v>0.95</v>
      </c>
      <c r="AY84" s="225">
        <v>1</v>
      </c>
      <c r="AZ84" s="257">
        <v>950</v>
      </c>
      <c r="BA84" s="225">
        <v>0.95</v>
      </c>
      <c r="BB84" s="225">
        <v>1</v>
      </c>
      <c r="BC84" s="257">
        <v>950</v>
      </c>
      <c r="BD84" s="225">
        <v>0.95</v>
      </c>
      <c r="BE84" s="225">
        <v>1</v>
      </c>
      <c r="BF84" s="257"/>
      <c r="BG84" s="257">
        <v>950</v>
      </c>
      <c r="BH84" s="225">
        <v>0.95</v>
      </c>
      <c r="BI84" s="225">
        <v>1</v>
      </c>
      <c r="BJ84" s="257">
        <f t="shared" si="78"/>
        <v>950</v>
      </c>
      <c r="BK84" s="257">
        <v>950</v>
      </c>
      <c r="BL84" s="225">
        <f>BK84/$D84</f>
        <v>0.95</v>
      </c>
      <c r="BM84" s="225">
        <f>BK84/(E84+0.95*F84)</f>
        <v>1</v>
      </c>
      <c r="BN84" s="205">
        <f t="shared" si="76"/>
        <v>0</v>
      </c>
      <c r="BO84" s="205"/>
      <c r="BP84" s="227"/>
      <c r="BQ84" s="224">
        <f>BP84/$D84</f>
        <v>0</v>
      </c>
      <c r="BR84" s="227">
        <v>190</v>
      </c>
      <c r="BS84" s="224">
        <f>BR84/$D84</f>
        <v>0.19</v>
      </c>
      <c r="BT84" s="227">
        <v>380</v>
      </c>
      <c r="BU84" s="224">
        <f>BT84/$D84</f>
        <v>0.38</v>
      </c>
      <c r="BV84" s="227">
        <v>570</v>
      </c>
      <c r="BW84" s="224">
        <f>BV84/$D84</f>
        <v>0.56999999999999995</v>
      </c>
      <c r="BX84" s="227">
        <v>760</v>
      </c>
      <c r="BY84" s="224">
        <f>BX84/$D84</f>
        <v>0.76</v>
      </c>
      <c r="BZ84" s="227">
        <v>950</v>
      </c>
      <c r="CA84" s="224">
        <f>BZ84/$D84</f>
        <v>0.95</v>
      </c>
      <c r="CB84" s="227">
        <v>950</v>
      </c>
      <c r="CC84" s="224">
        <f>CB84/$D84</f>
        <v>0.95</v>
      </c>
      <c r="CD84" s="227">
        <v>950</v>
      </c>
      <c r="CE84" s="224">
        <f>CD84/$D84</f>
        <v>0.95</v>
      </c>
      <c r="CF84" s="227">
        <v>950</v>
      </c>
      <c r="CG84" s="224">
        <f>CF84/$D84</f>
        <v>0.95</v>
      </c>
      <c r="CH84" s="227">
        <v>950</v>
      </c>
      <c r="CI84" s="224">
        <f>CH84/$D84</f>
        <v>0.95</v>
      </c>
      <c r="CJ84" s="227">
        <v>950</v>
      </c>
      <c r="CK84" s="224">
        <f>CJ84/$D84</f>
        <v>0.95</v>
      </c>
      <c r="CL84" s="227">
        <v>950</v>
      </c>
      <c r="CM84" s="224">
        <f>CL84/$D84</f>
        <v>0.95</v>
      </c>
      <c r="CN84" s="227">
        <v>950</v>
      </c>
      <c r="CO84" s="224">
        <f>CN84/$D84</f>
        <v>0.95</v>
      </c>
      <c r="CP84" s="213" t="str">
        <f t="shared" si="85"/>
        <v>Đạt</v>
      </c>
      <c r="CQ84" s="213" t="str">
        <f t="shared" si="86"/>
        <v>Đạt</v>
      </c>
      <c r="CR84" s="192"/>
      <c r="CS84" s="257">
        <f t="shared" si="81"/>
        <v>0</v>
      </c>
      <c r="CT84" s="223"/>
      <c r="CU84" s="163"/>
      <c r="CW84" s="195"/>
      <c r="CX84" s="196"/>
      <c r="CY84" s="196"/>
      <c r="CZ84" s="197"/>
      <c r="DA84" s="196"/>
      <c r="DB84" s="196"/>
      <c r="DC84" s="196"/>
      <c r="DE84" s="199"/>
      <c r="DF84" s="200"/>
      <c r="DG84" s="181"/>
    </row>
    <row r="85" spans="1:111" outlineLevel="1" x14ac:dyDescent="0.25">
      <c r="A85" s="256"/>
      <c r="B85" s="210" t="s">
        <v>219</v>
      </c>
      <c r="C85" s="210"/>
      <c r="D85" s="214">
        <f t="shared" si="79"/>
        <v>0</v>
      </c>
      <c r="E85" s="214"/>
      <c r="F85" s="214">
        <f t="shared" si="80"/>
        <v>0</v>
      </c>
      <c r="G85" s="250"/>
      <c r="H85" s="250"/>
      <c r="I85" s="235"/>
      <c r="J85" s="235"/>
      <c r="K85" s="250"/>
      <c r="L85" s="235"/>
      <c r="M85" s="223"/>
      <c r="N85" s="223"/>
      <c r="O85" s="250">
        <f t="shared" si="29"/>
        <v>0</v>
      </c>
      <c r="P85" s="250">
        <v>0</v>
      </c>
      <c r="Q85" s="224" t="e">
        <f t="shared" si="82"/>
        <v>#DIV/0!</v>
      </c>
      <c r="R85" s="250"/>
      <c r="S85" s="225"/>
      <c r="T85" s="225" t="e">
        <v>#DIV/0!</v>
      </c>
      <c r="U85" s="250"/>
      <c r="V85" s="225"/>
      <c r="W85" s="225" t="e">
        <v>#DIV/0!</v>
      </c>
      <c r="X85" s="250"/>
      <c r="Y85" s="225"/>
      <c r="Z85" s="225"/>
      <c r="AA85" s="250"/>
      <c r="AB85" s="225"/>
      <c r="AC85" s="225"/>
      <c r="AD85" s="250"/>
      <c r="AE85" s="225"/>
      <c r="AF85" s="225"/>
      <c r="AG85" s="250"/>
      <c r="AH85" s="225"/>
      <c r="AI85" s="225"/>
      <c r="AJ85" s="257"/>
      <c r="AK85" s="225"/>
      <c r="AL85" s="225"/>
      <c r="AM85" s="250"/>
      <c r="AN85" s="225"/>
      <c r="AO85" s="225"/>
      <c r="AP85" s="225"/>
      <c r="AQ85" s="250"/>
      <c r="AR85" s="225"/>
      <c r="AS85" s="225"/>
      <c r="AT85" s="250"/>
      <c r="AU85" s="225"/>
      <c r="AV85" s="225"/>
      <c r="AW85" s="250"/>
      <c r="AX85" s="225"/>
      <c r="AY85" s="225"/>
      <c r="AZ85" s="250"/>
      <c r="BA85" s="225"/>
      <c r="BB85" s="225"/>
      <c r="BC85" s="250"/>
      <c r="BD85" s="225"/>
      <c r="BE85" s="225"/>
      <c r="BF85" s="250"/>
      <c r="BG85" s="250"/>
      <c r="BH85" s="225"/>
      <c r="BI85" s="225"/>
      <c r="BJ85" s="250">
        <f t="shared" si="78"/>
        <v>0</v>
      </c>
      <c r="BK85" s="250"/>
      <c r="BL85" s="225"/>
      <c r="BM85" s="225"/>
      <c r="BN85" s="205">
        <f t="shared" si="76"/>
        <v>0</v>
      </c>
      <c r="BO85" s="205"/>
      <c r="BP85" s="227"/>
      <c r="BQ85" s="224"/>
      <c r="BR85" s="227"/>
      <c r="BS85" s="224"/>
      <c r="BT85" s="227"/>
      <c r="BU85" s="224"/>
      <c r="BV85" s="227"/>
      <c r="BW85" s="224"/>
      <c r="BX85" s="227"/>
      <c r="BY85" s="224"/>
      <c r="BZ85" s="227"/>
      <c r="CA85" s="224"/>
      <c r="CB85" s="227"/>
      <c r="CC85" s="224"/>
      <c r="CD85" s="227"/>
      <c r="CE85" s="224"/>
      <c r="CF85" s="227"/>
      <c r="CG85" s="224"/>
      <c r="CH85" s="227"/>
      <c r="CI85" s="224"/>
      <c r="CJ85" s="227"/>
      <c r="CK85" s="224"/>
      <c r="CL85" s="227"/>
      <c r="CM85" s="224"/>
      <c r="CN85" s="227"/>
      <c r="CO85" s="224"/>
      <c r="CP85" s="213" t="str">
        <f t="shared" si="85"/>
        <v>Không đạt</v>
      </c>
      <c r="CQ85" s="213" t="str">
        <f t="shared" si="86"/>
        <v>Không đạt</v>
      </c>
      <c r="CR85" s="192"/>
      <c r="CS85" s="250">
        <f t="shared" si="81"/>
        <v>0</v>
      </c>
      <c r="CT85" s="223"/>
      <c r="CU85" s="163"/>
      <c r="CW85" s="195"/>
      <c r="CX85" s="196"/>
      <c r="CY85" s="196"/>
      <c r="CZ85" s="197"/>
      <c r="DA85" s="196"/>
      <c r="DB85" s="196"/>
      <c r="DC85" s="196"/>
      <c r="DE85" s="199"/>
      <c r="DF85" s="200"/>
      <c r="DG85" s="181"/>
    </row>
    <row r="86" spans="1:111" outlineLevel="1" x14ac:dyDescent="0.25">
      <c r="A86" s="192">
        <f>MAX(A$72:$B85)+1</f>
        <v>12</v>
      </c>
      <c r="B86" s="222" t="s">
        <v>220</v>
      </c>
      <c r="C86" s="222" t="s">
        <v>221</v>
      </c>
      <c r="D86" s="214">
        <f t="shared" si="79"/>
        <v>10000</v>
      </c>
      <c r="E86" s="214"/>
      <c r="F86" s="214">
        <f t="shared" si="80"/>
        <v>10000</v>
      </c>
      <c r="G86" s="257">
        <v>5000</v>
      </c>
      <c r="H86" s="257">
        <v>5000</v>
      </c>
      <c r="I86" s="235"/>
      <c r="J86" s="235"/>
      <c r="K86" s="257"/>
      <c r="L86" s="235"/>
      <c r="M86" s="223"/>
      <c r="N86" s="223"/>
      <c r="O86" s="257">
        <f t="shared" si="29"/>
        <v>5000</v>
      </c>
      <c r="P86" s="257">
        <v>0</v>
      </c>
      <c r="Q86" s="224">
        <f t="shared" si="82"/>
        <v>0</v>
      </c>
      <c r="R86" s="257"/>
      <c r="S86" s="225">
        <v>0</v>
      </c>
      <c r="T86" s="225">
        <v>0</v>
      </c>
      <c r="U86" s="257"/>
      <c r="V86" s="225">
        <v>0</v>
      </c>
      <c r="W86" s="225">
        <v>0</v>
      </c>
      <c r="X86" s="257"/>
      <c r="Y86" s="225">
        <v>0</v>
      </c>
      <c r="Z86" s="225">
        <v>0</v>
      </c>
      <c r="AA86" s="257">
        <v>273</v>
      </c>
      <c r="AB86" s="225">
        <v>2.7300000000000001E-2</v>
      </c>
      <c r="AC86" s="225">
        <v>2.8736842105263158E-2</v>
      </c>
      <c r="AD86" s="257">
        <v>273</v>
      </c>
      <c r="AE86" s="225">
        <v>2.7300000000000001E-2</v>
      </c>
      <c r="AF86" s="225">
        <v>2.8736842105263158E-2</v>
      </c>
      <c r="AG86" s="257">
        <v>273</v>
      </c>
      <c r="AH86" s="225">
        <v>2.7300000000000001E-2</v>
      </c>
      <c r="AI86" s="225">
        <v>2.8736842105263158E-2</v>
      </c>
      <c r="AJ86" s="257">
        <v>273</v>
      </c>
      <c r="AK86" s="225">
        <v>2.7300000000000001E-2</v>
      </c>
      <c r="AL86" s="225">
        <v>2.8736842105263158E-2</v>
      </c>
      <c r="AM86" s="257">
        <v>376.20099999999996</v>
      </c>
      <c r="AN86" s="225">
        <v>3.7620099999999997E-2</v>
      </c>
      <c r="AO86" s="225">
        <v>3.9600105263157888E-2</v>
      </c>
      <c r="AP86" s="225"/>
      <c r="AQ86" s="257">
        <v>376.20099999999996</v>
      </c>
      <c r="AR86" s="225">
        <v>3.7620099999999997E-2</v>
      </c>
      <c r="AS86" s="225">
        <v>3.9600105263157888E-2</v>
      </c>
      <c r="AT86" s="257">
        <v>376.20099999999996</v>
      </c>
      <c r="AU86" s="225">
        <v>3.7620099999999997E-2</v>
      </c>
      <c r="AV86" s="225">
        <v>3.9600105263157888E-2</v>
      </c>
      <c r="AW86" s="257">
        <v>376.20099999999996</v>
      </c>
      <c r="AX86" s="225">
        <v>3.7620099999999997E-2</v>
      </c>
      <c r="AY86" s="225">
        <v>3.9600105263157888E-2</v>
      </c>
      <c r="AZ86" s="257">
        <v>376.20099999999996</v>
      </c>
      <c r="BA86" s="225">
        <v>3.7620099999999997E-2</v>
      </c>
      <c r="BB86" s="225">
        <v>3.9600105263157888E-2</v>
      </c>
      <c r="BC86" s="257">
        <v>376.20099999999996</v>
      </c>
      <c r="BD86" s="225">
        <v>3.7620099999999997E-2</v>
      </c>
      <c r="BE86" s="225">
        <v>3.9600105263157888E-2</v>
      </c>
      <c r="BF86" s="257"/>
      <c r="BG86" s="257">
        <v>376.20099999999996</v>
      </c>
      <c r="BH86" s="225">
        <v>3.7620099999999997E-2</v>
      </c>
      <c r="BI86" s="225">
        <v>3.9600105263157888E-2</v>
      </c>
      <c r="BJ86" s="257">
        <f t="shared" si="78"/>
        <v>9500</v>
      </c>
      <c r="BK86" s="257">
        <v>376.20099999999996</v>
      </c>
      <c r="BL86" s="225">
        <f>BK86/$D86</f>
        <v>3.7620099999999997E-2</v>
      </c>
      <c r="BM86" s="225">
        <f t="shared" si="83"/>
        <v>3.9600105263157888E-2</v>
      </c>
      <c r="BN86" s="205">
        <f t="shared" si="76"/>
        <v>103.20099999999996</v>
      </c>
      <c r="BO86" s="205"/>
      <c r="BP86" s="227"/>
      <c r="BQ86" s="224">
        <f t="shared" si="84"/>
        <v>0</v>
      </c>
      <c r="BR86" s="227"/>
      <c r="BS86" s="224">
        <f>BR86/$D86</f>
        <v>0</v>
      </c>
      <c r="BT86" s="227"/>
      <c r="BU86" s="224">
        <f>BT86/$D86</f>
        <v>0</v>
      </c>
      <c r="BV86" s="227"/>
      <c r="BW86" s="224">
        <f>BV86/$D86</f>
        <v>0</v>
      </c>
      <c r="BX86" s="227"/>
      <c r="BY86" s="224">
        <f>BX86/$D86</f>
        <v>0</v>
      </c>
      <c r="BZ86" s="227">
        <v>2000</v>
      </c>
      <c r="CA86" s="224">
        <f>BZ86/$D86</f>
        <v>0.2</v>
      </c>
      <c r="CB86" s="227">
        <v>4000</v>
      </c>
      <c r="CC86" s="224">
        <f>CB86/$D86</f>
        <v>0.4</v>
      </c>
      <c r="CD86" s="227">
        <v>7000</v>
      </c>
      <c r="CE86" s="224">
        <f>CD86/$D86</f>
        <v>0.7</v>
      </c>
      <c r="CF86" s="227">
        <v>9500</v>
      </c>
      <c r="CG86" s="224">
        <f>CF86/$D86</f>
        <v>0.95</v>
      </c>
      <c r="CH86" s="227">
        <v>9500</v>
      </c>
      <c r="CI86" s="224">
        <f>CH86/$D86</f>
        <v>0.95</v>
      </c>
      <c r="CJ86" s="227">
        <v>9500</v>
      </c>
      <c r="CK86" s="224">
        <f>CJ86/$D86</f>
        <v>0.95</v>
      </c>
      <c r="CL86" s="227">
        <v>9500</v>
      </c>
      <c r="CM86" s="224">
        <f>CL86/$D86</f>
        <v>0.95</v>
      </c>
      <c r="CN86" s="227">
        <v>9500</v>
      </c>
      <c r="CO86" s="224">
        <f>CN86/$D86</f>
        <v>0.95</v>
      </c>
      <c r="CP86" s="213" t="str">
        <f t="shared" si="85"/>
        <v>Không đạt</v>
      </c>
      <c r="CQ86" s="213" t="str">
        <f t="shared" si="86"/>
        <v>Không đạt</v>
      </c>
      <c r="CR86" s="192"/>
      <c r="CS86" s="257">
        <f t="shared" si="81"/>
        <v>0</v>
      </c>
      <c r="CT86" s="223"/>
      <c r="CU86" s="163"/>
      <c r="CW86" s="195"/>
      <c r="CX86" s="196"/>
      <c r="CY86" s="196"/>
      <c r="CZ86" s="197"/>
      <c r="DA86" s="196"/>
      <c r="DB86" s="196"/>
      <c r="DC86" s="196"/>
      <c r="DE86" s="199"/>
      <c r="DF86" s="200"/>
      <c r="DG86" s="181"/>
    </row>
    <row r="87" spans="1:111" ht="25.5" outlineLevel="1" x14ac:dyDescent="0.25">
      <c r="A87" s="192">
        <f>MAX(A$72:$B86)+1</f>
        <v>13</v>
      </c>
      <c r="B87" s="222" t="s">
        <v>222</v>
      </c>
      <c r="C87" s="222" t="s">
        <v>223</v>
      </c>
      <c r="D87" s="214">
        <f t="shared" si="79"/>
        <v>20000</v>
      </c>
      <c r="E87" s="214"/>
      <c r="F87" s="214">
        <f t="shared" si="80"/>
        <v>20000</v>
      </c>
      <c r="G87" s="257">
        <v>5000</v>
      </c>
      <c r="H87" s="257">
        <v>15000</v>
      </c>
      <c r="I87" s="235"/>
      <c r="J87" s="235"/>
      <c r="K87" s="257"/>
      <c r="L87" s="235"/>
      <c r="M87" s="223"/>
      <c r="N87" s="223"/>
      <c r="O87" s="257">
        <f t="shared" si="29"/>
        <v>5000</v>
      </c>
      <c r="P87" s="257">
        <v>0</v>
      </c>
      <c r="Q87" s="224">
        <f t="shared" si="82"/>
        <v>0</v>
      </c>
      <c r="R87" s="257"/>
      <c r="S87" s="225">
        <v>0</v>
      </c>
      <c r="T87" s="225">
        <v>0</v>
      </c>
      <c r="U87" s="257"/>
      <c r="V87" s="225">
        <v>0</v>
      </c>
      <c r="W87" s="225">
        <v>0</v>
      </c>
      <c r="X87" s="257"/>
      <c r="Y87" s="225">
        <v>0</v>
      </c>
      <c r="Z87" s="225">
        <v>0</v>
      </c>
      <c r="AA87" s="257"/>
      <c r="AB87" s="225">
        <v>0</v>
      </c>
      <c r="AC87" s="225">
        <v>0</v>
      </c>
      <c r="AD87" s="257"/>
      <c r="AE87" s="225">
        <v>0</v>
      </c>
      <c r="AF87" s="225">
        <v>0</v>
      </c>
      <c r="AG87" s="257"/>
      <c r="AH87" s="225">
        <v>0</v>
      </c>
      <c r="AI87" s="225">
        <v>0</v>
      </c>
      <c r="AJ87" s="257"/>
      <c r="AK87" s="225">
        <v>0</v>
      </c>
      <c r="AL87" s="225">
        <v>0</v>
      </c>
      <c r="AM87" s="257">
        <v>71.393000000000001</v>
      </c>
      <c r="AN87" s="225">
        <v>3.5696500000000002E-3</v>
      </c>
      <c r="AO87" s="225">
        <v>3.7575263157894737E-3</v>
      </c>
      <c r="AP87" s="225"/>
      <c r="AQ87" s="257">
        <v>71.393000000000001</v>
      </c>
      <c r="AR87" s="225">
        <v>3.5696500000000002E-3</v>
      </c>
      <c r="AS87" s="225">
        <v>3.7575263157894737E-3</v>
      </c>
      <c r="AT87" s="257">
        <v>71.393000000000001</v>
      </c>
      <c r="AU87" s="225">
        <v>3.5696500000000002E-3</v>
      </c>
      <c r="AV87" s="225">
        <v>3.7575263157894737E-3</v>
      </c>
      <c r="AW87" s="257">
        <v>71.393000000000001</v>
      </c>
      <c r="AX87" s="225">
        <v>3.5696500000000002E-3</v>
      </c>
      <c r="AY87" s="225">
        <v>3.7575263157894737E-3</v>
      </c>
      <c r="AZ87" s="257">
        <v>165.51600000000002</v>
      </c>
      <c r="BA87" s="225">
        <v>8.2758000000000016E-3</v>
      </c>
      <c r="BB87" s="225">
        <v>8.7113684210526326E-3</v>
      </c>
      <c r="BC87" s="257">
        <v>165.51600000000002</v>
      </c>
      <c r="BD87" s="225">
        <v>8.2758000000000016E-3</v>
      </c>
      <c r="BE87" s="225">
        <v>8.7113684210526326E-3</v>
      </c>
      <c r="BF87" s="257"/>
      <c r="BG87" s="257">
        <v>285.94300000000004</v>
      </c>
      <c r="BH87" s="225">
        <v>1.4297150000000002E-2</v>
      </c>
      <c r="BI87" s="225">
        <v>1.504963157894737E-2</v>
      </c>
      <c r="BJ87" s="257">
        <f t="shared" si="78"/>
        <v>19000</v>
      </c>
      <c r="BK87" s="257">
        <v>285.94300000000004</v>
      </c>
      <c r="BL87" s="225">
        <f>BK87/$D87</f>
        <v>1.4297150000000002E-2</v>
      </c>
      <c r="BM87" s="225">
        <f t="shared" si="83"/>
        <v>1.504963157894737E-2</v>
      </c>
      <c r="BN87" s="205">
        <f t="shared" si="76"/>
        <v>285.94300000000004</v>
      </c>
      <c r="BO87" s="205"/>
      <c r="BP87" s="227"/>
      <c r="BQ87" s="224">
        <f t="shared" si="84"/>
        <v>0</v>
      </c>
      <c r="BR87" s="227">
        <v>260</v>
      </c>
      <c r="BS87" s="224">
        <f>BR87/$D87</f>
        <v>1.2999999999999999E-2</v>
      </c>
      <c r="BT87" s="227">
        <v>710</v>
      </c>
      <c r="BU87" s="224">
        <f>BT87/$D87</f>
        <v>3.5499999999999997E-2</v>
      </c>
      <c r="BV87" s="227">
        <v>1250</v>
      </c>
      <c r="BW87" s="224">
        <f>BV87/$D87</f>
        <v>6.25E-2</v>
      </c>
      <c r="BX87" s="227">
        <v>2250</v>
      </c>
      <c r="BY87" s="224">
        <f>BX87/$D87</f>
        <v>0.1125</v>
      </c>
      <c r="BZ87" s="227">
        <v>3200</v>
      </c>
      <c r="CA87" s="224">
        <f>BZ87/$D87</f>
        <v>0.16</v>
      </c>
      <c r="CB87" s="227">
        <v>5200</v>
      </c>
      <c r="CC87" s="224">
        <f>CB87/$D87</f>
        <v>0.26</v>
      </c>
      <c r="CD87" s="227">
        <v>7300</v>
      </c>
      <c r="CE87" s="224">
        <f>CD87/$D87</f>
        <v>0.36499999999999999</v>
      </c>
      <c r="CF87" s="227">
        <v>9500</v>
      </c>
      <c r="CG87" s="224">
        <f>CF87/$D87</f>
        <v>0.47499999999999998</v>
      </c>
      <c r="CH87" s="227">
        <v>12900</v>
      </c>
      <c r="CI87" s="224">
        <f>CH87/$D87</f>
        <v>0.64500000000000002</v>
      </c>
      <c r="CJ87" s="227">
        <v>16500</v>
      </c>
      <c r="CK87" s="224">
        <f>CJ87/$D87</f>
        <v>0.82499999999999996</v>
      </c>
      <c r="CL87" s="227">
        <v>19000</v>
      </c>
      <c r="CM87" s="224">
        <f>CL87/$D87</f>
        <v>0.95</v>
      </c>
      <c r="CN87" s="227">
        <v>19000</v>
      </c>
      <c r="CO87" s="224">
        <f>CN87/$D87</f>
        <v>0.95</v>
      </c>
      <c r="CP87" s="213" t="str">
        <f t="shared" si="85"/>
        <v>Không đạt</v>
      </c>
      <c r="CQ87" s="213" t="str">
        <f t="shared" si="86"/>
        <v>Không đạt</v>
      </c>
      <c r="CR87" s="192"/>
      <c r="CS87" s="257">
        <f t="shared" si="81"/>
        <v>120.42700000000002</v>
      </c>
      <c r="CT87" s="223"/>
      <c r="CU87" s="163"/>
      <c r="CW87" s="195"/>
      <c r="CX87" s="196"/>
      <c r="CY87" s="196"/>
      <c r="CZ87" s="197"/>
      <c r="DA87" s="196"/>
      <c r="DB87" s="196"/>
      <c r="DC87" s="196"/>
      <c r="DE87" s="199"/>
      <c r="DF87" s="200"/>
      <c r="DG87" s="181"/>
    </row>
    <row r="88" spans="1:111" ht="25.5" outlineLevel="1" x14ac:dyDescent="0.25">
      <c r="A88" s="192">
        <f>MAX(A$72:$B87)+1</f>
        <v>14</v>
      </c>
      <c r="B88" s="222" t="s">
        <v>224</v>
      </c>
      <c r="C88" s="222" t="s">
        <v>225</v>
      </c>
      <c r="D88" s="214">
        <f t="shared" si="79"/>
        <v>6000</v>
      </c>
      <c r="E88" s="214"/>
      <c r="F88" s="214">
        <f t="shared" si="80"/>
        <v>6000</v>
      </c>
      <c r="G88" s="257">
        <v>3000</v>
      </c>
      <c r="H88" s="257">
        <v>3000</v>
      </c>
      <c r="I88" s="235"/>
      <c r="J88" s="235"/>
      <c r="K88" s="257"/>
      <c r="L88" s="235"/>
      <c r="M88" s="223"/>
      <c r="N88" s="223"/>
      <c r="O88" s="257">
        <f t="shared" si="29"/>
        <v>3000</v>
      </c>
      <c r="P88" s="257">
        <v>0</v>
      </c>
      <c r="Q88" s="224">
        <f t="shared" si="82"/>
        <v>0</v>
      </c>
      <c r="R88" s="257"/>
      <c r="S88" s="225">
        <v>0</v>
      </c>
      <c r="T88" s="225">
        <v>0</v>
      </c>
      <c r="U88" s="257"/>
      <c r="V88" s="225">
        <v>0</v>
      </c>
      <c r="W88" s="225">
        <v>0</v>
      </c>
      <c r="X88" s="257"/>
      <c r="Y88" s="225">
        <v>0</v>
      </c>
      <c r="Z88" s="225">
        <v>0</v>
      </c>
      <c r="AA88" s="257"/>
      <c r="AB88" s="225">
        <v>0</v>
      </c>
      <c r="AC88" s="225">
        <v>0</v>
      </c>
      <c r="AD88" s="257">
        <v>1874.645</v>
      </c>
      <c r="AE88" s="225">
        <v>0.31244083333333333</v>
      </c>
      <c r="AF88" s="225">
        <v>0.32888508771929825</v>
      </c>
      <c r="AG88" s="257">
        <v>1874.645</v>
      </c>
      <c r="AH88" s="225">
        <v>0.31244083333333333</v>
      </c>
      <c r="AI88" s="225">
        <v>0.32888508771929825</v>
      </c>
      <c r="AJ88" s="250">
        <v>1874.645</v>
      </c>
      <c r="AK88" s="225">
        <v>0.31244083333333333</v>
      </c>
      <c r="AL88" s="225">
        <v>0.32888508771929825</v>
      </c>
      <c r="AM88" s="257">
        <v>1874.645</v>
      </c>
      <c r="AN88" s="225">
        <v>0.31244083333333333</v>
      </c>
      <c r="AO88" s="225">
        <v>0.32888508771929825</v>
      </c>
      <c r="AP88" s="225"/>
      <c r="AQ88" s="257">
        <v>1874.645</v>
      </c>
      <c r="AR88" s="225">
        <v>0.31244083333333333</v>
      </c>
      <c r="AS88" s="225">
        <v>0.32888508771929825</v>
      </c>
      <c r="AT88" s="257">
        <v>1874.645</v>
      </c>
      <c r="AU88" s="225">
        <v>0.31244083333333333</v>
      </c>
      <c r="AV88" s="225">
        <v>0.32888508771929825</v>
      </c>
      <c r="AW88" s="257">
        <v>1874.645</v>
      </c>
      <c r="AX88" s="225">
        <v>0.31244083333333333</v>
      </c>
      <c r="AY88" s="225">
        <v>0.32888508771929825</v>
      </c>
      <c r="AZ88" s="257">
        <v>1874.645</v>
      </c>
      <c r="BA88" s="225">
        <v>0.31244083333333333</v>
      </c>
      <c r="BB88" s="225">
        <v>0.32888508771929825</v>
      </c>
      <c r="BC88" s="257">
        <v>1874.645</v>
      </c>
      <c r="BD88" s="225">
        <v>0.31244083333333333</v>
      </c>
      <c r="BE88" s="225">
        <v>0.32888508771929825</v>
      </c>
      <c r="BF88" s="257"/>
      <c r="BG88" s="257">
        <v>2410.6590000000001</v>
      </c>
      <c r="BH88" s="225">
        <v>0.40177650000000004</v>
      </c>
      <c r="BI88" s="225">
        <v>0.42292263157894738</v>
      </c>
      <c r="BJ88" s="257">
        <f t="shared" si="78"/>
        <v>5700</v>
      </c>
      <c r="BK88" s="257">
        <v>2410.6590000000001</v>
      </c>
      <c r="BL88" s="225">
        <f>BK88/$D88</f>
        <v>0.40177650000000004</v>
      </c>
      <c r="BM88" s="225">
        <f t="shared" si="83"/>
        <v>0.42292263157894738</v>
      </c>
      <c r="BN88" s="205">
        <f t="shared" si="76"/>
        <v>536.01400000000012</v>
      </c>
      <c r="BO88" s="205"/>
      <c r="BP88" s="227"/>
      <c r="BQ88" s="224">
        <f t="shared" si="84"/>
        <v>0</v>
      </c>
      <c r="BR88" s="227"/>
      <c r="BS88" s="224">
        <f>BR88/$D88</f>
        <v>0</v>
      </c>
      <c r="BT88" s="227"/>
      <c r="BU88" s="224">
        <f>BT88/$D88</f>
        <v>0</v>
      </c>
      <c r="BV88" s="227">
        <v>2700</v>
      </c>
      <c r="BW88" s="224">
        <f>BV88/$D88</f>
        <v>0.45</v>
      </c>
      <c r="BX88" s="227">
        <v>5700</v>
      </c>
      <c r="BY88" s="224">
        <f>BX88/$D88</f>
        <v>0.95</v>
      </c>
      <c r="BZ88" s="227">
        <v>5700</v>
      </c>
      <c r="CA88" s="224">
        <f>BZ88/$D88</f>
        <v>0.95</v>
      </c>
      <c r="CB88" s="227">
        <v>5700</v>
      </c>
      <c r="CC88" s="224">
        <f>CB88/$D88</f>
        <v>0.95</v>
      </c>
      <c r="CD88" s="227">
        <v>5700</v>
      </c>
      <c r="CE88" s="224">
        <f>CD88/$D88</f>
        <v>0.95</v>
      </c>
      <c r="CF88" s="227">
        <v>5700</v>
      </c>
      <c r="CG88" s="224">
        <f>CF88/$D88</f>
        <v>0.95</v>
      </c>
      <c r="CH88" s="227">
        <v>5700</v>
      </c>
      <c r="CI88" s="224">
        <f>CH88/$D88</f>
        <v>0.95</v>
      </c>
      <c r="CJ88" s="227">
        <v>5700</v>
      </c>
      <c r="CK88" s="224">
        <f>CJ88/$D88</f>
        <v>0.95</v>
      </c>
      <c r="CL88" s="227">
        <v>5700</v>
      </c>
      <c r="CM88" s="224">
        <f>CL88/$D88</f>
        <v>0.95</v>
      </c>
      <c r="CN88" s="227">
        <v>5700</v>
      </c>
      <c r="CO88" s="224">
        <f>CN88/$D88</f>
        <v>0.95</v>
      </c>
      <c r="CP88" s="213" t="str">
        <f t="shared" si="85"/>
        <v>Đạt</v>
      </c>
      <c r="CQ88" s="213" t="str">
        <f t="shared" si="86"/>
        <v>Không đạt</v>
      </c>
      <c r="CR88" s="192"/>
      <c r="CS88" s="257">
        <f t="shared" si="81"/>
        <v>536.01400000000012</v>
      </c>
      <c r="CT88" s="223"/>
      <c r="CU88" s="163"/>
      <c r="CW88" s="195"/>
      <c r="CX88" s="196"/>
      <c r="CY88" s="196"/>
      <c r="CZ88" s="197"/>
      <c r="DA88" s="196"/>
      <c r="DB88" s="196"/>
      <c r="DC88" s="196"/>
      <c r="DE88" s="199"/>
      <c r="DF88" s="200"/>
      <c r="DG88" s="181"/>
    </row>
    <row r="89" spans="1:111" ht="25.5" outlineLevel="1" x14ac:dyDescent="0.25">
      <c r="A89" s="192">
        <f>MAX(A$72:$B88)+1</f>
        <v>15</v>
      </c>
      <c r="B89" s="222" t="s">
        <v>226</v>
      </c>
      <c r="C89" s="222" t="s">
        <v>227</v>
      </c>
      <c r="D89" s="214">
        <f>E89+F89</f>
        <v>39402</v>
      </c>
      <c r="E89" s="214"/>
      <c r="F89" s="214">
        <f>G89+H89+K89+M89</f>
        <v>39402</v>
      </c>
      <c r="G89" s="257">
        <f>20000+6350</f>
        <v>26350</v>
      </c>
      <c r="H89" s="257">
        <v>13052</v>
      </c>
      <c r="I89" s="235"/>
      <c r="J89" s="235"/>
      <c r="K89" s="257"/>
      <c r="L89" s="235"/>
      <c r="M89" s="223"/>
      <c r="N89" s="223"/>
      <c r="O89" s="257">
        <f>G89+I89+L89+N89</f>
        <v>26350</v>
      </c>
      <c r="P89" s="257">
        <v>0</v>
      </c>
      <c r="Q89" s="224">
        <f>P89/$D89</f>
        <v>0</v>
      </c>
      <c r="R89" s="257"/>
      <c r="S89" s="225">
        <v>0</v>
      </c>
      <c r="T89" s="225">
        <v>0</v>
      </c>
      <c r="U89" s="257"/>
      <c r="V89" s="225">
        <v>0</v>
      </c>
      <c r="W89" s="225">
        <v>0</v>
      </c>
      <c r="X89" s="257"/>
      <c r="Y89" s="225">
        <v>0</v>
      </c>
      <c r="Z89" s="225">
        <v>0</v>
      </c>
      <c r="AA89" s="257"/>
      <c r="AB89" s="225">
        <v>0</v>
      </c>
      <c r="AC89" s="225">
        <v>0</v>
      </c>
      <c r="AD89" s="257"/>
      <c r="AE89" s="225">
        <v>0</v>
      </c>
      <c r="AF89" s="225">
        <v>0</v>
      </c>
      <c r="AG89" s="257"/>
      <c r="AH89" s="225">
        <v>0</v>
      </c>
      <c r="AI89" s="225">
        <v>0</v>
      </c>
      <c r="AJ89" s="250"/>
      <c r="AK89" s="225">
        <v>0</v>
      </c>
      <c r="AL89" s="225">
        <v>0</v>
      </c>
      <c r="AM89" s="257"/>
      <c r="AN89" s="225">
        <v>0</v>
      </c>
      <c r="AO89" s="225">
        <v>0</v>
      </c>
      <c r="AP89" s="225"/>
      <c r="AQ89" s="257">
        <v>9668.5220000000008</v>
      </c>
      <c r="AR89" s="225">
        <v>0.48342610000000003</v>
      </c>
      <c r="AS89" s="225">
        <v>0.50886957894736851</v>
      </c>
      <c r="AT89" s="257">
        <v>9668.5220000000008</v>
      </c>
      <c r="AU89" s="225">
        <v>0.48342610000000003</v>
      </c>
      <c r="AV89" s="225">
        <v>0.50886957894736851</v>
      </c>
      <c r="AW89" s="257">
        <v>9668.5220000000008</v>
      </c>
      <c r="AX89" s="225">
        <v>0.48342610000000003</v>
      </c>
      <c r="AY89" s="225">
        <v>0.50886957894736851</v>
      </c>
      <c r="AZ89" s="257">
        <v>9905.3379999999979</v>
      </c>
      <c r="BA89" s="225">
        <v>0.4952668999999999</v>
      </c>
      <c r="BB89" s="225">
        <v>0.52133357894736831</v>
      </c>
      <c r="BC89" s="257">
        <v>9905.3379999999979</v>
      </c>
      <c r="BD89" s="225">
        <v>0.4952668999999999</v>
      </c>
      <c r="BE89" s="225">
        <v>0.52133357894736831</v>
      </c>
      <c r="BF89" s="257"/>
      <c r="BG89" s="257">
        <v>14367.805999999999</v>
      </c>
      <c r="BH89" s="225">
        <v>0.36464661692299882</v>
      </c>
      <c r="BI89" s="225">
        <v>0.38383854412947238</v>
      </c>
      <c r="BJ89" s="257">
        <f t="shared" si="78"/>
        <v>37431.9</v>
      </c>
      <c r="BK89" s="257">
        <v>14367.805999999999</v>
      </c>
      <c r="BL89" s="225">
        <f>BK89/$D89</f>
        <v>0.36464661692299882</v>
      </c>
      <c r="BM89" s="225">
        <f>BK89/(E89+0.95*F89)</f>
        <v>0.38383854412947238</v>
      </c>
      <c r="BN89" s="205">
        <f t="shared" si="76"/>
        <v>14367.805999999999</v>
      </c>
      <c r="BO89" s="205"/>
      <c r="BP89" s="227"/>
      <c r="BQ89" s="224">
        <f>BP89/$D89</f>
        <v>0</v>
      </c>
      <c r="BR89" s="227"/>
      <c r="BS89" s="224">
        <f>BR89/$D89</f>
        <v>0</v>
      </c>
      <c r="BT89" s="227">
        <v>5700</v>
      </c>
      <c r="BU89" s="224">
        <f>BT89/$D89</f>
        <v>0.14466270747677784</v>
      </c>
      <c r="BV89" s="227">
        <v>9200</v>
      </c>
      <c r="BW89" s="224">
        <f>BV89/$D89</f>
        <v>0.23349068575199228</v>
      </c>
      <c r="BX89" s="227">
        <v>12700</v>
      </c>
      <c r="BY89" s="224">
        <f>BX89/$D89</f>
        <v>0.32231866402720671</v>
      </c>
      <c r="BZ89" s="227">
        <v>12700</v>
      </c>
      <c r="CA89" s="224">
        <f>BZ89/$D89</f>
        <v>0.32231866402720671</v>
      </c>
      <c r="CB89" s="227">
        <v>19000</v>
      </c>
      <c r="CC89" s="224">
        <f>CB89/$D89</f>
        <v>0.48220902492259277</v>
      </c>
      <c r="CD89" s="227">
        <v>19000</v>
      </c>
      <c r="CE89" s="224">
        <f>CD89/$D89</f>
        <v>0.48220902492259277</v>
      </c>
      <c r="CF89" s="227">
        <v>19000</v>
      </c>
      <c r="CG89" s="224">
        <f>CF89/$D89</f>
        <v>0.48220902492259277</v>
      </c>
      <c r="CH89" s="227">
        <v>19000</v>
      </c>
      <c r="CI89" s="224">
        <f>CH89/$D89</f>
        <v>0.48220902492259277</v>
      </c>
      <c r="CJ89" s="227">
        <v>19000</v>
      </c>
      <c r="CK89" s="224">
        <f>CJ89/$D89</f>
        <v>0.48220902492259277</v>
      </c>
      <c r="CL89" s="227">
        <v>19000</v>
      </c>
      <c r="CM89" s="224">
        <f>CL89/$D89</f>
        <v>0.48220902492259277</v>
      </c>
      <c r="CN89" s="227">
        <v>19000</v>
      </c>
      <c r="CO89" s="224">
        <f>CN89/$D89</f>
        <v>0.48220902492259277</v>
      </c>
      <c r="CP89" s="213" t="str">
        <f t="shared" si="85"/>
        <v>Đạt</v>
      </c>
      <c r="CQ89" s="213" t="str">
        <f t="shared" si="86"/>
        <v>Không đạt</v>
      </c>
      <c r="CR89" s="192"/>
      <c r="CS89" s="257">
        <f t="shared" si="81"/>
        <v>4462.4680000000008</v>
      </c>
      <c r="CT89" s="223"/>
      <c r="CU89" s="163"/>
      <c r="CW89" s="195"/>
      <c r="CX89" s="196"/>
      <c r="CY89" s="196"/>
      <c r="CZ89" s="197"/>
      <c r="DA89" s="196"/>
      <c r="DB89" s="196"/>
      <c r="DC89" s="196"/>
      <c r="DE89" s="199"/>
      <c r="DF89" s="200"/>
      <c r="DG89" s="181"/>
    </row>
    <row r="90" spans="1:111" outlineLevel="1" x14ac:dyDescent="0.25">
      <c r="A90" s="256"/>
      <c r="B90" s="210" t="s">
        <v>228</v>
      </c>
      <c r="C90" s="210"/>
      <c r="D90" s="214">
        <f t="shared" si="79"/>
        <v>0</v>
      </c>
      <c r="E90" s="214"/>
      <c r="F90" s="214">
        <f t="shared" si="80"/>
        <v>0</v>
      </c>
      <c r="G90" s="250"/>
      <c r="H90" s="250"/>
      <c r="I90" s="235"/>
      <c r="J90" s="235"/>
      <c r="K90" s="250"/>
      <c r="L90" s="235"/>
      <c r="M90" s="223"/>
      <c r="N90" s="223"/>
      <c r="O90" s="250">
        <f t="shared" ref="O90:O153" si="87">G90+I90+L90+N90</f>
        <v>0</v>
      </c>
      <c r="P90" s="250">
        <v>0</v>
      </c>
      <c r="Q90" s="224" t="e">
        <f t="shared" si="82"/>
        <v>#DIV/0!</v>
      </c>
      <c r="R90" s="250"/>
      <c r="S90" s="225"/>
      <c r="T90" s="225" t="e">
        <v>#DIV/0!</v>
      </c>
      <c r="U90" s="250"/>
      <c r="V90" s="225"/>
      <c r="W90" s="225" t="e">
        <v>#DIV/0!</v>
      </c>
      <c r="X90" s="250"/>
      <c r="Y90" s="225"/>
      <c r="Z90" s="225"/>
      <c r="AA90" s="250"/>
      <c r="AB90" s="225"/>
      <c r="AC90" s="225"/>
      <c r="AD90" s="250"/>
      <c r="AE90" s="225"/>
      <c r="AF90" s="225"/>
      <c r="AG90" s="250"/>
      <c r="AH90" s="225"/>
      <c r="AI90" s="225"/>
      <c r="AJ90" s="257"/>
      <c r="AK90" s="225"/>
      <c r="AL90" s="225"/>
      <c r="AM90" s="250"/>
      <c r="AN90" s="225"/>
      <c r="AO90" s="225"/>
      <c r="AP90" s="225"/>
      <c r="AQ90" s="250"/>
      <c r="AR90" s="225"/>
      <c r="AS90" s="225"/>
      <c r="AT90" s="250"/>
      <c r="AU90" s="225"/>
      <c r="AV90" s="225"/>
      <c r="AW90" s="250"/>
      <c r="AX90" s="225"/>
      <c r="AY90" s="225"/>
      <c r="AZ90" s="250"/>
      <c r="BA90" s="225"/>
      <c r="BB90" s="225"/>
      <c r="BC90" s="250"/>
      <c r="BD90" s="225"/>
      <c r="BE90" s="225"/>
      <c r="BF90" s="250"/>
      <c r="BG90" s="250"/>
      <c r="BH90" s="225"/>
      <c r="BI90" s="225"/>
      <c r="BJ90" s="250">
        <f t="shared" si="78"/>
        <v>0</v>
      </c>
      <c r="BK90" s="250"/>
      <c r="BL90" s="225"/>
      <c r="BM90" s="225"/>
      <c r="BN90" s="205">
        <f t="shared" si="76"/>
        <v>0</v>
      </c>
      <c r="BO90" s="205"/>
      <c r="BP90" s="227"/>
      <c r="BQ90" s="224"/>
      <c r="BR90" s="227"/>
      <c r="BS90" s="224"/>
      <c r="BT90" s="227"/>
      <c r="BU90" s="224"/>
      <c r="BV90" s="227"/>
      <c r="BW90" s="224"/>
      <c r="BX90" s="227"/>
      <c r="BY90" s="224"/>
      <c r="BZ90" s="227"/>
      <c r="CA90" s="224"/>
      <c r="CB90" s="227"/>
      <c r="CC90" s="224"/>
      <c r="CD90" s="227"/>
      <c r="CE90" s="224"/>
      <c r="CF90" s="227"/>
      <c r="CG90" s="224"/>
      <c r="CH90" s="227"/>
      <c r="CI90" s="224"/>
      <c r="CJ90" s="227"/>
      <c r="CK90" s="224"/>
      <c r="CL90" s="227"/>
      <c r="CM90" s="224"/>
      <c r="CN90" s="227"/>
      <c r="CO90" s="224"/>
      <c r="CP90" s="213" t="str">
        <f t="shared" si="85"/>
        <v>Không đạt</v>
      </c>
      <c r="CQ90" s="213" t="str">
        <f t="shared" si="86"/>
        <v>Không đạt</v>
      </c>
      <c r="CR90" s="192"/>
      <c r="CS90" s="250">
        <f t="shared" si="81"/>
        <v>0</v>
      </c>
      <c r="CT90" s="223"/>
      <c r="CU90" s="163"/>
      <c r="CW90" s="195"/>
      <c r="CX90" s="196"/>
      <c r="CY90" s="196"/>
      <c r="CZ90" s="197"/>
      <c r="DA90" s="196"/>
      <c r="DB90" s="196"/>
      <c r="DC90" s="196"/>
      <c r="DE90" s="199"/>
      <c r="DF90" s="200"/>
      <c r="DG90" s="181"/>
    </row>
    <row r="91" spans="1:111" outlineLevel="1" x14ac:dyDescent="0.25">
      <c r="A91" s="192">
        <f>MAX(A$72:$B90)+1</f>
        <v>16</v>
      </c>
      <c r="B91" s="222" t="s">
        <v>229</v>
      </c>
      <c r="C91" s="222"/>
      <c r="D91" s="214">
        <f t="shared" si="79"/>
        <v>3500</v>
      </c>
      <c r="E91" s="214"/>
      <c r="F91" s="214">
        <f t="shared" si="80"/>
        <v>3500</v>
      </c>
      <c r="G91" s="257"/>
      <c r="H91" s="257">
        <v>3500</v>
      </c>
      <c r="I91" s="235"/>
      <c r="J91" s="235"/>
      <c r="K91" s="257"/>
      <c r="L91" s="235"/>
      <c r="M91" s="223"/>
      <c r="N91" s="223"/>
      <c r="O91" s="257">
        <f t="shared" si="87"/>
        <v>0</v>
      </c>
      <c r="P91" s="257">
        <v>0</v>
      </c>
      <c r="Q91" s="224">
        <f t="shared" si="82"/>
        <v>0</v>
      </c>
      <c r="R91" s="257">
        <v>0</v>
      </c>
      <c r="S91" s="225">
        <v>0</v>
      </c>
      <c r="T91" s="225">
        <v>0</v>
      </c>
      <c r="U91" s="257">
        <v>0</v>
      </c>
      <c r="V91" s="225">
        <v>0</v>
      </c>
      <c r="W91" s="225">
        <v>0</v>
      </c>
      <c r="X91" s="257">
        <v>0</v>
      </c>
      <c r="Y91" s="225">
        <v>0</v>
      </c>
      <c r="Z91" s="225">
        <v>0</v>
      </c>
      <c r="AA91" s="257">
        <v>0</v>
      </c>
      <c r="AB91" s="225">
        <v>0</v>
      </c>
      <c r="AC91" s="225">
        <v>0</v>
      </c>
      <c r="AD91" s="257">
        <v>0</v>
      </c>
      <c r="AE91" s="225">
        <v>0</v>
      </c>
      <c r="AF91" s="225">
        <v>0</v>
      </c>
      <c r="AG91" s="257">
        <v>0</v>
      </c>
      <c r="AH91" s="225">
        <v>0</v>
      </c>
      <c r="AI91" s="225">
        <v>0</v>
      </c>
      <c r="AJ91" s="257">
        <v>0</v>
      </c>
      <c r="AK91" s="225">
        <v>0</v>
      </c>
      <c r="AL91" s="225">
        <v>0</v>
      </c>
      <c r="AM91" s="257">
        <v>0</v>
      </c>
      <c r="AN91" s="225">
        <v>0</v>
      </c>
      <c r="AO91" s="225">
        <v>0</v>
      </c>
      <c r="AP91" s="225"/>
      <c r="AQ91" s="257">
        <v>0</v>
      </c>
      <c r="AR91" s="225">
        <v>0</v>
      </c>
      <c r="AS91" s="225">
        <v>0</v>
      </c>
      <c r="AT91" s="257">
        <v>0</v>
      </c>
      <c r="AU91" s="225">
        <v>0</v>
      </c>
      <c r="AV91" s="225">
        <v>0</v>
      </c>
      <c r="AW91" s="257">
        <v>0</v>
      </c>
      <c r="AX91" s="225">
        <v>0</v>
      </c>
      <c r="AY91" s="225">
        <v>0</v>
      </c>
      <c r="AZ91" s="257">
        <v>0</v>
      </c>
      <c r="BA91" s="225">
        <v>0</v>
      </c>
      <c r="BB91" s="225">
        <v>0</v>
      </c>
      <c r="BC91" s="257">
        <v>0</v>
      </c>
      <c r="BD91" s="225">
        <v>0</v>
      </c>
      <c r="BE91" s="225">
        <v>0</v>
      </c>
      <c r="BF91" s="257"/>
      <c r="BG91" s="257">
        <v>0</v>
      </c>
      <c r="BH91" s="225">
        <v>0</v>
      </c>
      <c r="BI91" s="225">
        <v>0</v>
      </c>
      <c r="BJ91" s="257">
        <f t="shared" si="78"/>
        <v>3325</v>
      </c>
      <c r="BK91" s="257">
        <v>0</v>
      </c>
      <c r="BL91" s="225">
        <f t="shared" ref="BL91:BL97" si="88">BK91/$D91</f>
        <v>0</v>
      </c>
      <c r="BM91" s="225">
        <f t="shared" si="83"/>
        <v>0</v>
      </c>
      <c r="BN91" s="205">
        <f t="shared" si="76"/>
        <v>0</v>
      </c>
      <c r="BO91" s="205"/>
      <c r="BP91" s="227">
        <v>0</v>
      </c>
      <c r="BQ91" s="224">
        <f t="shared" si="84"/>
        <v>0</v>
      </c>
      <c r="BR91" s="227">
        <v>0</v>
      </c>
      <c r="BS91" s="224">
        <f t="shared" ref="BS91:BS97" si="89">BR91/$D91</f>
        <v>0</v>
      </c>
      <c r="BT91" s="227">
        <v>0</v>
      </c>
      <c r="BU91" s="224">
        <f t="shared" ref="BU91:BU97" si="90">BT91/$D91</f>
        <v>0</v>
      </c>
      <c r="BV91" s="227">
        <v>0</v>
      </c>
      <c r="BW91" s="224">
        <f t="shared" ref="BW91:BW97" si="91">BV91/$D91</f>
        <v>0</v>
      </c>
      <c r="BX91" s="227">
        <v>500</v>
      </c>
      <c r="BY91" s="224">
        <f t="shared" ref="BY91:BY97" si="92">BX91/$D91</f>
        <v>0.14285714285714285</v>
      </c>
      <c r="BZ91" s="227">
        <v>1500</v>
      </c>
      <c r="CA91" s="224">
        <f t="shared" ref="CA91:CA97" si="93">BZ91/$D91</f>
        <v>0.42857142857142855</v>
      </c>
      <c r="CB91" s="227">
        <v>2500</v>
      </c>
      <c r="CC91" s="224">
        <f t="shared" ref="CC91:CC97" si="94">CB91/$D91</f>
        <v>0.7142857142857143</v>
      </c>
      <c r="CD91" s="227">
        <v>3325</v>
      </c>
      <c r="CE91" s="224">
        <f t="shared" ref="CE91:CE97" si="95">CD91/$D91</f>
        <v>0.95</v>
      </c>
      <c r="CF91" s="227">
        <v>3325</v>
      </c>
      <c r="CG91" s="224">
        <f t="shared" ref="CG91:CG97" si="96">CF91/$D91</f>
        <v>0.95</v>
      </c>
      <c r="CH91" s="227">
        <v>3325</v>
      </c>
      <c r="CI91" s="224">
        <f t="shared" ref="CI91:CI97" si="97">CH91/$D91</f>
        <v>0.95</v>
      </c>
      <c r="CJ91" s="227">
        <v>3325</v>
      </c>
      <c r="CK91" s="224">
        <f t="shared" ref="CK91:CK97" si="98">CJ91/$D91</f>
        <v>0.95</v>
      </c>
      <c r="CL91" s="227">
        <v>3325</v>
      </c>
      <c r="CM91" s="224">
        <f t="shared" ref="CM91:CM97" si="99">CL91/$D91</f>
        <v>0.95</v>
      </c>
      <c r="CN91" s="227">
        <v>3325</v>
      </c>
      <c r="CO91" s="224">
        <f t="shared" ref="CO91:CO97" si="100">CN91/$D91</f>
        <v>0.95</v>
      </c>
      <c r="CP91" s="213" t="str">
        <f t="shared" si="85"/>
        <v>Không đạt</v>
      </c>
      <c r="CQ91" s="213" t="str">
        <f t="shared" si="86"/>
        <v>Không đạt</v>
      </c>
      <c r="CR91" s="192"/>
      <c r="CS91" s="257">
        <f t="shared" si="81"/>
        <v>0</v>
      </c>
      <c r="CT91" s="223"/>
      <c r="CU91" s="163"/>
      <c r="CW91" s="195"/>
      <c r="CX91" s="196"/>
      <c r="CY91" s="196"/>
      <c r="CZ91" s="197"/>
      <c r="DA91" s="196"/>
      <c r="DB91" s="196"/>
      <c r="DC91" s="196"/>
      <c r="DE91" s="199"/>
      <c r="DF91" s="200"/>
      <c r="DG91" s="181"/>
    </row>
    <row r="92" spans="1:111" ht="25.5" outlineLevel="1" x14ac:dyDescent="0.25">
      <c r="A92" s="192">
        <f>MAX(A$72:$B91)+1</f>
        <v>17</v>
      </c>
      <c r="B92" s="222" t="s">
        <v>230</v>
      </c>
      <c r="C92" s="222" t="s">
        <v>231</v>
      </c>
      <c r="D92" s="214">
        <f t="shared" si="79"/>
        <v>5000</v>
      </c>
      <c r="E92" s="214"/>
      <c r="F92" s="214">
        <f t="shared" si="80"/>
        <v>5000</v>
      </c>
      <c r="G92" s="257">
        <f>5000-5000</f>
        <v>0</v>
      </c>
      <c r="H92" s="257">
        <v>5000</v>
      </c>
      <c r="I92" s="235"/>
      <c r="J92" s="235"/>
      <c r="K92" s="257"/>
      <c r="L92" s="235"/>
      <c r="M92" s="223"/>
      <c r="N92" s="223"/>
      <c r="O92" s="257">
        <f t="shared" si="87"/>
        <v>0</v>
      </c>
      <c r="P92" s="257">
        <v>0</v>
      </c>
      <c r="Q92" s="224">
        <f t="shared" si="82"/>
        <v>0</v>
      </c>
      <c r="R92" s="257">
        <v>0</v>
      </c>
      <c r="S92" s="225">
        <v>0</v>
      </c>
      <c r="T92" s="225">
        <v>0</v>
      </c>
      <c r="U92" s="257">
        <v>0</v>
      </c>
      <c r="V92" s="225">
        <v>0</v>
      </c>
      <c r="W92" s="225">
        <v>0</v>
      </c>
      <c r="X92" s="257">
        <v>0</v>
      </c>
      <c r="Y92" s="225">
        <v>0</v>
      </c>
      <c r="Z92" s="225">
        <v>0</v>
      </c>
      <c r="AA92" s="257">
        <v>43</v>
      </c>
      <c r="AB92" s="225">
        <v>4.3E-3</v>
      </c>
      <c r="AC92" s="225">
        <v>4.5263157894736838E-3</v>
      </c>
      <c r="AD92" s="257">
        <v>43</v>
      </c>
      <c r="AE92" s="225">
        <v>4.3E-3</v>
      </c>
      <c r="AF92" s="225">
        <v>4.5263157894736838E-3</v>
      </c>
      <c r="AG92" s="257">
        <v>43</v>
      </c>
      <c r="AH92" s="225">
        <v>4.3E-3</v>
      </c>
      <c r="AI92" s="225">
        <v>4.5263157894736838E-3</v>
      </c>
      <c r="AJ92" s="257">
        <v>43</v>
      </c>
      <c r="AK92" s="225">
        <v>4.3E-3</v>
      </c>
      <c r="AL92" s="225">
        <v>4.5263157894736838E-3</v>
      </c>
      <c r="AM92" s="257">
        <v>43</v>
      </c>
      <c r="AN92" s="225">
        <v>4.3E-3</v>
      </c>
      <c r="AO92" s="225">
        <v>4.5263157894736838E-3</v>
      </c>
      <c r="AP92" s="225"/>
      <c r="AQ92" s="257">
        <v>43</v>
      </c>
      <c r="AR92" s="225">
        <v>4.3E-3</v>
      </c>
      <c r="AS92" s="225">
        <v>4.5263157894736838E-3</v>
      </c>
      <c r="AT92" s="257">
        <v>43</v>
      </c>
      <c r="AU92" s="225">
        <v>4.3E-3</v>
      </c>
      <c r="AV92" s="225">
        <v>4.5263157894736838E-3</v>
      </c>
      <c r="AW92" s="257">
        <v>43</v>
      </c>
      <c r="AX92" s="225">
        <v>4.3E-3</v>
      </c>
      <c r="AY92" s="225">
        <v>4.5263157894736838E-3</v>
      </c>
      <c r="AZ92" s="257">
        <v>43</v>
      </c>
      <c r="BA92" s="225">
        <v>4.3E-3</v>
      </c>
      <c r="BB92" s="225">
        <v>4.5263157894736838E-3</v>
      </c>
      <c r="BC92" s="257">
        <v>43</v>
      </c>
      <c r="BD92" s="225">
        <v>4.3E-3</v>
      </c>
      <c r="BE92" s="225">
        <v>4.5263157894736838E-3</v>
      </c>
      <c r="BF92" s="257">
        <v>43</v>
      </c>
      <c r="BG92" s="257">
        <v>43</v>
      </c>
      <c r="BH92" s="225">
        <v>8.6E-3</v>
      </c>
      <c r="BI92" s="225">
        <v>9.0526315789473677E-3</v>
      </c>
      <c r="BJ92" s="257">
        <f t="shared" si="78"/>
        <v>4750</v>
      </c>
      <c r="BK92" s="257">
        <v>43</v>
      </c>
      <c r="BL92" s="225">
        <f t="shared" si="88"/>
        <v>8.6E-3</v>
      </c>
      <c r="BM92" s="225">
        <f t="shared" si="83"/>
        <v>9.0526315789473677E-3</v>
      </c>
      <c r="BN92" s="205">
        <f t="shared" si="76"/>
        <v>0</v>
      </c>
      <c r="BO92" s="205"/>
      <c r="BP92" s="227">
        <v>0</v>
      </c>
      <c r="BQ92" s="224">
        <f t="shared" si="84"/>
        <v>0</v>
      </c>
      <c r="BR92" s="227">
        <v>0</v>
      </c>
      <c r="BS92" s="224">
        <f t="shared" si="89"/>
        <v>0</v>
      </c>
      <c r="BT92" s="227">
        <v>0</v>
      </c>
      <c r="BU92" s="224">
        <f t="shared" si="90"/>
        <v>0</v>
      </c>
      <c r="BV92" s="227">
        <v>1250</v>
      </c>
      <c r="BW92" s="224">
        <f t="shared" si="91"/>
        <v>0.25</v>
      </c>
      <c r="BX92" s="227">
        <v>2500</v>
      </c>
      <c r="BY92" s="224">
        <f t="shared" si="92"/>
        <v>0.5</v>
      </c>
      <c r="BZ92" s="227">
        <v>3750</v>
      </c>
      <c r="CA92" s="224">
        <f t="shared" si="93"/>
        <v>0.75</v>
      </c>
      <c r="CB92" s="227">
        <v>5000</v>
      </c>
      <c r="CC92" s="224">
        <f t="shared" si="94"/>
        <v>1</v>
      </c>
      <c r="CD92" s="227">
        <v>6250</v>
      </c>
      <c r="CE92" s="224">
        <f t="shared" si="95"/>
        <v>1.25</v>
      </c>
      <c r="CF92" s="227">
        <v>7500</v>
      </c>
      <c r="CG92" s="224">
        <f t="shared" si="96"/>
        <v>1.5</v>
      </c>
      <c r="CH92" s="227">
        <v>7500</v>
      </c>
      <c r="CI92" s="224">
        <f t="shared" si="97"/>
        <v>1.5</v>
      </c>
      <c r="CJ92" s="227">
        <v>9500</v>
      </c>
      <c r="CK92" s="224">
        <f t="shared" si="98"/>
        <v>1.9</v>
      </c>
      <c r="CL92" s="227">
        <v>9500</v>
      </c>
      <c r="CM92" s="224">
        <f t="shared" si="99"/>
        <v>1.9</v>
      </c>
      <c r="CN92" s="227">
        <v>9500</v>
      </c>
      <c r="CO92" s="224">
        <f t="shared" si="100"/>
        <v>1.9</v>
      </c>
      <c r="CP92" s="213" t="str">
        <f t="shared" si="85"/>
        <v>Không đạt</v>
      </c>
      <c r="CQ92" s="213" t="str">
        <f t="shared" si="86"/>
        <v>Không đạt</v>
      </c>
      <c r="CR92" s="192"/>
      <c r="CS92" s="257">
        <f t="shared" si="81"/>
        <v>0</v>
      </c>
      <c r="CT92" s="223"/>
      <c r="CU92" s="163"/>
      <c r="CW92" s="195"/>
      <c r="CX92" s="196"/>
      <c r="CY92" s="196"/>
      <c r="CZ92" s="197"/>
      <c r="DA92" s="196"/>
      <c r="DB92" s="196"/>
      <c r="DC92" s="196"/>
      <c r="DE92" s="199"/>
      <c r="DF92" s="200"/>
      <c r="DG92" s="181"/>
    </row>
    <row r="93" spans="1:111" ht="25.5" outlineLevel="1" x14ac:dyDescent="0.25">
      <c r="A93" s="192">
        <f>MAX(A$72:$B92)+1</f>
        <v>18</v>
      </c>
      <c r="B93" s="222" t="s">
        <v>232</v>
      </c>
      <c r="C93" s="222">
        <v>7950226</v>
      </c>
      <c r="D93" s="214">
        <f t="shared" si="79"/>
        <v>16948</v>
      </c>
      <c r="E93" s="214"/>
      <c r="F93" s="214">
        <f t="shared" si="80"/>
        <v>16948</v>
      </c>
      <c r="G93" s="257">
        <v>5000</v>
      </c>
      <c r="H93" s="257">
        <f>25000-13052</f>
        <v>11948</v>
      </c>
      <c r="I93" s="235"/>
      <c r="J93" s="235"/>
      <c r="K93" s="257"/>
      <c r="L93" s="235"/>
      <c r="M93" s="223"/>
      <c r="N93" s="223"/>
      <c r="O93" s="257">
        <f t="shared" si="87"/>
        <v>5000</v>
      </c>
      <c r="P93" s="257">
        <v>2500.125</v>
      </c>
      <c r="Q93" s="224">
        <f t="shared" si="82"/>
        <v>0.1475174061836205</v>
      </c>
      <c r="R93" s="257">
        <v>2500.125</v>
      </c>
      <c r="S93" s="225">
        <v>8.3337499999999995E-2</v>
      </c>
      <c r="T93" s="225">
        <v>8.7723684210526315E-2</v>
      </c>
      <c r="U93" s="257">
        <v>2500.125</v>
      </c>
      <c r="V93" s="225">
        <v>8.3337499999999995E-2</v>
      </c>
      <c r="W93" s="225">
        <v>8.7723684210526315E-2</v>
      </c>
      <c r="X93" s="257">
        <v>2500.125</v>
      </c>
      <c r="Y93" s="225">
        <v>8.3337499999999995E-2</v>
      </c>
      <c r="Z93" s="225">
        <v>8.7723684210526315E-2</v>
      </c>
      <c r="AA93" s="257">
        <v>2563</v>
      </c>
      <c r="AB93" s="225">
        <v>8.5433333333333333E-2</v>
      </c>
      <c r="AC93" s="225">
        <v>8.9929824561403512E-2</v>
      </c>
      <c r="AD93" s="257">
        <v>2563</v>
      </c>
      <c r="AE93" s="225">
        <v>8.5433333333333333E-2</v>
      </c>
      <c r="AF93" s="225">
        <v>8.9929824561403512E-2</v>
      </c>
      <c r="AG93" s="257">
        <v>2563</v>
      </c>
      <c r="AH93" s="225">
        <v>8.5433333333333333E-2</v>
      </c>
      <c r="AI93" s="225">
        <v>8.9929824561403512E-2</v>
      </c>
      <c r="AJ93" s="250">
        <v>2563</v>
      </c>
      <c r="AK93" s="225">
        <v>8.5433333333333333E-2</v>
      </c>
      <c r="AL93" s="225">
        <v>8.9929824561403512E-2</v>
      </c>
      <c r="AM93" s="257">
        <v>2563</v>
      </c>
      <c r="AN93" s="225">
        <v>8.5433333333333333E-2</v>
      </c>
      <c r="AO93" s="225">
        <v>8.9929824561403512E-2</v>
      </c>
      <c r="AP93" s="225"/>
      <c r="AQ93" s="257">
        <v>2592.36</v>
      </c>
      <c r="AR93" s="225">
        <v>8.6412000000000003E-2</v>
      </c>
      <c r="AS93" s="225">
        <v>9.0959999999999999E-2</v>
      </c>
      <c r="AT93" s="257">
        <v>2592.36</v>
      </c>
      <c r="AU93" s="225">
        <v>8.6412000000000003E-2</v>
      </c>
      <c r="AV93" s="225">
        <v>9.0959999999999999E-2</v>
      </c>
      <c r="AW93" s="257">
        <v>2592.36</v>
      </c>
      <c r="AX93" s="225">
        <v>8.6412000000000003E-2</v>
      </c>
      <c r="AY93" s="225">
        <v>9.0959999999999999E-2</v>
      </c>
      <c r="AZ93" s="257">
        <v>2592.36</v>
      </c>
      <c r="BA93" s="225">
        <v>8.6412000000000003E-2</v>
      </c>
      <c r="BB93" s="225">
        <v>9.0959999999999999E-2</v>
      </c>
      <c r="BC93" s="257">
        <v>2592.36</v>
      </c>
      <c r="BD93" s="225">
        <v>8.6412000000000003E-2</v>
      </c>
      <c r="BE93" s="225">
        <v>9.0959999999999999E-2</v>
      </c>
      <c r="BF93" s="257"/>
      <c r="BG93" s="257">
        <v>2592.36</v>
      </c>
      <c r="BH93" s="225">
        <v>0.15295964125560538</v>
      </c>
      <c r="BI93" s="225">
        <v>0.16101014869011096</v>
      </c>
      <c r="BJ93" s="257">
        <f t="shared" si="78"/>
        <v>16100.599999999999</v>
      </c>
      <c r="BK93" s="257">
        <v>2592.36</v>
      </c>
      <c r="BL93" s="225">
        <f t="shared" si="88"/>
        <v>0.15295964125560538</v>
      </c>
      <c r="BM93" s="225">
        <f t="shared" si="83"/>
        <v>0.16101014869011096</v>
      </c>
      <c r="BN93" s="205">
        <f t="shared" si="76"/>
        <v>29.360000000000127</v>
      </c>
      <c r="BO93" s="205"/>
      <c r="BP93" s="227">
        <v>0</v>
      </c>
      <c r="BQ93" s="224">
        <f t="shared" si="84"/>
        <v>0</v>
      </c>
      <c r="BR93" s="227">
        <v>1600</v>
      </c>
      <c r="BS93" s="224">
        <f t="shared" si="89"/>
        <v>9.4406419636535288E-2</v>
      </c>
      <c r="BT93" s="227">
        <v>3200</v>
      </c>
      <c r="BU93" s="224">
        <f t="shared" si="90"/>
        <v>0.18881283927307058</v>
      </c>
      <c r="BV93" s="227">
        <v>4800</v>
      </c>
      <c r="BW93" s="224">
        <f t="shared" si="91"/>
        <v>0.28321925890960586</v>
      </c>
      <c r="BX93" s="227">
        <v>6400</v>
      </c>
      <c r="BY93" s="224">
        <f t="shared" si="92"/>
        <v>0.37762567854614115</v>
      </c>
      <c r="BZ93" s="227">
        <v>8000</v>
      </c>
      <c r="CA93" s="224">
        <f t="shared" si="93"/>
        <v>0.47203209818267644</v>
      </c>
      <c r="CB93" s="227">
        <v>9600</v>
      </c>
      <c r="CC93" s="224">
        <f t="shared" si="94"/>
        <v>0.56643851781921173</v>
      </c>
      <c r="CD93" s="227">
        <v>11200</v>
      </c>
      <c r="CE93" s="224">
        <f t="shared" si="95"/>
        <v>0.66084493745574702</v>
      </c>
      <c r="CF93" s="227">
        <v>12800</v>
      </c>
      <c r="CG93" s="224">
        <f t="shared" si="96"/>
        <v>0.7552513570922823</v>
      </c>
      <c r="CH93" s="227">
        <v>15000</v>
      </c>
      <c r="CI93" s="224">
        <f t="shared" si="97"/>
        <v>0.8850601840925183</v>
      </c>
      <c r="CJ93" s="227">
        <v>15000</v>
      </c>
      <c r="CK93" s="224">
        <f t="shared" si="98"/>
        <v>0.8850601840925183</v>
      </c>
      <c r="CL93" s="227">
        <v>28500</v>
      </c>
      <c r="CM93" s="224">
        <f t="shared" si="99"/>
        <v>1.6816143497757847</v>
      </c>
      <c r="CN93" s="227">
        <v>28500</v>
      </c>
      <c r="CO93" s="224">
        <f t="shared" si="100"/>
        <v>1.6816143497757847</v>
      </c>
      <c r="CP93" s="213" t="str">
        <f t="shared" si="85"/>
        <v>Không đạt</v>
      </c>
      <c r="CQ93" s="213" t="str">
        <f t="shared" si="86"/>
        <v>Không đạt</v>
      </c>
      <c r="CR93" s="192"/>
      <c r="CS93" s="257">
        <f t="shared" si="81"/>
        <v>0</v>
      </c>
      <c r="CT93" s="223"/>
      <c r="CU93" s="163"/>
      <c r="CW93" s="195"/>
      <c r="CX93" s="196"/>
      <c r="CY93" s="196"/>
      <c r="CZ93" s="197"/>
      <c r="DA93" s="196"/>
      <c r="DB93" s="196"/>
      <c r="DC93" s="196"/>
      <c r="DE93" s="199"/>
      <c r="DF93" s="200"/>
      <c r="DG93" s="181"/>
    </row>
    <row r="94" spans="1:111" ht="25.5" outlineLevel="1" x14ac:dyDescent="0.25">
      <c r="A94" s="192">
        <f>MAX(A$72:$B93)+1</f>
        <v>19</v>
      </c>
      <c r="B94" s="222" t="s">
        <v>233</v>
      </c>
      <c r="C94" s="222" t="s">
        <v>234</v>
      </c>
      <c r="D94" s="214">
        <f>E94+F94</f>
        <v>345</v>
      </c>
      <c r="E94" s="214"/>
      <c r="F94" s="214">
        <f>G94+H94+K94+M94</f>
        <v>345</v>
      </c>
      <c r="G94" s="257">
        <f>1000-655</f>
        <v>345</v>
      </c>
      <c r="H94" s="257"/>
      <c r="I94" s="235"/>
      <c r="J94" s="235"/>
      <c r="K94" s="257"/>
      <c r="L94" s="235"/>
      <c r="M94" s="223"/>
      <c r="N94" s="223"/>
      <c r="O94" s="257">
        <f>G94+I94+L94+N94</f>
        <v>345</v>
      </c>
      <c r="P94" s="257">
        <v>0</v>
      </c>
      <c r="Q94" s="224">
        <f>P94/$D94</f>
        <v>0</v>
      </c>
      <c r="R94" s="257">
        <v>0</v>
      </c>
      <c r="S94" s="225">
        <v>0</v>
      </c>
      <c r="T94" s="225">
        <v>0</v>
      </c>
      <c r="U94" s="257">
        <v>0</v>
      </c>
      <c r="V94" s="225">
        <v>0</v>
      </c>
      <c r="W94" s="225">
        <v>0</v>
      </c>
      <c r="X94" s="257">
        <v>0</v>
      </c>
      <c r="Y94" s="225">
        <v>0</v>
      </c>
      <c r="Z94" s="225">
        <v>0</v>
      </c>
      <c r="AA94" s="257">
        <v>0</v>
      </c>
      <c r="AB94" s="225">
        <v>0</v>
      </c>
      <c r="AC94" s="225">
        <v>0</v>
      </c>
      <c r="AD94" s="257">
        <v>216.119</v>
      </c>
      <c r="AE94" s="225">
        <v>0.21611900000000001</v>
      </c>
      <c r="AF94" s="225">
        <v>0.22749368421052632</v>
      </c>
      <c r="AG94" s="257">
        <v>216.119</v>
      </c>
      <c r="AH94" s="225">
        <v>0.21611900000000001</v>
      </c>
      <c r="AI94" s="225">
        <v>0.22749368421052632</v>
      </c>
      <c r="AJ94" s="257">
        <v>216.119</v>
      </c>
      <c r="AK94" s="225">
        <v>0.21611900000000001</v>
      </c>
      <c r="AL94" s="225">
        <v>0.22749368421052632</v>
      </c>
      <c r="AM94" s="257">
        <v>216.119</v>
      </c>
      <c r="AN94" s="225">
        <v>0.21611900000000001</v>
      </c>
      <c r="AO94" s="225">
        <v>0.22749368421052632</v>
      </c>
      <c r="AP94" s="225"/>
      <c r="AQ94" s="257">
        <v>271.11900000000003</v>
      </c>
      <c r="AR94" s="225">
        <v>0.27111900000000005</v>
      </c>
      <c r="AS94" s="225">
        <v>0.28538842105263162</v>
      </c>
      <c r="AT94" s="257">
        <v>271.11900000000003</v>
      </c>
      <c r="AU94" s="225">
        <v>0.27111900000000005</v>
      </c>
      <c r="AV94" s="225">
        <v>0.28538842105263162</v>
      </c>
      <c r="AW94" s="257">
        <v>271.11900000000003</v>
      </c>
      <c r="AX94" s="225">
        <v>0.27111900000000005</v>
      </c>
      <c r="AY94" s="225">
        <v>0.28538842105263162</v>
      </c>
      <c r="AZ94" s="257">
        <v>271.11900000000003</v>
      </c>
      <c r="BA94" s="225">
        <v>0.27111900000000005</v>
      </c>
      <c r="BB94" s="225">
        <v>0.28538842105263162</v>
      </c>
      <c r="BC94" s="257">
        <v>271.11900000000003</v>
      </c>
      <c r="BD94" s="225">
        <v>0.27111900000000005</v>
      </c>
      <c r="BE94" s="225">
        <v>0.28538842105263162</v>
      </c>
      <c r="BF94" s="257"/>
      <c r="BG94" s="257">
        <v>271.11900000000003</v>
      </c>
      <c r="BH94" s="225">
        <v>0.78585217391304352</v>
      </c>
      <c r="BI94" s="225">
        <v>0.82721281464530905</v>
      </c>
      <c r="BJ94" s="257">
        <f t="shared" si="78"/>
        <v>327.75</v>
      </c>
      <c r="BK94" s="257">
        <v>292.99900000000002</v>
      </c>
      <c r="BL94" s="225">
        <f t="shared" si="88"/>
        <v>0.84927246376811605</v>
      </c>
      <c r="BM94" s="225">
        <f>BK94/(E94+0.95*F94)</f>
        <v>0.89397101449275373</v>
      </c>
      <c r="BN94" s="205">
        <f t="shared" si="76"/>
        <v>76.880000000000024</v>
      </c>
      <c r="BO94" s="205"/>
      <c r="BP94" s="227">
        <v>0</v>
      </c>
      <c r="BQ94" s="224">
        <f>BP94/$D94</f>
        <v>0</v>
      </c>
      <c r="BR94" s="227">
        <v>350</v>
      </c>
      <c r="BS94" s="224">
        <f t="shared" si="89"/>
        <v>1.0144927536231885</v>
      </c>
      <c r="BT94" s="227">
        <v>350</v>
      </c>
      <c r="BU94" s="224">
        <f t="shared" si="90"/>
        <v>1.0144927536231885</v>
      </c>
      <c r="BV94" s="227">
        <v>350</v>
      </c>
      <c r="BW94" s="224">
        <f t="shared" si="91"/>
        <v>1.0144927536231885</v>
      </c>
      <c r="BX94" s="227">
        <v>950</v>
      </c>
      <c r="BY94" s="224">
        <f t="shared" si="92"/>
        <v>2.7536231884057969</v>
      </c>
      <c r="BZ94" s="227">
        <v>950</v>
      </c>
      <c r="CA94" s="224">
        <f t="shared" si="93"/>
        <v>2.7536231884057969</v>
      </c>
      <c r="CB94" s="227">
        <v>950</v>
      </c>
      <c r="CC94" s="224">
        <f t="shared" si="94"/>
        <v>2.7536231884057969</v>
      </c>
      <c r="CD94" s="227">
        <v>950</v>
      </c>
      <c r="CE94" s="224">
        <f t="shared" si="95"/>
        <v>2.7536231884057969</v>
      </c>
      <c r="CF94" s="227">
        <v>950</v>
      </c>
      <c r="CG94" s="224">
        <f t="shared" si="96"/>
        <v>2.7536231884057969</v>
      </c>
      <c r="CH94" s="227">
        <v>950</v>
      </c>
      <c r="CI94" s="224">
        <f t="shared" si="97"/>
        <v>2.7536231884057969</v>
      </c>
      <c r="CJ94" s="227">
        <v>950</v>
      </c>
      <c r="CK94" s="224">
        <f t="shared" si="98"/>
        <v>2.7536231884057969</v>
      </c>
      <c r="CL94" s="227">
        <v>950</v>
      </c>
      <c r="CM94" s="224">
        <f t="shared" si="99"/>
        <v>2.7536231884057969</v>
      </c>
      <c r="CN94" s="227">
        <v>950</v>
      </c>
      <c r="CO94" s="224">
        <f t="shared" si="100"/>
        <v>2.7536231884057969</v>
      </c>
      <c r="CP94" s="213" t="str">
        <f t="shared" si="85"/>
        <v>Đạt</v>
      </c>
      <c r="CQ94" s="213" t="str">
        <f t="shared" si="86"/>
        <v>Đạt</v>
      </c>
      <c r="CR94" s="192"/>
      <c r="CS94" s="257">
        <f t="shared" si="81"/>
        <v>21.879999999999995</v>
      </c>
      <c r="CT94" s="223"/>
      <c r="CU94" s="163"/>
      <c r="CW94" s="195"/>
      <c r="CX94" s="196"/>
      <c r="CY94" s="196"/>
      <c r="CZ94" s="197"/>
      <c r="DA94" s="196"/>
      <c r="DB94" s="196"/>
      <c r="DC94" s="196"/>
      <c r="DE94" s="199"/>
      <c r="DF94" s="200"/>
      <c r="DG94" s="181"/>
    </row>
    <row r="95" spans="1:111" outlineLevel="1" x14ac:dyDescent="0.25">
      <c r="A95" s="192">
        <f>MAX(A$72:$B94)+1</f>
        <v>20</v>
      </c>
      <c r="B95" s="222" t="s">
        <v>235</v>
      </c>
      <c r="C95" s="222">
        <v>8124248</v>
      </c>
      <c r="D95" s="214">
        <f>E95+F95</f>
        <v>1542</v>
      </c>
      <c r="E95" s="214"/>
      <c r="F95" s="214">
        <f>G95+H95+K95+M95</f>
        <v>1542</v>
      </c>
      <c r="G95" s="257">
        <f>500+1042</f>
        <v>1542</v>
      </c>
      <c r="H95" s="257"/>
      <c r="I95" s="235"/>
      <c r="J95" s="235"/>
      <c r="K95" s="257"/>
      <c r="L95" s="235"/>
      <c r="M95" s="223"/>
      <c r="N95" s="223"/>
      <c r="O95" s="257">
        <f>G95+I95+L95+N95</f>
        <v>1542</v>
      </c>
      <c r="P95" s="257">
        <v>0</v>
      </c>
      <c r="Q95" s="224">
        <f>P95/$D95</f>
        <v>0</v>
      </c>
      <c r="R95" s="257">
        <v>319.35399999999998</v>
      </c>
      <c r="S95" s="225">
        <v>0.63870799999999994</v>
      </c>
      <c r="T95" s="225">
        <v>0.67232421052631575</v>
      </c>
      <c r="U95" s="257">
        <v>319.35399999999998</v>
      </c>
      <c r="V95" s="225">
        <v>0.63870799999999994</v>
      </c>
      <c r="W95" s="225">
        <v>0.67232421052631575</v>
      </c>
      <c r="X95" s="257">
        <v>319.35399999999998</v>
      </c>
      <c r="Y95" s="225">
        <v>0.63870799999999994</v>
      </c>
      <c r="Z95" s="225">
        <v>0.67232421052631575</v>
      </c>
      <c r="AA95" s="257">
        <v>319.35399999999998</v>
      </c>
      <c r="AB95" s="225">
        <v>0.63870799999999994</v>
      </c>
      <c r="AC95" s="225">
        <v>0.67232421052631575</v>
      </c>
      <c r="AD95" s="257">
        <v>475</v>
      </c>
      <c r="AE95" s="225">
        <v>0.95</v>
      </c>
      <c r="AF95" s="225">
        <v>1</v>
      </c>
      <c r="AG95" s="257">
        <v>475</v>
      </c>
      <c r="AH95" s="225">
        <v>0.95</v>
      </c>
      <c r="AI95" s="225">
        <v>1</v>
      </c>
      <c r="AJ95" s="257">
        <v>475</v>
      </c>
      <c r="AK95" s="225">
        <v>0.95</v>
      </c>
      <c r="AL95" s="225">
        <v>1</v>
      </c>
      <c r="AM95" s="257">
        <v>475</v>
      </c>
      <c r="AN95" s="225">
        <v>0.95</v>
      </c>
      <c r="AO95" s="225">
        <v>1</v>
      </c>
      <c r="AP95" s="225"/>
      <c r="AQ95" s="257">
        <v>475</v>
      </c>
      <c r="AR95" s="225">
        <v>0.95</v>
      </c>
      <c r="AS95" s="225">
        <v>1</v>
      </c>
      <c r="AT95" s="257">
        <v>475</v>
      </c>
      <c r="AU95" s="225">
        <v>0.95</v>
      </c>
      <c r="AV95" s="225">
        <v>1</v>
      </c>
      <c r="AW95" s="257">
        <v>475</v>
      </c>
      <c r="AX95" s="225">
        <v>0.95</v>
      </c>
      <c r="AY95" s="225">
        <v>1</v>
      </c>
      <c r="AZ95" s="257">
        <v>475</v>
      </c>
      <c r="BA95" s="225">
        <v>0.95</v>
      </c>
      <c r="BB95" s="225">
        <v>1</v>
      </c>
      <c r="BC95" s="257">
        <v>475</v>
      </c>
      <c r="BD95" s="225">
        <v>0.95</v>
      </c>
      <c r="BE95" s="225">
        <v>1</v>
      </c>
      <c r="BF95" s="257"/>
      <c r="BG95" s="257">
        <v>475</v>
      </c>
      <c r="BH95" s="225">
        <v>0.30804150453955903</v>
      </c>
      <c r="BI95" s="225">
        <v>0.32425421530479898</v>
      </c>
      <c r="BJ95" s="257">
        <f t="shared" si="78"/>
        <v>1464.8999999999999</v>
      </c>
      <c r="BK95" s="257">
        <v>1395.8879999999999</v>
      </c>
      <c r="BL95" s="225">
        <f t="shared" si="88"/>
        <v>0.90524513618677038</v>
      </c>
      <c r="BM95" s="225">
        <f>BK95/(E95+0.95*F95)</f>
        <v>0.95288961703870578</v>
      </c>
      <c r="BN95" s="205">
        <f t="shared" si="76"/>
        <v>920.88799999999992</v>
      </c>
      <c r="BO95" s="205"/>
      <c r="BP95" s="227">
        <v>0</v>
      </c>
      <c r="BQ95" s="224">
        <f>BP95/$D95</f>
        <v>0</v>
      </c>
      <c r="BR95" s="227">
        <v>150</v>
      </c>
      <c r="BS95" s="224">
        <f t="shared" si="89"/>
        <v>9.727626459143969E-2</v>
      </c>
      <c r="BT95" s="227">
        <v>300</v>
      </c>
      <c r="BU95" s="224">
        <f t="shared" si="90"/>
        <v>0.19455252918287938</v>
      </c>
      <c r="BV95" s="227">
        <v>475</v>
      </c>
      <c r="BW95" s="224">
        <f t="shared" si="91"/>
        <v>0.30804150453955903</v>
      </c>
      <c r="BX95" s="227">
        <v>475</v>
      </c>
      <c r="BY95" s="224">
        <f t="shared" si="92"/>
        <v>0.30804150453955903</v>
      </c>
      <c r="BZ95" s="227">
        <v>475</v>
      </c>
      <c r="CA95" s="224">
        <f t="shared" si="93"/>
        <v>0.30804150453955903</v>
      </c>
      <c r="CB95" s="227">
        <v>475</v>
      </c>
      <c r="CC95" s="224">
        <f t="shared" si="94"/>
        <v>0.30804150453955903</v>
      </c>
      <c r="CD95" s="227">
        <v>475</v>
      </c>
      <c r="CE95" s="224">
        <f t="shared" si="95"/>
        <v>0.30804150453955903</v>
      </c>
      <c r="CF95" s="227">
        <v>475</v>
      </c>
      <c r="CG95" s="224">
        <f t="shared" si="96"/>
        <v>0.30804150453955903</v>
      </c>
      <c r="CH95" s="227">
        <v>475</v>
      </c>
      <c r="CI95" s="224">
        <f t="shared" si="97"/>
        <v>0.30804150453955903</v>
      </c>
      <c r="CJ95" s="227">
        <v>475</v>
      </c>
      <c r="CK95" s="224">
        <f t="shared" si="98"/>
        <v>0.30804150453955903</v>
      </c>
      <c r="CL95" s="227">
        <v>475</v>
      </c>
      <c r="CM95" s="224">
        <f t="shared" si="99"/>
        <v>0.30804150453955903</v>
      </c>
      <c r="CN95" s="227">
        <v>475</v>
      </c>
      <c r="CO95" s="224">
        <f t="shared" si="100"/>
        <v>0.30804150453955903</v>
      </c>
      <c r="CP95" s="213" t="str">
        <f t="shared" si="85"/>
        <v>Đạt</v>
      </c>
      <c r="CQ95" s="213" t="str">
        <f t="shared" si="86"/>
        <v>Đạt</v>
      </c>
      <c r="CR95" s="192"/>
      <c r="CS95" s="257">
        <f t="shared" si="81"/>
        <v>920.88799999999992</v>
      </c>
      <c r="CT95" s="223"/>
      <c r="CU95" s="163"/>
      <c r="CW95" s="195"/>
      <c r="CX95" s="196"/>
      <c r="CY95" s="196"/>
      <c r="CZ95" s="197"/>
      <c r="DA95" s="196"/>
      <c r="DB95" s="196"/>
      <c r="DC95" s="196"/>
      <c r="DE95" s="199"/>
      <c r="DF95" s="200"/>
      <c r="DG95" s="181"/>
    </row>
    <row r="96" spans="1:111" outlineLevel="1" x14ac:dyDescent="0.25">
      <c r="A96" s="192">
        <f>MAX(A$72:$B95)+1</f>
        <v>21</v>
      </c>
      <c r="B96" s="222" t="s">
        <v>236</v>
      </c>
      <c r="C96" s="222">
        <v>8124250</v>
      </c>
      <c r="D96" s="214">
        <f>E96+F96</f>
        <v>3105</v>
      </c>
      <c r="E96" s="214"/>
      <c r="F96" s="214">
        <f>G96+H96+K96+M96</f>
        <v>3105</v>
      </c>
      <c r="G96" s="257">
        <f>1000+2105</f>
        <v>3105</v>
      </c>
      <c r="H96" s="257"/>
      <c r="I96" s="235"/>
      <c r="J96" s="235"/>
      <c r="K96" s="257"/>
      <c r="L96" s="235"/>
      <c r="M96" s="223"/>
      <c r="N96" s="223"/>
      <c r="O96" s="257">
        <f>G96+I96+L96+N96</f>
        <v>3105</v>
      </c>
      <c r="P96" s="257">
        <v>135.33799999999999</v>
      </c>
      <c r="Q96" s="224">
        <f>P96/$D96</f>
        <v>4.3587117552334943E-2</v>
      </c>
      <c r="R96" s="257">
        <v>497.15699999999998</v>
      </c>
      <c r="S96" s="225">
        <v>0.49715699999999996</v>
      </c>
      <c r="T96" s="225">
        <v>0.52332315789473682</v>
      </c>
      <c r="U96" s="257">
        <v>497.15699999999998</v>
      </c>
      <c r="V96" s="225">
        <v>0.49715699999999996</v>
      </c>
      <c r="W96" s="225">
        <v>0.52332315789473682</v>
      </c>
      <c r="X96" s="257">
        <v>497.15699999999998</v>
      </c>
      <c r="Y96" s="225">
        <v>0.49715699999999996</v>
      </c>
      <c r="Z96" s="225">
        <v>0.52332315789473682</v>
      </c>
      <c r="AA96" s="257">
        <v>497.15699999999998</v>
      </c>
      <c r="AB96" s="225">
        <v>0.49715699999999996</v>
      </c>
      <c r="AC96" s="225">
        <v>0.52332315789473682</v>
      </c>
      <c r="AD96" s="257">
        <v>950</v>
      </c>
      <c r="AE96" s="225">
        <v>0.95</v>
      </c>
      <c r="AF96" s="225">
        <v>1</v>
      </c>
      <c r="AG96" s="257">
        <v>950</v>
      </c>
      <c r="AH96" s="225">
        <v>0.95</v>
      </c>
      <c r="AI96" s="225">
        <v>1</v>
      </c>
      <c r="AJ96" s="257">
        <v>950</v>
      </c>
      <c r="AK96" s="225">
        <v>0.95</v>
      </c>
      <c r="AL96" s="225">
        <v>1</v>
      </c>
      <c r="AM96" s="257">
        <v>950</v>
      </c>
      <c r="AN96" s="225">
        <v>0.95</v>
      </c>
      <c r="AO96" s="225">
        <v>1</v>
      </c>
      <c r="AP96" s="225"/>
      <c r="AQ96" s="257">
        <v>950</v>
      </c>
      <c r="AR96" s="225">
        <v>0.95</v>
      </c>
      <c r="AS96" s="225">
        <v>1</v>
      </c>
      <c r="AT96" s="257">
        <v>950</v>
      </c>
      <c r="AU96" s="225">
        <v>0.95</v>
      </c>
      <c r="AV96" s="225">
        <v>1</v>
      </c>
      <c r="AW96" s="257">
        <v>950</v>
      </c>
      <c r="AX96" s="225">
        <v>0.95</v>
      </c>
      <c r="AY96" s="225">
        <v>1</v>
      </c>
      <c r="AZ96" s="257">
        <v>950</v>
      </c>
      <c r="BA96" s="225">
        <v>0.95</v>
      </c>
      <c r="BB96" s="225">
        <v>1</v>
      </c>
      <c r="BC96" s="257">
        <v>950</v>
      </c>
      <c r="BD96" s="225">
        <v>0.95</v>
      </c>
      <c r="BE96" s="225">
        <v>1</v>
      </c>
      <c r="BF96" s="257"/>
      <c r="BG96" s="257">
        <v>950</v>
      </c>
      <c r="BH96" s="225">
        <v>0.30595813204508859</v>
      </c>
      <c r="BI96" s="225">
        <v>0.322061191626409</v>
      </c>
      <c r="BJ96" s="257">
        <f t="shared" si="78"/>
        <v>2949.75</v>
      </c>
      <c r="BK96" s="257">
        <v>950</v>
      </c>
      <c r="BL96" s="225">
        <f t="shared" si="88"/>
        <v>0.30595813204508859</v>
      </c>
      <c r="BM96" s="225">
        <f>BK96/(E96+0.95*F96)</f>
        <v>0.322061191626409</v>
      </c>
      <c r="BN96" s="205">
        <f t="shared" si="76"/>
        <v>0</v>
      </c>
      <c r="BO96" s="205"/>
      <c r="BP96" s="227">
        <v>0</v>
      </c>
      <c r="BQ96" s="224">
        <f>BP96/$D96</f>
        <v>0</v>
      </c>
      <c r="BR96" s="227">
        <v>200</v>
      </c>
      <c r="BS96" s="224">
        <f t="shared" si="89"/>
        <v>6.4412238325281798E-2</v>
      </c>
      <c r="BT96" s="227">
        <v>400</v>
      </c>
      <c r="BU96" s="224">
        <f t="shared" si="90"/>
        <v>0.1288244766505636</v>
      </c>
      <c r="BV96" s="227">
        <v>700</v>
      </c>
      <c r="BW96" s="224">
        <f t="shared" si="91"/>
        <v>0.22544283413848631</v>
      </c>
      <c r="BX96" s="227">
        <v>950</v>
      </c>
      <c r="BY96" s="224">
        <f t="shared" si="92"/>
        <v>0.30595813204508859</v>
      </c>
      <c r="BZ96" s="227">
        <v>950</v>
      </c>
      <c r="CA96" s="224">
        <f t="shared" si="93"/>
        <v>0.30595813204508859</v>
      </c>
      <c r="CB96" s="227">
        <v>950</v>
      </c>
      <c r="CC96" s="224">
        <f t="shared" si="94"/>
        <v>0.30595813204508859</v>
      </c>
      <c r="CD96" s="227">
        <v>950</v>
      </c>
      <c r="CE96" s="224">
        <f t="shared" si="95"/>
        <v>0.30595813204508859</v>
      </c>
      <c r="CF96" s="227">
        <v>950</v>
      </c>
      <c r="CG96" s="224">
        <f t="shared" si="96"/>
        <v>0.30595813204508859</v>
      </c>
      <c r="CH96" s="227">
        <v>950</v>
      </c>
      <c r="CI96" s="224">
        <f t="shared" si="97"/>
        <v>0.30595813204508859</v>
      </c>
      <c r="CJ96" s="227">
        <v>950</v>
      </c>
      <c r="CK96" s="224">
        <f t="shared" si="98"/>
        <v>0.30595813204508859</v>
      </c>
      <c r="CL96" s="227">
        <v>950</v>
      </c>
      <c r="CM96" s="224">
        <f t="shared" si="99"/>
        <v>0.30595813204508859</v>
      </c>
      <c r="CN96" s="227">
        <v>950</v>
      </c>
      <c r="CO96" s="224">
        <f t="shared" si="100"/>
        <v>0.30595813204508859</v>
      </c>
      <c r="CP96" s="213" t="str">
        <f t="shared" si="85"/>
        <v>Không đạt</v>
      </c>
      <c r="CQ96" s="213" t="str">
        <f t="shared" si="86"/>
        <v>Không đạt</v>
      </c>
      <c r="CR96" s="192"/>
      <c r="CS96" s="257">
        <f t="shared" si="81"/>
        <v>0</v>
      </c>
      <c r="CT96" s="223"/>
      <c r="CU96" s="163"/>
      <c r="CW96" s="195"/>
      <c r="CX96" s="196"/>
      <c r="CY96" s="196"/>
      <c r="CZ96" s="197"/>
      <c r="DA96" s="196"/>
      <c r="DB96" s="196"/>
      <c r="DC96" s="196"/>
      <c r="DE96" s="199"/>
      <c r="DF96" s="200"/>
      <c r="DG96" s="181"/>
    </row>
    <row r="97" spans="1:111" ht="25.5" outlineLevel="1" x14ac:dyDescent="0.25">
      <c r="A97" s="192">
        <f>MAX(A$72:$B96)+1</f>
        <v>22</v>
      </c>
      <c r="B97" s="222" t="s">
        <v>237</v>
      </c>
      <c r="C97" s="222">
        <v>8155901</v>
      </c>
      <c r="D97" s="214">
        <f>E97+F97</f>
        <v>10000</v>
      </c>
      <c r="E97" s="214"/>
      <c r="F97" s="214">
        <f>G97+H97+K97+M97</f>
        <v>10000</v>
      </c>
      <c r="G97" s="257"/>
      <c r="H97" s="257">
        <v>10000</v>
      </c>
      <c r="I97" s="235">
        <v>1835</v>
      </c>
      <c r="J97" s="257">
        <v>163</v>
      </c>
      <c r="K97" s="257"/>
      <c r="L97" s="235"/>
      <c r="M97" s="223"/>
      <c r="N97" s="223"/>
      <c r="O97" s="257">
        <f>G97+I97+L97+N97</f>
        <v>1835</v>
      </c>
      <c r="P97" s="257">
        <v>0</v>
      </c>
      <c r="Q97" s="224">
        <f>P97/$D97</f>
        <v>0</v>
      </c>
      <c r="R97" s="257">
        <v>103.04300000000001</v>
      </c>
      <c r="S97" s="225">
        <v>1.0304300000000001E-2</v>
      </c>
      <c r="T97" s="225">
        <v>1.084663157894737E-2</v>
      </c>
      <c r="U97" s="257">
        <v>103.04300000000001</v>
      </c>
      <c r="V97" s="225">
        <v>1.0304300000000001E-2</v>
      </c>
      <c r="W97" s="225">
        <v>1.084663157894737E-2</v>
      </c>
      <c r="X97" s="257">
        <v>103.04300000000001</v>
      </c>
      <c r="Y97" s="225">
        <v>1.0304300000000001E-2</v>
      </c>
      <c r="Z97" s="225">
        <v>1.084663157894737E-2</v>
      </c>
      <c r="AA97" s="257">
        <v>163</v>
      </c>
      <c r="AB97" s="225">
        <v>1.6299999999999999E-2</v>
      </c>
      <c r="AC97" s="225">
        <v>1.7157894736842105E-2</v>
      </c>
      <c r="AD97" s="257">
        <v>163</v>
      </c>
      <c r="AE97" s="225">
        <v>1.6299999999999999E-2</v>
      </c>
      <c r="AF97" s="225">
        <v>1.7157894736842105E-2</v>
      </c>
      <c r="AG97" s="257">
        <v>163</v>
      </c>
      <c r="AH97" s="225">
        <v>1.6299999999999999E-2</v>
      </c>
      <c r="AI97" s="225">
        <v>1.7157894736842105E-2</v>
      </c>
      <c r="AJ97" s="250">
        <v>163</v>
      </c>
      <c r="AK97" s="225">
        <v>1.6299999999999999E-2</v>
      </c>
      <c r="AL97" s="225">
        <v>1.7157894736842105E-2</v>
      </c>
      <c r="AM97" s="257">
        <v>163</v>
      </c>
      <c r="AN97" s="225">
        <v>1.6299999999999999E-2</v>
      </c>
      <c r="AO97" s="225">
        <v>1.7157894736842105E-2</v>
      </c>
      <c r="AP97" s="225"/>
      <c r="AQ97" s="257">
        <v>163</v>
      </c>
      <c r="AR97" s="225">
        <v>1.6299999999999999E-2</v>
      </c>
      <c r="AS97" s="225">
        <v>1.7157894736842105E-2</v>
      </c>
      <c r="AT97" s="257">
        <v>1835.0003409999999</v>
      </c>
      <c r="AU97" s="225">
        <v>0.18350003409999999</v>
      </c>
      <c r="AV97" s="225">
        <v>0.19315793063157893</v>
      </c>
      <c r="AW97" s="257">
        <v>1835.0003409999999</v>
      </c>
      <c r="AX97" s="225">
        <v>0.18350003409999999</v>
      </c>
      <c r="AY97" s="225">
        <v>0.19315793063157893</v>
      </c>
      <c r="AZ97" s="257">
        <v>1835.0003409999999</v>
      </c>
      <c r="BA97" s="225">
        <v>0.18350003409999999</v>
      </c>
      <c r="BB97" s="225">
        <v>0.19315793063157893</v>
      </c>
      <c r="BC97" s="257">
        <v>7438.8703409999998</v>
      </c>
      <c r="BD97" s="225">
        <v>0.74388703410000001</v>
      </c>
      <c r="BE97" s="225">
        <v>0.78303898326315791</v>
      </c>
      <c r="BF97" s="257">
        <v>7438.8703409999998</v>
      </c>
      <c r="BG97" s="257">
        <v>7438.8703409999998</v>
      </c>
      <c r="BH97" s="225">
        <v>0.74388703410000001</v>
      </c>
      <c r="BI97" s="225">
        <v>0.78303898326315791</v>
      </c>
      <c r="BJ97" s="257">
        <f t="shared" si="78"/>
        <v>9500</v>
      </c>
      <c r="BK97" s="257">
        <v>7438.8703409999998</v>
      </c>
      <c r="BL97" s="225">
        <f t="shared" si="88"/>
        <v>0.74388703410000001</v>
      </c>
      <c r="BM97" s="225">
        <f>BK97/(E97+0.95*F97)</f>
        <v>0.78303898326315791</v>
      </c>
      <c r="BN97" s="205">
        <f t="shared" si="76"/>
        <v>7275.8703409999998</v>
      </c>
      <c r="BO97" s="205"/>
      <c r="BP97" s="227">
        <v>0</v>
      </c>
      <c r="BQ97" s="224">
        <f>BP97/$D97</f>
        <v>0</v>
      </c>
      <c r="BR97" s="227">
        <v>500</v>
      </c>
      <c r="BS97" s="224">
        <f t="shared" si="89"/>
        <v>0.05</v>
      </c>
      <c r="BT97" s="227">
        <v>1500</v>
      </c>
      <c r="BU97" s="224">
        <f t="shared" si="90"/>
        <v>0.15</v>
      </c>
      <c r="BV97" s="227">
        <v>2500</v>
      </c>
      <c r="BW97" s="224">
        <f t="shared" si="91"/>
        <v>0.25</v>
      </c>
      <c r="BX97" s="227">
        <v>3500</v>
      </c>
      <c r="BY97" s="224">
        <f t="shared" si="92"/>
        <v>0.35</v>
      </c>
      <c r="BZ97" s="227">
        <v>4500</v>
      </c>
      <c r="CA97" s="224">
        <f t="shared" si="93"/>
        <v>0.45</v>
      </c>
      <c r="CB97" s="227">
        <v>5500</v>
      </c>
      <c r="CC97" s="224">
        <f t="shared" si="94"/>
        <v>0.55000000000000004</v>
      </c>
      <c r="CD97" s="227">
        <v>6500</v>
      </c>
      <c r="CE97" s="224">
        <f t="shared" si="95"/>
        <v>0.65</v>
      </c>
      <c r="CF97" s="227">
        <v>7500</v>
      </c>
      <c r="CG97" s="224">
        <f t="shared" si="96"/>
        <v>0.75</v>
      </c>
      <c r="CH97" s="227">
        <v>8500</v>
      </c>
      <c r="CI97" s="224">
        <f t="shared" si="97"/>
        <v>0.85</v>
      </c>
      <c r="CJ97" s="227">
        <v>9500</v>
      </c>
      <c r="CK97" s="224">
        <f t="shared" si="98"/>
        <v>0.95</v>
      </c>
      <c r="CL97" s="227">
        <v>9500</v>
      </c>
      <c r="CM97" s="224">
        <f t="shared" si="99"/>
        <v>0.95</v>
      </c>
      <c r="CN97" s="227">
        <v>9500</v>
      </c>
      <c r="CO97" s="224">
        <f t="shared" si="100"/>
        <v>0.95</v>
      </c>
      <c r="CP97" s="213" t="str">
        <f t="shared" si="85"/>
        <v>Đạt</v>
      </c>
      <c r="CQ97" s="213" t="str">
        <f t="shared" si="86"/>
        <v>Đạt</v>
      </c>
      <c r="CR97" s="192"/>
      <c r="CS97" s="257">
        <f t="shared" si="81"/>
        <v>5603.87</v>
      </c>
      <c r="CT97" s="223"/>
      <c r="CU97" s="163"/>
      <c r="CW97" s="195"/>
      <c r="CX97" s="196"/>
      <c r="CY97" s="196"/>
      <c r="CZ97" s="197"/>
      <c r="DA97" s="196"/>
      <c r="DB97" s="196"/>
      <c r="DC97" s="196"/>
      <c r="DE97" s="199"/>
      <c r="DF97" s="200"/>
      <c r="DG97" s="181"/>
    </row>
    <row r="98" spans="1:111" outlineLevel="1" x14ac:dyDescent="0.25">
      <c r="A98" s="256"/>
      <c r="B98" s="210" t="s">
        <v>238</v>
      </c>
      <c r="C98" s="210"/>
      <c r="D98" s="214">
        <f t="shared" si="79"/>
        <v>0</v>
      </c>
      <c r="E98" s="214"/>
      <c r="F98" s="214">
        <f t="shared" si="80"/>
        <v>0</v>
      </c>
      <c r="G98" s="250"/>
      <c r="H98" s="250"/>
      <c r="I98" s="235"/>
      <c r="J98" s="235"/>
      <c r="K98" s="250"/>
      <c r="L98" s="235"/>
      <c r="M98" s="223"/>
      <c r="N98" s="223"/>
      <c r="O98" s="250">
        <f t="shared" si="87"/>
        <v>0</v>
      </c>
      <c r="P98" s="250">
        <v>0</v>
      </c>
      <c r="Q98" s="224" t="e">
        <f t="shared" si="82"/>
        <v>#DIV/0!</v>
      </c>
      <c r="R98" s="250"/>
      <c r="S98" s="225"/>
      <c r="T98" s="225" t="e">
        <v>#DIV/0!</v>
      </c>
      <c r="U98" s="250"/>
      <c r="V98" s="225"/>
      <c r="W98" s="225" t="e">
        <v>#DIV/0!</v>
      </c>
      <c r="X98" s="250"/>
      <c r="Y98" s="225"/>
      <c r="Z98" s="225"/>
      <c r="AA98" s="250"/>
      <c r="AB98" s="225"/>
      <c r="AC98" s="225"/>
      <c r="AD98" s="250"/>
      <c r="AE98" s="225"/>
      <c r="AF98" s="225"/>
      <c r="AG98" s="250"/>
      <c r="AH98" s="225"/>
      <c r="AI98" s="225"/>
      <c r="AJ98" s="257"/>
      <c r="AK98" s="225"/>
      <c r="AL98" s="225"/>
      <c r="AM98" s="250"/>
      <c r="AN98" s="225"/>
      <c r="AO98" s="225"/>
      <c r="AP98" s="225"/>
      <c r="AQ98" s="250"/>
      <c r="AR98" s="225"/>
      <c r="AS98" s="225"/>
      <c r="AT98" s="250"/>
      <c r="AU98" s="225"/>
      <c r="AV98" s="225"/>
      <c r="AW98" s="250"/>
      <c r="AX98" s="225"/>
      <c r="AY98" s="225"/>
      <c r="AZ98" s="250"/>
      <c r="BA98" s="225"/>
      <c r="BB98" s="225"/>
      <c r="BC98" s="250"/>
      <c r="BD98" s="225"/>
      <c r="BE98" s="225"/>
      <c r="BF98" s="250"/>
      <c r="BG98" s="250"/>
      <c r="BH98" s="225"/>
      <c r="BI98" s="225"/>
      <c r="BJ98" s="250">
        <f t="shared" si="78"/>
        <v>0</v>
      </c>
      <c r="BK98" s="250"/>
      <c r="BL98" s="225"/>
      <c r="BM98" s="225"/>
      <c r="BN98" s="205">
        <f t="shared" si="76"/>
        <v>0</v>
      </c>
      <c r="BO98" s="205"/>
      <c r="BP98" s="227"/>
      <c r="BQ98" s="224"/>
      <c r="BR98" s="227"/>
      <c r="BS98" s="224"/>
      <c r="BT98" s="227"/>
      <c r="BU98" s="224"/>
      <c r="BV98" s="227"/>
      <c r="BW98" s="224"/>
      <c r="BX98" s="227"/>
      <c r="BY98" s="224"/>
      <c r="BZ98" s="227"/>
      <c r="CA98" s="224"/>
      <c r="CB98" s="227"/>
      <c r="CC98" s="224"/>
      <c r="CD98" s="227"/>
      <c r="CE98" s="224"/>
      <c r="CF98" s="227"/>
      <c r="CG98" s="224"/>
      <c r="CH98" s="227"/>
      <c r="CI98" s="224"/>
      <c r="CJ98" s="227"/>
      <c r="CK98" s="224"/>
      <c r="CL98" s="227"/>
      <c r="CM98" s="224"/>
      <c r="CN98" s="227"/>
      <c r="CO98" s="224"/>
      <c r="CP98" s="213" t="str">
        <f t="shared" si="85"/>
        <v>Không đạt</v>
      </c>
      <c r="CQ98" s="213" t="str">
        <f t="shared" si="86"/>
        <v>Không đạt</v>
      </c>
      <c r="CR98" s="192"/>
      <c r="CS98" s="250">
        <f t="shared" si="81"/>
        <v>0</v>
      </c>
      <c r="CT98" s="223"/>
      <c r="CU98" s="163"/>
      <c r="CW98" s="195"/>
      <c r="CX98" s="196"/>
      <c r="CY98" s="196"/>
      <c r="CZ98" s="197"/>
      <c r="DA98" s="196"/>
      <c r="DB98" s="196"/>
      <c r="DC98" s="196"/>
      <c r="DE98" s="199"/>
      <c r="DF98" s="200"/>
      <c r="DG98" s="181"/>
    </row>
    <row r="99" spans="1:111" ht="25.5" outlineLevel="1" x14ac:dyDescent="0.25">
      <c r="A99" s="192">
        <f>MAX(A$72:$B98)+1</f>
        <v>23</v>
      </c>
      <c r="B99" s="222" t="s">
        <v>239</v>
      </c>
      <c r="C99" s="222" t="s">
        <v>240</v>
      </c>
      <c r="D99" s="214">
        <f t="shared" si="79"/>
        <v>7000</v>
      </c>
      <c r="E99" s="214"/>
      <c r="F99" s="214">
        <f t="shared" si="80"/>
        <v>7000</v>
      </c>
      <c r="G99" s="257">
        <v>3000</v>
      </c>
      <c r="H99" s="257">
        <v>4000</v>
      </c>
      <c r="I99" s="235"/>
      <c r="J99" s="235"/>
      <c r="K99" s="257"/>
      <c r="L99" s="235"/>
      <c r="M99" s="223"/>
      <c r="N99" s="223"/>
      <c r="O99" s="257">
        <f t="shared" si="87"/>
        <v>3000</v>
      </c>
      <c r="P99" s="257">
        <v>0</v>
      </c>
      <c r="Q99" s="224">
        <f t="shared" si="82"/>
        <v>0</v>
      </c>
      <c r="R99" s="257"/>
      <c r="S99" s="225">
        <v>0</v>
      </c>
      <c r="T99" s="225">
        <v>0</v>
      </c>
      <c r="U99" s="257"/>
      <c r="V99" s="225">
        <v>0</v>
      </c>
      <c r="W99" s="225">
        <v>0</v>
      </c>
      <c r="X99" s="257"/>
      <c r="Y99" s="225">
        <v>0</v>
      </c>
      <c r="Z99" s="225">
        <v>0</v>
      </c>
      <c r="AA99" s="257"/>
      <c r="AB99" s="225">
        <v>0</v>
      </c>
      <c r="AC99" s="225">
        <v>0</v>
      </c>
      <c r="AD99" s="257"/>
      <c r="AE99" s="225">
        <v>0</v>
      </c>
      <c r="AF99" s="225">
        <v>0</v>
      </c>
      <c r="AG99" s="257"/>
      <c r="AH99" s="225">
        <v>0</v>
      </c>
      <c r="AI99" s="225">
        <v>0</v>
      </c>
      <c r="AJ99" s="257"/>
      <c r="AK99" s="225">
        <v>0</v>
      </c>
      <c r="AL99" s="225">
        <v>0</v>
      </c>
      <c r="AM99" s="257"/>
      <c r="AN99" s="225">
        <v>0</v>
      </c>
      <c r="AO99" s="225">
        <v>0</v>
      </c>
      <c r="AP99" s="225"/>
      <c r="AQ99" s="257"/>
      <c r="AR99" s="225">
        <v>0</v>
      </c>
      <c r="AS99" s="225">
        <v>0</v>
      </c>
      <c r="AT99" s="257"/>
      <c r="AU99" s="225">
        <v>0</v>
      </c>
      <c r="AV99" s="225">
        <v>0</v>
      </c>
      <c r="AW99" s="257"/>
      <c r="AX99" s="225">
        <v>0</v>
      </c>
      <c r="AY99" s="225">
        <v>0</v>
      </c>
      <c r="AZ99" s="257"/>
      <c r="BA99" s="225">
        <v>0</v>
      </c>
      <c r="BB99" s="225">
        <v>0</v>
      </c>
      <c r="BC99" s="257"/>
      <c r="BD99" s="225">
        <v>0</v>
      </c>
      <c r="BE99" s="225">
        <v>0</v>
      </c>
      <c r="BF99" s="257"/>
      <c r="BG99" s="257"/>
      <c r="BH99" s="225">
        <v>0</v>
      </c>
      <c r="BI99" s="225">
        <v>0</v>
      </c>
      <c r="BJ99" s="257">
        <f t="shared" si="78"/>
        <v>6650</v>
      </c>
      <c r="BK99" s="257"/>
      <c r="BL99" s="225">
        <f>BK99/$D99</f>
        <v>0</v>
      </c>
      <c r="BM99" s="225">
        <f t="shared" si="83"/>
        <v>0</v>
      </c>
      <c r="BN99" s="205">
        <f t="shared" si="76"/>
        <v>0</v>
      </c>
      <c r="BO99" s="205"/>
      <c r="BP99" s="227"/>
      <c r="BQ99" s="224">
        <f t="shared" si="84"/>
        <v>0</v>
      </c>
      <c r="BR99" s="227">
        <v>1000</v>
      </c>
      <c r="BS99" s="224">
        <f>BR99/$D99</f>
        <v>0.14285714285714285</v>
      </c>
      <c r="BT99" s="227">
        <v>2000</v>
      </c>
      <c r="BU99" s="224">
        <f>BT99/$D99</f>
        <v>0.2857142857142857</v>
      </c>
      <c r="BV99" s="227">
        <v>2500</v>
      </c>
      <c r="BW99" s="224">
        <f>BV99/$D99</f>
        <v>0.35714285714285715</v>
      </c>
      <c r="BX99" s="227">
        <v>3500</v>
      </c>
      <c r="BY99" s="224">
        <f>BX99/$D99</f>
        <v>0.5</v>
      </c>
      <c r="BZ99" s="227">
        <v>4000</v>
      </c>
      <c r="CA99" s="224">
        <f>BZ99/$D99</f>
        <v>0.5714285714285714</v>
      </c>
      <c r="CB99" s="227">
        <v>4500</v>
      </c>
      <c r="CC99" s="224">
        <f>CB99/$D99</f>
        <v>0.6428571428571429</v>
      </c>
      <c r="CD99" s="227">
        <v>5500</v>
      </c>
      <c r="CE99" s="224">
        <f>CD99/$D99</f>
        <v>0.7857142857142857</v>
      </c>
      <c r="CF99" s="227">
        <v>6000</v>
      </c>
      <c r="CG99" s="224">
        <f>CF99/$D99</f>
        <v>0.8571428571428571</v>
      </c>
      <c r="CH99" s="227">
        <v>6500</v>
      </c>
      <c r="CI99" s="224">
        <f>CH99/$D99</f>
        <v>0.9285714285714286</v>
      </c>
      <c r="CJ99" s="227">
        <v>6650</v>
      </c>
      <c r="CK99" s="224">
        <f>CJ99/$D99</f>
        <v>0.95</v>
      </c>
      <c r="CL99" s="227">
        <v>6650</v>
      </c>
      <c r="CM99" s="224">
        <f>CL99/$D99</f>
        <v>0.95</v>
      </c>
      <c r="CN99" s="227">
        <v>6650</v>
      </c>
      <c r="CO99" s="224">
        <f>CN99/$D99</f>
        <v>0.95</v>
      </c>
      <c r="CP99" s="213" t="str">
        <f t="shared" si="85"/>
        <v>Không đạt</v>
      </c>
      <c r="CQ99" s="213" t="str">
        <f t="shared" si="86"/>
        <v>Không đạt</v>
      </c>
      <c r="CR99" s="192"/>
      <c r="CS99" s="257">
        <f t="shared" si="81"/>
        <v>0</v>
      </c>
      <c r="CT99" s="223"/>
      <c r="CU99" s="163"/>
      <c r="CW99" s="195"/>
      <c r="CX99" s="196"/>
      <c r="CY99" s="196"/>
      <c r="CZ99" s="197"/>
      <c r="DA99" s="196"/>
      <c r="DB99" s="196"/>
      <c r="DC99" s="196"/>
      <c r="DE99" s="199"/>
      <c r="DF99" s="200"/>
      <c r="DG99" s="181"/>
    </row>
    <row r="100" spans="1:111" outlineLevel="1" x14ac:dyDescent="0.25">
      <c r="A100" s="192">
        <f>MAX(A$72:$B99)+1</f>
        <v>24</v>
      </c>
      <c r="B100" s="222" t="s">
        <v>241</v>
      </c>
      <c r="C100" s="222">
        <v>7337009</v>
      </c>
      <c r="D100" s="214">
        <f t="shared" si="79"/>
        <v>6000</v>
      </c>
      <c r="E100" s="214"/>
      <c r="F100" s="214">
        <f t="shared" si="80"/>
        <v>6000</v>
      </c>
      <c r="G100" s="257">
        <v>3000</v>
      </c>
      <c r="H100" s="257">
        <v>3000</v>
      </c>
      <c r="I100" s="235"/>
      <c r="J100" s="235"/>
      <c r="K100" s="257"/>
      <c r="L100" s="235"/>
      <c r="M100" s="223"/>
      <c r="N100" s="223"/>
      <c r="O100" s="257">
        <f t="shared" si="87"/>
        <v>3000</v>
      </c>
      <c r="P100" s="257">
        <v>0</v>
      </c>
      <c r="Q100" s="224">
        <f t="shared" si="82"/>
        <v>0</v>
      </c>
      <c r="R100" s="257">
        <v>309.96300000000002</v>
      </c>
      <c r="S100" s="225">
        <v>5.1660500000000005E-2</v>
      </c>
      <c r="T100" s="225">
        <v>5.4379473684210533E-2</v>
      </c>
      <c r="U100" s="257">
        <v>309.96300000000002</v>
      </c>
      <c r="V100" s="225">
        <v>5.1660500000000005E-2</v>
      </c>
      <c r="W100" s="225">
        <v>5.4379473684210533E-2</v>
      </c>
      <c r="X100" s="257">
        <v>309.96300000000002</v>
      </c>
      <c r="Y100" s="225">
        <v>5.1660500000000005E-2</v>
      </c>
      <c r="Z100" s="225">
        <v>5.4379473684210533E-2</v>
      </c>
      <c r="AA100" s="257">
        <v>372</v>
      </c>
      <c r="AB100" s="225">
        <v>6.2E-2</v>
      </c>
      <c r="AC100" s="225">
        <v>6.5263157894736842E-2</v>
      </c>
      <c r="AD100" s="257">
        <v>372</v>
      </c>
      <c r="AE100" s="225">
        <v>6.2E-2</v>
      </c>
      <c r="AF100" s="225">
        <v>6.5263157894736842E-2</v>
      </c>
      <c r="AG100" s="257">
        <v>372</v>
      </c>
      <c r="AH100" s="225">
        <v>6.2E-2</v>
      </c>
      <c r="AI100" s="225">
        <v>6.5263157894736842E-2</v>
      </c>
      <c r="AJ100" s="250">
        <v>372</v>
      </c>
      <c r="AK100" s="225">
        <v>6.2E-2</v>
      </c>
      <c r="AL100" s="225">
        <v>6.5263157894736842E-2</v>
      </c>
      <c r="AM100" s="257">
        <v>372</v>
      </c>
      <c r="AN100" s="225">
        <v>6.2E-2</v>
      </c>
      <c r="AO100" s="225">
        <v>6.5263157894736842E-2</v>
      </c>
      <c r="AP100" s="225"/>
      <c r="AQ100" s="257">
        <v>372</v>
      </c>
      <c r="AR100" s="225">
        <v>6.2E-2</v>
      </c>
      <c r="AS100" s="225">
        <v>6.5263157894736842E-2</v>
      </c>
      <c r="AT100" s="257">
        <v>372</v>
      </c>
      <c r="AU100" s="225">
        <v>6.2E-2</v>
      </c>
      <c r="AV100" s="225">
        <v>6.5263157894736842E-2</v>
      </c>
      <c r="AW100" s="257">
        <v>372</v>
      </c>
      <c r="AX100" s="225">
        <v>6.2E-2</v>
      </c>
      <c r="AY100" s="225">
        <v>6.5263157894736842E-2</v>
      </c>
      <c r="AZ100" s="257">
        <v>372</v>
      </c>
      <c r="BA100" s="225">
        <v>6.2E-2</v>
      </c>
      <c r="BB100" s="225">
        <v>6.5263157894736842E-2</v>
      </c>
      <c r="BC100" s="257">
        <v>372</v>
      </c>
      <c r="BD100" s="225">
        <v>6.2E-2</v>
      </c>
      <c r="BE100" s="225">
        <v>6.5263157894736842E-2</v>
      </c>
      <c r="BF100" s="257"/>
      <c r="BG100" s="257">
        <v>372</v>
      </c>
      <c r="BH100" s="225">
        <v>6.2E-2</v>
      </c>
      <c r="BI100" s="225">
        <v>6.5263157894736842E-2</v>
      </c>
      <c r="BJ100" s="257">
        <f t="shared" si="78"/>
        <v>5700</v>
      </c>
      <c r="BK100" s="257">
        <v>372</v>
      </c>
      <c r="BL100" s="225">
        <f>BK100/$D100</f>
        <v>6.2E-2</v>
      </c>
      <c r="BM100" s="225">
        <f t="shared" si="83"/>
        <v>6.5263157894736842E-2</v>
      </c>
      <c r="BN100" s="205">
        <f t="shared" si="76"/>
        <v>0</v>
      </c>
      <c r="BO100" s="205"/>
      <c r="BP100" s="227"/>
      <c r="BQ100" s="224">
        <f t="shared" si="84"/>
        <v>0</v>
      </c>
      <c r="BR100" s="227">
        <v>1000</v>
      </c>
      <c r="BS100" s="224">
        <f>BR100/$D100</f>
        <v>0.16666666666666666</v>
      </c>
      <c r="BT100" s="227">
        <v>1000</v>
      </c>
      <c r="BU100" s="224">
        <f>BT100/$D100</f>
        <v>0.16666666666666666</v>
      </c>
      <c r="BV100" s="227">
        <v>1500</v>
      </c>
      <c r="BW100" s="224">
        <f>BV100/$D100</f>
        <v>0.25</v>
      </c>
      <c r="BX100" s="227">
        <v>2000</v>
      </c>
      <c r="BY100" s="224">
        <f>BX100/$D100</f>
        <v>0.33333333333333331</v>
      </c>
      <c r="BZ100" s="227">
        <v>2500</v>
      </c>
      <c r="CA100" s="224">
        <f>BZ100/$D100</f>
        <v>0.41666666666666669</v>
      </c>
      <c r="CB100" s="227">
        <v>3000</v>
      </c>
      <c r="CC100" s="224">
        <f>CB100/$D100</f>
        <v>0.5</v>
      </c>
      <c r="CD100" s="227">
        <v>3500</v>
      </c>
      <c r="CE100" s="224">
        <f>CD100/$D100</f>
        <v>0.58333333333333337</v>
      </c>
      <c r="CF100" s="227">
        <v>4000</v>
      </c>
      <c r="CG100" s="224">
        <f>CF100/$D100</f>
        <v>0.66666666666666663</v>
      </c>
      <c r="CH100" s="227">
        <v>4500</v>
      </c>
      <c r="CI100" s="224">
        <f>CH100/$D100</f>
        <v>0.75</v>
      </c>
      <c r="CJ100" s="227">
        <v>5000</v>
      </c>
      <c r="CK100" s="224">
        <f>CJ100/$D100</f>
        <v>0.83333333333333337</v>
      </c>
      <c r="CL100" s="227">
        <v>5500</v>
      </c>
      <c r="CM100" s="224">
        <f>CL100/$D100</f>
        <v>0.91666666666666663</v>
      </c>
      <c r="CN100" s="227">
        <v>5700</v>
      </c>
      <c r="CO100" s="224">
        <f>CN100/$D100</f>
        <v>0.95</v>
      </c>
      <c r="CP100" s="213" t="str">
        <f t="shared" si="85"/>
        <v>Không đạt</v>
      </c>
      <c r="CQ100" s="213" t="str">
        <f t="shared" si="86"/>
        <v>Không đạt</v>
      </c>
      <c r="CR100" s="192"/>
      <c r="CS100" s="257">
        <f t="shared" si="81"/>
        <v>0</v>
      </c>
      <c r="CT100" s="223"/>
      <c r="CU100" s="163"/>
      <c r="CW100" s="195"/>
      <c r="CX100" s="196"/>
      <c r="CY100" s="196"/>
      <c r="CZ100" s="197"/>
      <c r="DA100" s="196"/>
      <c r="DB100" s="196"/>
      <c r="DC100" s="196"/>
      <c r="DE100" s="199"/>
      <c r="DF100" s="200"/>
      <c r="DG100" s="181"/>
    </row>
    <row r="101" spans="1:111" outlineLevel="1" x14ac:dyDescent="0.25">
      <c r="A101" s="192">
        <f>MAX(A$72:$B100)+1</f>
        <v>25</v>
      </c>
      <c r="B101" s="222" t="s">
        <v>242</v>
      </c>
      <c r="C101" s="222">
        <v>7724891</v>
      </c>
      <c r="D101" s="214">
        <f>E101+F101</f>
        <v>5000</v>
      </c>
      <c r="E101" s="214"/>
      <c r="F101" s="214">
        <f>G101+H101+K101+M101</f>
        <v>5000</v>
      </c>
      <c r="G101" s="257">
        <v>5000</v>
      </c>
      <c r="H101" s="257"/>
      <c r="I101" s="235"/>
      <c r="J101" s="235"/>
      <c r="K101" s="257"/>
      <c r="L101" s="235"/>
      <c r="M101" s="223"/>
      <c r="N101" s="223"/>
      <c r="O101" s="257">
        <f>G101+I101+L101+N101</f>
        <v>5000</v>
      </c>
      <c r="P101" s="257">
        <v>0</v>
      </c>
      <c r="Q101" s="224">
        <f>P101/$D101</f>
        <v>0</v>
      </c>
      <c r="R101" s="257">
        <v>149.537329</v>
      </c>
      <c r="S101" s="225">
        <v>2.9907465800000001E-2</v>
      </c>
      <c r="T101" s="225">
        <v>3.1481542947368421E-2</v>
      </c>
      <c r="U101" s="257">
        <v>149.537329</v>
      </c>
      <c r="V101" s="225">
        <v>2.9907465800000001E-2</v>
      </c>
      <c r="W101" s="225">
        <v>3.1481542947368421E-2</v>
      </c>
      <c r="X101" s="257">
        <v>149.537329</v>
      </c>
      <c r="Y101" s="225">
        <v>2.9907465800000001E-2</v>
      </c>
      <c r="Z101" s="225">
        <v>3.1481542947368421E-2</v>
      </c>
      <c r="AA101" s="257">
        <v>149.537329</v>
      </c>
      <c r="AB101" s="225">
        <v>2.9907465800000001E-2</v>
      </c>
      <c r="AC101" s="225">
        <v>3.1481542947368421E-2</v>
      </c>
      <c r="AD101" s="257">
        <v>149.537329</v>
      </c>
      <c r="AE101" s="225">
        <v>2.9907465800000001E-2</v>
      </c>
      <c r="AF101" s="225">
        <v>3.1481542947368421E-2</v>
      </c>
      <c r="AG101" s="257">
        <v>149.537329</v>
      </c>
      <c r="AH101" s="225">
        <v>2.9907465800000001E-2</v>
      </c>
      <c r="AI101" s="225">
        <v>3.1481542947368421E-2</v>
      </c>
      <c r="AJ101" s="257">
        <v>149.537329</v>
      </c>
      <c r="AK101" s="225">
        <v>2.9907465800000001E-2</v>
      </c>
      <c r="AL101" s="225">
        <v>3.1481542947368421E-2</v>
      </c>
      <c r="AM101" s="257">
        <v>149.537329</v>
      </c>
      <c r="AN101" s="225">
        <v>2.9907465800000001E-2</v>
      </c>
      <c r="AO101" s="225">
        <v>3.1481542947368421E-2</v>
      </c>
      <c r="AP101" s="225"/>
      <c r="AQ101" s="257">
        <v>149.537329</v>
      </c>
      <c r="AR101" s="225">
        <v>2.9907465800000001E-2</v>
      </c>
      <c r="AS101" s="225">
        <v>3.1481542947368421E-2</v>
      </c>
      <c r="AT101" s="257">
        <v>149.537329</v>
      </c>
      <c r="AU101" s="225">
        <v>2.9907465800000001E-2</v>
      </c>
      <c r="AV101" s="225">
        <v>3.1481542947368421E-2</v>
      </c>
      <c r="AW101" s="257">
        <v>149.537329</v>
      </c>
      <c r="AX101" s="225">
        <v>2.9907465800000001E-2</v>
      </c>
      <c r="AY101" s="225">
        <v>3.1481542947368421E-2</v>
      </c>
      <c r="AZ101" s="257">
        <v>149.537329</v>
      </c>
      <c r="BA101" s="225">
        <v>2.9907465800000001E-2</v>
      </c>
      <c r="BB101" s="225">
        <v>3.1481542947368421E-2</v>
      </c>
      <c r="BC101" s="257">
        <v>149.537329</v>
      </c>
      <c r="BD101" s="225">
        <v>2.9907465800000001E-2</v>
      </c>
      <c r="BE101" s="225">
        <v>3.1481542947368421E-2</v>
      </c>
      <c r="BF101" s="257"/>
      <c r="BG101" s="257">
        <v>149.537329</v>
      </c>
      <c r="BH101" s="225">
        <v>2.9907465800000001E-2</v>
      </c>
      <c r="BI101" s="225">
        <v>3.1481542947368421E-2</v>
      </c>
      <c r="BJ101" s="257">
        <f t="shared" si="78"/>
        <v>4750</v>
      </c>
      <c r="BK101" s="257">
        <v>149.537329</v>
      </c>
      <c r="BL101" s="225">
        <f>BK101/$D101</f>
        <v>2.9907465800000001E-2</v>
      </c>
      <c r="BM101" s="225">
        <f>BK101/(E101+0.95*F101)</f>
        <v>3.1481542947368421E-2</v>
      </c>
      <c r="BN101" s="205">
        <f t="shared" si="76"/>
        <v>0</v>
      </c>
      <c r="BO101" s="205"/>
      <c r="BP101" s="227"/>
      <c r="BQ101" s="224">
        <f>BP101/$D101</f>
        <v>0</v>
      </c>
      <c r="BR101" s="227">
        <v>0</v>
      </c>
      <c r="BS101" s="224">
        <f>BR101/$D101</f>
        <v>0</v>
      </c>
      <c r="BT101" s="227">
        <v>200</v>
      </c>
      <c r="BU101" s="224">
        <f>BT101/$D101</f>
        <v>0.04</v>
      </c>
      <c r="BV101" s="227">
        <v>500</v>
      </c>
      <c r="BW101" s="224">
        <f>BV101/$D101</f>
        <v>0.1</v>
      </c>
      <c r="BX101" s="227">
        <v>1000</v>
      </c>
      <c r="BY101" s="224">
        <f>BX101/$D101</f>
        <v>0.2</v>
      </c>
      <c r="BZ101" s="227">
        <v>1500</v>
      </c>
      <c r="CA101" s="224">
        <f>BZ101/$D101</f>
        <v>0.3</v>
      </c>
      <c r="CB101" s="227">
        <v>2000</v>
      </c>
      <c r="CC101" s="224">
        <f>CB101/$D101</f>
        <v>0.4</v>
      </c>
      <c r="CD101" s="227">
        <v>2500</v>
      </c>
      <c r="CE101" s="224">
        <f>CD101/$D101</f>
        <v>0.5</v>
      </c>
      <c r="CF101" s="227">
        <v>3000</v>
      </c>
      <c r="CG101" s="224">
        <f>CF101/$D101</f>
        <v>0.6</v>
      </c>
      <c r="CH101" s="227">
        <v>3500</v>
      </c>
      <c r="CI101" s="224">
        <f>CH101/$D101</f>
        <v>0.7</v>
      </c>
      <c r="CJ101" s="227">
        <v>4000</v>
      </c>
      <c r="CK101" s="224">
        <f>CJ101/$D101</f>
        <v>0.8</v>
      </c>
      <c r="CL101" s="227">
        <v>4500</v>
      </c>
      <c r="CM101" s="224">
        <f>CL101/$D101</f>
        <v>0.9</v>
      </c>
      <c r="CN101" s="227">
        <v>4750</v>
      </c>
      <c r="CO101" s="224">
        <f>CN101/$D101</f>
        <v>0.95</v>
      </c>
      <c r="CP101" s="213" t="str">
        <f t="shared" si="85"/>
        <v>Không đạt</v>
      </c>
      <c r="CQ101" s="213" t="str">
        <f t="shared" si="86"/>
        <v>Không đạt</v>
      </c>
      <c r="CR101" s="192"/>
      <c r="CS101" s="257">
        <f t="shared" si="81"/>
        <v>0</v>
      </c>
      <c r="CT101" s="223"/>
      <c r="CU101" s="163"/>
      <c r="CW101" s="195"/>
      <c r="CX101" s="196"/>
      <c r="CY101" s="196"/>
      <c r="CZ101" s="197"/>
      <c r="DA101" s="196"/>
      <c r="DB101" s="196"/>
      <c r="DC101" s="196"/>
      <c r="DE101" s="199"/>
      <c r="DF101" s="200"/>
      <c r="DG101" s="181"/>
    </row>
    <row r="102" spans="1:111" ht="25.5" outlineLevel="1" x14ac:dyDescent="0.25">
      <c r="A102" s="192">
        <f>MAX(A$72:$B101)+1</f>
        <v>26</v>
      </c>
      <c r="B102" s="222" t="s">
        <v>243</v>
      </c>
      <c r="C102" s="222">
        <v>8046200</v>
      </c>
      <c r="D102" s="214">
        <f>E102+F102</f>
        <v>30000</v>
      </c>
      <c r="E102" s="214"/>
      <c r="F102" s="214">
        <f>G102+H102+K102+M102</f>
        <v>30000</v>
      </c>
      <c r="G102" s="257">
        <v>20000</v>
      </c>
      <c r="H102" s="257">
        <v>10000</v>
      </c>
      <c r="I102" s="235"/>
      <c r="J102" s="235"/>
      <c r="K102" s="257"/>
      <c r="L102" s="235"/>
      <c r="M102" s="223"/>
      <c r="N102" s="223"/>
      <c r="O102" s="257">
        <f>G102+I102+L102+N102</f>
        <v>20000</v>
      </c>
      <c r="P102" s="257">
        <v>1442.722</v>
      </c>
      <c r="Q102" s="224">
        <f>P102/$D102</f>
        <v>4.809073333333333E-2</v>
      </c>
      <c r="R102" s="257">
        <v>1862.09</v>
      </c>
      <c r="S102" s="225">
        <v>6.2069666666666662E-2</v>
      </c>
      <c r="T102" s="225">
        <v>6.533649122807017E-2</v>
      </c>
      <c r="U102" s="257">
        <v>1862.09</v>
      </c>
      <c r="V102" s="225">
        <v>6.2069666666666662E-2</v>
      </c>
      <c r="W102" s="225">
        <v>6.533649122807017E-2</v>
      </c>
      <c r="X102" s="257">
        <v>1862.09</v>
      </c>
      <c r="Y102" s="225">
        <v>6.2069666666666662E-2</v>
      </c>
      <c r="Z102" s="225">
        <v>6.533649122807017E-2</v>
      </c>
      <c r="AA102" s="257">
        <v>1862.09</v>
      </c>
      <c r="AB102" s="225">
        <v>6.2069666666666662E-2</v>
      </c>
      <c r="AC102" s="225">
        <v>6.533649122807017E-2</v>
      </c>
      <c r="AD102" s="257">
        <v>1862.09</v>
      </c>
      <c r="AE102" s="225">
        <v>6.2069666666666662E-2</v>
      </c>
      <c r="AF102" s="225">
        <v>6.533649122807017E-2</v>
      </c>
      <c r="AG102" s="257">
        <v>1862.09</v>
      </c>
      <c r="AH102" s="225">
        <v>6.2069666666666662E-2</v>
      </c>
      <c r="AI102" s="225">
        <v>6.533649122807017E-2</v>
      </c>
      <c r="AJ102" s="257">
        <v>1862.09</v>
      </c>
      <c r="AK102" s="225">
        <v>6.2069666666666662E-2</v>
      </c>
      <c r="AL102" s="225">
        <v>6.533649122807017E-2</v>
      </c>
      <c r="AM102" s="257">
        <v>1862.09</v>
      </c>
      <c r="AN102" s="225">
        <v>6.2069666666666662E-2</v>
      </c>
      <c r="AO102" s="225">
        <v>6.533649122807017E-2</v>
      </c>
      <c r="AP102" s="225"/>
      <c r="AQ102" s="257">
        <v>6864.2860000000001</v>
      </c>
      <c r="AR102" s="225">
        <v>0.22880953333333334</v>
      </c>
      <c r="AS102" s="225">
        <v>0.24085214035087721</v>
      </c>
      <c r="AT102" s="257">
        <v>6864.2860000000001</v>
      </c>
      <c r="AU102" s="225">
        <v>0.22880953333333334</v>
      </c>
      <c r="AV102" s="225">
        <v>0.24085214035087721</v>
      </c>
      <c r="AW102" s="257">
        <v>6864.2860000000001</v>
      </c>
      <c r="AX102" s="225">
        <v>0.22880953333333334</v>
      </c>
      <c r="AY102" s="225">
        <v>0.24085214035087721</v>
      </c>
      <c r="AZ102" s="257">
        <v>6864.2860000000001</v>
      </c>
      <c r="BA102" s="225">
        <v>0.22880953333333334</v>
      </c>
      <c r="BB102" s="225">
        <v>0.24085214035087721</v>
      </c>
      <c r="BC102" s="257">
        <v>6864.2860000000001</v>
      </c>
      <c r="BD102" s="225">
        <v>0.22880953333333334</v>
      </c>
      <c r="BE102" s="225">
        <v>0.24085214035087721</v>
      </c>
      <c r="BF102" s="257"/>
      <c r="BG102" s="257">
        <v>11234.835999999999</v>
      </c>
      <c r="BH102" s="225">
        <v>0.37449453333333332</v>
      </c>
      <c r="BI102" s="225">
        <v>0.39420477192982456</v>
      </c>
      <c r="BJ102" s="257">
        <f t="shared" si="78"/>
        <v>28500</v>
      </c>
      <c r="BK102" s="257">
        <v>11234.835999999999</v>
      </c>
      <c r="BL102" s="225">
        <f>BK102/$D102</f>
        <v>0.37449453333333332</v>
      </c>
      <c r="BM102" s="225">
        <f>BK102/(E102+0.95*F102)</f>
        <v>0.39420477192982456</v>
      </c>
      <c r="BN102" s="205">
        <f t="shared" si="76"/>
        <v>9372.7459999999992</v>
      </c>
      <c r="BO102" s="205"/>
      <c r="BP102" s="227"/>
      <c r="BQ102" s="224">
        <f>BP102/$D102</f>
        <v>0</v>
      </c>
      <c r="BR102" s="227">
        <v>2000</v>
      </c>
      <c r="BS102" s="224">
        <f>BR102/$D102</f>
        <v>6.6666666666666666E-2</v>
      </c>
      <c r="BT102" s="227">
        <v>3000</v>
      </c>
      <c r="BU102" s="224">
        <f>BT102/$D102</f>
        <v>0.1</v>
      </c>
      <c r="BV102" s="227">
        <v>5000</v>
      </c>
      <c r="BW102" s="224">
        <f>BV102/$D102</f>
        <v>0.16666666666666666</v>
      </c>
      <c r="BX102" s="227">
        <v>10000</v>
      </c>
      <c r="BY102" s="224">
        <f>BX102/$D102</f>
        <v>0.33333333333333331</v>
      </c>
      <c r="BZ102" s="227">
        <v>15000</v>
      </c>
      <c r="CA102" s="224">
        <f>BZ102/$D102</f>
        <v>0.5</v>
      </c>
      <c r="CB102" s="227">
        <v>20000</v>
      </c>
      <c r="CC102" s="224">
        <f>CB102/$D102</f>
        <v>0.66666666666666663</v>
      </c>
      <c r="CD102" s="227">
        <v>25000</v>
      </c>
      <c r="CE102" s="224">
        <f>CD102/$D102</f>
        <v>0.83333333333333337</v>
      </c>
      <c r="CF102" s="227">
        <v>28500</v>
      </c>
      <c r="CG102" s="224">
        <f>CF102/$D102</f>
        <v>0.95</v>
      </c>
      <c r="CH102" s="227">
        <v>28500</v>
      </c>
      <c r="CI102" s="224">
        <f>CH102/$D102</f>
        <v>0.95</v>
      </c>
      <c r="CJ102" s="227">
        <v>28500</v>
      </c>
      <c r="CK102" s="224">
        <f>CJ102/$D102</f>
        <v>0.95</v>
      </c>
      <c r="CL102" s="227">
        <v>28500</v>
      </c>
      <c r="CM102" s="224">
        <f>CL102/$D102</f>
        <v>0.95</v>
      </c>
      <c r="CN102" s="227">
        <v>28500</v>
      </c>
      <c r="CO102" s="224">
        <f>CN102/$D102</f>
        <v>0.95</v>
      </c>
      <c r="CP102" s="213" t="str">
        <f t="shared" si="85"/>
        <v>Đạt</v>
      </c>
      <c r="CQ102" s="213" t="str">
        <f t="shared" si="86"/>
        <v>Không đạt</v>
      </c>
      <c r="CR102" s="192"/>
      <c r="CS102" s="257">
        <f t="shared" si="81"/>
        <v>4370.5499999999993</v>
      </c>
      <c r="CT102" s="223"/>
      <c r="CU102" s="163"/>
      <c r="CW102" s="195"/>
      <c r="CX102" s="196"/>
      <c r="CY102" s="196"/>
      <c r="CZ102" s="197"/>
      <c r="DA102" s="196"/>
      <c r="DB102" s="196"/>
      <c r="DC102" s="196"/>
      <c r="DE102" s="199"/>
      <c r="DF102" s="200"/>
      <c r="DG102" s="181"/>
    </row>
    <row r="103" spans="1:111" ht="25.5" outlineLevel="1" x14ac:dyDescent="0.25">
      <c r="A103" s="192">
        <f>MAX(A$72:$B102)+1</f>
        <v>27</v>
      </c>
      <c r="B103" s="222" t="s">
        <v>244</v>
      </c>
      <c r="C103" s="222">
        <v>8128141</v>
      </c>
      <c r="D103" s="214">
        <f>E103+F103</f>
        <v>1921</v>
      </c>
      <c r="E103" s="214"/>
      <c r="F103" s="214">
        <f>G103+H103+K103+M103</f>
        <v>1921</v>
      </c>
      <c r="G103" s="257">
        <f>3500-1579</f>
        <v>1921</v>
      </c>
      <c r="H103" s="257"/>
      <c r="I103" s="235"/>
      <c r="J103" s="235"/>
      <c r="K103" s="257"/>
      <c r="L103" s="235"/>
      <c r="M103" s="223"/>
      <c r="N103" s="223"/>
      <c r="O103" s="257">
        <f>G103+I103+L103+N103</f>
        <v>1921</v>
      </c>
      <c r="P103" s="257">
        <v>0</v>
      </c>
      <c r="Q103" s="224">
        <f>P103/$D103</f>
        <v>0</v>
      </c>
      <c r="R103" s="257">
        <v>1305.1510000000001</v>
      </c>
      <c r="S103" s="225">
        <v>0.37290028571428574</v>
      </c>
      <c r="T103" s="225">
        <v>0.3925266165413534</v>
      </c>
      <c r="U103" s="257">
        <v>1305.1510000000001</v>
      </c>
      <c r="V103" s="225">
        <v>0.37290028571428574</v>
      </c>
      <c r="W103" s="225">
        <v>0.3925266165413534</v>
      </c>
      <c r="X103" s="257">
        <v>1305.1510000000001</v>
      </c>
      <c r="Y103" s="225">
        <v>0.37290028571428574</v>
      </c>
      <c r="Z103" s="225">
        <v>0.3925266165413534</v>
      </c>
      <c r="AA103" s="257">
        <v>1305.1510000000001</v>
      </c>
      <c r="AB103" s="225">
        <v>0.37290028571428574</v>
      </c>
      <c r="AC103" s="225">
        <v>0.3925266165413534</v>
      </c>
      <c r="AD103" s="257">
        <v>1305.1510000000001</v>
      </c>
      <c r="AE103" s="225">
        <v>0.37290028571428574</v>
      </c>
      <c r="AF103" s="225">
        <v>0.3925266165413534</v>
      </c>
      <c r="AG103" s="257">
        <v>1305.1510000000001</v>
      </c>
      <c r="AH103" s="225">
        <v>0.37290028571428574</v>
      </c>
      <c r="AI103" s="225">
        <v>0.3925266165413534</v>
      </c>
      <c r="AJ103" s="250">
        <v>1305.1510000000001</v>
      </c>
      <c r="AK103" s="225">
        <v>0.37290028571428574</v>
      </c>
      <c r="AL103" s="225">
        <v>0.3925266165413534</v>
      </c>
      <c r="AM103" s="257">
        <v>1305.1510000000001</v>
      </c>
      <c r="AN103" s="225">
        <v>0.37290028571428574</v>
      </c>
      <c r="AO103" s="225">
        <v>0.3925266165413534</v>
      </c>
      <c r="AP103" s="225"/>
      <c r="AQ103" s="257">
        <v>1305.1510000000001</v>
      </c>
      <c r="AR103" s="225">
        <v>0.37290028571428574</v>
      </c>
      <c r="AS103" s="225">
        <v>0.3925266165413534</v>
      </c>
      <c r="AT103" s="257">
        <v>1305.1510000000001</v>
      </c>
      <c r="AU103" s="225">
        <v>0.37290028571428574</v>
      </c>
      <c r="AV103" s="225">
        <v>0.3925266165413534</v>
      </c>
      <c r="AW103" s="257">
        <v>1305.1510000000001</v>
      </c>
      <c r="AX103" s="225">
        <v>0.37290028571428574</v>
      </c>
      <c r="AY103" s="225">
        <v>0.3925266165413534</v>
      </c>
      <c r="AZ103" s="257">
        <v>1305.1510000000001</v>
      </c>
      <c r="BA103" s="225">
        <v>0.37290028571428574</v>
      </c>
      <c r="BB103" s="225">
        <v>0.3925266165413534</v>
      </c>
      <c r="BC103" s="257">
        <v>1446.6660000000002</v>
      </c>
      <c r="BD103" s="225">
        <v>0.4133331428571429</v>
      </c>
      <c r="BE103" s="225">
        <v>0.43508751879699253</v>
      </c>
      <c r="BF103" s="257"/>
      <c r="BG103" s="257">
        <v>1446.6660000000002</v>
      </c>
      <c r="BH103" s="225">
        <v>0.75307964601769917</v>
      </c>
      <c r="BI103" s="225">
        <v>0.7927154168607361</v>
      </c>
      <c r="BJ103" s="257">
        <f t="shared" si="78"/>
        <v>1824.9499999999998</v>
      </c>
      <c r="BK103" s="257">
        <v>1446.6660000000002</v>
      </c>
      <c r="BL103" s="225">
        <f>BK103/$D103</f>
        <v>0.75307964601769917</v>
      </c>
      <c r="BM103" s="225">
        <f>BK103/(E103+0.95*F103)</f>
        <v>0.7927154168607361</v>
      </c>
      <c r="BN103" s="205">
        <f t="shared" si="76"/>
        <v>141.5150000000001</v>
      </c>
      <c r="BO103" s="205"/>
      <c r="BP103" s="227"/>
      <c r="BQ103" s="224">
        <f>BP103/$D103</f>
        <v>0</v>
      </c>
      <c r="BR103" s="227">
        <v>2000</v>
      </c>
      <c r="BS103" s="224">
        <f>BR103/$D103</f>
        <v>1.0411244143675169</v>
      </c>
      <c r="BT103" s="227">
        <v>2500</v>
      </c>
      <c r="BU103" s="224">
        <f>BT103/$D103</f>
        <v>1.3014055179593962</v>
      </c>
      <c r="BV103" s="227">
        <v>3000</v>
      </c>
      <c r="BW103" s="224">
        <f>BV103/$D103</f>
        <v>1.5616866215512755</v>
      </c>
      <c r="BX103" s="227">
        <v>3325</v>
      </c>
      <c r="BY103" s="224">
        <f>BX103/$D103</f>
        <v>1.7308693388859968</v>
      </c>
      <c r="BZ103" s="227">
        <v>3325</v>
      </c>
      <c r="CA103" s="224">
        <f>BZ103/$D103</f>
        <v>1.7308693388859968</v>
      </c>
      <c r="CB103" s="227">
        <v>3325</v>
      </c>
      <c r="CC103" s="224">
        <f>CB103/$D103</f>
        <v>1.7308693388859968</v>
      </c>
      <c r="CD103" s="227">
        <v>3325</v>
      </c>
      <c r="CE103" s="224">
        <f>CD103/$D103</f>
        <v>1.7308693388859968</v>
      </c>
      <c r="CF103" s="227">
        <v>3325</v>
      </c>
      <c r="CG103" s="224">
        <f>CF103/$D103</f>
        <v>1.7308693388859968</v>
      </c>
      <c r="CH103" s="227">
        <v>3325</v>
      </c>
      <c r="CI103" s="224">
        <f>CH103/$D103</f>
        <v>1.7308693388859968</v>
      </c>
      <c r="CJ103" s="227">
        <v>3325</v>
      </c>
      <c r="CK103" s="224">
        <f>CJ103/$D103</f>
        <v>1.7308693388859968</v>
      </c>
      <c r="CL103" s="227">
        <v>3325</v>
      </c>
      <c r="CM103" s="224">
        <f>CL103/$D103</f>
        <v>1.7308693388859968</v>
      </c>
      <c r="CN103" s="227">
        <v>3325</v>
      </c>
      <c r="CO103" s="224">
        <f>CN103/$D103</f>
        <v>1.7308693388859968</v>
      </c>
      <c r="CP103" s="213" t="str">
        <f t="shared" si="85"/>
        <v>Đạt</v>
      </c>
      <c r="CQ103" s="213" t="str">
        <f t="shared" si="86"/>
        <v>Đạt</v>
      </c>
      <c r="CR103" s="192"/>
      <c r="CS103" s="257">
        <f t="shared" si="81"/>
        <v>141.5150000000001</v>
      </c>
      <c r="CT103" s="223"/>
      <c r="CU103" s="163"/>
      <c r="CW103" s="195"/>
      <c r="CX103" s="196"/>
      <c r="CY103" s="196"/>
      <c r="CZ103" s="197"/>
      <c r="DA103" s="196"/>
      <c r="DB103" s="196"/>
      <c r="DC103" s="196"/>
      <c r="DE103" s="199"/>
      <c r="DF103" s="200"/>
      <c r="DG103" s="181"/>
    </row>
    <row r="104" spans="1:111" outlineLevel="1" x14ac:dyDescent="0.25">
      <c r="A104" s="256"/>
      <c r="B104" s="210" t="s">
        <v>245</v>
      </c>
      <c r="C104" s="210"/>
      <c r="D104" s="214">
        <f t="shared" si="79"/>
        <v>0</v>
      </c>
      <c r="E104" s="214"/>
      <c r="F104" s="214">
        <f t="shared" si="80"/>
        <v>0</v>
      </c>
      <c r="G104" s="250"/>
      <c r="H104" s="250"/>
      <c r="I104" s="235"/>
      <c r="J104" s="235"/>
      <c r="K104" s="250"/>
      <c r="L104" s="235"/>
      <c r="M104" s="223"/>
      <c r="N104" s="223"/>
      <c r="O104" s="250">
        <f t="shared" si="87"/>
        <v>0</v>
      </c>
      <c r="P104" s="250">
        <v>0</v>
      </c>
      <c r="Q104" s="224" t="e">
        <f t="shared" si="82"/>
        <v>#DIV/0!</v>
      </c>
      <c r="R104" s="250"/>
      <c r="S104" s="225"/>
      <c r="T104" s="225" t="e">
        <v>#DIV/0!</v>
      </c>
      <c r="U104" s="250"/>
      <c r="V104" s="225"/>
      <c r="W104" s="225" t="e">
        <v>#DIV/0!</v>
      </c>
      <c r="X104" s="250"/>
      <c r="Y104" s="225"/>
      <c r="Z104" s="225" t="e">
        <v>#DIV/0!</v>
      </c>
      <c r="AA104" s="250"/>
      <c r="AB104" s="225"/>
      <c r="AC104" s="225" t="e">
        <v>#DIV/0!</v>
      </c>
      <c r="AD104" s="250"/>
      <c r="AE104" s="225"/>
      <c r="AF104" s="225" t="e">
        <v>#DIV/0!</v>
      </c>
      <c r="AG104" s="250"/>
      <c r="AH104" s="225"/>
      <c r="AI104" s="225" t="e">
        <v>#DIV/0!</v>
      </c>
      <c r="AJ104" s="257"/>
      <c r="AK104" s="225"/>
      <c r="AL104" s="225" t="e">
        <v>#DIV/0!</v>
      </c>
      <c r="AM104" s="250"/>
      <c r="AN104" s="225"/>
      <c r="AO104" s="225" t="e">
        <v>#DIV/0!</v>
      </c>
      <c r="AP104" s="225"/>
      <c r="AQ104" s="250"/>
      <c r="AR104" s="225"/>
      <c r="AS104" s="225"/>
      <c r="AT104" s="250"/>
      <c r="AU104" s="225"/>
      <c r="AV104" s="225"/>
      <c r="AW104" s="250"/>
      <c r="AX104" s="225"/>
      <c r="AY104" s="225"/>
      <c r="AZ104" s="250"/>
      <c r="BA104" s="225"/>
      <c r="BB104" s="225"/>
      <c r="BC104" s="250"/>
      <c r="BD104" s="225"/>
      <c r="BE104" s="225"/>
      <c r="BF104" s="250"/>
      <c r="BG104" s="250"/>
      <c r="BH104" s="225"/>
      <c r="BI104" s="225"/>
      <c r="BJ104" s="250">
        <f t="shared" si="78"/>
        <v>0</v>
      </c>
      <c r="BK104" s="250"/>
      <c r="BL104" s="225"/>
      <c r="BM104" s="225"/>
      <c r="BN104" s="205">
        <f t="shared" si="76"/>
        <v>0</v>
      </c>
      <c r="BO104" s="205"/>
      <c r="BP104" s="227"/>
      <c r="BQ104" s="224"/>
      <c r="BR104" s="227"/>
      <c r="BS104" s="224"/>
      <c r="BT104" s="227"/>
      <c r="BU104" s="224"/>
      <c r="BV104" s="227"/>
      <c r="BW104" s="224"/>
      <c r="BX104" s="227"/>
      <c r="BY104" s="224"/>
      <c r="BZ104" s="227"/>
      <c r="CA104" s="224"/>
      <c r="CB104" s="227"/>
      <c r="CC104" s="224"/>
      <c r="CD104" s="227"/>
      <c r="CE104" s="224"/>
      <c r="CF104" s="227"/>
      <c r="CG104" s="224"/>
      <c r="CH104" s="227"/>
      <c r="CI104" s="224"/>
      <c r="CJ104" s="227"/>
      <c r="CK104" s="224"/>
      <c r="CL104" s="227"/>
      <c r="CM104" s="224"/>
      <c r="CN104" s="227"/>
      <c r="CO104" s="224"/>
      <c r="CP104" s="213" t="str">
        <f t="shared" si="85"/>
        <v>Không đạt</v>
      </c>
      <c r="CQ104" s="213" t="str">
        <f t="shared" si="86"/>
        <v>Không đạt</v>
      </c>
      <c r="CR104" s="192"/>
      <c r="CS104" s="250">
        <f t="shared" si="81"/>
        <v>0</v>
      </c>
      <c r="CT104" s="223"/>
      <c r="CU104" s="163"/>
      <c r="CW104" s="195"/>
      <c r="CX104" s="196"/>
      <c r="CY104" s="196"/>
      <c r="CZ104" s="197"/>
      <c r="DA104" s="196"/>
      <c r="DB104" s="196"/>
      <c r="DC104" s="196"/>
      <c r="DE104" s="199"/>
      <c r="DF104" s="200"/>
      <c r="DG104" s="181"/>
    </row>
    <row r="105" spans="1:111" outlineLevel="1" x14ac:dyDescent="0.25">
      <c r="A105" s="192">
        <f>MAX(A$72:$B104)+1</f>
        <v>28</v>
      </c>
      <c r="B105" s="222" t="s">
        <v>246</v>
      </c>
      <c r="C105" s="222" t="s">
        <v>247</v>
      </c>
      <c r="D105" s="214">
        <f t="shared" si="79"/>
        <v>4000</v>
      </c>
      <c r="E105" s="214"/>
      <c r="F105" s="214">
        <f t="shared" si="80"/>
        <v>4000</v>
      </c>
      <c r="G105" s="257">
        <v>4000</v>
      </c>
      <c r="H105" s="257"/>
      <c r="I105" s="235"/>
      <c r="J105" s="235"/>
      <c r="K105" s="257"/>
      <c r="L105" s="235"/>
      <c r="M105" s="223"/>
      <c r="N105" s="223"/>
      <c r="O105" s="257">
        <f t="shared" si="87"/>
        <v>4000</v>
      </c>
      <c r="P105" s="257">
        <v>0</v>
      </c>
      <c r="Q105" s="224">
        <f t="shared" si="82"/>
        <v>0</v>
      </c>
      <c r="R105" s="257"/>
      <c r="S105" s="225">
        <v>0</v>
      </c>
      <c r="T105" s="225">
        <v>0</v>
      </c>
      <c r="U105" s="257"/>
      <c r="V105" s="225">
        <v>0</v>
      </c>
      <c r="W105" s="225">
        <v>0</v>
      </c>
      <c r="X105" s="257"/>
      <c r="Y105" s="225">
        <v>0</v>
      </c>
      <c r="Z105" s="225">
        <v>0</v>
      </c>
      <c r="AA105" s="257"/>
      <c r="AB105" s="225">
        <v>0</v>
      </c>
      <c r="AC105" s="225">
        <v>0</v>
      </c>
      <c r="AD105" s="257"/>
      <c r="AE105" s="225">
        <v>0</v>
      </c>
      <c r="AF105" s="225">
        <v>0</v>
      </c>
      <c r="AG105" s="257"/>
      <c r="AH105" s="225">
        <v>0</v>
      </c>
      <c r="AI105" s="225">
        <v>0</v>
      </c>
      <c r="AJ105" s="257"/>
      <c r="AK105" s="225">
        <v>0</v>
      </c>
      <c r="AL105" s="225">
        <v>0</v>
      </c>
      <c r="AM105" s="257"/>
      <c r="AN105" s="225">
        <v>0</v>
      </c>
      <c r="AO105" s="225">
        <v>0</v>
      </c>
      <c r="AP105" s="225"/>
      <c r="AQ105" s="257"/>
      <c r="AR105" s="225">
        <v>0</v>
      </c>
      <c r="AS105" s="225">
        <v>0</v>
      </c>
      <c r="AT105" s="257"/>
      <c r="AU105" s="225">
        <v>0</v>
      </c>
      <c r="AV105" s="225">
        <v>0</v>
      </c>
      <c r="AW105" s="257"/>
      <c r="AX105" s="225">
        <v>0</v>
      </c>
      <c r="AY105" s="225">
        <v>0</v>
      </c>
      <c r="AZ105" s="257"/>
      <c r="BA105" s="225">
        <v>0</v>
      </c>
      <c r="BB105" s="225">
        <v>0</v>
      </c>
      <c r="BC105" s="257"/>
      <c r="BD105" s="225">
        <v>0</v>
      </c>
      <c r="BE105" s="225">
        <v>0</v>
      </c>
      <c r="BF105" s="257"/>
      <c r="BG105" s="257"/>
      <c r="BH105" s="225">
        <v>0</v>
      </c>
      <c r="BI105" s="225">
        <v>0</v>
      </c>
      <c r="BJ105" s="257">
        <f t="shared" si="78"/>
        <v>3800</v>
      </c>
      <c r="BK105" s="257"/>
      <c r="BL105" s="225">
        <f>BK105/$D105</f>
        <v>0</v>
      </c>
      <c r="BM105" s="225">
        <f t="shared" si="83"/>
        <v>0</v>
      </c>
      <c r="BN105" s="205">
        <f t="shared" si="76"/>
        <v>0</v>
      </c>
      <c r="BO105" s="205"/>
      <c r="BP105" s="227"/>
      <c r="BQ105" s="224">
        <f t="shared" si="84"/>
        <v>0</v>
      </c>
      <c r="BR105" s="227"/>
      <c r="BS105" s="224">
        <f>BR105/$D105</f>
        <v>0</v>
      </c>
      <c r="BT105" s="227"/>
      <c r="BU105" s="224">
        <f>BT105/$D105</f>
        <v>0</v>
      </c>
      <c r="BV105" s="227">
        <v>2300</v>
      </c>
      <c r="BW105" s="224">
        <f>BV105/$D105</f>
        <v>0.57499999999999996</v>
      </c>
      <c r="BX105" s="227">
        <v>3500</v>
      </c>
      <c r="BY105" s="224">
        <f>BX105/$D105</f>
        <v>0.875</v>
      </c>
      <c r="BZ105" s="227">
        <v>3800</v>
      </c>
      <c r="CA105" s="224">
        <f>BZ105/$D105</f>
        <v>0.95</v>
      </c>
      <c r="CB105" s="227">
        <v>3800</v>
      </c>
      <c r="CC105" s="224">
        <f>CB105/$D105</f>
        <v>0.95</v>
      </c>
      <c r="CD105" s="227">
        <v>3800</v>
      </c>
      <c r="CE105" s="224">
        <f>CD105/$D105</f>
        <v>0.95</v>
      </c>
      <c r="CF105" s="227">
        <v>3800</v>
      </c>
      <c r="CG105" s="224">
        <f>CF105/$D105</f>
        <v>0.95</v>
      </c>
      <c r="CH105" s="227">
        <v>3800</v>
      </c>
      <c r="CI105" s="224">
        <f>CH105/$D105</f>
        <v>0.95</v>
      </c>
      <c r="CJ105" s="227">
        <v>3800</v>
      </c>
      <c r="CK105" s="224">
        <f>CJ105/$D105</f>
        <v>0.95</v>
      </c>
      <c r="CL105" s="227">
        <v>3800</v>
      </c>
      <c r="CM105" s="224">
        <f>CL105/$D105</f>
        <v>0.95</v>
      </c>
      <c r="CN105" s="227">
        <v>3800</v>
      </c>
      <c r="CO105" s="224">
        <f>CN105/$D105</f>
        <v>0.95</v>
      </c>
      <c r="CP105" s="213" t="str">
        <f t="shared" si="85"/>
        <v>Không đạt</v>
      </c>
      <c r="CQ105" s="213" t="str">
        <f t="shared" si="86"/>
        <v>Không đạt</v>
      </c>
      <c r="CR105" s="192"/>
      <c r="CS105" s="257">
        <f t="shared" si="81"/>
        <v>0</v>
      </c>
      <c r="CT105" s="223"/>
      <c r="CU105" s="163"/>
      <c r="CW105" s="195"/>
      <c r="CX105" s="196"/>
      <c r="CY105" s="196"/>
      <c r="CZ105" s="197"/>
      <c r="DA105" s="196"/>
      <c r="DB105" s="196"/>
      <c r="DC105" s="196"/>
      <c r="DE105" s="199"/>
      <c r="DF105" s="200"/>
      <c r="DG105" s="181"/>
    </row>
    <row r="106" spans="1:111" ht="25.5" outlineLevel="1" x14ac:dyDescent="0.25">
      <c r="A106" s="192">
        <f>MAX(A$72:$B105)+1</f>
        <v>29</v>
      </c>
      <c r="B106" s="222" t="s">
        <v>248</v>
      </c>
      <c r="C106" s="222" t="s">
        <v>249</v>
      </c>
      <c r="D106" s="214">
        <f t="shared" si="79"/>
        <v>10789</v>
      </c>
      <c r="E106" s="214"/>
      <c r="F106" s="214">
        <f t="shared" si="80"/>
        <v>10789</v>
      </c>
      <c r="G106" s="257">
        <f>5000-4211</f>
        <v>789</v>
      </c>
      <c r="H106" s="257">
        <v>10000</v>
      </c>
      <c r="I106" s="235"/>
      <c r="J106" s="235"/>
      <c r="K106" s="257"/>
      <c r="L106" s="235"/>
      <c r="M106" s="223"/>
      <c r="N106" s="223"/>
      <c r="O106" s="257">
        <f t="shared" si="87"/>
        <v>789</v>
      </c>
      <c r="P106" s="257">
        <v>0</v>
      </c>
      <c r="Q106" s="224">
        <f t="shared" si="82"/>
        <v>0</v>
      </c>
      <c r="R106" s="257"/>
      <c r="S106" s="225">
        <v>0</v>
      </c>
      <c r="T106" s="225">
        <v>0</v>
      </c>
      <c r="U106" s="257"/>
      <c r="V106" s="225">
        <v>0</v>
      </c>
      <c r="W106" s="225">
        <v>0</v>
      </c>
      <c r="X106" s="257"/>
      <c r="Y106" s="225">
        <v>0</v>
      </c>
      <c r="Z106" s="225">
        <v>0</v>
      </c>
      <c r="AA106" s="257"/>
      <c r="AB106" s="225">
        <v>0</v>
      </c>
      <c r="AC106" s="225">
        <v>0</v>
      </c>
      <c r="AD106" s="257">
        <v>256.86399999999998</v>
      </c>
      <c r="AE106" s="225">
        <v>1.7124266666666665E-2</v>
      </c>
      <c r="AF106" s="225">
        <v>1.8025543859649121E-2</v>
      </c>
      <c r="AG106" s="257">
        <v>256.86399999999998</v>
      </c>
      <c r="AH106" s="225">
        <v>1.7124266666666665E-2</v>
      </c>
      <c r="AI106" s="225">
        <v>1.8025543859649121E-2</v>
      </c>
      <c r="AJ106" s="257">
        <v>256.86399999999998</v>
      </c>
      <c r="AK106" s="225">
        <v>1.7124266666666665E-2</v>
      </c>
      <c r="AL106" s="225">
        <v>1.8025543859649121E-2</v>
      </c>
      <c r="AM106" s="257">
        <v>256.86399999999998</v>
      </c>
      <c r="AN106" s="225">
        <v>1.7124266666666665E-2</v>
      </c>
      <c r="AO106" s="225">
        <v>1.8025543859649121E-2</v>
      </c>
      <c r="AP106" s="225"/>
      <c r="AQ106" s="257">
        <v>256.86399999999998</v>
      </c>
      <c r="AR106" s="225">
        <v>1.7124266666666665E-2</v>
      </c>
      <c r="AS106" s="225">
        <v>1.8025543859649121E-2</v>
      </c>
      <c r="AT106" s="257">
        <v>256.86399999999998</v>
      </c>
      <c r="AU106" s="225">
        <v>1.7124266666666665E-2</v>
      </c>
      <c r="AV106" s="225">
        <v>1.8025543859649121E-2</v>
      </c>
      <c r="AW106" s="257">
        <v>256.86399999999998</v>
      </c>
      <c r="AX106" s="225">
        <v>1.7124266666666665E-2</v>
      </c>
      <c r="AY106" s="225">
        <v>1.8025543859649121E-2</v>
      </c>
      <c r="AZ106" s="257">
        <v>256.86399999999998</v>
      </c>
      <c r="BA106" s="225">
        <v>1.7124266666666665E-2</v>
      </c>
      <c r="BB106" s="225">
        <v>1.8025543859649121E-2</v>
      </c>
      <c r="BC106" s="257">
        <v>256.86399999999998</v>
      </c>
      <c r="BD106" s="225">
        <v>1.7124266666666665E-2</v>
      </c>
      <c r="BE106" s="225">
        <v>1.8025543859649121E-2</v>
      </c>
      <c r="BF106" s="257"/>
      <c r="BG106" s="257">
        <v>256.86399999999998</v>
      </c>
      <c r="BH106" s="225">
        <v>2.3807952544258038E-2</v>
      </c>
      <c r="BI106" s="225">
        <v>2.5061002678166359E-2</v>
      </c>
      <c r="BJ106" s="257">
        <f t="shared" si="78"/>
        <v>10249.549999999999</v>
      </c>
      <c r="BK106" s="257">
        <v>256.86399999999998</v>
      </c>
      <c r="BL106" s="225">
        <f>BK106/$D106</f>
        <v>2.3807952544258038E-2</v>
      </c>
      <c r="BM106" s="225">
        <f t="shared" si="83"/>
        <v>2.5061002678166359E-2</v>
      </c>
      <c r="BN106" s="205">
        <f t="shared" si="76"/>
        <v>0</v>
      </c>
      <c r="BO106" s="205"/>
      <c r="BP106" s="227"/>
      <c r="BQ106" s="224">
        <f t="shared" si="84"/>
        <v>0</v>
      </c>
      <c r="BR106" s="227"/>
      <c r="BS106" s="224">
        <f>BR106/$D106</f>
        <v>0</v>
      </c>
      <c r="BT106" s="227">
        <v>4250</v>
      </c>
      <c r="BU106" s="224">
        <f>BT106/$D106</f>
        <v>0.3939197330614515</v>
      </c>
      <c r="BV106" s="227">
        <v>4250</v>
      </c>
      <c r="BW106" s="224">
        <f>BV106/$D106</f>
        <v>0.3939197330614515</v>
      </c>
      <c r="BX106" s="227">
        <v>4250</v>
      </c>
      <c r="BY106" s="224">
        <f>BX106/$D106</f>
        <v>0.3939197330614515</v>
      </c>
      <c r="BZ106" s="227">
        <v>14250</v>
      </c>
      <c r="CA106" s="224">
        <f>BZ106/$D106</f>
        <v>1.3207896932060432</v>
      </c>
      <c r="CB106" s="227">
        <v>14250</v>
      </c>
      <c r="CC106" s="224">
        <f>CB106/$D106</f>
        <v>1.3207896932060432</v>
      </c>
      <c r="CD106" s="227">
        <v>14250</v>
      </c>
      <c r="CE106" s="224">
        <f>CD106/$D106</f>
        <v>1.3207896932060432</v>
      </c>
      <c r="CF106" s="227">
        <v>14250</v>
      </c>
      <c r="CG106" s="224">
        <f>CF106/$D106</f>
        <v>1.3207896932060432</v>
      </c>
      <c r="CH106" s="227">
        <v>14250</v>
      </c>
      <c r="CI106" s="224">
        <f>CH106/$D106</f>
        <v>1.3207896932060432</v>
      </c>
      <c r="CJ106" s="227">
        <v>14250</v>
      </c>
      <c r="CK106" s="224">
        <f>CJ106/$D106</f>
        <v>1.3207896932060432</v>
      </c>
      <c r="CL106" s="227">
        <v>14250</v>
      </c>
      <c r="CM106" s="224">
        <f>CL106/$D106</f>
        <v>1.3207896932060432</v>
      </c>
      <c r="CN106" s="227">
        <v>14250</v>
      </c>
      <c r="CO106" s="224">
        <f>CN106/$D106</f>
        <v>1.3207896932060432</v>
      </c>
      <c r="CP106" s="213" t="str">
        <f t="shared" si="85"/>
        <v>Không đạt</v>
      </c>
      <c r="CQ106" s="213" t="str">
        <f t="shared" si="86"/>
        <v>Không đạt</v>
      </c>
      <c r="CR106" s="192"/>
      <c r="CS106" s="257">
        <f t="shared" si="81"/>
        <v>0</v>
      </c>
      <c r="CT106" s="223"/>
      <c r="CU106" s="163"/>
      <c r="CW106" s="195"/>
      <c r="CX106" s="196"/>
      <c r="CY106" s="196"/>
      <c r="CZ106" s="197"/>
      <c r="DA106" s="196"/>
      <c r="DB106" s="196"/>
      <c r="DC106" s="196"/>
      <c r="DE106" s="199"/>
      <c r="DF106" s="200"/>
      <c r="DG106" s="181"/>
    </row>
    <row r="107" spans="1:111" ht="25.5" outlineLevel="1" x14ac:dyDescent="0.25">
      <c r="A107" s="192">
        <f>MAX(A$72:$B106)+1</f>
        <v>30</v>
      </c>
      <c r="B107" s="222" t="s">
        <v>250</v>
      </c>
      <c r="C107" s="222">
        <v>7947097</v>
      </c>
      <c r="D107" s="214">
        <f t="shared" si="79"/>
        <v>15000</v>
      </c>
      <c r="E107" s="214"/>
      <c r="F107" s="214">
        <f t="shared" si="80"/>
        <v>15000</v>
      </c>
      <c r="G107" s="257">
        <v>5000</v>
      </c>
      <c r="H107" s="257">
        <v>10000</v>
      </c>
      <c r="I107" s="235">
        <v>3000</v>
      </c>
      <c r="J107" s="235">
        <v>3000</v>
      </c>
      <c r="K107" s="257"/>
      <c r="L107" s="235"/>
      <c r="M107" s="223"/>
      <c r="N107" s="223"/>
      <c r="O107" s="257">
        <f t="shared" si="87"/>
        <v>8000</v>
      </c>
      <c r="P107" s="257">
        <v>945.81200000000001</v>
      </c>
      <c r="Q107" s="224">
        <f t="shared" si="82"/>
        <v>6.3054133333333331E-2</v>
      </c>
      <c r="R107" s="257">
        <v>2579.5230000000001</v>
      </c>
      <c r="S107" s="225">
        <v>0.17196820000000002</v>
      </c>
      <c r="T107" s="225">
        <v>0.18101915789473685</v>
      </c>
      <c r="U107" s="257">
        <v>2579.5230000000001</v>
      </c>
      <c r="V107" s="225">
        <v>0.17196820000000002</v>
      </c>
      <c r="W107" s="225">
        <v>0.18101915789473685</v>
      </c>
      <c r="X107" s="257">
        <v>2579.5230000000001</v>
      </c>
      <c r="Y107" s="225">
        <v>0.17196820000000002</v>
      </c>
      <c r="Z107" s="225">
        <v>0.18101915789473685</v>
      </c>
      <c r="AA107" s="257">
        <v>2579.5230000000001</v>
      </c>
      <c r="AB107" s="225">
        <v>0.17196820000000002</v>
      </c>
      <c r="AC107" s="225">
        <v>0.18101915789473685</v>
      </c>
      <c r="AD107" s="257">
        <v>3396.7919999999999</v>
      </c>
      <c r="AE107" s="225">
        <v>0.22645279999999998</v>
      </c>
      <c r="AF107" s="225">
        <v>0.23837136842105264</v>
      </c>
      <c r="AG107" s="257">
        <v>3396.7919999999999</v>
      </c>
      <c r="AH107" s="225">
        <v>0.22645279999999998</v>
      </c>
      <c r="AI107" s="225">
        <v>0.23837136842105264</v>
      </c>
      <c r="AJ107" s="250">
        <v>3396.7919999999999</v>
      </c>
      <c r="AK107" s="225">
        <v>0.22645279999999998</v>
      </c>
      <c r="AL107" s="225">
        <v>0.23837136842105264</v>
      </c>
      <c r="AM107" s="257">
        <v>3396.7919999999999</v>
      </c>
      <c r="AN107" s="225">
        <v>0.22645279999999998</v>
      </c>
      <c r="AO107" s="225">
        <v>0.23837136842105264</v>
      </c>
      <c r="AP107" s="225"/>
      <c r="AQ107" s="257">
        <v>3702</v>
      </c>
      <c r="AR107" s="225">
        <v>0.24679999999999999</v>
      </c>
      <c r="AS107" s="225">
        <v>0.25978947368421051</v>
      </c>
      <c r="AT107" s="257">
        <v>3702</v>
      </c>
      <c r="AU107" s="225">
        <v>0.24679999999999999</v>
      </c>
      <c r="AV107" s="225">
        <v>0.25978947368421051</v>
      </c>
      <c r="AW107" s="257">
        <v>3702</v>
      </c>
      <c r="AX107" s="225">
        <v>0.24679999999999999</v>
      </c>
      <c r="AY107" s="225">
        <v>0.25978947368421051</v>
      </c>
      <c r="AZ107" s="257">
        <v>3702</v>
      </c>
      <c r="BA107" s="225">
        <v>0.24679999999999999</v>
      </c>
      <c r="BB107" s="225">
        <v>0.25978947368421051</v>
      </c>
      <c r="BC107" s="257">
        <v>3702</v>
      </c>
      <c r="BD107" s="225">
        <v>0.24679999999999999</v>
      </c>
      <c r="BE107" s="225">
        <v>0.25978947368421051</v>
      </c>
      <c r="BF107" s="257"/>
      <c r="BG107" s="257">
        <v>3702</v>
      </c>
      <c r="BH107" s="225">
        <v>0.24679999999999999</v>
      </c>
      <c r="BI107" s="225">
        <v>0.25978947368421051</v>
      </c>
      <c r="BJ107" s="257">
        <f t="shared" si="78"/>
        <v>14250</v>
      </c>
      <c r="BK107" s="257">
        <v>4223</v>
      </c>
      <c r="BL107" s="225">
        <f>BK107/$D107</f>
        <v>0.28153333333333336</v>
      </c>
      <c r="BM107" s="225">
        <f t="shared" si="83"/>
        <v>0.29635087719298248</v>
      </c>
      <c r="BN107" s="205">
        <f t="shared" si="76"/>
        <v>826.20800000000008</v>
      </c>
      <c r="BO107" s="205"/>
      <c r="BP107" s="227">
        <v>1000</v>
      </c>
      <c r="BQ107" s="224">
        <f t="shared" si="84"/>
        <v>6.6666666666666666E-2</v>
      </c>
      <c r="BR107" s="227">
        <v>2000</v>
      </c>
      <c r="BS107" s="224">
        <f>BR107/$D107</f>
        <v>0.13333333333333333</v>
      </c>
      <c r="BT107" s="227">
        <v>4000</v>
      </c>
      <c r="BU107" s="224">
        <f>BT107/$D107</f>
        <v>0.26666666666666666</v>
      </c>
      <c r="BV107" s="227">
        <v>6000</v>
      </c>
      <c r="BW107" s="224">
        <f>BV107/$D107</f>
        <v>0.4</v>
      </c>
      <c r="BX107" s="227">
        <v>8000</v>
      </c>
      <c r="BY107" s="224">
        <f>BX107/$D107</f>
        <v>0.53333333333333333</v>
      </c>
      <c r="BZ107" s="227">
        <v>12000</v>
      </c>
      <c r="CA107" s="224">
        <f>BZ107/$D107</f>
        <v>0.8</v>
      </c>
      <c r="CB107" s="227">
        <v>14250</v>
      </c>
      <c r="CC107" s="224">
        <f>CB107/$D107</f>
        <v>0.95</v>
      </c>
      <c r="CD107" s="227">
        <v>14250</v>
      </c>
      <c r="CE107" s="224">
        <f>CD107/$D107</f>
        <v>0.95</v>
      </c>
      <c r="CF107" s="227">
        <v>14250</v>
      </c>
      <c r="CG107" s="224">
        <f>CF107/$D107</f>
        <v>0.95</v>
      </c>
      <c r="CH107" s="227">
        <v>14250</v>
      </c>
      <c r="CI107" s="224">
        <f>CH107/$D107</f>
        <v>0.95</v>
      </c>
      <c r="CJ107" s="227">
        <v>14250</v>
      </c>
      <c r="CK107" s="224">
        <f>CJ107/$D107</f>
        <v>0.95</v>
      </c>
      <c r="CL107" s="227">
        <v>14250</v>
      </c>
      <c r="CM107" s="224">
        <f>CL107/$D107</f>
        <v>0.95</v>
      </c>
      <c r="CN107" s="227">
        <v>14250</v>
      </c>
      <c r="CO107" s="224">
        <f>CN107/$D107</f>
        <v>0.95</v>
      </c>
      <c r="CP107" s="213" t="str">
        <f t="shared" si="85"/>
        <v>Không đạt</v>
      </c>
      <c r="CQ107" s="213" t="str">
        <f t="shared" si="86"/>
        <v>Không đạt</v>
      </c>
      <c r="CR107" s="192"/>
      <c r="CS107" s="257">
        <f t="shared" si="81"/>
        <v>521</v>
      </c>
      <c r="CT107" s="223"/>
      <c r="CU107" s="163"/>
      <c r="CW107" s="195"/>
      <c r="CX107" s="196"/>
      <c r="CY107" s="196"/>
      <c r="CZ107" s="197"/>
      <c r="DA107" s="196"/>
      <c r="DB107" s="196"/>
      <c r="DC107" s="196"/>
      <c r="DE107" s="199"/>
      <c r="DF107" s="200"/>
      <c r="DG107" s="181"/>
    </row>
    <row r="108" spans="1:111" ht="25.5" outlineLevel="1" x14ac:dyDescent="0.25">
      <c r="A108" s="192">
        <f>MAX(A$72:$B107)+1</f>
        <v>31</v>
      </c>
      <c r="B108" s="222" t="s">
        <v>251</v>
      </c>
      <c r="C108" s="222">
        <v>8078382</v>
      </c>
      <c r="D108" s="214">
        <f>E108+F108</f>
        <v>7263</v>
      </c>
      <c r="E108" s="214"/>
      <c r="F108" s="214">
        <f>G108+H108+K108+M108</f>
        <v>7263</v>
      </c>
      <c r="G108" s="257">
        <f>2000+5263</f>
        <v>7263</v>
      </c>
      <c r="H108" s="257"/>
      <c r="I108" s="235"/>
      <c r="J108" s="235"/>
      <c r="K108" s="257"/>
      <c r="L108" s="235"/>
      <c r="M108" s="223"/>
      <c r="N108" s="223"/>
      <c r="O108" s="257">
        <f>G108+I108+L108+N108</f>
        <v>7263</v>
      </c>
      <c r="P108" s="257">
        <v>0</v>
      </c>
      <c r="Q108" s="224">
        <f>P108/$D108</f>
        <v>0</v>
      </c>
      <c r="R108" s="257">
        <v>191.86799999999999</v>
      </c>
      <c r="S108" s="225">
        <v>9.5933999999999992E-2</v>
      </c>
      <c r="T108" s="225">
        <v>0.10098315789473684</v>
      </c>
      <c r="U108" s="257">
        <v>191.86799999999999</v>
      </c>
      <c r="V108" s="225">
        <v>9.5933999999999992E-2</v>
      </c>
      <c r="W108" s="225">
        <v>0.10098315789473684</v>
      </c>
      <c r="X108" s="257">
        <v>191.86799999999999</v>
      </c>
      <c r="Y108" s="225">
        <v>9.5933999999999992E-2</v>
      </c>
      <c r="Z108" s="225">
        <v>0.10098315789473684</v>
      </c>
      <c r="AA108" s="257">
        <v>191.86799999999999</v>
      </c>
      <c r="AB108" s="225">
        <v>9.5933999999999992E-2</v>
      </c>
      <c r="AC108" s="225">
        <v>0.10098315789473684</v>
      </c>
      <c r="AD108" s="257">
        <v>1740</v>
      </c>
      <c r="AE108" s="225">
        <v>0.87</v>
      </c>
      <c r="AF108" s="225">
        <v>0.91578947368421049</v>
      </c>
      <c r="AG108" s="257">
        <v>1740</v>
      </c>
      <c r="AH108" s="225">
        <v>0.87</v>
      </c>
      <c r="AI108" s="225">
        <v>0.91578947368421049</v>
      </c>
      <c r="AJ108" s="257">
        <v>1740</v>
      </c>
      <c r="AK108" s="225">
        <v>0.87</v>
      </c>
      <c r="AL108" s="225">
        <v>0.91578947368421049</v>
      </c>
      <c r="AM108" s="257">
        <v>1740</v>
      </c>
      <c r="AN108" s="225">
        <v>0.87</v>
      </c>
      <c r="AO108" s="225">
        <v>0.91578947368421049</v>
      </c>
      <c r="AP108" s="225"/>
      <c r="AQ108" s="257">
        <v>1900</v>
      </c>
      <c r="AR108" s="225">
        <v>0.95</v>
      </c>
      <c r="AS108" s="225">
        <v>1</v>
      </c>
      <c r="AT108" s="257">
        <v>1900</v>
      </c>
      <c r="AU108" s="225">
        <v>0.95</v>
      </c>
      <c r="AV108" s="225">
        <v>1</v>
      </c>
      <c r="AW108" s="257">
        <v>1900</v>
      </c>
      <c r="AX108" s="225">
        <v>0.95</v>
      </c>
      <c r="AY108" s="225">
        <v>1</v>
      </c>
      <c r="AZ108" s="257">
        <v>1900</v>
      </c>
      <c r="BA108" s="225">
        <v>0.95</v>
      </c>
      <c r="BB108" s="225">
        <v>1</v>
      </c>
      <c r="BC108" s="257">
        <v>1900</v>
      </c>
      <c r="BD108" s="225">
        <v>0.95</v>
      </c>
      <c r="BE108" s="225">
        <v>1</v>
      </c>
      <c r="BF108" s="257"/>
      <c r="BG108" s="257">
        <v>1900</v>
      </c>
      <c r="BH108" s="225">
        <v>0.26159988985267796</v>
      </c>
      <c r="BI108" s="225">
        <v>0.27536830510808208</v>
      </c>
      <c r="BJ108" s="257">
        <f t="shared" si="78"/>
        <v>6899.8499999999995</v>
      </c>
      <c r="BK108" s="257">
        <v>1900</v>
      </c>
      <c r="BL108" s="225">
        <f>BK108/$D108</f>
        <v>0.26159988985267796</v>
      </c>
      <c r="BM108" s="225">
        <f>BK108/(E108+0.95*F108)</f>
        <v>0.27536830510808208</v>
      </c>
      <c r="BN108" s="205">
        <f t="shared" si="76"/>
        <v>160</v>
      </c>
      <c r="BO108" s="205"/>
      <c r="BP108" s="227"/>
      <c r="BQ108" s="224">
        <f>BP108/$D108</f>
        <v>0</v>
      </c>
      <c r="BR108" s="227">
        <v>300</v>
      </c>
      <c r="BS108" s="224">
        <f>BR108/$D108</f>
        <v>4.1305245766212306E-2</v>
      </c>
      <c r="BT108" s="227">
        <v>800</v>
      </c>
      <c r="BU108" s="224">
        <f>BT108/$D108</f>
        <v>0.11014732204323283</v>
      </c>
      <c r="BV108" s="227">
        <v>1900</v>
      </c>
      <c r="BW108" s="224">
        <f>BV108/$D108</f>
        <v>0.26159988985267796</v>
      </c>
      <c r="BX108" s="227">
        <v>1900</v>
      </c>
      <c r="BY108" s="224">
        <f>BX108/$D108</f>
        <v>0.26159988985267796</v>
      </c>
      <c r="BZ108" s="227">
        <v>1900</v>
      </c>
      <c r="CA108" s="224">
        <f>BZ108/$D108</f>
        <v>0.26159988985267796</v>
      </c>
      <c r="CB108" s="227">
        <v>1900</v>
      </c>
      <c r="CC108" s="224">
        <f>CB108/$D108</f>
        <v>0.26159988985267796</v>
      </c>
      <c r="CD108" s="227">
        <v>1900</v>
      </c>
      <c r="CE108" s="224">
        <f>CD108/$D108</f>
        <v>0.26159988985267796</v>
      </c>
      <c r="CF108" s="227">
        <v>1900</v>
      </c>
      <c r="CG108" s="224">
        <f>CF108/$D108</f>
        <v>0.26159988985267796</v>
      </c>
      <c r="CH108" s="227">
        <v>1900</v>
      </c>
      <c r="CI108" s="224">
        <f>CH108/$D108</f>
        <v>0.26159988985267796</v>
      </c>
      <c r="CJ108" s="227">
        <v>1900</v>
      </c>
      <c r="CK108" s="224">
        <f>CJ108/$D108</f>
        <v>0.26159988985267796</v>
      </c>
      <c r="CL108" s="227">
        <v>1900</v>
      </c>
      <c r="CM108" s="224">
        <f>CL108/$D108</f>
        <v>0.26159988985267796</v>
      </c>
      <c r="CN108" s="227">
        <v>1900</v>
      </c>
      <c r="CO108" s="224">
        <f>CN108/$D108</f>
        <v>0.26159988985267796</v>
      </c>
      <c r="CP108" s="213" t="str">
        <f t="shared" si="85"/>
        <v>Không đạt</v>
      </c>
      <c r="CQ108" s="213" t="str">
        <f t="shared" si="86"/>
        <v>Không đạt</v>
      </c>
      <c r="CR108" s="192"/>
      <c r="CS108" s="257">
        <f t="shared" si="81"/>
        <v>0</v>
      </c>
      <c r="CT108" s="223"/>
      <c r="CU108" s="163"/>
      <c r="CW108" s="195"/>
      <c r="CX108" s="196"/>
      <c r="CY108" s="196"/>
      <c r="CZ108" s="197"/>
      <c r="DA108" s="196"/>
      <c r="DB108" s="196"/>
      <c r="DC108" s="196"/>
      <c r="DE108" s="199"/>
      <c r="DF108" s="200"/>
      <c r="DG108" s="181"/>
    </row>
    <row r="109" spans="1:111" ht="27" customHeight="1" outlineLevel="1" x14ac:dyDescent="0.25">
      <c r="A109" s="192">
        <f>MAX(A$72:$B108)+1</f>
        <v>32</v>
      </c>
      <c r="B109" s="222" t="s">
        <v>252</v>
      </c>
      <c r="C109" s="222" t="s">
        <v>253</v>
      </c>
      <c r="D109" s="214">
        <f>E109+F109</f>
        <v>2474</v>
      </c>
      <c r="E109" s="214"/>
      <c r="F109" s="214">
        <f>G109+H109+K109+M109</f>
        <v>2474</v>
      </c>
      <c r="G109" s="257">
        <f>1000+1474</f>
        <v>2474</v>
      </c>
      <c r="H109" s="257"/>
      <c r="I109" s="235"/>
      <c r="J109" s="235"/>
      <c r="K109" s="257"/>
      <c r="L109" s="235"/>
      <c r="M109" s="223"/>
      <c r="N109" s="223"/>
      <c r="O109" s="257">
        <f>G109+I109+L109+N109</f>
        <v>2474</v>
      </c>
      <c r="P109" s="257">
        <v>0</v>
      </c>
      <c r="Q109" s="224">
        <f>P109/$D109</f>
        <v>0</v>
      </c>
      <c r="R109" s="257"/>
      <c r="S109" s="225">
        <v>0</v>
      </c>
      <c r="T109" s="225">
        <v>0</v>
      </c>
      <c r="U109" s="257"/>
      <c r="V109" s="225">
        <v>0</v>
      </c>
      <c r="W109" s="225">
        <v>0</v>
      </c>
      <c r="X109" s="257"/>
      <c r="Y109" s="225">
        <v>0</v>
      </c>
      <c r="Z109" s="225">
        <v>0</v>
      </c>
      <c r="AA109" s="257"/>
      <c r="AB109" s="225">
        <v>0</v>
      </c>
      <c r="AC109" s="225">
        <v>0</v>
      </c>
      <c r="AD109" s="257">
        <v>950</v>
      </c>
      <c r="AE109" s="225">
        <v>0.95</v>
      </c>
      <c r="AF109" s="225">
        <v>1</v>
      </c>
      <c r="AG109" s="257">
        <v>950</v>
      </c>
      <c r="AH109" s="225">
        <v>0.95</v>
      </c>
      <c r="AI109" s="225">
        <v>1</v>
      </c>
      <c r="AJ109" s="250">
        <v>950</v>
      </c>
      <c r="AK109" s="225">
        <v>0.95</v>
      </c>
      <c r="AL109" s="225">
        <v>1</v>
      </c>
      <c r="AM109" s="257">
        <v>950</v>
      </c>
      <c r="AN109" s="225">
        <v>0.95</v>
      </c>
      <c r="AO109" s="225">
        <v>1</v>
      </c>
      <c r="AP109" s="225"/>
      <c r="AQ109" s="257">
        <v>950</v>
      </c>
      <c r="AR109" s="225">
        <v>0.95</v>
      </c>
      <c r="AS109" s="225">
        <v>1</v>
      </c>
      <c r="AT109" s="257">
        <v>950</v>
      </c>
      <c r="AU109" s="225">
        <v>0.95</v>
      </c>
      <c r="AV109" s="225">
        <v>1</v>
      </c>
      <c r="AW109" s="257">
        <v>950</v>
      </c>
      <c r="AX109" s="225">
        <v>0.95</v>
      </c>
      <c r="AY109" s="225">
        <v>1</v>
      </c>
      <c r="AZ109" s="257">
        <v>950</v>
      </c>
      <c r="BA109" s="225">
        <v>0.95</v>
      </c>
      <c r="BB109" s="225">
        <v>1</v>
      </c>
      <c r="BC109" s="257">
        <v>950</v>
      </c>
      <c r="BD109" s="225">
        <v>0.95</v>
      </c>
      <c r="BE109" s="225">
        <v>1</v>
      </c>
      <c r="BF109" s="257"/>
      <c r="BG109" s="257">
        <v>950</v>
      </c>
      <c r="BH109" s="225">
        <v>0.38399353274050119</v>
      </c>
      <c r="BI109" s="225">
        <v>0.40420371867421184</v>
      </c>
      <c r="BJ109" s="257">
        <f t="shared" si="78"/>
        <v>2350.2999999999997</v>
      </c>
      <c r="BK109" s="257">
        <v>950</v>
      </c>
      <c r="BL109" s="225">
        <f>BK109/$D109</f>
        <v>0.38399353274050119</v>
      </c>
      <c r="BM109" s="225">
        <f>BK109/(E109+0.95*F109)</f>
        <v>0.40420371867421184</v>
      </c>
      <c r="BN109" s="205">
        <f t="shared" si="76"/>
        <v>0</v>
      </c>
      <c r="BO109" s="205"/>
      <c r="BP109" s="227"/>
      <c r="BQ109" s="224">
        <f>BP109/$D109</f>
        <v>0</v>
      </c>
      <c r="BR109" s="227"/>
      <c r="BS109" s="224">
        <f>BR109/$D109</f>
        <v>0</v>
      </c>
      <c r="BT109" s="227">
        <v>300</v>
      </c>
      <c r="BU109" s="224">
        <f>BT109/$D109</f>
        <v>0.12126111560226355</v>
      </c>
      <c r="BV109" s="227">
        <v>650</v>
      </c>
      <c r="BW109" s="224">
        <f>BV109/$D109</f>
        <v>0.26273241713823769</v>
      </c>
      <c r="BX109" s="227">
        <v>950</v>
      </c>
      <c r="BY109" s="224">
        <f>BX109/$D109</f>
        <v>0.38399353274050119</v>
      </c>
      <c r="BZ109" s="227">
        <v>950</v>
      </c>
      <c r="CA109" s="224">
        <f>BZ109/$D109</f>
        <v>0.38399353274050119</v>
      </c>
      <c r="CB109" s="227">
        <v>950</v>
      </c>
      <c r="CC109" s="224">
        <f>CB109/$D109</f>
        <v>0.38399353274050119</v>
      </c>
      <c r="CD109" s="227">
        <v>950</v>
      </c>
      <c r="CE109" s="224">
        <f>CD109/$D109</f>
        <v>0.38399353274050119</v>
      </c>
      <c r="CF109" s="227">
        <v>950</v>
      </c>
      <c r="CG109" s="224">
        <f>CF109/$D109</f>
        <v>0.38399353274050119</v>
      </c>
      <c r="CH109" s="227">
        <v>950</v>
      </c>
      <c r="CI109" s="224">
        <f>CH109/$D109</f>
        <v>0.38399353274050119</v>
      </c>
      <c r="CJ109" s="227">
        <v>950</v>
      </c>
      <c r="CK109" s="224">
        <f>CJ109/$D109</f>
        <v>0.38399353274050119</v>
      </c>
      <c r="CL109" s="227">
        <v>950</v>
      </c>
      <c r="CM109" s="224">
        <f>CL109/$D109</f>
        <v>0.38399353274050119</v>
      </c>
      <c r="CN109" s="227">
        <v>950</v>
      </c>
      <c r="CO109" s="224">
        <f>CN109/$D109</f>
        <v>0.38399353274050119</v>
      </c>
      <c r="CP109" s="213" t="str">
        <f t="shared" si="85"/>
        <v>Đạt</v>
      </c>
      <c r="CQ109" s="213" t="str">
        <f t="shared" si="86"/>
        <v>Không đạt</v>
      </c>
      <c r="CR109" s="192"/>
      <c r="CS109" s="257">
        <f t="shared" si="81"/>
        <v>0</v>
      </c>
      <c r="CT109" s="223"/>
      <c r="CU109" s="163"/>
      <c r="CW109" s="195"/>
      <c r="CX109" s="196"/>
      <c r="CY109" s="196"/>
      <c r="CZ109" s="197"/>
      <c r="DA109" s="196"/>
      <c r="DB109" s="196"/>
      <c r="DC109" s="196"/>
      <c r="DE109" s="199"/>
      <c r="DF109" s="200"/>
      <c r="DG109" s="181"/>
    </row>
    <row r="110" spans="1:111" outlineLevel="1" x14ac:dyDescent="0.25">
      <c r="A110" s="256"/>
      <c r="B110" s="210" t="s">
        <v>254</v>
      </c>
      <c r="C110" s="210"/>
      <c r="D110" s="214">
        <f t="shared" si="79"/>
        <v>0</v>
      </c>
      <c r="E110" s="214"/>
      <c r="F110" s="214">
        <f t="shared" si="80"/>
        <v>0</v>
      </c>
      <c r="G110" s="250"/>
      <c r="H110" s="250"/>
      <c r="I110" s="235"/>
      <c r="J110" s="235"/>
      <c r="K110" s="250"/>
      <c r="L110" s="235"/>
      <c r="M110" s="223"/>
      <c r="N110" s="223"/>
      <c r="O110" s="250">
        <f t="shared" si="87"/>
        <v>0</v>
      </c>
      <c r="P110" s="250">
        <v>0</v>
      </c>
      <c r="Q110" s="224" t="e">
        <f t="shared" si="82"/>
        <v>#DIV/0!</v>
      </c>
      <c r="R110" s="250"/>
      <c r="S110" s="225"/>
      <c r="T110" s="225" t="e">
        <v>#DIV/0!</v>
      </c>
      <c r="U110" s="250"/>
      <c r="V110" s="225"/>
      <c r="W110" s="225" t="e">
        <v>#DIV/0!</v>
      </c>
      <c r="X110" s="250"/>
      <c r="Y110" s="225"/>
      <c r="Z110" s="225"/>
      <c r="AA110" s="250"/>
      <c r="AB110" s="225"/>
      <c r="AC110" s="225"/>
      <c r="AD110" s="250"/>
      <c r="AE110" s="225"/>
      <c r="AF110" s="225"/>
      <c r="AG110" s="250"/>
      <c r="AH110" s="225"/>
      <c r="AI110" s="225"/>
      <c r="AJ110" s="257"/>
      <c r="AK110" s="225"/>
      <c r="AL110" s="225"/>
      <c r="AM110" s="250"/>
      <c r="AN110" s="225"/>
      <c r="AO110" s="225"/>
      <c r="AP110" s="225"/>
      <c r="AQ110" s="250"/>
      <c r="AR110" s="225"/>
      <c r="AS110" s="225"/>
      <c r="AT110" s="250"/>
      <c r="AU110" s="225"/>
      <c r="AV110" s="225"/>
      <c r="AW110" s="250"/>
      <c r="AX110" s="225"/>
      <c r="AY110" s="225"/>
      <c r="AZ110" s="250"/>
      <c r="BA110" s="225"/>
      <c r="BB110" s="225"/>
      <c r="BC110" s="250"/>
      <c r="BD110" s="225"/>
      <c r="BE110" s="225"/>
      <c r="BF110" s="250"/>
      <c r="BG110" s="250"/>
      <c r="BH110" s="225"/>
      <c r="BI110" s="225"/>
      <c r="BJ110" s="250">
        <f t="shared" si="78"/>
        <v>0</v>
      </c>
      <c r="BK110" s="250"/>
      <c r="BL110" s="225"/>
      <c r="BM110" s="225"/>
      <c r="BN110" s="205">
        <f t="shared" si="76"/>
        <v>0</v>
      </c>
      <c r="BO110" s="205"/>
      <c r="BP110" s="227"/>
      <c r="BQ110" s="224"/>
      <c r="BR110" s="227"/>
      <c r="BS110" s="224"/>
      <c r="BT110" s="227"/>
      <c r="BU110" s="224"/>
      <c r="BV110" s="227"/>
      <c r="BW110" s="224"/>
      <c r="BX110" s="227"/>
      <c r="BY110" s="224"/>
      <c r="BZ110" s="227"/>
      <c r="CA110" s="224"/>
      <c r="CB110" s="227"/>
      <c r="CC110" s="224"/>
      <c r="CD110" s="227"/>
      <c r="CE110" s="224"/>
      <c r="CF110" s="227"/>
      <c r="CG110" s="224"/>
      <c r="CH110" s="227"/>
      <c r="CI110" s="224"/>
      <c r="CJ110" s="227"/>
      <c r="CK110" s="224"/>
      <c r="CL110" s="227"/>
      <c r="CM110" s="224"/>
      <c r="CN110" s="227"/>
      <c r="CO110" s="224"/>
      <c r="CP110" s="213" t="str">
        <f t="shared" si="85"/>
        <v>Không đạt</v>
      </c>
      <c r="CQ110" s="213" t="str">
        <f t="shared" si="86"/>
        <v>Không đạt</v>
      </c>
      <c r="CR110" s="192"/>
      <c r="CS110" s="250">
        <f t="shared" si="81"/>
        <v>0</v>
      </c>
      <c r="CT110" s="223"/>
      <c r="CU110" s="163"/>
      <c r="CW110" s="195"/>
      <c r="CX110" s="196"/>
      <c r="CY110" s="196"/>
      <c r="CZ110" s="197"/>
      <c r="DA110" s="196"/>
      <c r="DB110" s="196"/>
      <c r="DC110" s="196"/>
      <c r="DE110" s="199"/>
      <c r="DF110" s="200"/>
      <c r="DG110" s="181"/>
    </row>
    <row r="111" spans="1:111" ht="25.5" outlineLevel="1" x14ac:dyDescent="0.25">
      <c r="A111" s="192">
        <f>MAX(A$72:$B110)+1</f>
        <v>33</v>
      </c>
      <c r="B111" s="222" t="s">
        <v>255</v>
      </c>
      <c r="C111" s="222" t="s">
        <v>256</v>
      </c>
      <c r="D111" s="214">
        <f t="shared" si="79"/>
        <v>526</v>
      </c>
      <c r="E111" s="214"/>
      <c r="F111" s="214">
        <f t="shared" si="80"/>
        <v>526</v>
      </c>
      <c r="G111" s="257">
        <f>2000-1474</f>
        <v>526</v>
      </c>
      <c r="H111" s="257"/>
      <c r="I111" s="235"/>
      <c r="J111" s="235"/>
      <c r="K111" s="257"/>
      <c r="L111" s="235"/>
      <c r="M111" s="223"/>
      <c r="N111" s="223"/>
      <c r="O111" s="257">
        <f t="shared" si="87"/>
        <v>526</v>
      </c>
      <c r="P111" s="257">
        <v>0</v>
      </c>
      <c r="Q111" s="224">
        <f t="shared" si="82"/>
        <v>0</v>
      </c>
      <c r="R111" s="257"/>
      <c r="S111" s="225">
        <v>0</v>
      </c>
      <c r="T111" s="225">
        <v>0</v>
      </c>
      <c r="U111" s="257"/>
      <c r="V111" s="225">
        <v>0</v>
      </c>
      <c r="W111" s="225">
        <v>0</v>
      </c>
      <c r="X111" s="257"/>
      <c r="Y111" s="225">
        <v>0</v>
      </c>
      <c r="Z111" s="225">
        <v>0</v>
      </c>
      <c r="AA111" s="257"/>
      <c r="AB111" s="225">
        <v>0</v>
      </c>
      <c r="AC111" s="225">
        <v>0</v>
      </c>
      <c r="AD111" s="257"/>
      <c r="AE111" s="225">
        <v>0</v>
      </c>
      <c r="AF111" s="225">
        <v>0</v>
      </c>
      <c r="AG111" s="257"/>
      <c r="AH111" s="225">
        <v>0</v>
      </c>
      <c r="AI111" s="225">
        <v>0</v>
      </c>
      <c r="AJ111" s="257"/>
      <c r="AK111" s="225">
        <v>0</v>
      </c>
      <c r="AL111" s="225">
        <v>0</v>
      </c>
      <c r="AM111" s="257"/>
      <c r="AN111" s="225">
        <v>0</v>
      </c>
      <c r="AO111" s="225">
        <v>0</v>
      </c>
      <c r="AP111" s="225"/>
      <c r="AQ111" s="257"/>
      <c r="AR111" s="225">
        <v>0</v>
      </c>
      <c r="AS111" s="225">
        <v>0</v>
      </c>
      <c r="AT111" s="257"/>
      <c r="AU111" s="225">
        <v>0</v>
      </c>
      <c r="AV111" s="225">
        <v>0</v>
      </c>
      <c r="AW111" s="257"/>
      <c r="AX111" s="225">
        <v>0</v>
      </c>
      <c r="AY111" s="225">
        <v>0</v>
      </c>
      <c r="AZ111" s="257"/>
      <c r="BA111" s="225">
        <v>0</v>
      </c>
      <c r="BB111" s="225">
        <v>0</v>
      </c>
      <c r="BC111" s="257"/>
      <c r="BD111" s="225">
        <v>0</v>
      </c>
      <c r="BE111" s="225">
        <v>0</v>
      </c>
      <c r="BF111" s="257"/>
      <c r="BG111" s="257"/>
      <c r="BH111" s="225">
        <v>0</v>
      </c>
      <c r="BI111" s="225">
        <v>0</v>
      </c>
      <c r="BJ111" s="257">
        <f t="shared" si="78"/>
        <v>499.7</v>
      </c>
      <c r="BK111" s="257"/>
      <c r="BL111" s="225">
        <f t="shared" ref="BL111:BL158" si="101">BK111/$D111</f>
        <v>0</v>
      </c>
      <c r="BM111" s="225">
        <f t="shared" si="83"/>
        <v>0</v>
      </c>
      <c r="BN111" s="205">
        <f t="shared" si="76"/>
        <v>0</v>
      </c>
      <c r="BO111" s="205"/>
      <c r="BP111" s="227"/>
      <c r="BQ111" s="224">
        <f t="shared" si="84"/>
        <v>0</v>
      </c>
      <c r="BR111" s="227"/>
      <c r="BS111" s="224">
        <f t="shared" ref="BS111:BS138" si="102">BR111/$D111</f>
        <v>0</v>
      </c>
      <c r="BT111" s="227"/>
      <c r="BU111" s="224">
        <f t="shared" ref="BU111:BU138" si="103">BT111/$D111</f>
        <v>0</v>
      </c>
      <c r="BV111" s="227"/>
      <c r="BW111" s="224">
        <f t="shared" ref="BW111:BW138" si="104">BV111/$D111</f>
        <v>0</v>
      </c>
      <c r="BX111" s="227"/>
      <c r="BY111" s="224">
        <f t="shared" ref="BY111:BY138" si="105">BX111/$D111</f>
        <v>0</v>
      </c>
      <c r="BZ111" s="227"/>
      <c r="CA111" s="224">
        <f t="shared" ref="CA111:CA138" si="106">BZ111/$D111</f>
        <v>0</v>
      </c>
      <c r="CB111" s="227">
        <v>1900</v>
      </c>
      <c r="CC111" s="224">
        <f t="shared" ref="CC111:CC138" si="107">CB111/$D111</f>
        <v>3.6121673003802282</v>
      </c>
      <c r="CD111" s="227">
        <v>1900</v>
      </c>
      <c r="CE111" s="224">
        <f t="shared" ref="CE111:CE138" si="108">CD111/$D111</f>
        <v>3.6121673003802282</v>
      </c>
      <c r="CF111" s="227">
        <v>1900</v>
      </c>
      <c r="CG111" s="224">
        <f t="shared" ref="CG111:CG138" si="109">CF111/$D111</f>
        <v>3.6121673003802282</v>
      </c>
      <c r="CH111" s="227">
        <v>1900</v>
      </c>
      <c r="CI111" s="224">
        <f t="shared" ref="CI111:CI138" si="110">CH111/$D111</f>
        <v>3.6121673003802282</v>
      </c>
      <c r="CJ111" s="227">
        <v>1900</v>
      </c>
      <c r="CK111" s="224">
        <f t="shared" ref="CK111:CK138" si="111">CJ111/$D111</f>
        <v>3.6121673003802282</v>
      </c>
      <c r="CL111" s="227">
        <v>1900</v>
      </c>
      <c r="CM111" s="224">
        <f t="shared" ref="CM111:CM138" si="112">CL111/$D111</f>
        <v>3.6121673003802282</v>
      </c>
      <c r="CN111" s="227">
        <v>1900</v>
      </c>
      <c r="CO111" s="224">
        <f t="shared" ref="CO111:CO138" si="113">CN111/$D111</f>
        <v>3.6121673003802282</v>
      </c>
      <c r="CP111" s="213" t="str">
        <f t="shared" si="85"/>
        <v>Không đạt</v>
      </c>
      <c r="CQ111" s="213" t="str">
        <f t="shared" si="86"/>
        <v>Không đạt</v>
      </c>
      <c r="CR111" s="192"/>
      <c r="CS111" s="257">
        <f t="shared" si="81"/>
        <v>0</v>
      </c>
      <c r="CT111" s="223"/>
      <c r="CU111" s="163"/>
      <c r="CW111" s="195"/>
      <c r="CX111" s="196"/>
      <c r="CY111" s="196"/>
      <c r="CZ111" s="197"/>
      <c r="DA111" s="196"/>
      <c r="DB111" s="196"/>
      <c r="DC111" s="196"/>
      <c r="DE111" s="199"/>
      <c r="DF111" s="200"/>
      <c r="DG111" s="181"/>
    </row>
    <row r="112" spans="1:111" ht="25.5" outlineLevel="1" x14ac:dyDescent="0.25">
      <c r="A112" s="192">
        <f>MAX(A$72:$B111)+1</f>
        <v>34</v>
      </c>
      <c r="B112" s="222" t="s">
        <v>257</v>
      </c>
      <c r="C112" s="222" t="s">
        <v>258</v>
      </c>
      <c r="D112" s="214">
        <f t="shared" si="79"/>
        <v>368</v>
      </c>
      <c r="E112" s="214"/>
      <c r="F112" s="214">
        <f t="shared" si="80"/>
        <v>368</v>
      </c>
      <c r="G112" s="257">
        <f>1000-632</f>
        <v>368</v>
      </c>
      <c r="H112" s="257"/>
      <c r="I112" s="235"/>
      <c r="J112" s="235"/>
      <c r="K112" s="257"/>
      <c r="L112" s="235"/>
      <c r="M112" s="223"/>
      <c r="N112" s="223"/>
      <c r="O112" s="257">
        <f t="shared" si="87"/>
        <v>368</v>
      </c>
      <c r="P112" s="257">
        <v>0</v>
      </c>
      <c r="Q112" s="224">
        <f t="shared" si="82"/>
        <v>0</v>
      </c>
      <c r="R112" s="257"/>
      <c r="S112" s="225">
        <v>0</v>
      </c>
      <c r="T112" s="225">
        <v>0</v>
      </c>
      <c r="U112" s="257"/>
      <c r="V112" s="225">
        <v>0</v>
      </c>
      <c r="W112" s="225">
        <v>0</v>
      </c>
      <c r="X112" s="257"/>
      <c r="Y112" s="225">
        <v>0</v>
      </c>
      <c r="Z112" s="225">
        <v>0</v>
      </c>
      <c r="AA112" s="257"/>
      <c r="AB112" s="225">
        <v>0</v>
      </c>
      <c r="AC112" s="225">
        <v>0</v>
      </c>
      <c r="AD112" s="257"/>
      <c r="AE112" s="225">
        <v>0</v>
      </c>
      <c r="AF112" s="225">
        <v>0</v>
      </c>
      <c r="AG112" s="257"/>
      <c r="AH112" s="225">
        <v>0</v>
      </c>
      <c r="AI112" s="225">
        <v>0</v>
      </c>
      <c r="AJ112" s="257"/>
      <c r="AK112" s="225">
        <v>0</v>
      </c>
      <c r="AL112" s="225">
        <v>0</v>
      </c>
      <c r="AM112" s="257"/>
      <c r="AN112" s="225">
        <v>0</v>
      </c>
      <c r="AO112" s="225">
        <v>0</v>
      </c>
      <c r="AP112" s="225"/>
      <c r="AQ112" s="257"/>
      <c r="AR112" s="225">
        <v>0</v>
      </c>
      <c r="AS112" s="225">
        <v>0</v>
      </c>
      <c r="AT112" s="257"/>
      <c r="AU112" s="225">
        <v>0</v>
      </c>
      <c r="AV112" s="225">
        <v>0</v>
      </c>
      <c r="AW112" s="257"/>
      <c r="AX112" s="225">
        <v>0</v>
      </c>
      <c r="AY112" s="225">
        <v>0</v>
      </c>
      <c r="AZ112" s="257"/>
      <c r="BA112" s="225">
        <v>0</v>
      </c>
      <c r="BB112" s="225">
        <v>0</v>
      </c>
      <c r="BC112" s="257"/>
      <c r="BD112" s="225">
        <v>0</v>
      </c>
      <c r="BE112" s="225">
        <v>0</v>
      </c>
      <c r="BF112" s="257"/>
      <c r="BG112" s="257"/>
      <c r="BH112" s="225">
        <v>0</v>
      </c>
      <c r="BI112" s="225">
        <v>0</v>
      </c>
      <c r="BJ112" s="257">
        <f t="shared" si="78"/>
        <v>349.59999999999997</v>
      </c>
      <c r="BK112" s="257"/>
      <c r="BL112" s="225">
        <f t="shared" si="101"/>
        <v>0</v>
      </c>
      <c r="BM112" s="225">
        <f t="shared" si="83"/>
        <v>0</v>
      </c>
      <c r="BN112" s="205">
        <f t="shared" si="76"/>
        <v>0</v>
      </c>
      <c r="BO112" s="205"/>
      <c r="BP112" s="227"/>
      <c r="BQ112" s="224">
        <f t="shared" si="84"/>
        <v>0</v>
      </c>
      <c r="BR112" s="227"/>
      <c r="BS112" s="224">
        <f t="shared" si="102"/>
        <v>0</v>
      </c>
      <c r="BT112" s="227"/>
      <c r="BU112" s="224">
        <f t="shared" si="103"/>
        <v>0</v>
      </c>
      <c r="BV112" s="227"/>
      <c r="BW112" s="224">
        <f t="shared" si="104"/>
        <v>0</v>
      </c>
      <c r="BX112" s="227"/>
      <c r="BY112" s="224">
        <f t="shared" si="105"/>
        <v>0</v>
      </c>
      <c r="BZ112" s="227"/>
      <c r="CA112" s="224">
        <f t="shared" si="106"/>
        <v>0</v>
      </c>
      <c r="CB112" s="227">
        <v>950</v>
      </c>
      <c r="CC112" s="224">
        <f t="shared" si="107"/>
        <v>2.5815217391304346</v>
      </c>
      <c r="CD112" s="227">
        <v>950</v>
      </c>
      <c r="CE112" s="224">
        <f t="shared" si="108"/>
        <v>2.5815217391304346</v>
      </c>
      <c r="CF112" s="227">
        <v>950</v>
      </c>
      <c r="CG112" s="224">
        <f t="shared" si="109"/>
        <v>2.5815217391304346</v>
      </c>
      <c r="CH112" s="227">
        <v>950</v>
      </c>
      <c r="CI112" s="224">
        <f t="shared" si="110"/>
        <v>2.5815217391304346</v>
      </c>
      <c r="CJ112" s="227">
        <v>950</v>
      </c>
      <c r="CK112" s="224">
        <f t="shared" si="111"/>
        <v>2.5815217391304346</v>
      </c>
      <c r="CL112" s="227">
        <v>950</v>
      </c>
      <c r="CM112" s="224">
        <f t="shared" si="112"/>
        <v>2.5815217391304346</v>
      </c>
      <c r="CN112" s="227">
        <v>950</v>
      </c>
      <c r="CO112" s="224">
        <f t="shared" si="113"/>
        <v>2.5815217391304346</v>
      </c>
      <c r="CP112" s="213" t="str">
        <f t="shared" si="85"/>
        <v>Không đạt</v>
      </c>
      <c r="CQ112" s="213" t="str">
        <f t="shared" si="86"/>
        <v>Không đạt</v>
      </c>
      <c r="CR112" s="192"/>
      <c r="CS112" s="257">
        <f t="shared" si="81"/>
        <v>0</v>
      </c>
      <c r="CT112" s="223"/>
      <c r="CU112" s="163"/>
      <c r="CW112" s="195"/>
      <c r="CX112" s="196"/>
      <c r="CY112" s="196"/>
      <c r="CZ112" s="197"/>
      <c r="DA112" s="196"/>
      <c r="DB112" s="196"/>
      <c r="DC112" s="196"/>
      <c r="DE112" s="199"/>
      <c r="DF112" s="200"/>
      <c r="DG112" s="181"/>
    </row>
    <row r="113" spans="1:112" ht="38.25" outlineLevel="1" x14ac:dyDescent="0.25">
      <c r="A113" s="192">
        <f>MAX(A$72:$B112)+1</f>
        <v>35</v>
      </c>
      <c r="B113" s="222" t="s">
        <v>259</v>
      </c>
      <c r="C113" s="222" t="s">
        <v>260</v>
      </c>
      <c r="D113" s="214">
        <f t="shared" si="79"/>
        <v>1500</v>
      </c>
      <c r="E113" s="214"/>
      <c r="F113" s="214">
        <f t="shared" si="80"/>
        <v>1500</v>
      </c>
      <c r="G113" s="257">
        <v>1500</v>
      </c>
      <c r="H113" s="257"/>
      <c r="I113" s="235"/>
      <c r="J113" s="235"/>
      <c r="K113" s="257"/>
      <c r="L113" s="235"/>
      <c r="M113" s="223"/>
      <c r="N113" s="223"/>
      <c r="O113" s="257">
        <f t="shared" si="87"/>
        <v>1500</v>
      </c>
      <c r="P113" s="257">
        <v>0</v>
      </c>
      <c r="Q113" s="224">
        <f t="shared" si="82"/>
        <v>0</v>
      </c>
      <c r="R113" s="257"/>
      <c r="S113" s="225">
        <v>0</v>
      </c>
      <c r="T113" s="225">
        <v>0</v>
      </c>
      <c r="U113" s="257"/>
      <c r="V113" s="225">
        <v>0</v>
      </c>
      <c r="W113" s="225">
        <v>0</v>
      </c>
      <c r="X113" s="257"/>
      <c r="Y113" s="225">
        <v>0</v>
      </c>
      <c r="Z113" s="225">
        <v>0</v>
      </c>
      <c r="AA113" s="257"/>
      <c r="AB113" s="225">
        <v>0</v>
      </c>
      <c r="AC113" s="225">
        <v>0</v>
      </c>
      <c r="AD113" s="257"/>
      <c r="AE113" s="225">
        <v>0</v>
      </c>
      <c r="AF113" s="225">
        <v>0</v>
      </c>
      <c r="AG113" s="257"/>
      <c r="AH113" s="225">
        <v>0</v>
      </c>
      <c r="AI113" s="225">
        <v>0</v>
      </c>
      <c r="AJ113" s="257"/>
      <c r="AK113" s="225">
        <v>0</v>
      </c>
      <c r="AL113" s="225">
        <v>0</v>
      </c>
      <c r="AM113" s="257"/>
      <c r="AN113" s="225">
        <v>0</v>
      </c>
      <c r="AO113" s="225">
        <v>0</v>
      </c>
      <c r="AP113" s="225"/>
      <c r="AQ113" s="257"/>
      <c r="AR113" s="225">
        <v>0</v>
      </c>
      <c r="AS113" s="225">
        <v>0</v>
      </c>
      <c r="AT113" s="257"/>
      <c r="AU113" s="225">
        <v>0</v>
      </c>
      <c r="AV113" s="225">
        <v>0</v>
      </c>
      <c r="AW113" s="257"/>
      <c r="AX113" s="225">
        <v>0</v>
      </c>
      <c r="AY113" s="225">
        <v>0</v>
      </c>
      <c r="AZ113" s="257"/>
      <c r="BA113" s="225">
        <v>0</v>
      </c>
      <c r="BB113" s="225">
        <v>0</v>
      </c>
      <c r="BC113" s="257"/>
      <c r="BD113" s="225">
        <v>0</v>
      </c>
      <c r="BE113" s="225">
        <v>0</v>
      </c>
      <c r="BF113" s="257"/>
      <c r="BG113" s="257"/>
      <c r="BH113" s="225">
        <v>0</v>
      </c>
      <c r="BI113" s="225">
        <v>0</v>
      </c>
      <c r="BJ113" s="257">
        <f t="shared" si="78"/>
        <v>1425</v>
      </c>
      <c r="BK113" s="257"/>
      <c r="BL113" s="225">
        <f t="shared" si="101"/>
        <v>0</v>
      </c>
      <c r="BM113" s="225">
        <f t="shared" si="83"/>
        <v>0</v>
      </c>
      <c r="BN113" s="205">
        <f t="shared" si="76"/>
        <v>0</v>
      </c>
      <c r="BO113" s="205"/>
      <c r="BP113" s="227"/>
      <c r="BQ113" s="224">
        <f t="shared" si="84"/>
        <v>0</v>
      </c>
      <c r="BR113" s="227"/>
      <c r="BS113" s="224">
        <f t="shared" si="102"/>
        <v>0</v>
      </c>
      <c r="BT113" s="227"/>
      <c r="BU113" s="224">
        <f t="shared" si="103"/>
        <v>0</v>
      </c>
      <c r="BV113" s="227"/>
      <c r="BW113" s="224">
        <f t="shared" si="104"/>
        <v>0</v>
      </c>
      <c r="BX113" s="227"/>
      <c r="BY113" s="224">
        <f t="shared" si="105"/>
        <v>0</v>
      </c>
      <c r="BZ113" s="227"/>
      <c r="CA113" s="224">
        <f t="shared" si="106"/>
        <v>0</v>
      </c>
      <c r="CB113" s="227"/>
      <c r="CC113" s="224">
        <f t="shared" si="107"/>
        <v>0</v>
      </c>
      <c r="CD113" s="227"/>
      <c r="CE113" s="224">
        <f t="shared" si="108"/>
        <v>0</v>
      </c>
      <c r="CF113" s="227"/>
      <c r="CG113" s="224">
        <f t="shared" si="109"/>
        <v>0</v>
      </c>
      <c r="CH113" s="227"/>
      <c r="CI113" s="224">
        <f t="shared" si="110"/>
        <v>0</v>
      </c>
      <c r="CJ113" s="227"/>
      <c r="CK113" s="224">
        <f t="shared" si="111"/>
        <v>0</v>
      </c>
      <c r="CL113" s="227"/>
      <c r="CM113" s="224">
        <f t="shared" si="112"/>
        <v>0</v>
      </c>
      <c r="CN113" s="227">
        <v>1425</v>
      </c>
      <c r="CO113" s="224">
        <f t="shared" si="113"/>
        <v>0.95</v>
      </c>
      <c r="CP113" s="213" t="str">
        <f t="shared" si="85"/>
        <v>Không đạt</v>
      </c>
      <c r="CQ113" s="213" t="str">
        <f t="shared" si="86"/>
        <v>Không đạt</v>
      </c>
      <c r="CR113" s="192"/>
      <c r="CS113" s="257">
        <f t="shared" si="81"/>
        <v>0</v>
      </c>
      <c r="CT113" s="223"/>
      <c r="CU113" s="163"/>
      <c r="CW113" s="195"/>
      <c r="CX113" s="196"/>
      <c r="CY113" s="196"/>
      <c r="CZ113" s="197"/>
      <c r="DA113" s="196"/>
      <c r="DB113" s="196"/>
      <c r="DC113" s="196"/>
      <c r="DE113" s="199"/>
      <c r="DF113" s="200"/>
      <c r="DG113" s="181"/>
    </row>
    <row r="114" spans="1:112" ht="38.25" outlineLevel="1" x14ac:dyDescent="0.25">
      <c r="A114" s="192">
        <f>MAX(A$72:$B113)+1</f>
        <v>36</v>
      </c>
      <c r="B114" s="222" t="s">
        <v>261</v>
      </c>
      <c r="C114" s="222" t="s">
        <v>262</v>
      </c>
      <c r="D114" s="214">
        <f t="shared" si="79"/>
        <v>1237</v>
      </c>
      <c r="E114" s="214"/>
      <c r="F114" s="214">
        <f t="shared" si="80"/>
        <v>1237</v>
      </c>
      <c r="G114" s="257">
        <f>2500-1263</f>
        <v>1237</v>
      </c>
      <c r="H114" s="257"/>
      <c r="I114" s="235"/>
      <c r="J114" s="235"/>
      <c r="K114" s="257"/>
      <c r="L114" s="235"/>
      <c r="M114" s="223"/>
      <c r="N114" s="223"/>
      <c r="O114" s="257">
        <f t="shared" si="87"/>
        <v>1237</v>
      </c>
      <c r="P114" s="257">
        <v>0</v>
      </c>
      <c r="Q114" s="224">
        <f t="shared" si="82"/>
        <v>0</v>
      </c>
      <c r="R114" s="257"/>
      <c r="S114" s="225">
        <v>0</v>
      </c>
      <c r="T114" s="225">
        <v>0</v>
      </c>
      <c r="U114" s="257"/>
      <c r="V114" s="225">
        <v>0</v>
      </c>
      <c r="W114" s="225">
        <v>0</v>
      </c>
      <c r="X114" s="257"/>
      <c r="Y114" s="225">
        <v>0</v>
      </c>
      <c r="Z114" s="225">
        <v>0</v>
      </c>
      <c r="AA114" s="257"/>
      <c r="AB114" s="225">
        <v>0</v>
      </c>
      <c r="AC114" s="225">
        <v>0</v>
      </c>
      <c r="AD114" s="257"/>
      <c r="AE114" s="225">
        <v>0</v>
      </c>
      <c r="AF114" s="225">
        <v>0</v>
      </c>
      <c r="AG114" s="257"/>
      <c r="AH114" s="225">
        <v>0</v>
      </c>
      <c r="AI114" s="225">
        <v>0</v>
      </c>
      <c r="AJ114" s="257"/>
      <c r="AK114" s="225">
        <v>0</v>
      </c>
      <c r="AL114" s="225">
        <v>0</v>
      </c>
      <c r="AM114" s="257"/>
      <c r="AN114" s="225">
        <v>0</v>
      </c>
      <c r="AO114" s="225">
        <v>0</v>
      </c>
      <c r="AP114" s="225"/>
      <c r="AQ114" s="257"/>
      <c r="AR114" s="225">
        <v>0</v>
      </c>
      <c r="AS114" s="225">
        <v>0</v>
      </c>
      <c r="AT114" s="257"/>
      <c r="AU114" s="225">
        <v>0</v>
      </c>
      <c r="AV114" s="225">
        <v>0</v>
      </c>
      <c r="AW114" s="257"/>
      <c r="AX114" s="225">
        <v>0</v>
      </c>
      <c r="AY114" s="225">
        <v>0</v>
      </c>
      <c r="AZ114" s="257">
        <v>88.057000000000002</v>
      </c>
      <c r="BA114" s="225">
        <v>3.5222799999999999E-2</v>
      </c>
      <c r="BB114" s="225">
        <v>3.7076631578947368E-2</v>
      </c>
      <c r="BC114" s="257">
        <v>88.057000000000002</v>
      </c>
      <c r="BD114" s="225">
        <v>3.5222799999999999E-2</v>
      </c>
      <c r="BE114" s="225">
        <v>3.7076631578947368E-2</v>
      </c>
      <c r="BF114" s="257"/>
      <c r="BG114" s="257">
        <v>906.54500000000007</v>
      </c>
      <c r="BH114" s="225">
        <v>0.73285772029102669</v>
      </c>
      <c r="BI114" s="225">
        <v>0.77142917925371246</v>
      </c>
      <c r="BJ114" s="257">
        <f t="shared" si="78"/>
        <v>1175.1499999999999</v>
      </c>
      <c r="BK114" s="257">
        <v>906.54500000000007</v>
      </c>
      <c r="BL114" s="225">
        <f t="shared" si="101"/>
        <v>0.73285772029102669</v>
      </c>
      <c r="BM114" s="225">
        <f t="shared" si="83"/>
        <v>0.77142917925371246</v>
      </c>
      <c r="BN114" s="205">
        <f t="shared" si="76"/>
        <v>906.54500000000007</v>
      </c>
      <c r="BO114" s="205"/>
      <c r="BP114" s="227"/>
      <c r="BQ114" s="224">
        <f t="shared" si="84"/>
        <v>0</v>
      </c>
      <c r="BR114" s="227"/>
      <c r="BS114" s="224">
        <f t="shared" si="102"/>
        <v>0</v>
      </c>
      <c r="BT114" s="227"/>
      <c r="BU114" s="224">
        <f t="shared" si="103"/>
        <v>0</v>
      </c>
      <c r="BV114" s="227">
        <v>1000</v>
      </c>
      <c r="BW114" s="224">
        <f t="shared" si="104"/>
        <v>0.80840743734842357</v>
      </c>
      <c r="BX114" s="227">
        <v>1000</v>
      </c>
      <c r="BY114" s="224">
        <f t="shared" si="105"/>
        <v>0.80840743734842357</v>
      </c>
      <c r="BZ114" s="227">
        <v>1500</v>
      </c>
      <c r="CA114" s="224">
        <f t="shared" si="106"/>
        <v>1.2126111560226354</v>
      </c>
      <c r="CB114" s="227">
        <v>1500</v>
      </c>
      <c r="CC114" s="224">
        <f t="shared" si="107"/>
        <v>1.2126111560226354</v>
      </c>
      <c r="CD114" s="227">
        <v>1500</v>
      </c>
      <c r="CE114" s="224">
        <f t="shared" si="108"/>
        <v>1.2126111560226354</v>
      </c>
      <c r="CF114" s="227">
        <v>2000</v>
      </c>
      <c r="CG114" s="224">
        <f t="shared" si="109"/>
        <v>1.6168148746968471</v>
      </c>
      <c r="CH114" s="227">
        <v>2375</v>
      </c>
      <c r="CI114" s="224">
        <f t="shared" si="110"/>
        <v>1.919967663702506</v>
      </c>
      <c r="CJ114" s="227">
        <v>2375</v>
      </c>
      <c r="CK114" s="224">
        <f t="shared" si="111"/>
        <v>1.919967663702506</v>
      </c>
      <c r="CL114" s="227">
        <v>2375</v>
      </c>
      <c r="CM114" s="224">
        <f t="shared" si="112"/>
        <v>1.919967663702506</v>
      </c>
      <c r="CN114" s="227">
        <v>2375</v>
      </c>
      <c r="CO114" s="224">
        <f t="shared" si="113"/>
        <v>1.919967663702506</v>
      </c>
      <c r="CP114" s="213" t="str">
        <f t="shared" si="85"/>
        <v>Đạt</v>
      </c>
      <c r="CQ114" s="213" t="str">
        <f t="shared" si="86"/>
        <v>Đạt</v>
      </c>
      <c r="CR114" s="192"/>
      <c r="CS114" s="257">
        <f t="shared" si="81"/>
        <v>818.48800000000006</v>
      </c>
      <c r="CT114" s="223"/>
      <c r="CU114" s="163"/>
      <c r="CW114" s="195"/>
      <c r="CX114" s="196"/>
      <c r="CY114" s="196"/>
      <c r="CZ114" s="197"/>
      <c r="DA114" s="196"/>
      <c r="DB114" s="196"/>
      <c r="DC114" s="196"/>
      <c r="DE114" s="199"/>
      <c r="DF114" s="200"/>
      <c r="DG114" s="181"/>
    </row>
    <row r="115" spans="1:112" ht="38.25" outlineLevel="1" x14ac:dyDescent="0.25">
      <c r="A115" s="192">
        <f>MAX(A$72:$B114)+1</f>
        <v>37</v>
      </c>
      <c r="B115" s="222" t="s">
        <v>263</v>
      </c>
      <c r="C115" s="222" t="s">
        <v>264</v>
      </c>
      <c r="D115" s="214">
        <f t="shared" si="79"/>
        <v>10000</v>
      </c>
      <c r="E115" s="214"/>
      <c r="F115" s="214">
        <f t="shared" si="80"/>
        <v>10000</v>
      </c>
      <c r="G115" s="257">
        <f>5000-5000</f>
        <v>0</v>
      </c>
      <c r="H115" s="257">
        <v>10000</v>
      </c>
      <c r="I115" s="235"/>
      <c r="J115" s="235"/>
      <c r="K115" s="257"/>
      <c r="L115" s="235"/>
      <c r="M115" s="223"/>
      <c r="N115" s="223"/>
      <c r="O115" s="257">
        <f t="shared" si="87"/>
        <v>0</v>
      </c>
      <c r="P115" s="257">
        <v>0</v>
      </c>
      <c r="Q115" s="224">
        <f t="shared" si="82"/>
        <v>0</v>
      </c>
      <c r="R115" s="257"/>
      <c r="S115" s="225">
        <v>0</v>
      </c>
      <c r="T115" s="225">
        <v>0</v>
      </c>
      <c r="U115" s="257"/>
      <c r="V115" s="225">
        <v>0</v>
      </c>
      <c r="W115" s="225">
        <v>0</v>
      </c>
      <c r="X115" s="257"/>
      <c r="Y115" s="225">
        <v>0</v>
      </c>
      <c r="Z115" s="225">
        <v>0</v>
      </c>
      <c r="AA115" s="257"/>
      <c r="AB115" s="225">
        <v>0</v>
      </c>
      <c r="AC115" s="225">
        <v>0</v>
      </c>
      <c r="AD115" s="257"/>
      <c r="AE115" s="225">
        <v>0</v>
      </c>
      <c r="AF115" s="225">
        <v>0</v>
      </c>
      <c r="AG115" s="257"/>
      <c r="AH115" s="225">
        <v>0</v>
      </c>
      <c r="AI115" s="225">
        <v>0</v>
      </c>
      <c r="AJ115" s="257"/>
      <c r="AK115" s="225">
        <v>0</v>
      </c>
      <c r="AL115" s="225">
        <v>0</v>
      </c>
      <c r="AM115" s="257"/>
      <c r="AN115" s="225">
        <v>0</v>
      </c>
      <c r="AO115" s="225">
        <v>0</v>
      </c>
      <c r="AP115" s="225"/>
      <c r="AQ115" s="257"/>
      <c r="AR115" s="225">
        <v>0</v>
      </c>
      <c r="AS115" s="225">
        <v>0</v>
      </c>
      <c r="AT115" s="257"/>
      <c r="AU115" s="225">
        <v>0</v>
      </c>
      <c r="AV115" s="225">
        <v>0</v>
      </c>
      <c r="AW115" s="257"/>
      <c r="AX115" s="225">
        <v>0</v>
      </c>
      <c r="AY115" s="225">
        <v>0</v>
      </c>
      <c r="AZ115" s="257"/>
      <c r="BA115" s="225">
        <v>0</v>
      </c>
      <c r="BB115" s="225">
        <v>0</v>
      </c>
      <c r="BC115" s="257"/>
      <c r="BD115" s="225">
        <v>0</v>
      </c>
      <c r="BE115" s="225">
        <v>0</v>
      </c>
      <c r="BF115" s="257"/>
      <c r="BG115" s="257"/>
      <c r="BH115" s="225">
        <v>0</v>
      </c>
      <c r="BI115" s="225">
        <v>0</v>
      </c>
      <c r="BJ115" s="257">
        <f t="shared" si="78"/>
        <v>9500</v>
      </c>
      <c r="BK115" s="257"/>
      <c r="BL115" s="225">
        <f t="shared" si="101"/>
        <v>0</v>
      </c>
      <c r="BM115" s="225">
        <f t="shared" si="83"/>
        <v>0</v>
      </c>
      <c r="BN115" s="205">
        <f t="shared" si="76"/>
        <v>0</v>
      </c>
      <c r="BO115" s="205"/>
      <c r="BP115" s="227"/>
      <c r="BQ115" s="224">
        <f t="shared" si="84"/>
        <v>0</v>
      </c>
      <c r="BR115" s="227"/>
      <c r="BS115" s="224">
        <f t="shared" si="102"/>
        <v>0</v>
      </c>
      <c r="BT115" s="227"/>
      <c r="BU115" s="224">
        <f t="shared" si="103"/>
        <v>0</v>
      </c>
      <c r="BV115" s="227"/>
      <c r="BW115" s="224">
        <f t="shared" si="104"/>
        <v>0</v>
      </c>
      <c r="BX115" s="227"/>
      <c r="BY115" s="224">
        <f t="shared" si="105"/>
        <v>0</v>
      </c>
      <c r="BZ115" s="227"/>
      <c r="CA115" s="224">
        <f t="shared" si="106"/>
        <v>0</v>
      </c>
      <c r="CB115" s="227"/>
      <c r="CC115" s="224">
        <f t="shared" si="107"/>
        <v>0</v>
      </c>
      <c r="CD115" s="227"/>
      <c r="CE115" s="224">
        <f t="shared" si="108"/>
        <v>0</v>
      </c>
      <c r="CF115" s="227">
        <v>3000</v>
      </c>
      <c r="CG115" s="224">
        <f t="shared" si="109"/>
        <v>0.3</v>
      </c>
      <c r="CH115" s="227">
        <v>3000</v>
      </c>
      <c r="CI115" s="224">
        <f t="shared" si="110"/>
        <v>0.3</v>
      </c>
      <c r="CJ115" s="227">
        <v>8000</v>
      </c>
      <c r="CK115" s="224">
        <f t="shared" si="111"/>
        <v>0.8</v>
      </c>
      <c r="CL115" s="227">
        <v>8000</v>
      </c>
      <c r="CM115" s="224">
        <f t="shared" si="112"/>
        <v>0.8</v>
      </c>
      <c r="CN115" s="227">
        <v>14250</v>
      </c>
      <c r="CO115" s="224">
        <f t="shared" si="113"/>
        <v>1.425</v>
      </c>
      <c r="CP115" s="213" t="str">
        <f t="shared" si="85"/>
        <v>Không đạt</v>
      </c>
      <c r="CQ115" s="213" t="str">
        <f t="shared" si="86"/>
        <v>Không đạt</v>
      </c>
      <c r="CR115" s="192"/>
      <c r="CS115" s="257">
        <f t="shared" si="81"/>
        <v>0</v>
      </c>
      <c r="CT115" s="223"/>
      <c r="CU115" s="163"/>
      <c r="CW115" s="195"/>
      <c r="CX115" s="196"/>
      <c r="CY115" s="196"/>
      <c r="CZ115" s="197"/>
      <c r="DA115" s="196"/>
      <c r="DB115" s="196"/>
      <c r="DC115" s="196"/>
      <c r="DE115" s="199"/>
      <c r="DF115" s="200"/>
      <c r="DG115" s="181"/>
    </row>
    <row r="116" spans="1:112" ht="25.5" outlineLevel="1" x14ac:dyDescent="0.25">
      <c r="A116" s="192">
        <f>MAX(A$72:$B115)+1</f>
        <v>38</v>
      </c>
      <c r="B116" s="222" t="s">
        <v>265</v>
      </c>
      <c r="C116" s="222"/>
      <c r="D116" s="214">
        <f t="shared" si="79"/>
        <v>25263</v>
      </c>
      <c r="E116" s="214"/>
      <c r="F116" s="214">
        <f t="shared" si="80"/>
        <v>25263</v>
      </c>
      <c r="G116" s="257">
        <v>5263</v>
      </c>
      <c r="H116" s="257">
        <v>20000</v>
      </c>
      <c r="I116" s="235"/>
      <c r="J116" s="235"/>
      <c r="K116" s="257"/>
      <c r="L116" s="235"/>
      <c r="M116" s="223"/>
      <c r="N116" s="223"/>
      <c r="O116" s="257">
        <f t="shared" si="87"/>
        <v>5263</v>
      </c>
      <c r="P116" s="257">
        <v>0</v>
      </c>
      <c r="Q116" s="224">
        <f t="shared" si="82"/>
        <v>0</v>
      </c>
      <c r="R116" s="257"/>
      <c r="S116" s="225">
        <v>0</v>
      </c>
      <c r="T116" s="225">
        <v>0</v>
      </c>
      <c r="U116" s="257"/>
      <c r="V116" s="225">
        <v>0</v>
      </c>
      <c r="W116" s="225">
        <v>0</v>
      </c>
      <c r="X116" s="257"/>
      <c r="Y116" s="225">
        <v>0</v>
      </c>
      <c r="Z116" s="225">
        <v>0</v>
      </c>
      <c r="AA116" s="257"/>
      <c r="AB116" s="225">
        <v>0</v>
      </c>
      <c r="AC116" s="225">
        <v>0</v>
      </c>
      <c r="AD116" s="257"/>
      <c r="AE116" s="225">
        <v>0</v>
      </c>
      <c r="AF116" s="225">
        <v>0</v>
      </c>
      <c r="AG116" s="257"/>
      <c r="AH116" s="225">
        <v>0</v>
      </c>
      <c r="AI116" s="225">
        <v>0</v>
      </c>
      <c r="AJ116" s="257"/>
      <c r="AK116" s="225">
        <v>0</v>
      </c>
      <c r="AL116" s="225">
        <v>0</v>
      </c>
      <c r="AM116" s="257"/>
      <c r="AN116" s="225">
        <v>0</v>
      </c>
      <c r="AO116" s="225">
        <v>0</v>
      </c>
      <c r="AP116" s="225"/>
      <c r="AQ116" s="257"/>
      <c r="AR116" s="225">
        <v>0</v>
      </c>
      <c r="AS116" s="225">
        <v>0</v>
      </c>
      <c r="AT116" s="257"/>
      <c r="AU116" s="225">
        <v>0</v>
      </c>
      <c r="AV116" s="225">
        <v>0</v>
      </c>
      <c r="AW116" s="257"/>
      <c r="AX116" s="225">
        <v>0</v>
      </c>
      <c r="AY116" s="225">
        <v>0</v>
      </c>
      <c r="AZ116" s="257">
        <v>121.712</v>
      </c>
      <c r="BA116" s="225">
        <v>6.0856E-3</v>
      </c>
      <c r="BB116" s="225">
        <v>6.4058947368421052E-3</v>
      </c>
      <c r="BC116" s="257">
        <v>121.712</v>
      </c>
      <c r="BD116" s="225">
        <v>6.0856E-3</v>
      </c>
      <c r="BE116" s="225">
        <v>6.4058947368421052E-3</v>
      </c>
      <c r="BF116" s="257"/>
      <c r="BG116" s="257">
        <v>121.712</v>
      </c>
      <c r="BH116" s="225">
        <v>4.8177967778965285E-3</v>
      </c>
      <c r="BI116" s="225">
        <v>5.0713650293647671E-3</v>
      </c>
      <c r="BJ116" s="257">
        <f t="shared" si="78"/>
        <v>23999.85</v>
      </c>
      <c r="BK116" s="257">
        <v>121.712</v>
      </c>
      <c r="BL116" s="225">
        <f t="shared" si="101"/>
        <v>4.8177967778965285E-3</v>
      </c>
      <c r="BM116" s="225">
        <f t="shared" si="83"/>
        <v>5.0713650293647671E-3</v>
      </c>
      <c r="BN116" s="205">
        <f t="shared" si="76"/>
        <v>121.712</v>
      </c>
      <c r="BO116" s="205"/>
      <c r="BP116" s="227"/>
      <c r="BQ116" s="224">
        <f t="shared" si="84"/>
        <v>0</v>
      </c>
      <c r="BR116" s="227"/>
      <c r="BS116" s="224">
        <f t="shared" si="102"/>
        <v>0</v>
      </c>
      <c r="BT116" s="227">
        <v>5000</v>
      </c>
      <c r="BU116" s="224">
        <f t="shared" si="103"/>
        <v>0.19791790365356451</v>
      </c>
      <c r="BV116" s="227">
        <v>5000</v>
      </c>
      <c r="BW116" s="224">
        <f t="shared" si="104"/>
        <v>0.19791790365356451</v>
      </c>
      <c r="BX116" s="227">
        <v>10000</v>
      </c>
      <c r="BY116" s="224">
        <f t="shared" si="105"/>
        <v>0.39583580730712903</v>
      </c>
      <c r="BZ116" s="227">
        <v>10000</v>
      </c>
      <c r="CA116" s="224">
        <f t="shared" si="106"/>
        <v>0.39583580730712903</v>
      </c>
      <c r="CB116" s="227">
        <v>15000</v>
      </c>
      <c r="CC116" s="224">
        <f t="shared" si="107"/>
        <v>0.59375371096069351</v>
      </c>
      <c r="CD116" s="227">
        <v>15000</v>
      </c>
      <c r="CE116" s="224">
        <f t="shared" si="108"/>
        <v>0.59375371096069351</v>
      </c>
      <c r="CF116" s="227">
        <v>15000</v>
      </c>
      <c r="CG116" s="224">
        <f t="shared" si="109"/>
        <v>0.59375371096069351</v>
      </c>
      <c r="CH116" s="227">
        <v>19000</v>
      </c>
      <c r="CI116" s="224">
        <f t="shared" si="110"/>
        <v>0.75208803388354506</v>
      </c>
      <c r="CJ116" s="227">
        <v>19000</v>
      </c>
      <c r="CK116" s="224">
        <f t="shared" si="111"/>
        <v>0.75208803388354506</v>
      </c>
      <c r="CL116" s="227">
        <v>19000</v>
      </c>
      <c r="CM116" s="224">
        <f t="shared" si="112"/>
        <v>0.75208803388354506</v>
      </c>
      <c r="CN116" s="227">
        <v>19000</v>
      </c>
      <c r="CO116" s="224">
        <f t="shared" si="113"/>
        <v>0.75208803388354506</v>
      </c>
      <c r="CP116" s="213" t="str">
        <f t="shared" si="85"/>
        <v>Không đạt</v>
      </c>
      <c r="CQ116" s="213" t="str">
        <f t="shared" si="86"/>
        <v>Không đạt</v>
      </c>
      <c r="CR116" s="192"/>
      <c r="CS116" s="257">
        <f t="shared" si="81"/>
        <v>0</v>
      </c>
      <c r="CT116" s="223"/>
      <c r="CU116" s="163"/>
      <c r="CW116" s="195"/>
      <c r="CX116" s="196"/>
      <c r="CY116" s="196"/>
      <c r="CZ116" s="197"/>
      <c r="DA116" s="196"/>
      <c r="DB116" s="196"/>
      <c r="DC116" s="196"/>
      <c r="DE116" s="199"/>
      <c r="DF116" s="200"/>
      <c r="DG116" s="181"/>
    </row>
    <row r="117" spans="1:112" ht="25.5" outlineLevel="1" x14ac:dyDescent="0.25">
      <c r="A117" s="192">
        <f>MAX(A$72:$B116)+1</f>
        <v>39</v>
      </c>
      <c r="B117" s="222" t="s">
        <v>266</v>
      </c>
      <c r="C117" s="222"/>
      <c r="D117" s="214">
        <f t="shared" si="79"/>
        <v>40000</v>
      </c>
      <c r="E117" s="214"/>
      <c r="F117" s="214">
        <f t="shared" si="80"/>
        <v>40000</v>
      </c>
      <c r="G117" s="257"/>
      <c r="H117" s="257"/>
      <c r="I117" s="235"/>
      <c r="J117" s="235"/>
      <c r="K117" s="257">
        <v>40000</v>
      </c>
      <c r="L117" s="235"/>
      <c r="M117" s="223"/>
      <c r="N117" s="223"/>
      <c r="O117" s="257">
        <f t="shared" si="87"/>
        <v>0</v>
      </c>
      <c r="P117" s="257">
        <v>0</v>
      </c>
      <c r="Q117" s="224">
        <f t="shared" si="82"/>
        <v>0</v>
      </c>
      <c r="R117" s="257"/>
      <c r="S117" s="225">
        <v>0</v>
      </c>
      <c r="T117" s="225">
        <v>0</v>
      </c>
      <c r="U117" s="257"/>
      <c r="V117" s="225">
        <v>0</v>
      </c>
      <c r="W117" s="225">
        <v>0</v>
      </c>
      <c r="X117" s="257"/>
      <c r="Y117" s="225">
        <v>0</v>
      </c>
      <c r="Z117" s="225">
        <v>0</v>
      </c>
      <c r="AA117" s="257"/>
      <c r="AB117" s="225">
        <v>0</v>
      </c>
      <c r="AC117" s="225">
        <v>0</v>
      </c>
      <c r="AD117" s="257"/>
      <c r="AE117" s="225">
        <v>0</v>
      </c>
      <c r="AF117" s="225">
        <v>0</v>
      </c>
      <c r="AG117" s="257"/>
      <c r="AH117" s="225">
        <v>0</v>
      </c>
      <c r="AI117" s="225">
        <v>0</v>
      </c>
      <c r="AJ117" s="257"/>
      <c r="AK117" s="225">
        <v>0</v>
      </c>
      <c r="AL117" s="225">
        <v>0</v>
      </c>
      <c r="AM117" s="257"/>
      <c r="AN117" s="225">
        <v>0</v>
      </c>
      <c r="AO117" s="225">
        <v>0</v>
      </c>
      <c r="AP117" s="225"/>
      <c r="AQ117" s="257">
        <v>1566.424</v>
      </c>
      <c r="AR117" s="225">
        <v>3.9160599999999997E-2</v>
      </c>
      <c r="AS117" s="225">
        <v>4.1221684210526313E-2</v>
      </c>
      <c r="AT117" s="257">
        <v>1566.424</v>
      </c>
      <c r="AU117" s="225">
        <v>3.9160599999999997E-2</v>
      </c>
      <c r="AV117" s="225">
        <v>4.1221684210526313E-2</v>
      </c>
      <c r="AW117" s="257">
        <v>1566.424</v>
      </c>
      <c r="AX117" s="225">
        <v>3.9160599999999997E-2</v>
      </c>
      <c r="AY117" s="225">
        <v>4.1221684210526313E-2</v>
      </c>
      <c r="AZ117" s="257">
        <v>1566.424</v>
      </c>
      <c r="BA117" s="225">
        <v>3.9160599999999997E-2</v>
      </c>
      <c r="BB117" s="225">
        <v>4.1221684210526313E-2</v>
      </c>
      <c r="BC117" s="257">
        <v>3584.2780000000002</v>
      </c>
      <c r="BD117" s="225">
        <v>8.9606950000000005E-2</v>
      </c>
      <c r="BE117" s="225">
        <v>9.4323105263157903E-2</v>
      </c>
      <c r="BF117" s="257"/>
      <c r="BG117" s="257">
        <v>3584.2780000000002</v>
      </c>
      <c r="BH117" s="225">
        <v>8.9606950000000005E-2</v>
      </c>
      <c r="BI117" s="225">
        <v>9.4323105263157903E-2</v>
      </c>
      <c r="BJ117" s="257">
        <f t="shared" si="78"/>
        <v>38000</v>
      </c>
      <c r="BK117" s="257">
        <v>3584.2780000000002</v>
      </c>
      <c r="BL117" s="225">
        <f t="shared" si="101"/>
        <v>8.9606950000000005E-2</v>
      </c>
      <c r="BM117" s="225">
        <f t="shared" si="83"/>
        <v>9.4323105263157903E-2</v>
      </c>
      <c r="BN117" s="205">
        <f t="shared" si="76"/>
        <v>3584.2780000000002</v>
      </c>
      <c r="BO117" s="205"/>
      <c r="BP117" s="227"/>
      <c r="BQ117" s="224">
        <f t="shared" si="84"/>
        <v>0</v>
      </c>
      <c r="BR117" s="227"/>
      <c r="BS117" s="224">
        <f t="shared" si="102"/>
        <v>0</v>
      </c>
      <c r="BT117" s="227"/>
      <c r="BU117" s="224">
        <f t="shared" si="103"/>
        <v>0</v>
      </c>
      <c r="BV117" s="227"/>
      <c r="BW117" s="224">
        <f t="shared" si="104"/>
        <v>0</v>
      </c>
      <c r="BX117" s="227"/>
      <c r="BY117" s="224">
        <f t="shared" si="105"/>
        <v>0</v>
      </c>
      <c r="BZ117" s="227">
        <v>20000</v>
      </c>
      <c r="CA117" s="224">
        <f t="shared" si="106"/>
        <v>0.5</v>
      </c>
      <c r="CB117" s="227">
        <v>20000</v>
      </c>
      <c r="CC117" s="224">
        <f t="shared" si="107"/>
        <v>0.5</v>
      </c>
      <c r="CD117" s="227">
        <v>20000</v>
      </c>
      <c r="CE117" s="224">
        <f t="shared" si="108"/>
        <v>0.5</v>
      </c>
      <c r="CF117" s="227">
        <v>25000</v>
      </c>
      <c r="CG117" s="224">
        <f t="shared" si="109"/>
        <v>0.625</v>
      </c>
      <c r="CH117" s="227">
        <v>25000</v>
      </c>
      <c r="CI117" s="224">
        <f t="shared" si="110"/>
        <v>0.625</v>
      </c>
      <c r="CJ117" s="227">
        <v>30000</v>
      </c>
      <c r="CK117" s="224">
        <f t="shared" si="111"/>
        <v>0.75</v>
      </c>
      <c r="CL117" s="227">
        <v>35000</v>
      </c>
      <c r="CM117" s="224">
        <f t="shared" si="112"/>
        <v>0.875</v>
      </c>
      <c r="CN117" s="227">
        <v>38000</v>
      </c>
      <c r="CO117" s="224">
        <f t="shared" si="113"/>
        <v>0.95</v>
      </c>
      <c r="CP117" s="213" t="str">
        <f t="shared" si="85"/>
        <v>Không đạt</v>
      </c>
      <c r="CQ117" s="213" t="str">
        <f t="shared" si="86"/>
        <v>Không đạt</v>
      </c>
      <c r="CR117" s="192"/>
      <c r="CS117" s="257">
        <f t="shared" si="81"/>
        <v>2017.8540000000003</v>
      </c>
      <c r="CT117" s="257"/>
      <c r="CU117" s="163"/>
      <c r="CW117" s="195"/>
      <c r="CX117" s="196"/>
      <c r="CY117" s="196"/>
      <c r="CZ117" s="197"/>
      <c r="DA117" s="196"/>
      <c r="DB117" s="196"/>
      <c r="DC117" s="196"/>
      <c r="DE117" s="199"/>
      <c r="DF117" s="200"/>
      <c r="DG117" s="181"/>
      <c r="DH117" s="257"/>
    </row>
    <row r="118" spans="1:112" ht="51" outlineLevel="1" x14ac:dyDescent="0.25">
      <c r="A118" s="192">
        <f>MAX(A$72:$B117)+1</f>
        <v>40</v>
      </c>
      <c r="B118" s="222" t="s">
        <v>267</v>
      </c>
      <c r="C118" s="222" t="s">
        <v>268</v>
      </c>
      <c r="D118" s="214">
        <f t="shared" si="79"/>
        <v>843</v>
      </c>
      <c r="E118" s="214"/>
      <c r="F118" s="214">
        <f t="shared" si="80"/>
        <v>843</v>
      </c>
      <c r="G118" s="257">
        <f>7000-6157</f>
        <v>843</v>
      </c>
      <c r="H118" s="257"/>
      <c r="I118" s="235"/>
      <c r="J118" s="235"/>
      <c r="K118" s="257"/>
      <c r="L118" s="235"/>
      <c r="M118" s="223"/>
      <c r="N118" s="223"/>
      <c r="O118" s="257">
        <f t="shared" si="87"/>
        <v>843</v>
      </c>
      <c r="P118" s="257">
        <v>0</v>
      </c>
      <c r="Q118" s="224">
        <f t="shared" si="82"/>
        <v>0</v>
      </c>
      <c r="R118" s="257"/>
      <c r="S118" s="225">
        <v>0</v>
      </c>
      <c r="T118" s="225">
        <v>0</v>
      </c>
      <c r="U118" s="257"/>
      <c r="V118" s="225">
        <v>0</v>
      </c>
      <c r="W118" s="225">
        <v>0</v>
      </c>
      <c r="X118" s="257"/>
      <c r="Y118" s="225">
        <v>0</v>
      </c>
      <c r="Z118" s="225">
        <v>0</v>
      </c>
      <c r="AA118" s="257"/>
      <c r="AB118" s="225">
        <v>0</v>
      </c>
      <c r="AC118" s="225">
        <v>0</v>
      </c>
      <c r="AD118" s="257"/>
      <c r="AE118" s="225">
        <v>0</v>
      </c>
      <c r="AF118" s="225">
        <v>0</v>
      </c>
      <c r="AG118" s="257"/>
      <c r="AH118" s="225">
        <v>0</v>
      </c>
      <c r="AI118" s="225">
        <v>0</v>
      </c>
      <c r="AJ118" s="257"/>
      <c r="AK118" s="225">
        <v>0</v>
      </c>
      <c r="AL118" s="225">
        <v>0</v>
      </c>
      <c r="AM118" s="257"/>
      <c r="AN118" s="225">
        <v>0</v>
      </c>
      <c r="AO118" s="225">
        <v>0</v>
      </c>
      <c r="AP118" s="225"/>
      <c r="AQ118" s="257">
        <v>180.21100000000001</v>
      </c>
      <c r="AR118" s="225">
        <v>2.5744428571428574E-2</v>
      </c>
      <c r="AS118" s="225">
        <v>2.7099398496240604E-2</v>
      </c>
      <c r="AT118" s="257">
        <v>180.21100000000001</v>
      </c>
      <c r="AU118" s="225">
        <v>2.5744428571428574E-2</v>
      </c>
      <c r="AV118" s="225">
        <v>2.7099398496240604E-2</v>
      </c>
      <c r="AW118" s="257">
        <v>180.21100000000001</v>
      </c>
      <c r="AX118" s="225">
        <v>2.5744428571428574E-2</v>
      </c>
      <c r="AY118" s="225">
        <v>2.7099398496240604E-2</v>
      </c>
      <c r="AZ118" s="257">
        <v>180.21100000000001</v>
      </c>
      <c r="BA118" s="225">
        <v>2.5744428571428574E-2</v>
      </c>
      <c r="BB118" s="225">
        <v>2.7099398496240604E-2</v>
      </c>
      <c r="BC118" s="257">
        <v>180.21100000000001</v>
      </c>
      <c r="BD118" s="225">
        <v>2.5744428571428574E-2</v>
      </c>
      <c r="BE118" s="225">
        <v>2.7099398496240604E-2</v>
      </c>
      <c r="BF118" s="257"/>
      <c r="BG118" s="257">
        <v>180.21100000000001</v>
      </c>
      <c r="BH118" s="225">
        <v>0.21377342823250298</v>
      </c>
      <c r="BI118" s="225">
        <v>0.22502466129737159</v>
      </c>
      <c r="BJ118" s="257">
        <f t="shared" si="78"/>
        <v>800.84999999999991</v>
      </c>
      <c r="BK118" s="257">
        <v>180.21100000000001</v>
      </c>
      <c r="BL118" s="225">
        <f>BK118/$D118</f>
        <v>0.21377342823250298</v>
      </c>
      <c r="BM118" s="225">
        <f t="shared" si="83"/>
        <v>0.22502466129737159</v>
      </c>
      <c r="BN118" s="205">
        <f t="shared" si="76"/>
        <v>180.21100000000001</v>
      </c>
      <c r="BO118" s="205"/>
      <c r="BP118" s="227"/>
      <c r="BQ118" s="224">
        <f t="shared" si="84"/>
        <v>0</v>
      </c>
      <c r="BR118" s="227"/>
      <c r="BS118" s="224">
        <f t="shared" si="102"/>
        <v>0</v>
      </c>
      <c r="BT118" s="227"/>
      <c r="BU118" s="224">
        <f t="shared" si="103"/>
        <v>0</v>
      </c>
      <c r="BV118" s="227"/>
      <c r="BW118" s="224">
        <f t="shared" si="104"/>
        <v>0</v>
      </c>
      <c r="BX118" s="227"/>
      <c r="BY118" s="224">
        <f t="shared" si="105"/>
        <v>0</v>
      </c>
      <c r="BZ118" s="227">
        <v>2000</v>
      </c>
      <c r="CA118" s="224">
        <f t="shared" si="106"/>
        <v>2.3724792408066429</v>
      </c>
      <c r="CB118" s="227">
        <v>2000</v>
      </c>
      <c r="CC118" s="224">
        <f t="shared" si="107"/>
        <v>2.3724792408066429</v>
      </c>
      <c r="CD118" s="227">
        <v>2000</v>
      </c>
      <c r="CE118" s="224">
        <f t="shared" si="108"/>
        <v>2.3724792408066429</v>
      </c>
      <c r="CF118" s="227">
        <v>2000</v>
      </c>
      <c r="CG118" s="224">
        <f t="shared" si="109"/>
        <v>2.3724792408066429</v>
      </c>
      <c r="CH118" s="227">
        <v>2000</v>
      </c>
      <c r="CI118" s="224">
        <f t="shared" si="110"/>
        <v>2.3724792408066429</v>
      </c>
      <c r="CJ118" s="227">
        <v>2000</v>
      </c>
      <c r="CK118" s="224">
        <f t="shared" si="111"/>
        <v>2.3724792408066429</v>
      </c>
      <c r="CL118" s="227">
        <v>2000</v>
      </c>
      <c r="CM118" s="224">
        <f t="shared" si="112"/>
        <v>2.3724792408066429</v>
      </c>
      <c r="CN118" s="227">
        <v>6650</v>
      </c>
      <c r="CO118" s="224">
        <f t="shared" si="113"/>
        <v>7.8884934756820879</v>
      </c>
      <c r="CP118" s="213" t="str">
        <f t="shared" si="85"/>
        <v>Không đạt</v>
      </c>
      <c r="CQ118" s="213" t="str">
        <f t="shared" si="86"/>
        <v>Không đạt</v>
      </c>
      <c r="CR118" s="192"/>
      <c r="CS118" s="257">
        <f t="shared" si="81"/>
        <v>0</v>
      </c>
      <c r="CT118" s="223"/>
      <c r="CU118" s="163"/>
      <c r="CW118" s="195"/>
      <c r="CX118" s="196"/>
      <c r="CY118" s="196"/>
      <c r="CZ118" s="197"/>
      <c r="DA118" s="196"/>
      <c r="DB118" s="196"/>
      <c r="DC118" s="196"/>
      <c r="DE118" s="199"/>
      <c r="DF118" s="200"/>
      <c r="DG118" s="181"/>
    </row>
    <row r="119" spans="1:112" ht="38.25" outlineLevel="1" x14ac:dyDescent="0.25">
      <c r="A119" s="192">
        <f>MAX(A$72:$B118)+1</f>
        <v>41</v>
      </c>
      <c r="B119" s="222" t="s">
        <v>269</v>
      </c>
      <c r="C119" s="222" t="s">
        <v>270</v>
      </c>
      <c r="D119" s="214">
        <f t="shared" si="79"/>
        <v>10000</v>
      </c>
      <c r="E119" s="214"/>
      <c r="F119" s="214">
        <f t="shared" si="80"/>
        <v>10000</v>
      </c>
      <c r="G119" s="257">
        <v>5000</v>
      </c>
      <c r="H119" s="257">
        <v>5000</v>
      </c>
      <c r="I119" s="235"/>
      <c r="J119" s="235"/>
      <c r="K119" s="257"/>
      <c r="L119" s="235"/>
      <c r="M119" s="223"/>
      <c r="N119" s="223"/>
      <c r="O119" s="257">
        <f t="shared" si="87"/>
        <v>5000</v>
      </c>
      <c r="P119" s="257">
        <v>0</v>
      </c>
      <c r="Q119" s="224">
        <f t="shared" si="82"/>
        <v>0</v>
      </c>
      <c r="R119" s="257"/>
      <c r="S119" s="225">
        <v>0</v>
      </c>
      <c r="T119" s="225">
        <v>0</v>
      </c>
      <c r="U119" s="257"/>
      <c r="V119" s="225">
        <v>0</v>
      </c>
      <c r="W119" s="225">
        <v>0</v>
      </c>
      <c r="X119" s="257"/>
      <c r="Y119" s="225">
        <v>0</v>
      </c>
      <c r="Z119" s="225">
        <v>0</v>
      </c>
      <c r="AA119" s="257"/>
      <c r="AB119" s="225">
        <v>0</v>
      </c>
      <c r="AC119" s="225">
        <v>0</v>
      </c>
      <c r="AD119" s="257"/>
      <c r="AE119" s="225">
        <v>0</v>
      </c>
      <c r="AF119" s="225">
        <v>0</v>
      </c>
      <c r="AG119" s="257"/>
      <c r="AH119" s="225">
        <v>0</v>
      </c>
      <c r="AI119" s="225">
        <v>0</v>
      </c>
      <c r="AJ119" s="257"/>
      <c r="AK119" s="225">
        <v>0</v>
      </c>
      <c r="AL119" s="225">
        <v>0</v>
      </c>
      <c r="AM119" s="257"/>
      <c r="AN119" s="225">
        <v>0</v>
      </c>
      <c r="AO119" s="225">
        <v>0</v>
      </c>
      <c r="AP119" s="225"/>
      <c r="AQ119" s="257"/>
      <c r="AR119" s="225">
        <v>0</v>
      </c>
      <c r="AS119" s="225">
        <v>0</v>
      </c>
      <c r="AT119" s="257"/>
      <c r="AU119" s="225">
        <v>0</v>
      </c>
      <c r="AV119" s="225">
        <v>0</v>
      </c>
      <c r="AW119" s="257"/>
      <c r="AX119" s="225">
        <v>0</v>
      </c>
      <c r="AY119" s="225">
        <v>0</v>
      </c>
      <c r="AZ119" s="257"/>
      <c r="BA119" s="225">
        <v>0</v>
      </c>
      <c r="BB119" s="225">
        <v>0</v>
      </c>
      <c r="BC119" s="257"/>
      <c r="BD119" s="225">
        <v>0</v>
      </c>
      <c r="BE119" s="225">
        <v>0</v>
      </c>
      <c r="BF119" s="257"/>
      <c r="BG119" s="257"/>
      <c r="BH119" s="225">
        <v>0</v>
      </c>
      <c r="BI119" s="225">
        <v>0</v>
      </c>
      <c r="BJ119" s="257">
        <f t="shared" si="78"/>
        <v>9500</v>
      </c>
      <c r="BK119" s="257"/>
      <c r="BL119" s="225">
        <f t="shared" si="101"/>
        <v>0</v>
      </c>
      <c r="BM119" s="225">
        <f t="shared" si="83"/>
        <v>0</v>
      </c>
      <c r="BN119" s="205">
        <f t="shared" si="76"/>
        <v>0</v>
      </c>
      <c r="BO119" s="205"/>
      <c r="BP119" s="227"/>
      <c r="BQ119" s="224">
        <f t="shared" si="84"/>
        <v>0</v>
      </c>
      <c r="BR119" s="227"/>
      <c r="BS119" s="224">
        <f t="shared" si="102"/>
        <v>0</v>
      </c>
      <c r="BT119" s="227"/>
      <c r="BU119" s="224">
        <f t="shared" si="103"/>
        <v>0</v>
      </c>
      <c r="BV119" s="227">
        <v>3000</v>
      </c>
      <c r="BW119" s="224">
        <f t="shared" si="104"/>
        <v>0.3</v>
      </c>
      <c r="BX119" s="227">
        <v>3000</v>
      </c>
      <c r="BY119" s="224">
        <f t="shared" si="105"/>
        <v>0.3</v>
      </c>
      <c r="BZ119" s="227">
        <v>5000</v>
      </c>
      <c r="CA119" s="224">
        <f t="shared" si="106"/>
        <v>0.5</v>
      </c>
      <c r="CB119" s="227">
        <v>5000</v>
      </c>
      <c r="CC119" s="224">
        <f t="shared" si="107"/>
        <v>0.5</v>
      </c>
      <c r="CD119" s="227">
        <v>5000</v>
      </c>
      <c r="CE119" s="224">
        <f t="shared" si="108"/>
        <v>0.5</v>
      </c>
      <c r="CF119" s="227">
        <v>8000</v>
      </c>
      <c r="CG119" s="224">
        <f t="shared" si="109"/>
        <v>0.8</v>
      </c>
      <c r="CH119" s="227">
        <v>8000</v>
      </c>
      <c r="CI119" s="224">
        <f t="shared" si="110"/>
        <v>0.8</v>
      </c>
      <c r="CJ119" s="227">
        <v>9500</v>
      </c>
      <c r="CK119" s="224">
        <f t="shared" si="111"/>
        <v>0.95</v>
      </c>
      <c r="CL119" s="227">
        <v>9500</v>
      </c>
      <c r="CM119" s="224">
        <f t="shared" si="112"/>
        <v>0.95</v>
      </c>
      <c r="CN119" s="227">
        <v>9500</v>
      </c>
      <c r="CO119" s="224">
        <f t="shared" si="113"/>
        <v>0.95</v>
      </c>
      <c r="CP119" s="213" t="str">
        <f t="shared" si="85"/>
        <v>Không đạt</v>
      </c>
      <c r="CQ119" s="213" t="str">
        <f t="shared" si="86"/>
        <v>Không đạt</v>
      </c>
      <c r="CR119" s="192"/>
      <c r="CS119" s="257">
        <f t="shared" si="81"/>
        <v>0</v>
      </c>
      <c r="CT119" s="223"/>
      <c r="CU119" s="163"/>
      <c r="CW119" s="195"/>
      <c r="CX119" s="196"/>
      <c r="CY119" s="196"/>
      <c r="CZ119" s="197"/>
      <c r="DA119" s="196"/>
      <c r="DB119" s="196"/>
      <c r="DC119" s="196"/>
      <c r="DE119" s="199"/>
      <c r="DF119" s="200"/>
      <c r="DG119" s="181"/>
    </row>
    <row r="120" spans="1:112" outlineLevel="1" x14ac:dyDescent="0.25">
      <c r="A120" s="192">
        <f>MAX(A$72:$B119)+1</f>
        <v>42</v>
      </c>
      <c r="B120" s="222" t="s">
        <v>271</v>
      </c>
      <c r="C120" s="222" t="s">
        <v>272</v>
      </c>
      <c r="D120" s="214">
        <f t="shared" si="79"/>
        <v>10000</v>
      </c>
      <c r="E120" s="214"/>
      <c r="F120" s="214">
        <f t="shared" si="80"/>
        <v>10000</v>
      </c>
      <c r="G120" s="257">
        <v>5000</v>
      </c>
      <c r="H120" s="257">
        <v>5000</v>
      </c>
      <c r="I120" s="235"/>
      <c r="J120" s="235"/>
      <c r="K120" s="257"/>
      <c r="L120" s="235"/>
      <c r="M120" s="223"/>
      <c r="N120" s="223"/>
      <c r="O120" s="257">
        <f t="shared" si="87"/>
        <v>5000</v>
      </c>
      <c r="P120" s="257">
        <v>0</v>
      </c>
      <c r="Q120" s="224">
        <f t="shared" si="82"/>
        <v>0</v>
      </c>
      <c r="R120" s="257"/>
      <c r="S120" s="225">
        <v>0</v>
      </c>
      <c r="T120" s="225">
        <v>0</v>
      </c>
      <c r="U120" s="257"/>
      <c r="V120" s="225">
        <v>0</v>
      </c>
      <c r="W120" s="225">
        <v>0</v>
      </c>
      <c r="X120" s="257"/>
      <c r="Y120" s="225">
        <v>0</v>
      </c>
      <c r="Z120" s="225">
        <v>0</v>
      </c>
      <c r="AA120" s="257"/>
      <c r="AB120" s="225">
        <v>0</v>
      </c>
      <c r="AC120" s="225">
        <v>0</v>
      </c>
      <c r="AD120" s="257"/>
      <c r="AE120" s="225">
        <v>0</v>
      </c>
      <c r="AF120" s="225">
        <v>0</v>
      </c>
      <c r="AG120" s="257"/>
      <c r="AH120" s="225">
        <v>0</v>
      </c>
      <c r="AI120" s="225">
        <v>0</v>
      </c>
      <c r="AJ120" s="257"/>
      <c r="AK120" s="225">
        <v>0</v>
      </c>
      <c r="AL120" s="225">
        <v>0</v>
      </c>
      <c r="AM120" s="257"/>
      <c r="AN120" s="225">
        <v>0</v>
      </c>
      <c r="AO120" s="225">
        <v>0</v>
      </c>
      <c r="AP120" s="225"/>
      <c r="AQ120" s="257"/>
      <c r="AR120" s="225">
        <v>0</v>
      </c>
      <c r="AS120" s="225">
        <v>0</v>
      </c>
      <c r="AT120" s="257"/>
      <c r="AU120" s="225">
        <v>0</v>
      </c>
      <c r="AV120" s="225">
        <v>0</v>
      </c>
      <c r="AW120" s="257"/>
      <c r="AX120" s="225">
        <v>0</v>
      </c>
      <c r="AY120" s="225">
        <v>0</v>
      </c>
      <c r="AZ120" s="257"/>
      <c r="BA120" s="225">
        <v>0</v>
      </c>
      <c r="BB120" s="225">
        <v>0</v>
      </c>
      <c r="BC120" s="257"/>
      <c r="BD120" s="225">
        <v>0</v>
      </c>
      <c r="BE120" s="225">
        <v>0</v>
      </c>
      <c r="BF120" s="257"/>
      <c r="BG120" s="257"/>
      <c r="BH120" s="225">
        <v>0</v>
      </c>
      <c r="BI120" s="225">
        <v>0</v>
      </c>
      <c r="BJ120" s="257">
        <f t="shared" si="78"/>
        <v>9500</v>
      </c>
      <c r="BK120" s="257"/>
      <c r="BL120" s="225">
        <f t="shared" si="101"/>
        <v>0</v>
      </c>
      <c r="BM120" s="225">
        <f t="shared" si="83"/>
        <v>0</v>
      </c>
      <c r="BN120" s="205">
        <f t="shared" si="76"/>
        <v>0</v>
      </c>
      <c r="BO120" s="205"/>
      <c r="BP120" s="227"/>
      <c r="BQ120" s="224">
        <f t="shared" si="84"/>
        <v>0</v>
      </c>
      <c r="BR120" s="227"/>
      <c r="BS120" s="224">
        <f t="shared" si="102"/>
        <v>0</v>
      </c>
      <c r="BT120" s="227"/>
      <c r="BU120" s="224">
        <f t="shared" si="103"/>
        <v>0</v>
      </c>
      <c r="BV120" s="227">
        <v>3000</v>
      </c>
      <c r="BW120" s="224">
        <f t="shared" si="104"/>
        <v>0.3</v>
      </c>
      <c r="BX120" s="227">
        <v>3000</v>
      </c>
      <c r="BY120" s="224">
        <f t="shared" si="105"/>
        <v>0.3</v>
      </c>
      <c r="BZ120" s="227">
        <v>5000</v>
      </c>
      <c r="CA120" s="224">
        <f t="shared" si="106"/>
        <v>0.5</v>
      </c>
      <c r="CB120" s="227">
        <v>5000</v>
      </c>
      <c r="CC120" s="224">
        <f t="shared" si="107"/>
        <v>0.5</v>
      </c>
      <c r="CD120" s="227">
        <v>5000</v>
      </c>
      <c r="CE120" s="224">
        <f t="shared" si="108"/>
        <v>0.5</v>
      </c>
      <c r="CF120" s="227">
        <v>8000</v>
      </c>
      <c r="CG120" s="224">
        <f t="shared" si="109"/>
        <v>0.8</v>
      </c>
      <c r="CH120" s="227">
        <v>8000</v>
      </c>
      <c r="CI120" s="224">
        <f t="shared" si="110"/>
        <v>0.8</v>
      </c>
      <c r="CJ120" s="227">
        <v>9500</v>
      </c>
      <c r="CK120" s="224">
        <f t="shared" si="111"/>
        <v>0.95</v>
      </c>
      <c r="CL120" s="227">
        <v>9500</v>
      </c>
      <c r="CM120" s="224">
        <f t="shared" si="112"/>
        <v>0.95</v>
      </c>
      <c r="CN120" s="227">
        <v>9500</v>
      </c>
      <c r="CO120" s="224">
        <f t="shared" si="113"/>
        <v>0.95</v>
      </c>
      <c r="CP120" s="213" t="str">
        <f t="shared" si="85"/>
        <v>Không đạt</v>
      </c>
      <c r="CQ120" s="213" t="str">
        <f t="shared" si="86"/>
        <v>Không đạt</v>
      </c>
      <c r="CR120" s="192"/>
      <c r="CS120" s="257">
        <f t="shared" si="81"/>
        <v>0</v>
      </c>
      <c r="CT120" s="223"/>
      <c r="CU120" s="163"/>
      <c r="CW120" s="195"/>
      <c r="CX120" s="196"/>
      <c r="CY120" s="196"/>
      <c r="CZ120" s="197"/>
      <c r="DA120" s="196"/>
      <c r="DB120" s="196"/>
      <c r="DC120" s="196"/>
      <c r="DE120" s="199"/>
      <c r="DF120" s="200"/>
      <c r="DG120" s="181"/>
    </row>
    <row r="121" spans="1:112" ht="25.5" outlineLevel="1" x14ac:dyDescent="0.25">
      <c r="A121" s="192">
        <f>MAX(A$72:$B120)+1</f>
        <v>43</v>
      </c>
      <c r="B121" s="222" t="s">
        <v>273</v>
      </c>
      <c r="C121" s="222" t="s">
        <v>274</v>
      </c>
      <c r="D121" s="214">
        <f t="shared" si="79"/>
        <v>10000</v>
      </c>
      <c r="E121" s="214"/>
      <c r="F121" s="214">
        <f t="shared" si="80"/>
        <v>10000</v>
      </c>
      <c r="G121" s="257">
        <v>5000</v>
      </c>
      <c r="H121" s="257">
        <v>5000</v>
      </c>
      <c r="I121" s="235"/>
      <c r="J121" s="235"/>
      <c r="K121" s="257"/>
      <c r="L121" s="235"/>
      <c r="M121" s="223"/>
      <c r="N121" s="223"/>
      <c r="O121" s="257">
        <f t="shared" si="87"/>
        <v>5000</v>
      </c>
      <c r="P121" s="257">
        <v>0</v>
      </c>
      <c r="Q121" s="224">
        <f t="shared" si="82"/>
        <v>0</v>
      </c>
      <c r="R121" s="257"/>
      <c r="S121" s="225">
        <v>0</v>
      </c>
      <c r="T121" s="225">
        <v>0</v>
      </c>
      <c r="U121" s="257"/>
      <c r="V121" s="225">
        <v>0</v>
      </c>
      <c r="W121" s="225">
        <v>0</v>
      </c>
      <c r="X121" s="257"/>
      <c r="Y121" s="225">
        <v>0</v>
      </c>
      <c r="Z121" s="225">
        <v>0</v>
      </c>
      <c r="AA121" s="257"/>
      <c r="AB121" s="225">
        <v>0</v>
      </c>
      <c r="AC121" s="225">
        <v>0</v>
      </c>
      <c r="AD121" s="257">
        <v>14</v>
      </c>
      <c r="AE121" s="225">
        <v>1.4E-3</v>
      </c>
      <c r="AF121" s="225">
        <v>1.4736842105263158E-3</v>
      </c>
      <c r="AG121" s="257">
        <v>14</v>
      </c>
      <c r="AH121" s="225">
        <v>1.4E-3</v>
      </c>
      <c r="AI121" s="225">
        <v>1.4736842105263158E-3</v>
      </c>
      <c r="AJ121" s="257">
        <v>14</v>
      </c>
      <c r="AK121" s="225">
        <v>1.4E-3</v>
      </c>
      <c r="AL121" s="225">
        <v>1.4736842105263158E-3</v>
      </c>
      <c r="AM121" s="257">
        <v>14</v>
      </c>
      <c r="AN121" s="225">
        <v>1.4E-3</v>
      </c>
      <c r="AO121" s="225">
        <v>1.4736842105263158E-3</v>
      </c>
      <c r="AP121" s="225"/>
      <c r="AQ121" s="257">
        <v>14</v>
      </c>
      <c r="AR121" s="225">
        <v>1.4E-3</v>
      </c>
      <c r="AS121" s="225">
        <v>1.4736842105263158E-3</v>
      </c>
      <c r="AT121" s="257">
        <v>14</v>
      </c>
      <c r="AU121" s="225">
        <v>1.4E-3</v>
      </c>
      <c r="AV121" s="225">
        <v>1.4736842105263158E-3</v>
      </c>
      <c r="AW121" s="257">
        <v>14</v>
      </c>
      <c r="AX121" s="225">
        <v>1.4E-3</v>
      </c>
      <c r="AY121" s="225">
        <v>1.4736842105263158E-3</v>
      </c>
      <c r="AZ121" s="257">
        <v>14</v>
      </c>
      <c r="BA121" s="225">
        <v>1.4E-3</v>
      </c>
      <c r="BB121" s="225">
        <v>1.4736842105263158E-3</v>
      </c>
      <c r="BC121" s="257">
        <v>14</v>
      </c>
      <c r="BD121" s="225">
        <v>1.4E-3</v>
      </c>
      <c r="BE121" s="225">
        <v>1.4736842105263158E-3</v>
      </c>
      <c r="BF121" s="257"/>
      <c r="BG121" s="257">
        <v>14</v>
      </c>
      <c r="BH121" s="225">
        <v>1.4E-3</v>
      </c>
      <c r="BI121" s="225">
        <v>1.4736842105263158E-3</v>
      </c>
      <c r="BJ121" s="257">
        <f t="shared" si="78"/>
        <v>9500</v>
      </c>
      <c r="BK121" s="257">
        <v>14</v>
      </c>
      <c r="BL121" s="225">
        <f t="shared" si="101"/>
        <v>1.4E-3</v>
      </c>
      <c r="BM121" s="225">
        <f t="shared" si="83"/>
        <v>1.4736842105263158E-3</v>
      </c>
      <c r="BN121" s="205">
        <f t="shared" si="76"/>
        <v>0</v>
      </c>
      <c r="BO121" s="205"/>
      <c r="BP121" s="227"/>
      <c r="BQ121" s="224">
        <f t="shared" si="84"/>
        <v>0</v>
      </c>
      <c r="BR121" s="227"/>
      <c r="BS121" s="224">
        <f t="shared" si="102"/>
        <v>0</v>
      </c>
      <c r="BT121" s="227"/>
      <c r="BU121" s="224">
        <f t="shared" si="103"/>
        <v>0</v>
      </c>
      <c r="BV121" s="227"/>
      <c r="BW121" s="224">
        <f t="shared" si="104"/>
        <v>0</v>
      </c>
      <c r="BX121" s="227">
        <v>3000</v>
      </c>
      <c r="BY121" s="224">
        <f t="shared" si="105"/>
        <v>0.3</v>
      </c>
      <c r="BZ121" s="227">
        <v>3000</v>
      </c>
      <c r="CA121" s="224">
        <f t="shared" si="106"/>
        <v>0.3</v>
      </c>
      <c r="CB121" s="227">
        <v>5000</v>
      </c>
      <c r="CC121" s="224">
        <f t="shared" si="107"/>
        <v>0.5</v>
      </c>
      <c r="CD121" s="227">
        <v>5000</v>
      </c>
      <c r="CE121" s="224">
        <f t="shared" si="108"/>
        <v>0.5</v>
      </c>
      <c r="CF121" s="227">
        <v>7000</v>
      </c>
      <c r="CG121" s="224">
        <f t="shared" si="109"/>
        <v>0.7</v>
      </c>
      <c r="CH121" s="227">
        <v>7000</v>
      </c>
      <c r="CI121" s="224">
        <f t="shared" si="110"/>
        <v>0.7</v>
      </c>
      <c r="CJ121" s="227">
        <v>9000</v>
      </c>
      <c r="CK121" s="224">
        <f t="shared" si="111"/>
        <v>0.9</v>
      </c>
      <c r="CL121" s="227">
        <v>9500</v>
      </c>
      <c r="CM121" s="224">
        <f t="shared" si="112"/>
        <v>0.95</v>
      </c>
      <c r="CN121" s="227">
        <v>9500</v>
      </c>
      <c r="CO121" s="224">
        <f t="shared" si="113"/>
        <v>0.95</v>
      </c>
      <c r="CP121" s="213" t="str">
        <f t="shared" si="85"/>
        <v>Không đạt</v>
      </c>
      <c r="CQ121" s="213" t="str">
        <f t="shared" si="86"/>
        <v>Không đạt</v>
      </c>
      <c r="CR121" s="192"/>
      <c r="CS121" s="257">
        <f t="shared" si="81"/>
        <v>0</v>
      </c>
      <c r="CT121" s="223"/>
      <c r="CU121" s="163"/>
      <c r="CW121" s="195"/>
      <c r="CX121" s="196"/>
      <c r="CY121" s="196"/>
      <c r="CZ121" s="197"/>
      <c r="DA121" s="196"/>
      <c r="DB121" s="196"/>
      <c r="DC121" s="196"/>
      <c r="DE121" s="199"/>
      <c r="DF121" s="200"/>
      <c r="DG121" s="181"/>
    </row>
    <row r="122" spans="1:112" ht="25.5" outlineLevel="1" x14ac:dyDescent="0.25">
      <c r="A122" s="192">
        <f>MAX(A$72:$B121)+1</f>
        <v>44</v>
      </c>
      <c r="B122" s="222" t="s">
        <v>275</v>
      </c>
      <c r="C122" s="222" t="s">
        <v>276</v>
      </c>
      <c r="D122" s="214">
        <f t="shared" si="79"/>
        <v>1316</v>
      </c>
      <c r="E122" s="214"/>
      <c r="F122" s="214">
        <f t="shared" si="80"/>
        <v>1316</v>
      </c>
      <c r="G122" s="257">
        <f>5000-3684</f>
        <v>1316</v>
      </c>
      <c r="H122" s="257"/>
      <c r="I122" s="235"/>
      <c r="J122" s="235"/>
      <c r="K122" s="257"/>
      <c r="L122" s="235"/>
      <c r="M122" s="223"/>
      <c r="N122" s="223"/>
      <c r="O122" s="257">
        <f t="shared" si="87"/>
        <v>1316</v>
      </c>
      <c r="P122" s="257">
        <v>0</v>
      </c>
      <c r="Q122" s="224">
        <f t="shared" si="82"/>
        <v>0</v>
      </c>
      <c r="R122" s="257"/>
      <c r="S122" s="225">
        <v>0</v>
      </c>
      <c r="T122" s="225">
        <v>0</v>
      </c>
      <c r="U122" s="257"/>
      <c r="V122" s="225">
        <v>0</v>
      </c>
      <c r="W122" s="225">
        <v>0</v>
      </c>
      <c r="X122" s="257"/>
      <c r="Y122" s="225">
        <v>0</v>
      </c>
      <c r="Z122" s="225">
        <v>0</v>
      </c>
      <c r="AA122" s="257"/>
      <c r="AB122" s="225">
        <v>0</v>
      </c>
      <c r="AC122" s="225">
        <v>0</v>
      </c>
      <c r="AD122" s="257"/>
      <c r="AE122" s="225">
        <v>0</v>
      </c>
      <c r="AF122" s="225">
        <v>0</v>
      </c>
      <c r="AG122" s="257"/>
      <c r="AH122" s="225">
        <v>0</v>
      </c>
      <c r="AI122" s="225">
        <v>0</v>
      </c>
      <c r="AJ122" s="250"/>
      <c r="AK122" s="225">
        <v>0</v>
      </c>
      <c r="AL122" s="225">
        <v>0</v>
      </c>
      <c r="AM122" s="257"/>
      <c r="AN122" s="225">
        <v>0</v>
      </c>
      <c r="AO122" s="225">
        <v>0</v>
      </c>
      <c r="AP122" s="225"/>
      <c r="AQ122" s="257"/>
      <c r="AR122" s="225">
        <v>0</v>
      </c>
      <c r="AS122" s="225">
        <v>0</v>
      </c>
      <c r="AT122" s="257"/>
      <c r="AU122" s="225">
        <v>0</v>
      </c>
      <c r="AV122" s="225">
        <v>0</v>
      </c>
      <c r="AW122" s="257"/>
      <c r="AX122" s="225">
        <v>0</v>
      </c>
      <c r="AY122" s="225">
        <v>0</v>
      </c>
      <c r="AZ122" s="257"/>
      <c r="BA122" s="225">
        <v>0</v>
      </c>
      <c r="BB122" s="225">
        <v>0</v>
      </c>
      <c r="BC122" s="257"/>
      <c r="BD122" s="225">
        <v>0</v>
      </c>
      <c r="BE122" s="225">
        <v>0</v>
      </c>
      <c r="BF122" s="257"/>
      <c r="BG122" s="257"/>
      <c r="BH122" s="225">
        <v>0</v>
      </c>
      <c r="BI122" s="225">
        <v>0</v>
      </c>
      <c r="BJ122" s="257">
        <f t="shared" si="78"/>
        <v>1250.2</v>
      </c>
      <c r="BK122" s="257"/>
      <c r="BL122" s="225">
        <f t="shared" si="101"/>
        <v>0</v>
      </c>
      <c r="BM122" s="225">
        <f t="shared" si="83"/>
        <v>0</v>
      </c>
      <c r="BN122" s="205">
        <f t="shared" si="76"/>
        <v>0</v>
      </c>
      <c r="BO122" s="205"/>
      <c r="BP122" s="227"/>
      <c r="BQ122" s="224">
        <f t="shared" si="84"/>
        <v>0</v>
      </c>
      <c r="BR122" s="227"/>
      <c r="BS122" s="224">
        <f t="shared" si="102"/>
        <v>0</v>
      </c>
      <c r="BT122" s="227"/>
      <c r="BU122" s="224">
        <f t="shared" si="103"/>
        <v>0</v>
      </c>
      <c r="BV122" s="227"/>
      <c r="BW122" s="224">
        <f t="shared" si="104"/>
        <v>0</v>
      </c>
      <c r="BX122" s="227"/>
      <c r="BY122" s="224">
        <f t="shared" si="105"/>
        <v>0</v>
      </c>
      <c r="BZ122" s="227">
        <v>1000</v>
      </c>
      <c r="CA122" s="224">
        <f t="shared" si="106"/>
        <v>0.75987841945288759</v>
      </c>
      <c r="CB122" s="227">
        <v>1000</v>
      </c>
      <c r="CC122" s="224">
        <f t="shared" si="107"/>
        <v>0.75987841945288759</v>
      </c>
      <c r="CD122" s="227">
        <v>1000</v>
      </c>
      <c r="CE122" s="224">
        <f t="shared" si="108"/>
        <v>0.75987841945288759</v>
      </c>
      <c r="CF122" s="227">
        <v>2000</v>
      </c>
      <c r="CG122" s="224">
        <f t="shared" si="109"/>
        <v>1.5197568389057752</v>
      </c>
      <c r="CH122" s="227">
        <v>2000</v>
      </c>
      <c r="CI122" s="224">
        <f t="shared" si="110"/>
        <v>1.5197568389057752</v>
      </c>
      <c r="CJ122" s="227">
        <v>3000</v>
      </c>
      <c r="CK122" s="224">
        <f t="shared" si="111"/>
        <v>2.2796352583586628</v>
      </c>
      <c r="CL122" s="227">
        <v>3000</v>
      </c>
      <c r="CM122" s="224">
        <f t="shared" si="112"/>
        <v>2.2796352583586628</v>
      </c>
      <c r="CN122" s="227">
        <v>4750</v>
      </c>
      <c r="CO122" s="224">
        <f t="shared" si="113"/>
        <v>3.6094224924012157</v>
      </c>
      <c r="CP122" s="213" t="str">
        <f t="shared" si="85"/>
        <v>Không đạt</v>
      </c>
      <c r="CQ122" s="213" t="str">
        <f t="shared" si="86"/>
        <v>Không đạt</v>
      </c>
      <c r="CR122" s="192"/>
      <c r="CS122" s="257">
        <f t="shared" si="81"/>
        <v>0</v>
      </c>
      <c r="CT122" s="223"/>
      <c r="CU122" s="163"/>
      <c r="CW122" s="195"/>
      <c r="CX122" s="196"/>
      <c r="CY122" s="196"/>
      <c r="CZ122" s="197"/>
      <c r="DA122" s="196"/>
      <c r="DB122" s="196"/>
      <c r="DC122" s="196"/>
      <c r="DE122" s="199"/>
      <c r="DF122" s="200"/>
      <c r="DG122" s="181"/>
    </row>
    <row r="123" spans="1:112" ht="25.5" outlineLevel="1" x14ac:dyDescent="0.25">
      <c r="A123" s="192">
        <f ca="1">MAX(A$15:$B129)+1</f>
        <v>76</v>
      </c>
      <c r="B123" s="222" t="s">
        <v>277</v>
      </c>
      <c r="C123" s="222" t="s">
        <v>278</v>
      </c>
      <c r="D123" s="214">
        <f t="shared" si="79"/>
        <v>10000</v>
      </c>
      <c r="E123" s="214"/>
      <c r="F123" s="214">
        <f t="shared" si="80"/>
        <v>10000</v>
      </c>
      <c r="G123" s="257">
        <v>10000</v>
      </c>
      <c r="H123" s="257"/>
      <c r="I123" s="235"/>
      <c r="J123" s="235"/>
      <c r="K123" s="257"/>
      <c r="L123" s="235"/>
      <c r="M123" s="223"/>
      <c r="N123" s="223"/>
      <c r="O123" s="257">
        <f t="shared" si="87"/>
        <v>10000</v>
      </c>
      <c r="P123" s="257">
        <v>0</v>
      </c>
      <c r="Q123" s="224">
        <f t="shared" si="82"/>
        <v>0</v>
      </c>
      <c r="R123" s="257"/>
      <c r="S123" s="225">
        <v>0</v>
      </c>
      <c r="T123" s="225">
        <v>0</v>
      </c>
      <c r="U123" s="257"/>
      <c r="V123" s="225">
        <v>0</v>
      </c>
      <c r="W123" s="225">
        <v>0</v>
      </c>
      <c r="X123" s="257"/>
      <c r="Y123" s="225">
        <v>0</v>
      </c>
      <c r="Z123" s="225">
        <v>0</v>
      </c>
      <c r="AA123" s="257"/>
      <c r="AB123" s="225">
        <v>0</v>
      </c>
      <c r="AC123" s="225">
        <v>0</v>
      </c>
      <c r="AD123" s="257"/>
      <c r="AE123" s="225">
        <v>0</v>
      </c>
      <c r="AF123" s="225">
        <v>0</v>
      </c>
      <c r="AG123" s="257"/>
      <c r="AH123" s="225">
        <v>0</v>
      </c>
      <c r="AI123" s="225">
        <v>0</v>
      </c>
      <c r="AJ123" s="257"/>
      <c r="AK123" s="225">
        <v>0</v>
      </c>
      <c r="AL123" s="225">
        <v>0</v>
      </c>
      <c r="AM123" s="257"/>
      <c r="AN123" s="225">
        <v>0</v>
      </c>
      <c r="AO123" s="225">
        <v>0</v>
      </c>
      <c r="AP123" s="225"/>
      <c r="AQ123" s="257">
        <v>265.08</v>
      </c>
      <c r="AR123" s="225">
        <v>2.6507999999999997E-2</v>
      </c>
      <c r="AS123" s="225">
        <v>2.7903157894736842E-2</v>
      </c>
      <c r="AT123" s="257">
        <v>265.08</v>
      </c>
      <c r="AU123" s="225">
        <v>2.6507999999999997E-2</v>
      </c>
      <c r="AV123" s="225">
        <v>2.7903157894736842E-2</v>
      </c>
      <c r="AW123" s="257">
        <v>265.08</v>
      </c>
      <c r="AX123" s="225">
        <v>2.6507999999999997E-2</v>
      </c>
      <c r="AY123" s="225">
        <v>2.7903157894736842E-2</v>
      </c>
      <c r="AZ123" s="257">
        <v>265.08</v>
      </c>
      <c r="BA123" s="225">
        <v>2.6507999999999997E-2</v>
      </c>
      <c r="BB123" s="225">
        <v>2.7903157894736842E-2</v>
      </c>
      <c r="BC123" s="257">
        <v>541.07999999999993</v>
      </c>
      <c r="BD123" s="225">
        <v>5.4107999999999989E-2</v>
      </c>
      <c r="BE123" s="225">
        <v>5.6955789473684203E-2</v>
      </c>
      <c r="BF123" s="257"/>
      <c r="BG123" s="257">
        <v>541.07999999999993</v>
      </c>
      <c r="BH123" s="225">
        <v>5.4107999999999989E-2</v>
      </c>
      <c r="BI123" s="225">
        <v>5.6955789473684203E-2</v>
      </c>
      <c r="BJ123" s="257">
        <f t="shared" si="78"/>
        <v>9500</v>
      </c>
      <c r="BK123" s="257">
        <v>551.31699999999989</v>
      </c>
      <c r="BL123" s="225">
        <f t="shared" si="101"/>
        <v>5.5131699999999992E-2</v>
      </c>
      <c r="BM123" s="225">
        <f t="shared" si="83"/>
        <v>5.8033368421052618E-2</v>
      </c>
      <c r="BN123" s="205">
        <f t="shared" si="76"/>
        <v>551.31699999999989</v>
      </c>
      <c r="BO123" s="205"/>
      <c r="BP123" s="227"/>
      <c r="BQ123" s="224">
        <f t="shared" si="84"/>
        <v>0</v>
      </c>
      <c r="BR123" s="227"/>
      <c r="BS123" s="224">
        <f t="shared" si="102"/>
        <v>0</v>
      </c>
      <c r="BT123" s="227">
        <v>2000</v>
      </c>
      <c r="BU123" s="224">
        <f t="shared" si="103"/>
        <v>0.2</v>
      </c>
      <c r="BV123" s="227">
        <v>2000</v>
      </c>
      <c r="BW123" s="224">
        <f t="shared" si="104"/>
        <v>0.2</v>
      </c>
      <c r="BX123" s="227">
        <v>2000</v>
      </c>
      <c r="BY123" s="224">
        <f t="shared" si="105"/>
        <v>0.2</v>
      </c>
      <c r="BZ123" s="227">
        <v>4000</v>
      </c>
      <c r="CA123" s="224">
        <f t="shared" si="106"/>
        <v>0.4</v>
      </c>
      <c r="CB123" s="227">
        <v>4000</v>
      </c>
      <c r="CC123" s="224">
        <f t="shared" si="107"/>
        <v>0.4</v>
      </c>
      <c r="CD123" s="227">
        <v>4000</v>
      </c>
      <c r="CE123" s="224">
        <f t="shared" si="108"/>
        <v>0.4</v>
      </c>
      <c r="CF123" s="227">
        <v>4000</v>
      </c>
      <c r="CG123" s="224">
        <f t="shared" si="109"/>
        <v>0.4</v>
      </c>
      <c r="CH123" s="227">
        <v>6000</v>
      </c>
      <c r="CI123" s="224">
        <f t="shared" si="110"/>
        <v>0.6</v>
      </c>
      <c r="CJ123" s="227">
        <v>6000</v>
      </c>
      <c r="CK123" s="224">
        <f t="shared" si="111"/>
        <v>0.6</v>
      </c>
      <c r="CL123" s="227">
        <v>9500</v>
      </c>
      <c r="CM123" s="224">
        <f t="shared" si="112"/>
        <v>0.95</v>
      </c>
      <c r="CN123" s="227">
        <v>9500</v>
      </c>
      <c r="CO123" s="224">
        <f t="shared" si="113"/>
        <v>0.95</v>
      </c>
      <c r="CP123" s="213" t="str">
        <f t="shared" si="85"/>
        <v>Không đạt</v>
      </c>
      <c r="CQ123" s="213" t="str">
        <f t="shared" si="86"/>
        <v>Không đạt</v>
      </c>
      <c r="CR123" s="192"/>
      <c r="CS123" s="257">
        <f t="shared" si="81"/>
        <v>286.23699999999991</v>
      </c>
      <c r="CT123" s="223"/>
      <c r="CU123" s="163"/>
      <c r="CW123" s="195"/>
      <c r="CX123" s="196"/>
      <c r="CY123" s="196"/>
      <c r="CZ123" s="197"/>
      <c r="DA123" s="196"/>
      <c r="DB123" s="196"/>
      <c r="DC123" s="196"/>
      <c r="DE123" s="199"/>
      <c r="DF123" s="200"/>
      <c r="DG123" s="181"/>
    </row>
    <row r="124" spans="1:112" ht="38.25" outlineLevel="1" x14ac:dyDescent="0.25">
      <c r="A124" s="192">
        <f ca="1">MAX(A$15:$B123)+1</f>
        <v>73</v>
      </c>
      <c r="B124" s="222" t="s">
        <v>279</v>
      </c>
      <c r="C124" s="222">
        <v>8033132</v>
      </c>
      <c r="D124" s="214">
        <f t="shared" si="79"/>
        <v>15000</v>
      </c>
      <c r="E124" s="214"/>
      <c r="F124" s="214">
        <f t="shared" si="80"/>
        <v>15000</v>
      </c>
      <c r="G124" s="257"/>
      <c r="H124" s="257">
        <v>15000</v>
      </c>
      <c r="I124" s="235">
        <v>12300</v>
      </c>
      <c r="J124" s="257">
        <v>12300</v>
      </c>
      <c r="K124" s="257"/>
      <c r="L124" s="235"/>
      <c r="M124" s="223"/>
      <c r="N124" s="223"/>
      <c r="O124" s="257">
        <f t="shared" si="87"/>
        <v>12300</v>
      </c>
      <c r="P124" s="257">
        <v>0</v>
      </c>
      <c r="Q124" s="224">
        <f t="shared" si="82"/>
        <v>0</v>
      </c>
      <c r="R124" s="257"/>
      <c r="S124" s="225">
        <v>0</v>
      </c>
      <c r="T124" s="225">
        <v>0</v>
      </c>
      <c r="U124" s="257">
        <v>3066.4749999999999</v>
      </c>
      <c r="V124" s="225">
        <v>0.20443166666666665</v>
      </c>
      <c r="W124" s="225">
        <v>0.21519122807017543</v>
      </c>
      <c r="X124" s="257">
        <v>3066.4749999999999</v>
      </c>
      <c r="Y124" s="225">
        <v>0.20443166666666665</v>
      </c>
      <c r="Z124" s="225">
        <v>0.21519122807017543</v>
      </c>
      <c r="AA124" s="257">
        <v>3066.4749999999999</v>
      </c>
      <c r="AB124" s="225">
        <v>0.20443166666666665</v>
      </c>
      <c r="AC124" s="225">
        <v>0.21519122807017543</v>
      </c>
      <c r="AD124" s="257">
        <v>10084.593999999999</v>
      </c>
      <c r="AE124" s="225">
        <v>0.6723062666666666</v>
      </c>
      <c r="AF124" s="225">
        <v>0.70769080701754383</v>
      </c>
      <c r="AG124" s="257">
        <v>10237.308999999999</v>
      </c>
      <c r="AH124" s="225">
        <v>0.68248726666666659</v>
      </c>
      <c r="AI124" s="225">
        <v>0.71840764912280697</v>
      </c>
      <c r="AJ124" s="257">
        <v>10237.308999999999</v>
      </c>
      <c r="AK124" s="225">
        <v>0.68248726666666659</v>
      </c>
      <c r="AL124" s="225">
        <v>0.71840764912280697</v>
      </c>
      <c r="AM124" s="257">
        <v>10237.308999999999</v>
      </c>
      <c r="AN124" s="225">
        <v>0.68248726666666659</v>
      </c>
      <c r="AO124" s="225">
        <v>0.71840764912280697</v>
      </c>
      <c r="AP124" s="225"/>
      <c r="AQ124" s="257">
        <v>12300</v>
      </c>
      <c r="AR124" s="225">
        <v>0.82</v>
      </c>
      <c r="AS124" s="225">
        <v>0.86315789473684212</v>
      </c>
      <c r="AT124" s="257">
        <v>12300</v>
      </c>
      <c r="AU124" s="225">
        <v>0.82</v>
      </c>
      <c r="AV124" s="225">
        <v>0.86315789473684212</v>
      </c>
      <c r="AW124" s="257">
        <v>12300</v>
      </c>
      <c r="AX124" s="225">
        <v>0.82</v>
      </c>
      <c r="AY124" s="225">
        <v>0.86315789473684212</v>
      </c>
      <c r="AZ124" s="257">
        <v>12300</v>
      </c>
      <c r="BA124" s="225">
        <v>0.82</v>
      </c>
      <c r="BB124" s="225">
        <v>0.86315789473684212</v>
      </c>
      <c r="BC124" s="257">
        <v>12300</v>
      </c>
      <c r="BD124" s="225">
        <v>0.82</v>
      </c>
      <c r="BE124" s="225">
        <v>0.86315789473684212</v>
      </c>
      <c r="BF124" s="257">
        <v>14250</v>
      </c>
      <c r="BG124" s="257">
        <v>14250</v>
      </c>
      <c r="BH124" s="225">
        <v>0.95</v>
      </c>
      <c r="BI124" s="225">
        <v>1</v>
      </c>
      <c r="BJ124" s="257">
        <f t="shared" si="78"/>
        <v>14250</v>
      </c>
      <c r="BK124" s="257">
        <v>14250</v>
      </c>
      <c r="BL124" s="225">
        <f t="shared" si="101"/>
        <v>0.95</v>
      </c>
      <c r="BM124" s="225">
        <f t="shared" si="83"/>
        <v>1</v>
      </c>
      <c r="BN124" s="205">
        <f t="shared" si="76"/>
        <v>4165.4060000000009</v>
      </c>
      <c r="BO124" s="205"/>
      <c r="BP124" s="227"/>
      <c r="BQ124" s="224">
        <f t="shared" si="84"/>
        <v>0</v>
      </c>
      <c r="BR124" s="227"/>
      <c r="BS124" s="224">
        <f t="shared" si="102"/>
        <v>0</v>
      </c>
      <c r="BT124" s="227">
        <v>3000</v>
      </c>
      <c r="BU124" s="224">
        <f t="shared" si="103"/>
        <v>0.2</v>
      </c>
      <c r="BV124" s="227">
        <v>5000</v>
      </c>
      <c r="BW124" s="224">
        <f t="shared" si="104"/>
        <v>0.33333333333333331</v>
      </c>
      <c r="BX124" s="227">
        <v>7000</v>
      </c>
      <c r="BY124" s="224">
        <f t="shared" si="105"/>
        <v>0.46666666666666667</v>
      </c>
      <c r="BZ124" s="227">
        <v>9000</v>
      </c>
      <c r="CA124" s="224">
        <f t="shared" si="106"/>
        <v>0.6</v>
      </c>
      <c r="CB124" s="227">
        <v>11000</v>
      </c>
      <c r="CC124" s="224">
        <f t="shared" si="107"/>
        <v>0.73333333333333328</v>
      </c>
      <c r="CD124" s="227">
        <v>13000</v>
      </c>
      <c r="CE124" s="224">
        <f t="shared" si="108"/>
        <v>0.8666666666666667</v>
      </c>
      <c r="CF124" s="227">
        <v>13250</v>
      </c>
      <c r="CG124" s="224">
        <f t="shared" si="109"/>
        <v>0.8833333333333333</v>
      </c>
      <c r="CH124" s="227">
        <v>14250</v>
      </c>
      <c r="CI124" s="224">
        <f t="shared" si="110"/>
        <v>0.95</v>
      </c>
      <c r="CJ124" s="227">
        <v>14250</v>
      </c>
      <c r="CK124" s="224">
        <f t="shared" si="111"/>
        <v>0.95</v>
      </c>
      <c r="CL124" s="227">
        <v>14250</v>
      </c>
      <c r="CM124" s="224">
        <f t="shared" si="112"/>
        <v>0.95</v>
      </c>
      <c r="CN124" s="227">
        <v>14250</v>
      </c>
      <c r="CO124" s="224">
        <f t="shared" si="113"/>
        <v>0.95</v>
      </c>
      <c r="CP124" s="213" t="str">
        <f t="shared" si="85"/>
        <v>Đạt</v>
      </c>
      <c r="CQ124" s="213" t="str">
        <f t="shared" si="86"/>
        <v>Đạt</v>
      </c>
      <c r="CR124" s="192"/>
      <c r="CS124" s="257">
        <f t="shared" si="81"/>
        <v>1950</v>
      </c>
      <c r="CT124" s="257"/>
      <c r="CU124" s="163"/>
      <c r="CW124" s="195"/>
      <c r="CX124" s="196"/>
      <c r="CY124" s="196"/>
      <c r="CZ124" s="197"/>
      <c r="DA124" s="196"/>
      <c r="DB124" s="196"/>
      <c r="DC124" s="196"/>
      <c r="DE124" s="199"/>
      <c r="DF124" s="200"/>
      <c r="DG124" s="181"/>
    </row>
    <row r="125" spans="1:112" ht="25.5" outlineLevel="1" x14ac:dyDescent="0.25">
      <c r="A125" s="192">
        <f ca="1">MAX(A$15:$B124)+1</f>
        <v>73</v>
      </c>
      <c r="B125" s="222" t="s">
        <v>280</v>
      </c>
      <c r="C125" s="222"/>
      <c r="D125" s="214">
        <f t="shared" si="79"/>
        <v>30000</v>
      </c>
      <c r="E125" s="214"/>
      <c r="F125" s="214">
        <f t="shared" si="80"/>
        <v>30000</v>
      </c>
      <c r="G125" s="257"/>
      <c r="H125" s="257"/>
      <c r="I125" s="235"/>
      <c r="J125" s="235"/>
      <c r="K125" s="257">
        <v>30000</v>
      </c>
      <c r="L125" s="235"/>
      <c r="M125" s="223"/>
      <c r="N125" s="223"/>
      <c r="O125" s="257">
        <f t="shared" si="87"/>
        <v>0</v>
      </c>
      <c r="P125" s="257">
        <v>0</v>
      </c>
      <c r="Q125" s="224">
        <f t="shared" si="82"/>
        <v>0</v>
      </c>
      <c r="R125" s="257"/>
      <c r="S125" s="225">
        <v>0</v>
      </c>
      <c r="T125" s="225">
        <v>0</v>
      </c>
      <c r="U125" s="257"/>
      <c r="V125" s="225">
        <v>0</v>
      </c>
      <c r="W125" s="225">
        <v>0</v>
      </c>
      <c r="X125" s="257"/>
      <c r="Y125" s="225">
        <v>0</v>
      </c>
      <c r="Z125" s="225">
        <v>0</v>
      </c>
      <c r="AA125" s="257"/>
      <c r="AB125" s="225">
        <v>0</v>
      </c>
      <c r="AC125" s="225">
        <v>0</v>
      </c>
      <c r="AD125" s="257"/>
      <c r="AE125" s="225">
        <v>0</v>
      </c>
      <c r="AF125" s="225">
        <v>0</v>
      </c>
      <c r="AG125" s="257"/>
      <c r="AH125" s="225">
        <v>0</v>
      </c>
      <c r="AI125" s="225">
        <v>0</v>
      </c>
      <c r="AJ125" s="257"/>
      <c r="AK125" s="225">
        <v>0</v>
      </c>
      <c r="AL125" s="225">
        <v>0</v>
      </c>
      <c r="AM125" s="257"/>
      <c r="AN125" s="225">
        <v>0</v>
      </c>
      <c r="AO125" s="225">
        <v>0</v>
      </c>
      <c r="AP125" s="225"/>
      <c r="AQ125" s="257">
        <v>5932.1229999999996</v>
      </c>
      <c r="AR125" s="225">
        <v>0.19773743333333332</v>
      </c>
      <c r="AS125" s="225">
        <v>0.20814466666666664</v>
      </c>
      <c r="AT125" s="257">
        <v>5932.1229999999996</v>
      </c>
      <c r="AU125" s="225">
        <v>0.19773743333333332</v>
      </c>
      <c r="AV125" s="225">
        <v>0.20814466666666664</v>
      </c>
      <c r="AW125" s="257">
        <v>5932.1229999999996</v>
      </c>
      <c r="AX125" s="225">
        <v>0.19773743333333332</v>
      </c>
      <c r="AY125" s="225">
        <v>0.20814466666666664</v>
      </c>
      <c r="AZ125" s="257">
        <v>5932.1229999999996</v>
      </c>
      <c r="BA125" s="225">
        <v>0.19773743333333332</v>
      </c>
      <c r="BB125" s="225">
        <v>0.20814466666666664</v>
      </c>
      <c r="BC125" s="257">
        <v>6840.8897699999998</v>
      </c>
      <c r="BD125" s="225">
        <v>0.228029659</v>
      </c>
      <c r="BE125" s="225">
        <v>0.24003121999999999</v>
      </c>
      <c r="BF125" s="257"/>
      <c r="BG125" s="257">
        <v>7248.0707700000003</v>
      </c>
      <c r="BH125" s="225">
        <v>0.24160235900000002</v>
      </c>
      <c r="BI125" s="225">
        <v>0.25431827263157897</v>
      </c>
      <c r="BJ125" s="257">
        <f t="shared" si="78"/>
        <v>28500</v>
      </c>
      <c r="BK125" s="257">
        <v>8138.3257700000004</v>
      </c>
      <c r="BL125" s="225">
        <f t="shared" si="101"/>
        <v>0.27127752566666669</v>
      </c>
      <c r="BM125" s="225">
        <f t="shared" si="83"/>
        <v>0.28555529017543863</v>
      </c>
      <c r="BN125" s="205">
        <f t="shared" si="76"/>
        <v>8138.3257700000004</v>
      </c>
      <c r="BO125" s="205"/>
      <c r="BP125" s="227"/>
      <c r="BQ125" s="224">
        <f t="shared" si="84"/>
        <v>0</v>
      </c>
      <c r="BR125" s="227"/>
      <c r="BS125" s="224">
        <f t="shared" si="102"/>
        <v>0</v>
      </c>
      <c r="BT125" s="227">
        <v>1000</v>
      </c>
      <c r="BU125" s="224">
        <f t="shared" si="103"/>
        <v>3.3333333333333333E-2</v>
      </c>
      <c r="BV125" s="227">
        <v>1000</v>
      </c>
      <c r="BW125" s="224">
        <f t="shared" si="104"/>
        <v>3.3333333333333333E-2</v>
      </c>
      <c r="BX125" s="227">
        <v>3000</v>
      </c>
      <c r="BY125" s="224">
        <f t="shared" si="105"/>
        <v>0.1</v>
      </c>
      <c r="BZ125" s="227">
        <v>5000</v>
      </c>
      <c r="CA125" s="224">
        <f t="shared" si="106"/>
        <v>0.16666666666666666</v>
      </c>
      <c r="CB125" s="227">
        <v>5000</v>
      </c>
      <c r="CC125" s="224">
        <f t="shared" si="107"/>
        <v>0.16666666666666666</v>
      </c>
      <c r="CD125" s="227">
        <v>20000</v>
      </c>
      <c r="CE125" s="224">
        <f t="shared" si="108"/>
        <v>0.66666666666666663</v>
      </c>
      <c r="CF125" s="227">
        <v>20000</v>
      </c>
      <c r="CG125" s="224">
        <f t="shared" si="109"/>
        <v>0.66666666666666663</v>
      </c>
      <c r="CH125" s="227">
        <v>25000</v>
      </c>
      <c r="CI125" s="224">
        <f t="shared" si="110"/>
        <v>0.83333333333333337</v>
      </c>
      <c r="CJ125" s="227">
        <v>25000</v>
      </c>
      <c r="CK125" s="224">
        <f t="shared" si="111"/>
        <v>0.83333333333333337</v>
      </c>
      <c r="CL125" s="227">
        <v>28500</v>
      </c>
      <c r="CM125" s="224">
        <f t="shared" si="112"/>
        <v>0.95</v>
      </c>
      <c r="CN125" s="227">
        <v>28500</v>
      </c>
      <c r="CO125" s="224">
        <f t="shared" si="113"/>
        <v>0.95</v>
      </c>
      <c r="CP125" s="213" t="str">
        <f t="shared" si="85"/>
        <v>Không đạt</v>
      </c>
      <c r="CQ125" s="213" t="str">
        <f t="shared" si="86"/>
        <v>Không đạt</v>
      </c>
      <c r="CR125" s="192"/>
      <c r="CS125" s="257">
        <f t="shared" si="81"/>
        <v>2206.2027700000008</v>
      </c>
      <c r="CT125" s="223"/>
      <c r="CU125" s="163"/>
      <c r="CW125" s="195"/>
      <c r="CX125" s="196"/>
      <c r="CY125" s="196"/>
      <c r="CZ125" s="197"/>
      <c r="DA125" s="196"/>
      <c r="DB125" s="196"/>
      <c r="DC125" s="196"/>
      <c r="DE125" s="199"/>
      <c r="DF125" s="200"/>
      <c r="DG125" s="181"/>
    </row>
    <row r="126" spans="1:112" ht="25.5" outlineLevel="1" x14ac:dyDescent="0.25">
      <c r="A126" s="192">
        <f ca="1">MAX(A$15:$B125)+1</f>
        <v>74</v>
      </c>
      <c r="B126" s="222" t="s">
        <v>281</v>
      </c>
      <c r="C126" s="222">
        <v>8094548</v>
      </c>
      <c r="D126" s="214">
        <f t="shared" si="79"/>
        <v>15000</v>
      </c>
      <c r="E126" s="214"/>
      <c r="F126" s="214">
        <f t="shared" si="80"/>
        <v>15000</v>
      </c>
      <c r="G126" s="257"/>
      <c r="H126" s="257"/>
      <c r="I126" s="235"/>
      <c r="J126" s="235"/>
      <c r="K126" s="257">
        <v>15000</v>
      </c>
      <c r="L126" s="235"/>
      <c r="M126" s="223"/>
      <c r="N126" s="223"/>
      <c r="O126" s="257">
        <f t="shared" si="87"/>
        <v>0</v>
      </c>
      <c r="P126" s="257">
        <v>0</v>
      </c>
      <c r="Q126" s="224">
        <f t="shared" si="82"/>
        <v>0</v>
      </c>
      <c r="R126" s="257">
        <v>695.27599999999995</v>
      </c>
      <c r="S126" s="225">
        <v>4.6351733333333332E-2</v>
      </c>
      <c r="T126" s="225">
        <v>4.8791298245614033E-2</v>
      </c>
      <c r="U126" s="257">
        <v>914.10900000000004</v>
      </c>
      <c r="V126" s="225">
        <v>6.0940600000000004E-2</v>
      </c>
      <c r="W126" s="225">
        <v>6.4147999999999997E-2</v>
      </c>
      <c r="X126" s="257">
        <v>914.10900000000004</v>
      </c>
      <c r="Y126" s="225">
        <v>6.0940600000000004E-2</v>
      </c>
      <c r="Z126" s="225">
        <v>6.4147999999999997E-2</v>
      </c>
      <c r="AA126" s="257">
        <v>914.10900000000004</v>
      </c>
      <c r="AB126" s="225">
        <v>6.0940600000000004E-2</v>
      </c>
      <c r="AC126" s="225">
        <v>6.4147999999999997E-2</v>
      </c>
      <c r="AD126" s="257">
        <v>2408.6179999999999</v>
      </c>
      <c r="AE126" s="225">
        <v>0.16057453333333332</v>
      </c>
      <c r="AF126" s="225">
        <v>0.1690258245614035</v>
      </c>
      <c r="AG126" s="257">
        <v>2408.6179999999999</v>
      </c>
      <c r="AH126" s="225">
        <v>0.16057453333333332</v>
      </c>
      <c r="AI126" s="225">
        <v>0.1690258245614035</v>
      </c>
      <c r="AJ126" s="257">
        <v>2408.6179999999999</v>
      </c>
      <c r="AK126" s="225">
        <v>0.16057453333333332</v>
      </c>
      <c r="AL126" s="225">
        <v>0.1690258245614035</v>
      </c>
      <c r="AM126" s="257">
        <v>2408.6179999999999</v>
      </c>
      <c r="AN126" s="225">
        <v>0.16057453333333332</v>
      </c>
      <c r="AO126" s="225">
        <v>0.1690258245614035</v>
      </c>
      <c r="AP126" s="225"/>
      <c r="AQ126" s="257">
        <v>3762.261</v>
      </c>
      <c r="AR126" s="225">
        <v>0.25081740000000002</v>
      </c>
      <c r="AS126" s="225">
        <v>0.26401831578947366</v>
      </c>
      <c r="AT126" s="257">
        <v>3762.261</v>
      </c>
      <c r="AU126" s="225">
        <v>0.25081740000000002</v>
      </c>
      <c r="AV126" s="225">
        <v>0.26401831578947366</v>
      </c>
      <c r="AW126" s="257">
        <v>3762.261</v>
      </c>
      <c r="AX126" s="225">
        <v>0.25081740000000002</v>
      </c>
      <c r="AY126" s="225">
        <v>0.26401831578947366</v>
      </c>
      <c r="AZ126" s="257">
        <v>3762.261</v>
      </c>
      <c r="BA126" s="225">
        <v>0.25081740000000002</v>
      </c>
      <c r="BB126" s="225">
        <v>0.26401831578947366</v>
      </c>
      <c r="BC126" s="257">
        <v>3762.261</v>
      </c>
      <c r="BD126" s="225">
        <v>0.25081740000000002</v>
      </c>
      <c r="BE126" s="225">
        <v>0.26401831578947366</v>
      </c>
      <c r="BF126" s="257"/>
      <c r="BG126" s="257">
        <v>4703.0509999999995</v>
      </c>
      <c r="BH126" s="225">
        <v>0.31353673333333332</v>
      </c>
      <c r="BI126" s="225">
        <v>0.33003866666666665</v>
      </c>
      <c r="BJ126" s="257">
        <f t="shared" si="78"/>
        <v>14250</v>
      </c>
      <c r="BK126" s="257">
        <v>4794.8509999999997</v>
      </c>
      <c r="BL126" s="225">
        <f t="shared" si="101"/>
        <v>0.31965673333333333</v>
      </c>
      <c r="BM126" s="225">
        <f t="shared" si="83"/>
        <v>0.33648077192982456</v>
      </c>
      <c r="BN126" s="205">
        <f t="shared" si="76"/>
        <v>2386.2329999999997</v>
      </c>
      <c r="BO126" s="205"/>
      <c r="BP126" s="227"/>
      <c r="BQ126" s="224">
        <f t="shared" si="84"/>
        <v>0</v>
      </c>
      <c r="BR126" s="227"/>
      <c r="BS126" s="224">
        <f t="shared" si="102"/>
        <v>0</v>
      </c>
      <c r="BT126" s="227">
        <v>2000</v>
      </c>
      <c r="BU126" s="224">
        <f t="shared" si="103"/>
        <v>0.13333333333333333</v>
      </c>
      <c r="BV126" s="227">
        <v>4000</v>
      </c>
      <c r="BW126" s="224">
        <f t="shared" si="104"/>
        <v>0.26666666666666666</v>
      </c>
      <c r="BX126" s="227">
        <v>6000</v>
      </c>
      <c r="BY126" s="224">
        <f t="shared" si="105"/>
        <v>0.4</v>
      </c>
      <c r="BZ126" s="227">
        <v>7000</v>
      </c>
      <c r="CA126" s="224">
        <f t="shared" si="106"/>
        <v>0.46666666666666667</v>
      </c>
      <c r="CB126" s="227">
        <v>9000</v>
      </c>
      <c r="CC126" s="224">
        <f t="shared" si="107"/>
        <v>0.6</v>
      </c>
      <c r="CD126" s="227">
        <v>11000</v>
      </c>
      <c r="CE126" s="224">
        <f t="shared" si="108"/>
        <v>0.73333333333333328</v>
      </c>
      <c r="CF126" s="227">
        <v>13000</v>
      </c>
      <c r="CG126" s="224">
        <f t="shared" si="109"/>
        <v>0.8666666666666667</v>
      </c>
      <c r="CH126" s="227">
        <v>13000</v>
      </c>
      <c r="CI126" s="224">
        <f t="shared" si="110"/>
        <v>0.8666666666666667</v>
      </c>
      <c r="CJ126" s="227">
        <v>13000</v>
      </c>
      <c r="CK126" s="224">
        <f t="shared" si="111"/>
        <v>0.8666666666666667</v>
      </c>
      <c r="CL126" s="227">
        <v>14250</v>
      </c>
      <c r="CM126" s="224">
        <f t="shared" si="112"/>
        <v>0.95</v>
      </c>
      <c r="CN126" s="227">
        <v>14250</v>
      </c>
      <c r="CO126" s="224">
        <f t="shared" si="113"/>
        <v>0.95</v>
      </c>
      <c r="CP126" s="213" t="str">
        <f t="shared" si="85"/>
        <v>Không đạt</v>
      </c>
      <c r="CQ126" s="213" t="str">
        <f t="shared" si="86"/>
        <v>Không đạt</v>
      </c>
      <c r="CR126" s="192"/>
      <c r="CS126" s="257">
        <f t="shared" si="81"/>
        <v>1032.5899999999997</v>
      </c>
      <c r="CT126" s="223"/>
      <c r="CU126" s="163"/>
      <c r="CW126" s="195"/>
      <c r="CX126" s="196"/>
      <c r="CY126" s="196"/>
      <c r="CZ126" s="197"/>
      <c r="DA126" s="196"/>
      <c r="DB126" s="196"/>
      <c r="DC126" s="196"/>
      <c r="DE126" s="199"/>
      <c r="DF126" s="200"/>
      <c r="DG126" s="181"/>
    </row>
    <row r="127" spans="1:112" ht="25.5" outlineLevel="1" x14ac:dyDescent="0.25">
      <c r="A127" s="192">
        <f ca="1">MAX(A$15:$B126)+1</f>
        <v>73</v>
      </c>
      <c r="B127" s="222" t="s">
        <v>282</v>
      </c>
      <c r="C127" s="222"/>
      <c r="D127" s="214">
        <f t="shared" si="79"/>
        <v>40000</v>
      </c>
      <c r="E127" s="214"/>
      <c r="F127" s="214">
        <f t="shared" si="80"/>
        <v>40000</v>
      </c>
      <c r="G127" s="257"/>
      <c r="H127" s="257"/>
      <c r="I127" s="235"/>
      <c r="J127" s="235"/>
      <c r="K127" s="257">
        <v>40000</v>
      </c>
      <c r="L127" s="235"/>
      <c r="M127" s="223"/>
      <c r="N127" s="223"/>
      <c r="O127" s="257">
        <f t="shared" si="87"/>
        <v>0</v>
      </c>
      <c r="P127" s="257">
        <v>0</v>
      </c>
      <c r="Q127" s="224">
        <f t="shared" si="82"/>
        <v>0</v>
      </c>
      <c r="R127" s="257"/>
      <c r="S127" s="225">
        <v>0</v>
      </c>
      <c r="T127" s="225">
        <v>0</v>
      </c>
      <c r="U127" s="257"/>
      <c r="V127" s="225">
        <v>0</v>
      </c>
      <c r="W127" s="225">
        <v>0</v>
      </c>
      <c r="X127" s="257"/>
      <c r="Y127" s="225">
        <v>0</v>
      </c>
      <c r="Z127" s="225">
        <v>0</v>
      </c>
      <c r="AA127" s="257"/>
      <c r="AB127" s="225">
        <v>0</v>
      </c>
      <c r="AC127" s="225">
        <v>0</v>
      </c>
      <c r="AD127" s="257"/>
      <c r="AE127" s="225">
        <v>0</v>
      </c>
      <c r="AF127" s="225">
        <v>0</v>
      </c>
      <c r="AG127" s="257"/>
      <c r="AH127" s="225">
        <v>0</v>
      </c>
      <c r="AI127" s="225">
        <v>0</v>
      </c>
      <c r="AJ127" s="257"/>
      <c r="AK127" s="225">
        <v>0</v>
      </c>
      <c r="AL127" s="225">
        <v>0</v>
      </c>
      <c r="AM127" s="257"/>
      <c r="AN127" s="225">
        <v>0</v>
      </c>
      <c r="AO127" s="225">
        <v>0</v>
      </c>
      <c r="AP127" s="225"/>
      <c r="AQ127" s="257"/>
      <c r="AR127" s="225">
        <v>0</v>
      </c>
      <c r="AS127" s="225">
        <v>0</v>
      </c>
      <c r="AT127" s="257"/>
      <c r="AU127" s="225">
        <v>0</v>
      </c>
      <c r="AV127" s="225">
        <v>0</v>
      </c>
      <c r="AW127" s="257"/>
      <c r="AX127" s="225">
        <v>0</v>
      </c>
      <c r="AY127" s="225">
        <v>0</v>
      </c>
      <c r="AZ127" s="257"/>
      <c r="BA127" s="225">
        <v>0</v>
      </c>
      <c r="BB127" s="225">
        <v>0</v>
      </c>
      <c r="BC127" s="257"/>
      <c r="BD127" s="225">
        <v>0</v>
      </c>
      <c r="BE127" s="225">
        <v>0</v>
      </c>
      <c r="BF127" s="257"/>
      <c r="BG127" s="257"/>
      <c r="BH127" s="225">
        <v>0</v>
      </c>
      <c r="BI127" s="225">
        <v>0</v>
      </c>
      <c r="BJ127" s="257">
        <f t="shared" si="78"/>
        <v>38000</v>
      </c>
      <c r="BK127" s="257"/>
      <c r="BL127" s="225">
        <f t="shared" si="101"/>
        <v>0</v>
      </c>
      <c r="BM127" s="225">
        <f t="shared" si="83"/>
        <v>0</v>
      </c>
      <c r="BN127" s="205">
        <f t="shared" si="76"/>
        <v>0</v>
      </c>
      <c r="BO127" s="205"/>
      <c r="BP127" s="227"/>
      <c r="BQ127" s="224">
        <f t="shared" si="84"/>
        <v>0</v>
      </c>
      <c r="BR127" s="227"/>
      <c r="BS127" s="224">
        <f t="shared" si="102"/>
        <v>0</v>
      </c>
      <c r="BT127" s="227"/>
      <c r="BU127" s="224">
        <f t="shared" si="103"/>
        <v>0</v>
      </c>
      <c r="BV127" s="227"/>
      <c r="BW127" s="224">
        <f t="shared" si="104"/>
        <v>0</v>
      </c>
      <c r="BX127" s="227"/>
      <c r="BY127" s="224">
        <f t="shared" si="105"/>
        <v>0</v>
      </c>
      <c r="BZ127" s="227"/>
      <c r="CA127" s="224">
        <f t="shared" si="106"/>
        <v>0</v>
      </c>
      <c r="CB127" s="227">
        <v>20000</v>
      </c>
      <c r="CC127" s="224">
        <f t="shared" si="107"/>
        <v>0.5</v>
      </c>
      <c r="CD127" s="227">
        <v>20000</v>
      </c>
      <c r="CE127" s="224">
        <f t="shared" si="108"/>
        <v>0.5</v>
      </c>
      <c r="CF127" s="227">
        <v>20000</v>
      </c>
      <c r="CG127" s="224">
        <f t="shared" si="109"/>
        <v>0.5</v>
      </c>
      <c r="CH127" s="227">
        <v>20000</v>
      </c>
      <c r="CI127" s="224">
        <f t="shared" si="110"/>
        <v>0.5</v>
      </c>
      <c r="CJ127" s="227">
        <v>30000</v>
      </c>
      <c r="CK127" s="224">
        <f t="shared" si="111"/>
        <v>0.75</v>
      </c>
      <c r="CL127" s="227">
        <v>30000</v>
      </c>
      <c r="CM127" s="224">
        <f t="shared" si="112"/>
        <v>0.75</v>
      </c>
      <c r="CN127" s="227">
        <v>38000</v>
      </c>
      <c r="CO127" s="224">
        <f t="shared" si="113"/>
        <v>0.95</v>
      </c>
      <c r="CP127" s="213" t="str">
        <f t="shared" si="85"/>
        <v>Không đạt</v>
      </c>
      <c r="CQ127" s="213" t="str">
        <f t="shared" si="86"/>
        <v>Không đạt</v>
      </c>
      <c r="CR127" s="192"/>
      <c r="CS127" s="257">
        <f t="shared" si="81"/>
        <v>0</v>
      </c>
      <c r="CT127" s="223"/>
      <c r="CU127" s="163"/>
      <c r="CW127" s="195"/>
      <c r="CX127" s="196"/>
      <c r="CY127" s="196"/>
      <c r="CZ127" s="197"/>
      <c r="DA127" s="196"/>
      <c r="DB127" s="196"/>
      <c r="DC127" s="196"/>
      <c r="DE127" s="199"/>
      <c r="DF127" s="200"/>
      <c r="DG127" s="181"/>
    </row>
    <row r="128" spans="1:112" ht="25.5" outlineLevel="1" x14ac:dyDescent="0.25">
      <c r="A128" s="192">
        <f ca="1">MAX(A$15:$B127)+1</f>
        <v>75</v>
      </c>
      <c r="B128" s="222" t="s">
        <v>283</v>
      </c>
      <c r="C128" s="222"/>
      <c r="D128" s="214">
        <f t="shared" si="79"/>
        <v>21579</v>
      </c>
      <c r="E128" s="214"/>
      <c r="F128" s="214">
        <f t="shared" si="80"/>
        <v>21579</v>
      </c>
      <c r="G128" s="257">
        <v>11579</v>
      </c>
      <c r="H128" s="257">
        <f>5000+5000</f>
        <v>10000</v>
      </c>
      <c r="I128" s="235">
        <v>2000</v>
      </c>
      <c r="J128" s="257">
        <v>975.50699999999995</v>
      </c>
      <c r="K128" s="257"/>
      <c r="L128" s="235"/>
      <c r="M128" s="223"/>
      <c r="N128" s="223"/>
      <c r="O128" s="257">
        <f t="shared" si="87"/>
        <v>13579</v>
      </c>
      <c r="P128" s="257">
        <v>0</v>
      </c>
      <c r="Q128" s="224">
        <f t="shared" si="82"/>
        <v>0</v>
      </c>
      <c r="R128" s="257"/>
      <c r="S128" s="225">
        <v>0</v>
      </c>
      <c r="T128" s="225">
        <v>0</v>
      </c>
      <c r="U128" s="257"/>
      <c r="V128" s="225">
        <v>0</v>
      </c>
      <c r="W128" s="225">
        <v>0</v>
      </c>
      <c r="X128" s="257"/>
      <c r="Y128" s="225">
        <v>0</v>
      </c>
      <c r="Z128" s="225">
        <v>0</v>
      </c>
      <c r="AA128" s="257"/>
      <c r="AB128" s="225">
        <v>0</v>
      </c>
      <c r="AC128" s="225">
        <v>0</v>
      </c>
      <c r="AD128" s="257"/>
      <c r="AE128" s="225">
        <v>0</v>
      </c>
      <c r="AF128" s="225">
        <v>0</v>
      </c>
      <c r="AG128" s="257"/>
      <c r="AH128" s="225">
        <v>0</v>
      </c>
      <c r="AI128" s="225">
        <v>0</v>
      </c>
      <c r="AJ128" s="257"/>
      <c r="AK128" s="225">
        <v>0</v>
      </c>
      <c r="AL128" s="225">
        <v>0</v>
      </c>
      <c r="AM128" s="257"/>
      <c r="AN128" s="225">
        <v>0</v>
      </c>
      <c r="AO128" s="225">
        <v>0</v>
      </c>
      <c r="AP128" s="225"/>
      <c r="AQ128" s="257">
        <v>975.50699999999995</v>
      </c>
      <c r="AR128" s="225">
        <v>0.19510139999999998</v>
      </c>
      <c r="AS128" s="225">
        <v>0.20536989473684208</v>
      </c>
      <c r="AT128" s="257">
        <v>975.50699999999995</v>
      </c>
      <c r="AU128" s="225">
        <v>0.19510139999999998</v>
      </c>
      <c r="AV128" s="225">
        <v>0.20536989473684208</v>
      </c>
      <c r="AW128" s="257">
        <v>975.50699999999995</v>
      </c>
      <c r="AX128" s="225">
        <v>0.19510139999999998</v>
      </c>
      <c r="AY128" s="225">
        <v>0.20536989473684208</v>
      </c>
      <c r="AZ128" s="257">
        <v>975.50699999999995</v>
      </c>
      <c r="BA128" s="225">
        <v>0.19510139999999998</v>
      </c>
      <c r="BB128" s="225">
        <v>0.20536989473684208</v>
      </c>
      <c r="BC128" s="257">
        <v>1014.5069999999999</v>
      </c>
      <c r="BD128" s="225">
        <v>0.20290139999999998</v>
      </c>
      <c r="BE128" s="225">
        <v>0.21358042105263156</v>
      </c>
      <c r="BF128" s="257"/>
      <c r="BG128" s="257">
        <v>1014.5069999999999</v>
      </c>
      <c r="BH128" s="225">
        <v>4.7013624357013763E-2</v>
      </c>
      <c r="BI128" s="225">
        <v>4.9488025638961854E-2</v>
      </c>
      <c r="BJ128" s="257">
        <f t="shared" si="78"/>
        <v>20500.05</v>
      </c>
      <c r="BK128" s="257">
        <v>1014.5069999999999</v>
      </c>
      <c r="BL128" s="225">
        <f t="shared" si="101"/>
        <v>4.7013624357013763E-2</v>
      </c>
      <c r="BM128" s="225">
        <f t="shared" si="83"/>
        <v>4.9488025638961854E-2</v>
      </c>
      <c r="BN128" s="205">
        <f t="shared" si="76"/>
        <v>1014.5069999999999</v>
      </c>
      <c r="BO128" s="205"/>
      <c r="BP128" s="227"/>
      <c r="BQ128" s="224">
        <f t="shared" si="84"/>
        <v>0</v>
      </c>
      <c r="BR128" s="227"/>
      <c r="BS128" s="224">
        <f t="shared" si="102"/>
        <v>0</v>
      </c>
      <c r="BT128" s="227"/>
      <c r="BU128" s="224">
        <f t="shared" si="103"/>
        <v>0</v>
      </c>
      <c r="BV128" s="227"/>
      <c r="BW128" s="224">
        <f t="shared" si="104"/>
        <v>0</v>
      </c>
      <c r="BX128" s="227">
        <v>2000</v>
      </c>
      <c r="BY128" s="224">
        <f t="shared" si="105"/>
        <v>9.2682700773900548E-2</v>
      </c>
      <c r="BZ128" s="227">
        <v>2000</v>
      </c>
      <c r="CA128" s="224">
        <f t="shared" si="106"/>
        <v>9.2682700773900548E-2</v>
      </c>
      <c r="CB128" s="227">
        <v>4750</v>
      </c>
      <c r="CC128" s="224">
        <f t="shared" si="107"/>
        <v>0.2201214143380138</v>
      </c>
      <c r="CD128" s="227">
        <v>4750</v>
      </c>
      <c r="CE128" s="224">
        <f t="shared" si="108"/>
        <v>0.2201214143380138</v>
      </c>
      <c r="CF128" s="227">
        <v>4750</v>
      </c>
      <c r="CG128" s="224">
        <f t="shared" si="109"/>
        <v>0.2201214143380138</v>
      </c>
      <c r="CH128" s="227">
        <v>4750</v>
      </c>
      <c r="CI128" s="224">
        <f t="shared" si="110"/>
        <v>0.2201214143380138</v>
      </c>
      <c r="CJ128" s="227">
        <v>4750</v>
      </c>
      <c r="CK128" s="224">
        <f t="shared" si="111"/>
        <v>0.2201214143380138</v>
      </c>
      <c r="CL128" s="227">
        <v>4750</v>
      </c>
      <c r="CM128" s="224">
        <f t="shared" si="112"/>
        <v>0.2201214143380138</v>
      </c>
      <c r="CN128" s="227">
        <v>4750</v>
      </c>
      <c r="CO128" s="224">
        <f t="shared" si="113"/>
        <v>0.2201214143380138</v>
      </c>
      <c r="CP128" s="213" t="str">
        <f t="shared" si="85"/>
        <v>Không đạt</v>
      </c>
      <c r="CQ128" s="213" t="str">
        <f t="shared" si="86"/>
        <v>Không đạt</v>
      </c>
      <c r="CR128" s="192"/>
      <c r="CS128" s="257">
        <f t="shared" si="81"/>
        <v>39</v>
      </c>
      <c r="CT128" s="257"/>
      <c r="CU128" s="163"/>
      <c r="CW128" s="195"/>
      <c r="CX128" s="196"/>
      <c r="CY128" s="196"/>
      <c r="CZ128" s="197"/>
      <c r="DA128" s="196"/>
      <c r="DB128" s="196"/>
      <c r="DC128" s="196"/>
      <c r="DE128" s="199"/>
      <c r="DF128" s="200"/>
      <c r="DG128" s="181"/>
    </row>
    <row r="129" spans="1:111" ht="38.25" outlineLevel="1" x14ac:dyDescent="0.25">
      <c r="A129" s="192">
        <f ca="1">MAX(A$15:$B128)+1</f>
        <v>74</v>
      </c>
      <c r="B129" s="222" t="s">
        <v>284</v>
      </c>
      <c r="C129" s="222" t="s">
        <v>285</v>
      </c>
      <c r="D129" s="214">
        <f t="shared" si="79"/>
        <v>1579</v>
      </c>
      <c r="E129" s="214"/>
      <c r="F129" s="214">
        <f t="shared" si="80"/>
        <v>1579</v>
      </c>
      <c r="G129" s="257">
        <f>5000-3421</f>
        <v>1579</v>
      </c>
      <c r="H129" s="257">
        <f>5000-5000</f>
        <v>0</v>
      </c>
      <c r="I129" s="235"/>
      <c r="J129" s="235"/>
      <c r="K129" s="257"/>
      <c r="L129" s="235"/>
      <c r="M129" s="223"/>
      <c r="N129" s="223"/>
      <c r="O129" s="257">
        <f t="shared" si="87"/>
        <v>1579</v>
      </c>
      <c r="P129" s="257">
        <v>0</v>
      </c>
      <c r="Q129" s="224">
        <f t="shared" si="82"/>
        <v>0</v>
      </c>
      <c r="R129" s="257"/>
      <c r="S129" s="225">
        <v>0</v>
      </c>
      <c r="T129" s="225">
        <v>0</v>
      </c>
      <c r="U129" s="257"/>
      <c r="V129" s="225">
        <v>0</v>
      </c>
      <c r="W129" s="225">
        <v>0</v>
      </c>
      <c r="X129" s="257"/>
      <c r="Y129" s="225">
        <v>0</v>
      </c>
      <c r="Z129" s="225">
        <v>0</v>
      </c>
      <c r="AA129" s="257"/>
      <c r="AB129" s="225">
        <v>0</v>
      </c>
      <c r="AC129" s="225">
        <v>0</v>
      </c>
      <c r="AD129" s="257">
        <v>100</v>
      </c>
      <c r="AE129" s="225">
        <v>0.01</v>
      </c>
      <c r="AF129" s="225">
        <v>1.0526315789473684E-2</v>
      </c>
      <c r="AG129" s="257">
        <v>100</v>
      </c>
      <c r="AH129" s="225">
        <v>0.01</v>
      </c>
      <c r="AI129" s="225">
        <v>1.0526315789473684E-2</v>
      </c>
      <c r="AJ129" s="205">
        <v>100</v>
      </c>
      <c r="AK129" s="225">
        <v>0.01</v>
      </c>
      <c r="AL129" s="225">
        <v>1.0526315789473684E-2</v>
      </c>
      <c r="AM129" s="257">
        <v>100</v>
      </c>
      <c r="AN129" s="225">
        <v>0.01</v>
      </c>
      <c r="AO129" s="225">
        <v>1.0526315789473684E-2</v>
      </c>
      <c r="AP129" s="225"/>
      <c r="AQ129" s="257">
        <v>329.15499999999997</v>
      </c>
      <c r="AR129" s="225">
        <v>3.29155E-2</v>
      </c>
      <c r="AS129" s="225">
        <v>3.46478947368421E-2</v>
      </c>
      <c r="AT129" s="257">
        <v>329.15499999999997</v>
      </c>
      <c r="AU129" s="225">
        <v>3.29155E-2</v>
      </c>
      <c r="AV129" s="225">
        <v>3.46478947368421E-2</v>
      </c>
      <c r="AW129" s="257">
        <v>329.15499999999997</v>
      </c>
      <c r="AX129" s="225">
        <v>3.29155E-2</v>
      </c>
      <c r="AY129" s="225">
        <v>3.46478947368421E-2</v>
      </c>
      <c r="AZ129" s="257">
        <v>329.15499999999997</v>
      </c>
      <c r="BA129" s="225">
        <v>3.29155E-2</v>
      </c>
      <c r="BB129" s="225">
        <v>3.46478947368421E-2</v>
      </c>
      <c r="BC129" s="257">
        <v>329.15499999999997</v>
      </c>
      <c r="BD129" s="225">
        <v>3.29155E-2</v>
      </c>
      <c r="BE129" s="225">
        <v>3.46478947368421E-2</v>
      </c>
      <c r="BF129" s="257"/>
      <c r="BG129" s="257">
        <v>329.15499999999997</v>
      </c>
      <c r="BH129" s="225">
        <v>0.20845788473717541</v>
      </c>
      <c r="BI129" s="225">
        <v>0.2194293523549215</v>
      </c>
      <c r="BJ129" s="257">
        <f t="shared" si="78"/>
        <v>1500.05</v>
      </c>
      <c r="BK129" s="257">
        <v>329.15499999999997</v>
      </c>
      <c r="BL129" s="225">
        <f t="shared" si="101"/>
        <v>0.20845788473717541</v>
      </c>
      <c r="BM129" s="225">
        <f t="shared" si="83"/>
        <v>0.2194293523549215</v>
      </c>
      <c r="BN129" s="205">
        <f t="shared" si="76"/>
        <v>229.15499999999997</v>
      </c>
      <c r="BO129" s="205"/>
      <c r="BP129" s="227"/>
      <c r="BQ129" s="224">
        <f t="shared" si="84"/>
        <v>0</v>
      </c>
      <c r="BR129" s="227"/>
      <c r="BS129" s="224">
        <f t="shared" si="102"/>
        <v>0</v>
      </c>
      <c r="BT129" s="227"/>
      <c r="BU129" s="224">
        <f t="shared" si="103"/>
        <v>0</v>
      </c>
      <c r="BV129" s="227"/>
      <c r="BW129" s="224">
        <f t="shared" si="104"/>
        <v>0</v>
      </c>
      <c r="BX129" s="227"/>
      <c r="BY129" s="224">
        <f t="shared" si="105"/>
        <v>0</v>
      </c>
      <c r="BZ129" s="227">
        <v>2000</v>
      </c>
      <c r="CA129" s="224">
        <f t="shared" si="106"/>
        <v>1.266624445851805</v>
      </c>
      <c r="CB129" s="227">
        <v>2000</v>
      </c>
      <c r="CC129" s="224">
        <f t="shared" si="107"/>
        <v>1.266624445851805</v>
      </c>
      <c r="CD129" s="227">
        <v>2000</v>
      </c>
      <c r="CE129" s="224">
        <f t="shared" si="108"/>
        <v>1.266624445851805</v>
      </c>
      <c r="CF129" s="227">
        <v>2000</v>
      </c>
      <c r="CG129" s="224">
        <f t="shared" si="109"/>
        <v>1.266624445851805</v>
      </c>
      <c r="CH129" s="227">
        <v>2000</v>
      </c>
      <c r="CI129" s="224">
        <f t="shared" si="110"/>
        <v>1.266624445851805</v>
      </c>
      <c r="CJ129" s="227">
        <v>2000</v>
      </c>
      <c r="CK129" s="224">
        <f t="shared" si="111"/>
        <v>1.266624445851805</v>
      </c>
      <c r="CL129" s="227">
        <v>2000</v>
      </c>
      <c r="CM129" s="224">
        <f t="shared" si="112"/>
        <v>1.266624445851805</v>
      </c>
      <c r="CN129" s="227">
        <v>9500</v>
      </c>
      <c r="CO129" s="224">
        <f t="shared" si="113"/>
        <v>6.0164661177960737</v>
      </c>
      <c r="CP129" s="213" t="str">
        <f t="shared" si="85"/>
        <v>Không đạt</v>
      </c>
      <c r="CQ129" s="213" t="str">
        <f t="shared" si="86"/>
        <v>Không đạt</v>
      </c>
      <c r="CR129" s="192"/>
      <c r="CS129" s="257">
        <f t="shared" si="81"/>
        <v>0</v>
      </c>
      <c r="CT129" s="223"/>
      <c r="CU129" s="163"/>
      <c r="CW129" s="195"/>
      <c r="CX129" s="196"/>
      <c r="CY129" s="196"/>
      <c r="CZ129" s="197"/>
      <c r="DA129" s="196"/>
      <c r="DB129" s="196"/>
      <c r="DC129" s="196"/>
      <c r="DE129" s="199"/>
      <c r="DF129" s="200"/>
      <c r="DG129" s="181"/>
    </row>
    <row r="130" spans="1:111" s="234" customFormat="1" ht="29.45" customHeight="1" x14ac:dyDescent="0.25">
      <c r="A130" s="191">
        <v>3</v>
      </c>
      <c r="B130" s="210" t="s">
        <v>286</v>
      </c>
      <c r="C130" s="210"/>
      <c r="D130" s="205">
        <f t="shared" ref="D130:I130" si="114">D131</f>
        <v>1488134.8597350002</v>
      </c>
      <c r="E130" s="205">
        <f t="shared" si="114"/>
        <v>856774.85973500018</v>
      </c>
      <c r="F130" s="205">
        <f t="shared" si="114"/>
        <v>631360</v>
      </c>
      <c r="G130" s="205">
        <f t="shared" si="114"/>
        <v>424000</v>
      </c>
      <c r="H130" s="205">
        <f t="shared" si="114"/>
        <v>207360</v>
      </c>
      <c r="I130" s="205">
        <f t="shared" si="114"/>
        <v>-52000</v>
      </c>
      <c r="J130" s="205"/>
      <c r="K130" s="205">
        <f>K131</f>
        <v>0</v>
      </c>
      <c r="L130" s="205">
        <f>L131</f>
        <v>30000</v>
      </c>
      <c r="M130" s="231"/>
      <c r="N130" s="231"/>
      <c r="O130" s="205">
        <f t="shared" si="87"/>
        <v>402000</v>
      </c>
      <c r="P130" s="205">
        <v>75293.688796000002</v>
      </c>
      <c r="Q130" s="186">
        <f t="shared" si="82"/>
        <v>5.0596011714561899E-2</v>
      </c>
      <c r="R130" s="205">
        <v>206894.52794599999</v>
      </c>
      <c r="S130" s="185">
        <v>0.17311944381585762</v>
      </c>
      <c r="T130" s="185">
        <v>0.17833751931552438</v>
      </c>
      <c r="U130" s="205">
        <v>214027.35655399997</v>
      </c>
      <c r="V130" s="185">
        <v>0.17908785358343296</v>
      </c>
      <c r="W130" s="185">
        <v>0.18448582576075589</v>
      </c>
      <c r="X130" s="205">
        <v>214027.35655399997</v>
      </c>
      <c r="Y130" s="185">
        <v>0.17908785358343296</v>
      </c>
      <c r="Z130" s="185">
        <v>0.18448582576075589</v>
      </c>
      <c r="AA130" s="205">
        <v>214027.35655399997</v>
      </c>
      <c r="AB130" s="185">
        <v>0.17908785358343296</v>
      </c>
      <c r="AC130" s="185">
        <v>0.18448582576075589</v>
      </c>
      <c r="AD130" s="205">
        <v>304094.039009</v>
      </c>
      <c r="AE130" s="185">
        <v>0.23157145081113995</v>
      </c>
      <c r="AF130" s="185">
        <v>0.23790656323459408</v>
      </c>
      <c r="AG130" s="205">
        <v>305374.039009</v>
      </c>
      <c r="AH130" s="185">
        <v>0.23254618697500631</v>
      </c>
      <c r="AI130" s="185">
        <v>0.23890796530723146</v>
      </c>
      <c r="AJ130" s="189">
        <v>305374.039009</v>
      </c>
      <c r="AK130" s="185">
        <v>0.23254618697500631</v>
      </c>
      <c r="AL130" s="185">
        <v>0.23890796530723146</v>
      </c>
      <c r="AM130" s="205">
        <v>305374.039009</v>
      </c>
      <c r="AN130" s="185">
        <v>0.23254618697500631</v>
      </c>
      <c r="AO130" s="185">
        <v>0.23890796530723146</v>
      </c>
      <c r="AP130" s="185"/>
      <c r="AQ130" s="205">
        <v>356349.44240499998</v>
      </c>
      <c r="AR130" s="185">
        <v>0.27136460037950405</v>
      </c>
      <c r="AS130" s="185">
        <v>0.27878833609963782</v>
      </c>
      <c r="AT130" s="205">
        <v>356349.44240499998</v>
      </c>
      <c r="AU130" s="185">
        <v>0.27136460037950405</v>
      </c>
      <c r="AV130" s="185">
        <v>0.27878833609963782</v>
      </c>
      <c r="AW130" s="185"/>
      <c r="AX130" s="185"/>
      <c r="AY130" s="185"/>
      <c r="AZ130" s="185"/>
      <c r="BA130" s="185"/>
      <c r="BB130" s="185"/>
      <c r="BC130" s="205">
        <v>356349.44240499998</v>
      </c>
      <c r="BD130" s="185">
        <v>0.27136460037950405</v>
      </c>
      <c r="BE130" s="185">
        <v>0.27878833609963782</v>
      </c>
      <c r="BF130" s="205"/>
      <c r="BG130" s="205">
        <v>548080.71770899999</v>
      </c>
      <c r="BH130" s="185">
        <v>0.36830043602808926</v>
      </c>
      <c r="BI130" s="185">
        <v>0.37628256749485212</v>
      </c>
      <c r="BJ130" s="205">
        <f t="shared" si="78"/>
        <v>1456566.8597350002</v>
      </c>
      <c r="BK130" s="205">
        <v>724167.333079</v>
      </c>
      <c r="BL130" s="185">
        <f t="shared" si="101"/>
        <v>0.48662749101110109</v>
      </c>
      <c r="BM130" s="185">
        <f t="shared" si="83"/>
        <v>0.49717411064175321</v>
      </c>
      <c r="BN130" s="205">
        <f t="shared" si="76"/>
        <v>420073.29407</v>
      </c>
      <c r="BO130" s="205"/>
      <c r="BP130" s="189">
        <f>BP131</f>
        <v>37000</v>
      </c>
      <c r="BQ130" s="186">
        <f t="shared" si="84"/>
        <v>2.4863337995179268E-2</v>
      </c>
      <c r="BR130" s="189">
        <f>BR131</f>
        <v>81000</v>
      </c>
      <c r="BS130" s="186">
        <f t="shared" si="102"/>
        <v>5.443055074620326E-2</v>
      </c>
      <c r="BT130" s="189">
        <f>BT131</f>
        <v>121000</v>
      </c>
      <c r="BU130" s="186">
        <f t="shared" si="103"/>
        <v>8.1309835065315986E-2</v>
      </c>
      <c r="BV130" s="189">
        <f>BV131</f>
        <v>179000</v>
      </c>
      <c r="BW130" s="186">
        <f t="shared" si="104"/>
        <v>0.12028479732802944</v>
      </c>
      <c r="BX130" s="189">
        <f>BX131</f>
        <v>235500</v>
      </c>
      <c r="BY130" s="186">
        <f t="shared" si="105"/>
        <v>0.15825178642877616</v>
      </c>
      <c r="BZ130" s="189">
        <f>BZ131</f>
        <v>295500</v>
      </c>
      <c r="CA130" s="186">
        <f t="shared" si="106"/>
        <v>0.19857071290744524</v>
      </c>
      <c r="CB130" s="189">
        <f>CB131</f>
        <v>347300</v>
      </c>
      <c r="CC130" s="186">
        <f t="shared" si="107"/>
        <v>0.2333793861006962</v>
      </c>
      <c r="CD130" s="189">
        <f>CD131</f>
        <v>397800</v>
      </c>
      <c r="CE130" s="186">
        <f t="shared" si="108"/>
        <v>0.26731448255357604</v>
      </c>
      <c r="CF130" s="189">
        <f>CF131</f>
        <v>500800</v>
      </c>
      <c r="CG130" s="186">
        <f t="shared" si="109"/>
        <v>0.33652863967529129</v>
      </c>
      <c r="CH130" s="189">
        <f>CH131</f>
        <v>500800</v>
      </c>
      <c r="CI130" s="186">
        <f t="shared" si="110"/>
        <v>0.33652863967529129</v>
      </c>
      <c r="CJ130" s="189">
        <f>CJ131</f>
        <v>556800</v>
      </c>
      <c r="CK130" s="186">
        <f t="shared" si="111"/>
        <v>0.37415963772204908</v>
      </c>
      <c r="CL130" s="189">
        <f>CL131</f>
        <v>613400</v>
      </c>
      <c r="CM130" s="186">
        <f t="shared" si="112"/>
        <v>0.41219382503359359</v>
      </c>
      <c r="CN130" s="189">
        <f>CN131</f>
        <v>664050</v>
      </c>
      <c r="CO130" s="186">
        <f t="shared" si="113"/>
        <v>0.44622971880267009</v>
      </c>
      <c r="CP130" s="213" t="str">
        <f t="shared" si="85"/>
        <v>Đạt</v>
      </c>
      <c r="CQ130" s="213" t="str">
        <f t="shared" si="86"/>
        <v>Đạt</v>
      </c>
      <c r="CR130" s="213"/>
      <c r="CS130" s="213"/>
      <c r="CT130" s="213"/>
      <c r="CU130" s="163"/>
      <c r="CV130" s="243"/>
      <c r="CW130" s="195"/>
      <c r="CX130" s="196"/>
      <c r="CY130" s="196"/>
      <c r="CZ130" s="197"/>
      <c r="DA130" s="196"/>
      <c r="DB130" s="196"/>
      <c r="DC130" s="196"/>
      <c r="DE130" s="199"/>
      <c r="DF130" s="200"/>
      <c r="DG130" s="181"/>
    </row>
    <row r="131" spans="1:111" s="255" customFormat="1" outlineLevel="1" x14ac:dyDescent="0.25">
      <c r="A131" s="191" t="s">
        <v>29</v>
      </c>
      <c r="B131" s="210" t="s">
        <v>157</v>
      </c>
      <c r="C131" s="210"/>
      <c r="D131" s="189">
        <f>SUM(D132:D143)</f>
        <v>1488134.8597350002</v>
      </c>
      <c r="E131" s="189">
        <f>SUM(E132:E143)</f>
        <v>856774.85973500018</v>
      </c>
      <c r="F131" s="189">
        <f>SUM(F132:F143)</f>
        <v>631360</v>
      </c>
      <c r="G131" s="189">
        <f>SUM(G132:G143)</f>
        <v>424000</v>
      </c>
      <c r="H131" s="189">
        <f>SUM(H132:H143)</f>
        <v>207360</v>
      </c>
      <c r="I131" s="189">
        <f t="shared" ref="I131:O131" si="115">SUM(I132:I142)</f>
        <v>-52000</v>
      </c>
      <c r="J131" s="189"/>
      <c r="K131" s="189">
        <f>SUM(K132:K142)</f>
        <v>0</v>
      </c>
      <c r="L131" s="189">
        <f t="shared" si="115"/>
        <v>30000</v>
      </c>
      <c r="M131" s="189">
        <f t="shared" si="115"/>
        <v>0</v>
      </c>
      <c r="N131" s="189">
        <f t="shared" si="115"/>
        <v>0</v>
      </c>
      <c r="O131" s="189">
        <f t="shared" si="115"/>
        <v>402000</v>
      </c>
      <c r="P131" s="189">
        <v>27078.295252</v>
      </c>
      <c r="Q131" s="258">
        <f t="shared" si="82"/>
        <v>1.8196129923884703E-2</v>
      </c>
      <c r="R131" s="189">
        <v>206894.52794599999</v>
      </c>
      <c r="S131" s="185">
        <v>0.17311944381585762</v>
      </c>
      <c r="T131" s="185">
        <v>0.17833751931552438</v>
      </c>
      <c r="U131" s="189">
        <f>SUM(U132:U143)</f>
        <v>239217.17055399995</v>
      </c>
      <c r="V131" s="185">
        <v>0.17908785358343296</v>
      </c>
      <c r="W131" s="185">
        <v>0.18448582576075589</v>
      </c>
      <c r="X131" s="189">
        <f>SUM(X132:X143)</f>
        <v>239217.17055399995</v>
      </c>
      <c r="Y131" s="185">
        <v>0.17908785358343296</v>
      </c>
      <c r="Z131" s="185">
        <v>0.18448582576075589</v>
      </c>
      <c r="AA131" s="189">
        <f>SUM(AA132:AA143)</f>
        <v>239217.17055399995</v>
      </c>
      <c r="AB131" s="185">
        <v>0.17908785358343296</v>
      </c>
      <c r="AC131" s="185">
        <v>0.18448582576075589</v>
      </c>
      <c r="AD131" s="189">
        <v>304094.039009</v>
      </c>
      <c r="AE131" s="185">
        <v>0.23157145081113995</v>
      </c>
      <c r="AF131" s="185">
        <v>0.23790656323459408</v>
      </c>
      <c r="AG131" s="189">
        <v>305374.039009</v>
      </c>
      <c r="AH131" s="185">
        <v>0.23254618697500631</v>
      </c>
      <c r="AI131" s="185">
        <v>0.23890796530723146</v>
      </c>
      <c r="AJ131" s="257">
        <v>305374.039009</v>
      </c>
      <c r="AK131" s="185">
        <v>0.23254618697500631</v>
      </c>
      <c r="AL131" s="185">
        <v>0.23890796530723146</v>
      </c>
      <c r="AM131" s="189">
        <v>305374.039009</v>
      </c>
      <c r="AN131" s="185">
        <v>0.23254618697500631</v>
      </c>
      <c r="AO131" s="185">
        <v>0.23890796530723146</v>
      </c>
      <c r="AP131" s="185"/>
      <c r="AQ131" s="189">
        <v>356349.44240499998</v>
      </c>
      <c r="AR131" s="185">
        <v>0.27136460037950405</v>
      </c>
      <c r="AS131" s="185">
        <v>0.27878833609963782</v>
      </c>
      <c r="AT131" s="189">
        <v>356349.44240499998</v>
      </c>
      <c r="AU131" s="185">
        <v>0.27136460037950405</v>
      </c>
      <c r="AV131" s="185">
        <v>0.27878833609963782</v>
      </c>
      <c r="AW131" s="185"/>
      <c r="AX131" s="185"/>
      <c r="AY131" s="185"/>
      <c r="AZ131" s="185"/>
      <c r="BA131" s="185"/>
      <c r="BB131" s="185"/>
      <c r="BC131" s="189">
        <v>356349.44240499998</v>
      </c>
      <c r="BD131" s="185">
        <v>0.27136460037950405</v>
      </c>
      <c r="BE131" s="185">
        <v>0.27878833609963782</v>
      </c>
      <c r="BF131" s="189"/>
      <c r="BG131" s="189">
        <v>548080.71770899999</v>
      </c>
      <c r="BH131" s="185">
        <v>0.36830043602808926</v>
      </c>
      <c r="BI131" s="185">
        <v>0.37628256749485212</v>
      </c>
      <c r="BJ131" s="189">
        <f t="shared" si="78"/>
        <v>1456566.8597350002</v>
      </c>
      <c r="BK131" s="189">
        <v>645202.81626999995</v>
      </c>
      <c r="BL131" s="185">
        <f t="shared" si="101"/>
        <v>0.43356474855033938</v>
      </c>
      <c r="BM131" s="185">
        <f t="shared" si="83"/>
        <v>0.44296134568610507</v>
      </c>
      <c r="BN131" s="205">
        <f t="shared" si="76"/>
        <v>341108.77726099995</v>
      </c>
      <c r="BO131" s="205"/>
      <c r="BP131" s="245">
        <f t="shared" ref="BP131:CN131" si="116">SUM(BP132:BP138)</f>
        <v>37000</v>
      </c>
      <c r="BQ131" s="258">
        <f t="shared" si="84"/>
        <v>2.4863337995179268E-2</v>
      </c>
      <c r="BR131" s="245">
        <f t="shared" si="116"/>
        <v>81000</v>
      </c>
      <c r="BS131" s="258">
        <f t="shared" si="102"/>
        <v>5.443055074620326E-2</v>
      </c>
      <c r="BT131" s="245">
        <f t="shared" si="116"/>
        <v>121000</v>
      </c>
      <c r="BU131" s="258">
        <f t="shared" si="103"/>
        <v>8.1309835065315986E-2</v>
      </c>
      <c r="BV131" s="245">
        <f t="shared" si="116"/>
        <v>179000</v>
      </c>
      <c r="BW131" s="258">
        <f t="shared" si="104"/>
        <v>0.12028479732802944</v>
      </c>
      <c r="BX131" s="245">
        <f t="shared" si="116"/>
        <v>235500</v>
      </c>
      <c r="BY131" s="258">
        <f t="shared" si="105"/>
        <v>0.15825178642877616</v>
      </c>
      <c r="BZ131" s="245">
        <f t="shared" si="116"/>
        <v>295500</v>
      </c>
      <c r="CA131" s="258">
        <f t="shared" si="106"/>
        <v>0.19857071290744524</v>
      </c>
      <c r="CB131" s="245">
        <f t="shared" si="116"/>
        <v>347300</v>
      </c>
      <c r="CC131" s="258">
        <f t="shared" si="107"/>
        <v>0.2333793861006962</v>
      </c>
      <c r="CD131" s="245">
        <f t="shared" si="116"/>
        <v>397800</v>
      </c>
      <c r="CE131" s="258">
        <f t="shared" si="108"/>
        <v>0.26731448255357604</v>
      </c>
      <c r="CF131" s="245">
        <f t="shared" si="116"/>
        <v>500800</v>
      </c>
      <c r="CG131" s="258">
        <f t="shared" si="109"/>
        <v>0.33652863967529129</v>
      </c>
      <c r="CH131" s="245">
        <f t="shared" si="116"/>
        <v>500800</v>
      </c>
      <c r="CI131" s="258">
        <f t="shared" si="110"/>
        <v>0.33652863967529129</v>
      </c>
      <c r="CJ131" s="245">
        <f t="shared" si="116"/>
        <v>556800</v>
      </c>
      <c r="CK131" s="258">
        <f t="shared" si="111"/>
        <v>0.37415963772204908</v>
      </c>
      <c r="CL131" s="245">
        <f t="shared" si="116"/>
        <v>613400</v>
      </c>
      <c r="CM131" s="258">
        <f t="shared" si="112"/>
        <v>0.41219382503359359</v>
      </c>
      <c r="CN131" s="245">
        <f t="shared" si="116"/>
        <v>664050</v>
      </c>
      <c r="CO131" s="258">
        <f t="shared" si="113"/>
        <v>0.44622971880267009</v>
      </c>
      <c r="CP131" s="213" t="str">
        <f t="shared" si="85"/>
        <v>Đạt</v>
      </c>
      <c r="CQ131" s="213" t="str">
        <f t="shared" si="86"/>
        <v>Đạt</v>
      </c>
      <c r="CR131" s="213"/>
      <c r="CS131" s="213"/>
      <c r="CT131" s="231"/>
      <c r="CU131" s="163"/>
      <c r="CV131" s="142"/>
      <c r="CW131" s="195"/>
      <c r="CX131" s="196"/>
      <c r="CY131" s="196"/>
      <c r="CZ131" s="197"/>
      <c r="DA131" s="196"/>
      <c r="DB131" s="196"/>
      <c r="DC131" s="196"/>
      <c r="DD131" s="144"/>
      <c r="DE131" s="199"/>
      <c r="DF131" s="200"/>
      <c r="DG131" s="181"/>
    </row>
    <row r="132" spans="1:111" ht="51" outlineLevel="1" x14ac:dyDescent="0.25">
      <c r="A132" s="192">
        <v>1</v>
      </c>
      <c r="B132" s="247" t="s">
        <v>287</v>
      </c>
      <c r="C132" s="259">
        <v>7909745</v>
      </c>
      <c r="D132" s="214">
        <f t="shared" ref="D132:D198" si="117">E132+F132</f>
        <v>98000</v>
      </c>
      <c r="E132" s="205"/>
      <c r="F132" s="214">
        <f t="shared" ref="F132:F138" si="118">G132+H132+K132+M132</f>
        <v>98000</v>
      </c>
      <c r="G132" s="257">
        <v>68000</v>
      </c>
      <c r="H132" s="257">
        <v>30000</v>
      </c>
      <c r="I132" s="235">
        <v>-52000</v>
      </c>
      <c r="J132" s="235">
        <v>-52000</v>
      </c>
      <c r="K132" s="223"/>
      <c r="L132" s="235">
        <v>30000</v>
      </c>
      <c r="M132" s="223"/>
      <c r="N132" s="223"/>
      <c r="O132" s="257">
        <f t="shared" si="87"/>
        <v>46000</v>
      </c>
      <c r="P132" s="257">
        <v>10000.268410999999</v>
      </c>
      <c r="Q132" s="224">
        <f t="shared" si="82"/>
        <v>0.10204355521428571</v>
      </c>
      <c r="R132" s="257">
        <v>10000.268410999999</v>
      </c>
      <c r="S132" s="225">
        <v>6.6668456073333326E-2</v>
      </c>
      <c r="T132" s="225">
        <v>7.0177322182456134E-2</v>
      </c>
      <c r="U132" s="257">
        <v>10000.268410999999</v>
      </c>
      <c r="V132" s="225">
        <v>6.6668456073333326E-2</v>
      </c>
      <c r="W132" s="225">
        <v>7.0177322182456134E-2</v>
      </c>
      <c r="X132" s="257">
        <v>10000.268410999999</v>
      </c>
      <c r="Y132" s="225">
        <v>6.6668456073333326E-2</v>
      </c>
      <c r="Z132" s="225">
        <v>7.0177322182456134E-2</v>
      </c>
      <c r="AA132" s="257">
        <v>10000.268410999999</v>
      </c>
      <c r="AB132" s="225">
        <v>6.6668456073333326E-2</v>
      </c>
      <c r="AC132" s="225">
        <v>7.0177322182456134E-2</v>
      </c>
      <c r="AD132" s="257">
        <v>15019.397411</v>
      </c>
      <c r="AE132" s="225">
        <v>0.10012931607333334</v>
      </c>
      <c r="AF132" s="225">
        <v>0.10539928007719299</v>
      </c>
      <c r="AG132" s="257">
        <v>15019.397411</v>
      </c>
      <c r="AH132" s="225">
        <v>0.10012931607333334</v>
      </c>
      <c r="AI132" s="225">
        <v>0.10539928007719299</v>
      </c>
      <c r="AJ132" s="257">
        <v>15019.397411</v>
      </c>
      <c r="AK132" s="225">
        <v>0.10012931607333334</v>
      </c>
      <c r="AL132" s="225">
        <v>0.10539928007719299</v>
      </c>
      <c r="AM132" s="257">
        <v>15019.397411</v>
      </c>
      <c r="AN132" s="225">
        <v>0.10012931607333334</v>
      </c>
      <c r="AO132" s="225">
        <v>0.10539928007719299</v>
      </c>
      <c r="AP132" s="225"/>
      <c r="AQ132" s="257">
        <v>15019.397411</v>
      </c>
      <c r="AR132" s="225">
        <v>0.10012931607333334</v>
      </c>
      <c r="AS132" s="225">
        <v>0.10539928007719299</v>
      </c>
      <c r="AT132" s="257">
        <v>15019.397411</v>
      </c>
      <c r="AU132" s="225">
        <v>0.10012931607333334</v>
      </c>
      <c r="AV132" s="225">
        <v>0.10539928007719299</v>
      </c>
      <c r="AW132" s="225"/>
      <c r="AX132" s="225"/>
      <c r="AY132" s="225"/>
      <c r="AZ132" s="225"/>
      <c r="BA132" s="225"/>
      <c r="BB132" s="225"/>
      <c r="BC132" s="257">
        <v>15019.397411</v>
      </c>
      <c r="BD132" s="225">
        <v>0.10012931607333334</v>
      </c>
      <c r="BE132" s="225">
        <v>0.10539928007719299</v>
      </c>
      <c r="BF132" s="257"/>
      <c r="BG132" s="257">
        <v>25817.661</v>
      </c>
      <c r="BH132" s="225">
        <v>0.26344552040816327</v>
      </c>
      <c r="BI132" s="225">
        <v>0.27731107411385608</v>
      </c>
      <c r="BJ132" s="257">
        <f t="shared" si="78"/>
        <v>93100</v>
      </c>
      <c r="BK132" s="257">
        <v>25817.661</v>
      </c>
      <c r="BL132" s="225">
        <f t="shared" si="101"/>
        <v>0.26344552040816327</v>
      </c>
      <c r="BM132" s="225">
        <f t="shared" si="83"/>
        <v>0.27731107411385608</v>
      </c>
      <c r="BN132" s="205">
        <f t="shared" si="76"/>
        <v>10798.263589</v>
      </c>
      <c r="BO132" s="205"/>
      <c r="BP132" s="227">
        <v>10000</v>
      </c>
      <c r="BQ132" s="224">
        <f t="shared" si="84"/>
        <v>0.10204081632653061</v>
      </c>
      <c r="BR132" s="227">
        <v>20000</v>
      </c>
      <c r="BS132" s="224">
        <f t="shared" si="102"/>
        <v>0.20408163265306123</v>
      </c>
      <c r="BT132" s="227">
        <v>30000</v>
      </c>
      <c r="BU132" s="224">
        <f t="shared" si="103"/>
        <v>0.30612244897959184</v>
      </c>
      <c r="BV132" s="227">
        <v>40000</v>
      </c>
      <c r="BW132" s="224">
        <f t="shared" si="104"/>
        <v>0.40816326530612246</v>
      </c>
      <c r="BX132" s="227">
        <v>50000</v>
      </c>
      <c r="BY132" s="224">
        <f t="shared" si="105"/>
        <v>0.51020408163265307</v>
      </c>
      <c r="BZ132" s="227">
        <v>60000</v>
      </c>
      <c r="CA132" s="224">
        <f t="shared" si="106"/>
        <v>0.61224489795918369</v>
      </c>
      <c r="CB132" s="227">
        <v>70000</v>
      </c>
      <c r="CC132" s="224">
        <f t="shared" si="107"/>
        <v>0.7142857142857143</v>
      </c>
      <c r="CD132" s="227">
        <v>80000</v>
      </c>
      <c r="CE132" s="224">
        <f t="shared" si="108"/>
        <v>0.81632653061224492</v>
      </c>
      <c r="CF132" s="227">
        <v>100000</v>
      </c>
      <c r="CG132" s="224">
        <f t="shared" si="109"/>
        <v>1.0204081632653061</v>
      </c>
      <c r="CH132" s="227">
        <v>100000</v>
      </c>
      <c r="CI132" s="224">
        <f t="shared" si="110"/>
        <v>1.0204081632653061</v>
      </c>
      <c r="CJ132" s="227">
        <v>110000</v>
      </c>
      <c r="CK132" s="224">
        <f t="shared" si="111"/>
        <v>1.1224489795918366</v>
      </c>
      <c r="CL132" s="227">
        <v>120000</v>
      </c>
      <c r="CM132" s="224">
        <f t="shared" si="112"/>
        <v>1.2244897959183674</v>
      </c>
      <c r="CN132" s="227">
        <v>142500</v>
      </c>
      <c r="CO132" s="224">
        <f t="shared" si="113"/>
        <v>1.4540816326530612</v>
      </c>
      <c r="CP132" s="213" t="str">
        <f t="shared" si="85"/>
        <v>Không đạt</v>
      </c>
      <c r="CQ132" s="213" t="str">
        <f t="shared" si="86"/>
        <v>Không đạt</v>
      </c>
      <c r="CR132" s="192"/>
      <c r="CS132" s="192"/>
      <c r="CT132" s="223"/>
      <c r="CU132" s="163"/>
      <c r="CW132" s="195"/>
      <c r="CX132" s="196"/>
      <c r="CY132" s="196"/>
      <c r="CZ132" s="197"/>
      <c r="DA132" s="196"/>
      <c r="DB132" s="196"/>
      <c r="DC132" s="196"/>
      <c r="DE132" s="199"/>
      <c r="DF132" s="200"/>
      <c r="DG132" s="181"/>
    </row>
    <row r="133" spans="1:111" ht="38.25" outlineLevel="1" x14ac:dyDescent="0.25">
      <c r="A133" s="192">
        <f>MAX(A$132:A132)+1</f>
        <v>2</v>
      </c>
      <c r="B133" s="222" t="s">
        <v>288</v>
      </c>
      <c r="C133" s="222">
        <v>7907249</v>
      </c>
      <c r="D133" s="214">
        <f t="shared" si="117"/>
        <v>12000</v>
      </c>
      <c r="E133" s="205"/>
      <c r="F133" s="214">
        <f t="shared" si="118"/>
        <v>12000</v>
      </c>
      <c r="G133" s="257">
        <v>12000</v>
      </c>
      <c r="H133" s="257"/>
      <c r="I133" s="235"/>
      <c r="J133" s="235"/>
      <c r="K133" s="223"/>
      <c r="L133" s="235"/>
      <c r="M133" s="223"/>
      <c r="N133" s="223"/>
      <c r="O133" s="257">
        <f t="shared" si="87"/>
        <v>12000</v>
      </c>
      <c r="P133" s="257">
        <v>2100.6079450000002</v>
      </c>
      <c r="Q133" s="224">
        <f t="shared" si="82"/>
        <v>0.17505066208333336</v>
      </c>
      <c r="R133" s="257">
        <v>2100.6079450000002</v>
      </c>
      <c r="S133" s="225">
        <v>0.17505066208333336</v>
      </c>
      <c r="T133" s="225">
        <v>0.18426385482456142</v>
      </c>
      <c r="U133" s="257">
        <v>2100.6079450000002</v>
      </c>
      <c r="V133" s="225">
        <v>0.17505066208333336</v>
      </c>
      <c r="W133" s="225">
        <v>0.18426385482456142</v>
      </c>
      <c r="X133" s="257">
        <v>2100.6079450000002</v>
      </c>
      <c r="Y133" s="225">
        <v>0.17505066208333336</v>
      </c>
      <c r="Z133" s="225">
        <v>0.18426385482456142</v>
      </c>
      <c r="AA133" s="257">
        <v>2100.6079450000002</v>
      </c>
      <c r="AB133" s="225">
        <v>0.17505066208333336</v>
      </c>
      <c r="AC133" s="225">
        <v>0.18426385482456142</v>
      </c>
      <c r="AD133" s="257">
        <v>2100.6079450000002</v>
      </c>
      <c r="AE133" s="225">
        <v>0.17505066208333336</v>
      </c>
      <c r="AF133" s="225">
        <v>0.18426385482456142</v>
      </c>
      <c r="AG133" s="257">
        <v>2100.6079450000002</v>
      </c>
      <c r="AH133" s="225">
        <v>0.17505066208333336</v>
      </c>
      <c r="AI133" s="225">
        <v>0.18426385482456142</v>
      </c>
      <c r="AJ133" s="257">
        <v>2100.6079450000002</v>
      </c>
      <c r="AK133" s="225">
        <v>0.17505066208333336</v>
      </c>
      <c r="AL133" s="225">
        <v>0.18426385482456142</v>
      </c>
      <c r="AM133" s="257">
        <v>2100.6079450000002</v>
      </c>
      <c r="AN133" s="225">
        <v>0.17505066208333336</v>
      </c>
      <c r="AO133" s="225">
        <v>0.18426385482456142</v>
      </c>
      <c r="AP133" s="225"/>
      <c r="AQ133" s="257">
        <v>2100.6079450000002</v>
      </c>
      <c r="AR133" s="225">
        <v>0.17505066208333336</v>
      </c>
      <c r="AS133" s="225">
        <v>0.18426385482456142</v>
      </c>
      <c r="AT133" s="257">
        <v>2100.6079450000002</v>
      </c>
      <c r="AU133" s="225">
        <v>0.17505066208333336</v>
      </c>
      <c r="AV133" s="225">
        <v>0.18426385482456142</v>
      </c>
      <c r="AW133" s="225"/>
      <c r="AX133" s="225"/>
      <c r="AY133" s="225"/>
      <c r="AZ133" s="225"/>
      <c r="BA133" s="225"/>
      <c r="BB133" s="225"/>
      <c r="BC133" s="257">
        <v>2100.6079450000002</v>
      </c>
      <c r="BD133" s="225">
        <v>0.17505066208333336</v>
      </c>
      <c r="BE133" s="225">
        <v>0.18426385482456142</v>
      </c>
      <c r="BF133" s="257"/>
      <c r="BG133" s="257">
        <v>4941.2447840000004</v>
      </c>
      <c r="BH133" s="225">
        <v>0.4117703986666667</v>
      </c>
      <c r="BI133" s="225">
        <v>0.43344252491228075</v>
      </c>
      <c r="BJ133" s="257">
        <f t="shared" si="78"/>
        <v>11400</v>
      </c>
      <c r="BK133" s="257">
        <v>6748.191918999999</v>
      </c>
      <c r="BL133" s="225">
        <f t="shared" si="101"/>
        <v>0.56234932658333325</v>
      </c>
      <c r="BM133" s="225">
        <f t="shared" si="83"/>
        <v>0.59194665956140347</v>
      </c>
      <c r="BN133" s="205">
        <f t="shared" si="76"/>
        <v>4647.5839739999992</v>
      </c>
      <c r="BO133" s="205"/>
      <c r="BP133" s="227"/>
      <c r="BQ133" s="224">
        <f t="shared" si="84"/>
        <v>0</v>
      </c>
      <c r="BR133" s="227">
        <v>1000</v>
      </c>
      <c r="BS133" s="224">
        <f t="shared" si="102"/>
        <v>8.3333333333333329E-2</v>
      </c>
      <c r="BT133" s="227">
        <v>2000</v>
      </c>
      <c r="BU133" s="224">
        <f t="shared" si="103"/>
        <v>0.16666666666666666</v>
      </c>
      <c r="BV133" s="227">
        <v>3000</v>
      </c>
      <c r="BW133" s="224">
        <f t="shared" si="104"/>
        <v>0.25</v>
      </c>
      <c r="BX133" s="227">
        <v>4000</v>
      </c>
      <c r="BY133" s="224">
        <f t="shared" si="105"/>
        <v>0.33333333333333331</v>
      </c>
      <c r="BZ133" s="227">
        <v>5000</v>
      </c>
      <c r="CA133" s="224">
        <f t="shared" si="106"/>
        <v>0.41666666666666669</v>
      </c>
      <c r="CB133" s="227">
        <v>6000</v>
      </c>
      <c r="CC133" s="224">
        <f t="shared" si="107"/>
        <v>0.5</v>
      </c>
      <c r="CD133" s="227">
        <v>7000</v>
      </c>
      <c r="CE133" s="224">
        <f t="shared" si="108"/>
        <v>0.58333333333333337</v>
      </c>
      <c r="CF133" s="227">
        <v>9000</v>
      </c>
      <c r="CG133" s="224">
        <f t="shared" si="109"/>
        <v>0.75</v>
      </c>
      <c r="CH133" s="227">
        <v>9000</v>
      </c>
      <c r="CI133" s="224">
        <f t="shared" si="110"/>
        <v>0.75</v>
      </c>
      <c r="CJ133" s="227">
        <v>10500</v>
      </c>
      <c r="CK133" s="224">
        <f t="shared" si="111"/>
        <v>0.875</v>
      </c>
      <c r="CL133" s="227">
        <v>11400</v>
      </c>
      <c r="CM133" s="224">
        <f t="shared" si="112"/>
        <v>0.95</v>
      </c>
      <c r="CN133" s="227">
        <v>11400</v>
      </c>
      <c r="CO133" s="224">
        <f t="shared" si="113"/>
        <v>0.95</v>
      </c>
      <c r="CP133" s="213" t="str">
        <f t="shared" si="85"/>
        <v>Đạt</v>
      </c>
      <c r="CQ133" s="213" t="str">
        <f t="shared" si="86"/>
        <v>Đạt</v>
      </c>
      <c r="CR133" s="192"/>
      <c r="CS133" s="192"/>
      <c r="CT133" s="223"/>
      <c r="CU133" s="163"/>
      <c r="CW133" s="195"/>
      <c r="CX133" s="196"/>
      <c r="CY133" s="196"/>
      <c r="CZ133" s="197"/>
      <c r="DA133" s="196"/>
      <c r="DB133" s="196"/>
      <c r="DC133" s="196"/>
      <c r="DE133" s="199"/>
      <c r="DF133" s="200"/>
      <c r="DG133" s="181"/>
    </row>
    <row r="134" spans="1:111" ht="51" outlineLevel="1" x14ac:dyDescent="0.25">
      <c r="A134" s="192">
        <f>MAX(A$132:A133)+1</f>
        <v>3</v>
      </c>
      <c r="B134" s="222" t="s">
        <v>289</v>
      </c>
      <c r="C134" s="222">
        <v>7906860</v>
      </c>
      <c r="D134" s="214">
        <f t="shared" si="117"/>
        <v>0</v>
      </c>
      <c r="E134" s="205"/>
      <c r="F134" s="214">
        <f t="shared" si="118"/>
        <v>0</v>
      </c>
      <c r="G134" s="257">
        <v>0</v>
      </c>
      <c r="H134" s="257"/>
      <c r="I134" s="235"/>
      <c r="J134" s="235"/>
      <c r="K134" s="223"/>
      <c r="L134" s="235"/>
      <c r="M134" s="223"/>
      <c r="N134" s="223"/>
      <c r="O134" s="257">
        <f t="shared" si="87"/>
        <v>0</v>
      </c>
      <c r="P134" s="257">
        <v>0</v>
      </c>
      <c r="Q134" s="224" t="e">
        <f t="shared" si="82"/>
        <v>#DIV/0!</v>
      </c>
      <c r="R134" s="257"/>
      <c r="S134" s="225">
        <v>0</v>
      </c>
      <c r="T134" s="225">
        <v>0</v>
      </c>
      <c r="U134" s="257"/>
      <c r="V134" s="225">
        <v>0</v>
      </c>
      <c r="W134" s="225">
        <v>0</v>
      </c>
      <c r="X134" s="257"/>
      <c r="Y134" s="225">
        <v>0</v>
      </c>
      <c r="Z134" s="225">
        <v>0</v>
      </c>
      <c r="AA134" s="257"/>
      <c r="AB134" s="225">
        <v>0</v>
      </c>
      <c r="AC134" s="225">
        <v>0</v>
      </c>
      <c r="AD134" s="257"/>
      <c r="AE134" s="225">
        <v>0</v>
      </c>
      <c r="AF134" s="225">
        <v>0</v>
      </c>
      <c r="AG134" s="257"/>
      <c r="AH134" s="225">
        <v>0</v>
      </c>
      <c r="AI134" s="225">
        <v>0</v>
      </c>
      <c r="AJ134" s="214"/>
      <c r="AK134" s="225">
        <v>0</v>
      </c>
      <c r="AL134" s="225">
        <v>0</v>
      </c>
      <c r="AM134" s="257"/>
      <c r="AN134" s="225">
        <v>0</v>
      </c>
      <c r="AO134" s="225">
        <v>0</v>
      </c>
      <c r="AP134" s="225"/>
      <c r="AQ134" s="257"/>
      <c r="AR134" s="225">
        <v>0</v>
      </c>
      <c r="AS134" s="225">
        <v>0</v>
      </c>
      <c r="AT134" s="257"/>
      <c r="AU134" s="225">
        <v>0</v>
      </c>
      <c r="AV134" s="225">
        <v>0</v>
      </c>
      <c r="AW134" s="225"/>
      <c r="AX134" s="225"/>
      <c r="AY134" s="225"/>
      <c r="AZ134" s="225"/>
      <c r="BA134" s="225"/>
      <c r="BB134" s="225"/>
      <c r="BC134" s="257"/>
      <c r="BD134" s="225">
        <v>0</v>
      </c>
      <c r="BE134" s="225">
        <v>0</v>
      </c>
      <c r="BF134" s="257"/>
      <c r="BG134" s="257"/>
      <c r="BH134" s="225" t="e">
        <v>#DIV/0!</v>
      </c>
      <c r="BI134" s="225" t="e">
        <v>#DIV/0!</v>
      </c>
      <c r="BJ134" s="257">
        <f t="shared" si="78"/>
        <v>0</v>
      </c>
      <c r="BK134" s="257">
        <v>0</v>
      </c>
      <c r="BL134" s="225" t="e">
        <f t="shared" si="101"/>
        <v>#DIV/0!</v>
      </c>
      <c r="BM134" s="225" t="e">
        <f t="shared" si="83"/>
        <v>#DIV/0!</v>
      </c>
      <c r="BN134" s="205">
        <f t="shared" si="76"/>
        <v>0</v>
      </c>
      <c r="BO134" s="205"/>
      <c r="BP134" s="227">
        <v>0</v>
      </c>
      <c r="BQ134" s="224" t="e">
        <f t="shared" si="84"/>
        <v>#DIV/0!</v>
      </c>
      <c r="BR134" s="227">
        <v>1000</v>
      </c>
      <c r="BS134" s="224" t="e">
        <f t="shared" si="102"/>
        <v>#DIV/0!</v>
      </c>
      <c r="BT134" s="227">
        <v>2000</v>
      </c>
      <c r="BU134" s="224" t="e">
        <f t="shared" si="103"/>
        <v>#DIV/0!</v>
      </c>
      <c r="BV134" s="227">
        <v>3000</v>
      </c>
      <c r="BW134" s="224" t="e">
        <f t="shared" si="104"/>
        <v>#DIV/0!</v>
      </c>
      <c r="BX134" s="227">
        <v>4500</v>
      </c>
      <c r="BY134" s="224" t="e">
        <f t="shared" si="105"/>
        <v>#DIV/0!</v>
      </c>
      <c r="BZ134" s="227">
        <v>8500</v>
      </c>
      <c r="CA134" s="224" t="e">
        <f t="shared" si="106"/>
        <v>#DIV/0!</v>
      </c>
      <c r="CB134" s="227">
        <v>9500</v>
      </c>
      <c r="CC134" s="224" t="e">
        <f t="shared" si="107"/>
        <v>#DIV/0!</v>
      </c>
      <c r="CD134" s="227">
        <v>10500</v>
      </c>
      <c r="CE134" s="224" t="e">
        <f t="shared" si="108"/>
        <v>#DIV/0!</v>
      </c>
      <c r="CF134" s="227">
        <v>13000</v>
      </c>
      <c r="CG134" s="224" t="e">
        <f t="shared" si="109"/>
        <v>#DIV/0!</v>
      </c>
      <c r="CH134" s="227">
        <v>13000</v>
      </c>
      <c r="CI134" s="224" t="e">
        <f t="shared" si="110"/>
        <v>#DIV/0!</v>
      </c>
      <c r="CJ134" s="227">
        <v>14500</v>
      </c>
      <c r="CK134" s="224" t="e">
        <f t="shared" si="111"/>
        <v>#DIV/0!</v>
      </c>
      <c r="CL134" s="227">
        <v>15200</v>
      </c>
      <c r="CM134" s="224" t="e">
        <f t="shared" si="112"/>
        <v>#DIV/0!</v>
      </c>
      <c r="CN134" s="227">
        <v>15200</v>
      </c>
      <c r="CO134" s="224" t="e">
        <f t="shared" si="113"/>
        <v>#DIV/0!</v>
      </c>
      <c r="CP134" s="213" t="e">
        <f t="shared" si="85"/>
        <v>#DIV/0!</v>
      </c>
      <c r="CQ134" s="213" t="e">
        <f t="shared" si="86"/>
        <v>#DIV/0!</v>
      </c>
      <c r="CR134" s="192"/>
      <c r="CS134" s="192"/>
      <c r="CT134" s="223"/>
      <c r="CU134" s="163"/>
      <c r="CW134" s="195"/>
      <c r="CX134" s="196"/>
      <c r="CY134" s="196"/>
      <c r="CZ134" s="197"/>
      <c r="DA134" s="196"/>
      <c r="DB134" s="196"/>
      <c r="DC134" s="196"/>
      <c r="DE134" s="199"/>
      <c r="DF134" s="200"/>
      <c r="DG134" s="181"/>
    </row>
    <row r="135" spans="1:111" ht="38.25" outlineLevel="1" x14ac:dyDescent="0.25">
      <c r="A135" s="192">
        <f>MAX(A$132:A134)+1</f>
        <v>4</v>
      </c>
      <c r="B135" s="222" t="s">
        <v>290</v>
      </c>
      <c r="C135" s="222">
        <v>7796933</v>
      </c>
      <c r="D135" s="214">
        <f t="shared" si="117"/>
        <v>130000</v>
      </c>
      <c r="E135" s="205"/>
      <c r="F135" s="214">
        <f t="shared" si="118"/>
        <v>130000</v>
      </c>
      <c r="G135" s="257">
        <v>100000</v>
      </c>
      <c r="H135" s="257">
        <v>30000</v>
      </c>
      <c r="I135" s="235"/>
      <c r="J135" s="235"/>
      <c r="K135" s="223"/>
      <c r="L135" s="235"/>
      <c r="M135" s="223"/>
      <c r="N135" s="223"/>
      <c r="O135" s="257">
        <f t="shared" si="87"/>
        <v>100000</v>
      </c>
      <c r="P135" s="257">
        <v>32201.963486000001</v>
      </c>
      <c r="Q135" s="224">
        <f t="shared" si="82"/>
        <v>0.24770741143076924</v>
      </c>
      <c r="R135" s="257">
        <v>44287.941791999998</v>
      </c>
      <c r="S135" s="225">
        <v>0.34067647532307693</v>
      </c>
      <c r="T135" s="225">
        <v>0.35860681612955464</v>
      </c>
      <c r="U135" s="257">
        <v>44797.949399999998</v>
      </c>
      <c r="V135" s="225">
        <v>0.34459961076923074</v>
      </c>
      <c r="W135" s="225">
        <v>0.36273643238866393</v>
      </c>
      <c r="X135" s="257">
        <v>44797.949399999998</v>
      </c>
      <c r="Y135" s="225">
        <v>0.34459961076923074</v>
      </c>
      <c r="Z135" s="225">
        <v>0.36273643238866393</v>
      </c>
      <c r="AA135" s="257">
        <v>44797.949399999998</v>
      </c>
      <c r="AB135" s="225">
        <v>0.34459961076923074</v>
      </c>
      <c r="AC135" s="225">
        <v>0.36273643238866393</v>
      </c>
      <c r="AD135" s="257">
        <v>46162.187564</v>
      </c>
      <c r="AE135" s="225">
        <v>0.35509375049230768</v>
      </c>
      <c r="AF135" s="225">
        <v>0.37378289525506075</v>
      </c>
      <c r="AG135" s="214">
        <v>47442.187564</v>
      </c>
      <c r="AH135" s="225">
        <v>0.36493990433846152</v>
      </c>
      <c r="AI135" s="225">
        <v>0.38414726772469637</v>
      </c>
      <c r="AJ135" s="257">
        <v>47442.187564</v>
      </c>
      <c r="AK135" s="225">
        <v>0.36493990433846152</v>
      </c>
      <c r="AL135" s="225">
        <v>0.38414726772469637</v>
      </c>
      <c r="AM135" s="214">
        <v>47442.187564</v>
      </c>
      <c r="AN135" s="225">
        <v>0.36493990433846152</v>
      </c>
      <c r="AO135" s="225">
        <v>0.38414726772469637</v>
      </c>
      <c r="AP135" s="225"/>
      <c r="AQ135" s="214">
        <v>48787.195335999997</v>
      </c>
      <c r="AR135" s="225">
        <v>0.37528611796923073</v>
      </c>
      <c r="AS135" s="225">
        <v>0.39503801891497975</v>
      </c>
      <c r="AT135" s="214">
        <v>48787.195335999997</v>
      </c>
      <c r="AU135" s="225">
        <v>0.37528611796923073</v>
      </c>
      <c r="AV135" s="225">
        <v>0.39503801891497975</v>
      </c>
      <c r="AW135" s="225"/>
      <c r="AX135" s="225"/>
      <c r="AY135" s="225"/>
      <c r="AZ135" s="225"/>
      <c r="BA135" s="225"/>
      <c r="BB135" s="225"/>
      <c r="BC135" s="214">
        <v>48787.195335999997</v>
      </c>
      <c r="BD135" s="225">
        <v>0.37528611796923073</v>
      </c>
      <c r="BE135" s="225">
        <v>0.39503801891497975</v>
      </c>
      <c r="BF135" s="214"/>
      <c r="BG135" s="214">
        <v>50571.82</v>
      </c>
      <c r="BH135" s="225">
        <v>0.38901399999999997</v>
      </c>
      <c r="BI135" s="225">
        <v>0.40948842105263156</v>
      </c>
      <c r="BJ135" s="214">
        <f t="shared" si="78"/>
        <v>123500</v>
      </c>
      <c r="BK135" s="214">
        <v>52512.059588999997</v>
      </c>
      <c r="BL135" s="225">
        <f t="shared" si="101"/>
        <v>0.40393891991538461</v>
      </c>
      <c r="BM135" s="225">
        <f t="shared" si="83"/>
        <v>0.42519886306882587</v>
      </c>
      <c r="BN135" s="205">
        <f t="shared" ref="BN135:BN198" si="119">BK135-AD135</f>
        <v>6349.8720249999969</v>
      </c>
      <c r="BO135" s="205"/>
      <c r="BP135" s="227">
        <v>10000</v>
      </c>
      <c r="BQ135" s="224">
        <f t="shared" si="84"/>
        <v>7.6923076923076927E-2</v>
      </c>
      <c r="BR135" s="227">
        <v>20000</v>
      </c>
      <c r="BS135" s="224">
        <f t="shared" si="102"/>
        <v>0.15384615384615385</v>
      </c>
      <c r="BT135" s="227">
        <v>30000</v>
      </c>
      <c r="BU135" s="224">
        <f t="shared" si="103"/>
        <v>0.23076923076923078</v>
      </c>
      <c r="BV135" s="227">
        <v>40000</v>
      </c>
      <c r="BW135" s="224">
        <f t="shared" si="104"/>
        <v>0.30769230769230771</v>
      </c>
      <c r="BX135" s="227">
        <v>50000</v>
      </c>
      <c r="BY135" s="224">
        <f t="shared" si="105"/>
        <v>0.38461538461538464</v>
      </c>
      <c r="BZ135" s="227">
        <v>60000</v>
      </c>
      <c r="CA135" s="224">
        <f t="shared" si="106"/>
        <v>0.46153846153846156</v>
      </c>
      <c r="CB135" s="227">
        <v>70000</v>
      </c>
      <c r="CC135" s="224">
        <f t="shared" si="107"/>
        <v>0.53846153846153844</v>
      </c>
      <c r="CD135" s="227">
        <v>80000</v>
      </c>
      <c r="CE135" s="224">
        <f t="shared" si="108"/>
        <v>0.61538461538461542</v>
      </c>
      <c r="CF135" s="227">
        <v>100000</v>
      </c>
      <c r="CG135" s="224">
        <f t="shared" si="109"/>
        <v>0.76923076923076927</v>
      </c>
      <c r="CH135" s="227">
        <v>100000</v>
      </c>
      <c r="CI135" s="224">
        <f t="shared" si="110"/>
        <v>0.76923076923076927</v>
      </c>
      <c r="CJ135" s="227">
        <v>110000</v>
      </c>
      <c r="CK135" s="224">
        <f t="shared" si="111"/>
        <v>0.84615384615384615</v>
      </c>
      <c r="CL135" s="227">
        <v>120000</v>
      </c>
      <c r="CM135" s="224">
        <f t="shared" si="112"/>
        <v>0.92307692307692313</v>
      </c>
      <c r="CN135" s="227">
        <v>123500</v>
      </c>
      <c r="CO135" s="224">
        <f t="shared" si="113"/>
        <v>0.95</v>
      </c>
      <c r="CP135" s="213" t="str">
        <f t="shared" si="85"/>
        <v>Đạt</v>
      </c>
      <c r="CQ135" s="213" t="str">
        <f t="shared" si="86"/>
        <v>Không đạt</v>
      </c>
      <c r="CR135" s="192"/>
      <c r="CS135" s="192"/>
      <c r="CT135" s="223"/>
      <c r="CU135" s="163"/>
      <c r="CW135" s="195"/>
      <c r="CX135" s="196"/>
      <c r="CY135" s="196"/>
      <c r="CZ135" s="197"/>
      <c r="DA135" s="196"/>
      <c r="DB135" s="196"/>
      <c r="DC135" s="196"/>
      <c r="DE135" s="199"/>
      <c r="DF135" s="200"/>
      <c r="DG135" s="181"/>
    </row>
    <row r="136" spans="1:111" ht="25.5" outlineLevel="1" x14ac:dyDescent="0.25">
      <c r="A136" s="192">
        <f>MAX(A$132:A135)+1</f>
        <v>5</v>
      </c>
      <c r="B136" s="222" t="s">
        <v>291</v>
      </c>
      <c r="C136" s="222">
        <v>7778423</v>
      </c>
      <c r="D136" s="214">
        <f t="shared" si="117"/>
        <v>4000</v>
      </c>
      <c r="E136" s="205"/>
      <c r="F136" s="214">
        <f t="shared" si="118"/>
        <v>4000</v>
      </c>
      <c r="G136" s="257">
        <v>4000</v>
      </c>
      <c r="H136" s="257"/>
      <c r="I136" s="235"/>
      <c r="J136" s="235"/>
      <c r="K136" s="223"/>
      <c r="L136" s="235"/>
      <c r="M136" s="223"/>
      <c r="N136" s="223"/>
      <c r="O136" s="257">
        <f t="shared" si="87"/>
        <v>4000</v>
      </c>
      <c r="P136" s="257">
        <v>223.76499999999999</v>
      </c>
      <c r="Q136" s="224">
        <f t="shared" si="82"/>
        <v>5.5941249999999998E-2</v>
      </c>
      <c r="R136" s="257">
        <v>223.76499999999999</v>
      </c>
      <c r="S136" s="225">
        <v>5.5941249999999998E-2</v>
      </c>
      <c r="T136" s="225">
        <v>5.8885526315789471E-2</v>
      </c>
      <c r="U136" s="257">
        <v>340.54300000000001</v>
      </c>
      <c r="V136" s="225">
        <v>8.5135749999999996E-2</v>
      </c>
      <c r="W136" s="225">
        <v>8.9616578947368422E-2</v>
      </c>
      <c r="X136" s="257">
        <v>340.54300000000001</v>
      </c>
      <c r="Y136" s="225">
        <v>8.5135749999999996E-2</v>
      </c>
      <c r="Z136" s="225">
        <v>8.9616578947368422E-2</v>
      </c>
      <c r="AA136" s="257">
        <v>340.54300000000001</v>
      </c>
      <c r="AB136" s="225">
        <v>8.5135749999999996E-2</v>
      </c>
      <c r="AC136" s="225">
        <v>8.9616578947368422E-2</v>
      </c>
      <c r="AD136" s="257">
        <v>340.54300000000001</v>
      </c>
      <c r="AE136" s="225">
        <v>8.5135749999999996E-2</v>
      </c>
      <c r="AF136" s="225">
        <v>8.9616578947368422E-2</v>
      </c>
      <c r="AG136" s="257">
        <v>340.54300000000001</v>
      </c>
      <c r="AH136" s="225">
        <v>8.5135749999999996E-2</v>
      </c>
      <c r="AI136" s="225">
        <v>8.9616578947368422E-2</v>
      </c>
      <c r="AJ136" s="257">
        <v>340.54300000000001</v>
      </c>
      <c r="AK136" s="225">
        <v>8.5135749999999996E-2</v>
      </c>
      <c r="AL136" s="225">
        <v>8.9616578947368422E-2</v>
      </c>
      <c r="AM136" s="257">
        <v>340.54300000000001</v>
      </c>
      <c r="AN136" s="225">
        <v>8.5135749999999996E-2</v>
      </c>
      <c r="AO136" s="225">
        <v>8.9616578947368422E-2</v>
      </c>
      <c r="AP136" s="225"/>
      <c r="AQ136" s="257">
        <v>340.54300000000001</v>
      </c>
      <c r="AR136" s="225">
        <v>8.5135749999999996E-2</v>
      </c>
      <c r="AS136" s="225">
        <v>8.9616578947368422E-2</v>
      </c>
      <c r="AT136" s="257">
        <v>340.54300000000001</v>
      </c>
      <c r="AU136" s="225">
        <v>8.5135749999999996E-2</v>
      </c>
      <c r="AV136" s="225">
        <v>8.9616578947368422E-2</v>
      </c>
      <c r="AW136" s="225"/>
      <c r="AX136" s="225"/>
      <c r="AY136" s="225"/>
      <c r="AZ136" s="225"/>
      <c r="BA136" s="225"/>
      <c r="BB136" s="225"/>
      <c r="BC136" s="257">
        <v>340.54300000000001</v>
      </c>
      <c r="BD136" s="225">
        <v>8.5135749999999996E-2</v>
      </c>
      <c r="BE136" s="225">
        <v>8.9616578947368422E-2</v>
      </c>
      <c r="BF136" s="257"/>
      <c r="BG136" s="257">
        <v>340.54300000000001</v>
      </c>
      <c r="BH136" s="225">
        <v>8.5135749999999996E-2</v>
      </c>
      <c r="BI136" s="225">
        <v>8.9616578947368422E-2</v>
      </c>
      <c r="BJ136" s="257">
        <f t="shared" si="78"/>
        <v>3800</v>
      </c>
      <c r="BK136" s="257">
        <v>340.54300000000001</v>
      </c>
      <c r="BL136" s="225">
        <f t="shared" si="101"/>
        <v>8.5135749999999996E-2</v>
      </c>
      <c r="BM136" s="225">
        <f t="shared" si="83"/>
        <v>8.9616578947368422E-2</v>
      </c>
      <c r="BN136" s="205">
        <f t="shared" si="119"/>
        <v>0</v>
      </c>
      <c r="BO136" s="205"/>
      <c r="BP136" s="227">
        <v>0</v>
      </c>
      <c r="BQ136" s="224">
        <f t="shared" si="84"/>
        <v>0</v>
      </c>
      <c r="BR136" s="227">
        <v>0</v>
      </c>
      <c r="BS136" s="224">
        <f t="shared" si="102"/>
        <v>0</v>
      </c>
      <c r="BT136" s="227">
        <v>0</v>
      </c>
      <c r="BU136" s="224">
        <f t="shared" si="103"/>
        <v>0</v>
      </c>
      <c r="BV136" s="227">
        <v>2000</v>
      </c>
      <c r="BW136" s="224">
        <f t="shared" si="104"/>
        <v>0.5</v>
      </c>
      <c r="BX136" s="227">
        <v>2000</v>
      </c>
      <c r="BY136" s="224">
        <f t="shared" si="105"/>
        <v>0.5</v>
      </c>
      <c r="BZ136" s="227">
        <v>3000</v>
      </c>
      <c r="CA136" s="224">
        <f t="shared" si="106"/>
        <v>0.75</v>
      </c>
      <c r="CB136" s="227">
        <v>3800</v>
      </c>
      <c r="CC136" s="224">
        <f t="shared" si="107"/>
        <v>0.95</v>
      </c>
      <c r="CD136" s="227">
        <v>3800</v>
      </c>
      <c r="CE136" s="224">
        <f t="shared" si="108"/>
        <v>0.95</v>
      </c>
      <c r="CF136" s="227">
        <v>3800</v>
      </c>
      <c r="CG136" s="224">
        <f t="shared" si="109"/>
        <v>0.95</v>
      </c>
      <c r="CH136" s="227">
        <v>3800</v>
      </c>
      <c r="CI136" s="224">
        <f t="shared" si="110"/>
        <v>0.95</v>
      </c>
      <c r="CJ136" s="227">
        <v>3800</v>
      </c>
      <c r="CK136" s="224">
        <f t="shared" si="111"/>
        <v>0.95</v>
      </c>
      <c r="CL136" s="227">
        <v>3800</v>
      </c>
      <c r="CM136" s="224">
        <f t="shared" si="112"/>
        <v>0.95</v>
      </c>
      <c r="CN136" s="227">
        <v>3800</v>
      </c>
      <c r="CO136" s="224">
        <f t="shared" si="113"/>
        <v>0.95</v>
      </c>
      <c r="CP136" s="213" t="str">
        <f t="shared" si="85"/>
        <v>Không đạt</v>
      </c>
      <c r="CQ136" s="213" t="str">
        <f t="shared" si="86"/>
        <v>Không đạt</v>
      </c>
      <c r="CR136" s="192"/>
      <c r="CS136" s="192"/>
      <c r="CT136" s="223"/>
      <c r="CU136" s="163"/>
      <c r="CW136" s="195"/>
      <c r="CX136" s="196"/>
      <c r="CY136" s="196"/>
      <c r="CZ136" s="197"/>
      <c r="DA136" s="196"/>
      <c r="DB136" s="196"/>
      <c r="DC136" s="196"/>
      <c r="DE136" s="199"/>
      <c r="DF136" s="200"/>
      <c r="DG136" s="181"/>
    </row>
    <row r="137" spans="1:111" ht="25.5" outlineLevel="1" x14ac:dyDescent="0.25">
      <c r="A137" s="192">
        <f>MAX(A$132:A136)+1</f>
        <v>6</v>
      </c>
      <c r="B137" s="222" t="s">
        <v>292</v>
      </c>
      <c r="C137" s="222">
        <v>7904207</v>
      </c>
      <c r="D137" s="214">
        <f t="shared" si="117"/>
        <v>40000</v>
      </c>
      <c r="E137" s="205"/>
      <c r="F137" s="214">
        <f t="shared" si="118"/>
        <v>40000</v>
      </c>
      <c r="G137" s="257">
        <v>40000</v>
      </c>
      <c r="H137" s="257"/>
      <c r="I137" s="235"/>
      <c r="J137" s="235"/>
      <c r="K137" s="223"/>
      <c r="L137" s="235"/>
      <c r="M137" s="223"/>
      <c r="N137" s="223"/>
      <c r="O137" s="257">
        <f t="shared" si="87"/>
        <v>40000</v>
      </c>
      <c r="P137" s="257">
        <v>498</v>
      </c>
      <c r="Q137" s="224">
        <f t="shared" si="82"/>
        <v>1.2449999999999999E-2</v>
      </c>
      <c r="R137" s="257">
        <v>498</v>
      </c>
      <c r="S137" s="225">
        <v>1.2449999999999999E-2</v>
      </c>
      <c r="T137" s="225">
        <v>1.3105263157894736E-2</v>
      </c>
      <c r="U137" s="257">
        <v>498</v>
      </c>
      <c r="V137" s="225">
        <v>1.2449999999999999E-2</v>
      </c>
      <c r="W137" s="225">
        <v>1.3105263157894736E-2</v>
      </c>
      <c r="X137" s="257">
        <v>498</v>
      </c>
      <c r="Y137" s="225">
        <v>1.2449999999999999E-2</v>
      </c>
      <c r="Z137" s="225">
        <v>1.3105263157894736E-2</v>
      </c>
      <c r="AA137" s="257">
        <v>498</v>
      </c>
      <c r="AB137" s="225">
        <v>1.2449999999999999E-2</v>
      </c>
      <c r="AC137" s="225">
        <v>1.3105263157894736E-2</v>
      </c>
      <c r="AD137" s="257">
        <v>1349.611091</v>
      </c>
      <c r="AE137" s="225">
        <v>3.3740277275000001E-2</v>
      </c>
      <c r="AF137" s="225">
        <v>3.5516081342105266E-2</v>
      </c>
      <c r="AG137" s="257">
        <v>1349.611091</v>
      </c>
      <c r="AH137" s="225">
        <v>3.3740277275000001E-2</v>
      </c>
      <c r="AI137" s="225">
        <v>3.5516081342105266E-2</v>
      </c>
      <c r="AJ137" s="257">
        <v>1349.611091</v>
      </c>
      <c r="AK137" s="225">
        <v>3.3740277275000001E-2</v>
      </c>
      <c r="AL137" s="225">
        <v>3.5516081342105266E-2</v>
      </c>
      <c r="AM137" s="257">
        <v>1349.611091</v>
      </c>
      <c r="AN137" s="225">
        <v>3.3740277275000001E-2</v>
      </c>
      <c r="AO137" s="225">
        <v>3.5516081342105266E-2</v>
      </c>
      <c r="AP137" s="225"/>
      <c r="AQ137" s="257">
        <v>1349.611091</v>
      </c>
      <c r="AR137" s="225">
        <v>3.3740277275000001E-2</v>
      </c>
      <c r="AS137" s="225">
        <v>3.5516081342105266E-2</v>
      </c>
      <c r="AT137" s="257">
        <v>1349.611091</v>
      </c>
      <c r="AU137" s="225">
        <v>3.3740277275000001E-2</v>
      </c>
      <c r="AV137" s="225">
        <v>3.5516081342105266E-2</v>
      </c>
      <c r="AW137" s="225"/>
      <c r="AX137" s="225"/>
      <c r="AY137" s="225"/>
      <c r="AZ137" s="225"/>
      <c r="BA137" s="225"/>
      <c r="BB137" s="225"/>
      <c r="BC137" s="257">
        <v>1349.611091</v>
      </c>
      <c r="BD137" s="225">
        <v>3.3740277275000001E-2</v>
      </c>
      <c r="BE137" s="225">
        <v>3.5516081342105266E-2</v>
      </c>
      <c r="BF137" s="257"/>
      <c r="BG137" s="257">
        <v>1349.611091</v>
      </c>
      <c r="BH137" s="225">
        <v>3.3740277275000001E-2</v>
      </c>
      <c r="BI137" s="225">
        <v>3.5516081342105266E-2</v>
      </c>
      <c r="BJ137" s="257">
        <f t="shared" si="78"/>
        <v>38000</v>
      </c>
      <c r="BK137" s="257">
        <v>1349.611091</v>
      </c>
      <c r="BL137" s="225">
        <f t="shared" si="101"/>
        <v>3.3740277275000001E-2</v>
      </c>
      <c r="BM137" s="225">
        <f t="shared" si="83"/>
        <v>3.5516081342105266E-2</v>
      </c>
      <c r="BN137" s="205">
        <f t="shared" si="119"/>
        <v>0</v>
      </c>
      <c r="BO137" s="205"/>
      <c r="BP137" s="227">
        <v>2000</v>
      </c>
      <c r="BQ137" s="224">
        <f t="shared" si="84"/>
        <v>0.05</v>
      </c>
      <c r="BR137" s="227">
        <v>4000</v>
      </c>
      <c r="BS137" s="224">
        <f t="shared" si="102"/>
        <v>0.1</v>
      </c>
      <c r="BT137" s="227">
        <v>7000</v>
      </c>
      <c r="BU137" s="224">
        <f t="shared" si="103"/>
        <v>0.17499999999999999</v>
      </c>
      <c r="BV137" s="227">
        <v>11000</v>
      </c>
      <c r="BW137" s="224">
        <f t="shared" si="104"/>
        <v>0.27500000000000002</v>
      </c>
      <c r="BX137" s="227">
        <v>15000</v>
      </c>
      <c r="BY137" s="224">
        <f t="shared" si="105"/>
        <v>0.375</v>
      </c>
      <c r="BZ137" s="227">
        <v>19000</v>
      </c>
      <c r="CA137" s="224">
        <f t="shared" si="106"/>
        <v>0.47499999999999998</v>
      </c>
      <c r="CB137" s="227">
        <v>23000</v>
      </c>
      <c r="CC137" s="224">
        <f t="shared" si="107"/>
        <v>0.57499999999999996</v>
      </c>
      <c r="CD137" s="227">
        <v>26500</v>
      </c>
      <c r="CE137" s="224">
        <f t="shared" si="108"/>
        <v>0.66249999999999998</v>
      </c>
      <c r="CF137" s="227">
        <v>35000</v>
      </c>
      <c r="CG137" s="224">
        <f t="shared" si="109"/>
        <v>0.875</v>
      </c>
      <c r="CH137" s="227">
        <v>35000</v>
      </c>
      <c r="CI137" s="224">
        <f t="shared" si="110"/>
        <v>0.875</v>
      </c>
      <c r="CJ137" s="227">
        <v>38000</v>
      </c>
      <c r="CK137" s="224">
        <f t="shared" si="111"/>
        <v>0.95</v>
      </c>
      <c r="CL137" s="227">
        <v>38000</v>
      </c>
      <c r="CM137" s="224">
        <f t="shared" si="112"/>
        <v>0.95</v>
      </c>
      <c r="CN137" s="227">
        <v>38000</v>
      </c>
      <c r="CO137" s="224">
        <f t="shared" si="113"/>
        <v>0.95</v>
      </c>
      <c r="CP137" s="213" t="str">
        <f t="shared" si="85"/>
        <v>Không đạt</v>
      </c>
      <c r="CQ137" s="213" t="str">
        <f t="shared" si="86"/>
        <v>Không đạt</v>
      </c>
      <c r="CR137" s="192"/>
      <c r="CS137" s="192"/>
      <c r="CT137" s="223"/>
      <c r="CU137" s="163"/>
      <c r="CW137" s="195"/>
      <c r="CX137" s="196"/>
      <c r="CY137" s="196"/>
      <c r="CZ137" s="197"/>
      <c r="DA137" s="196"/>
      <c r="DB137" s="196"/>
      <c r="DC137" s="196"/>
      <c r="DE137" s="199"/>
      <c r="DF137" s="200"/>
      <c r="DG137" s="181"/>
    </row>
    <row r="138" spans="1:111" ht="25.5" outlineLevel="1" x14ac:dyDescent="0.25">
      <c r="A138" s="192">
        <f>MAX(A$132:A137)+1</f>
        <v>7</v>
      </c>
      <c r="B138" s="222" t="s">
        <v>293</v>
      </c>
      <c r="C138" s="222">
        <v>7829563</v>
      </c>
      <c r="D138" s="214">
        <f t="shared" si="117"/>
        <v>347360</v>
      </c>
      <c r="E138" s="205"/>
      <c r="F138" s="214">
        <f t="shared" si="118"/>
        <v>347360</v>
      </c>
      <c r="G138" s="257">
        <v>200000</v>
      </c>
      <c r="H138" s="257">
        <f>100000+52360-5000</f>
        <v>147360</v>
      </c>
      <c r="I138" s="235"/>
      <c r="J138" s="235"/>
      <c r="K138" s="223"/>
      <c r="L138" s="235"/>
      <c r="M138" s="223"/>
      <c r="N138" s="223"/>
      <c r="O138" s="257">
        <f t="shared" si="87"/>
        <v>200000</v>
      </c>
      <c r="P138" s="257">
        <v>30269.083954000002</v>
      </c>
      <c r="Q138" s="224">
        <f t="shared" si="82"/>
        <v>8.7140384482957162E-2</v>
      </c>
      <c r="R138" s="257">
        <v>38896.393299000003</v>
      </c>
      <c r="S138" s="225">
        <v>0.1119771801560341</v>
      </c>
      <c r="T138" s="225">
        <v>0.1178707159537201</v>
      </c>
      <c r="U138" s="257">
        <v>39256.846298999997</v>
      </c>
      <c r="V138" s="225">
        <v>0.11301487303949792</v>
      </c>
      <c r="W138" s="225">
        <v>0.11896302425210308</v>
      </c>
      <c r="X138" s="257">
        <v>39256.846298999997</v>
      </c>
      <c r="Y138" s="225">
        <v>0.11301487303949792</v>
      </c>
      <c r="Z138" s="225">
        <v>0.11896302425210308</v>
      </c>
      <c r="AA138" s="257">
        <v>39256.846298999997</v>
      </c>
      <c r="AB138" s="225">
        <v>0.11301487303949792</v>
      </c>
      <c r="AC138" s="225">
        <v>0.11896302425210308</v>
      </c>
      <c r="AD138" s="257">
        <v>45892.229746999998</v>
      </c>
      <c r="AE138" s="225">
        <v>0.13211719756736526</v>
      </c>
      <c r="AF138" s="225">
        <v>0.13907073428143713</v>
      </c>
      <c r="AG138" s="257">
        <v>45892.229746999998</v>
      </c>
      <c r="AH138" s="225">
        <v>0.13211719756736526</v>
      </c>
      <c r="AI138" s="225">
        <v>0.13907073428143713</v>
      </c>
      <c r="AJ138" s="257">
        <v>45892.229746999998</v>
      </c>
      <c r="AK138" s="225">
        <v>0.13211719756736526</v>
      </c>
      <c r="AL138" s="225">
        <v>0.13907073428143713</v>
      </c>
      <c r="AM138" s="257">
        <v>45892.229746999998</v>
      </c>
      <c r="AN138" s="225">
        <v>0.13211719756736526</v>
      </c>
      <c r="AO138" s="225">
        <v>0.13907073428143713</v>
      </c>
      <c r="AP138" s="225"/>
      <c r="AQ138" s="257">
        <v>46670.336911999999</v>
      </c>
      <c r="AR138" s="225">
        <v>0.13435725734684476</v>
      </c>
      <c r="AS138" s="225">
        <v>0.14142869194404711</v>
      </c>
      <c r="AT138" s="257">
        <v>46670.336911999999</v>
      </c>
      <c r="AU138" s="225">
        <v>0.13435725734684476</v>
      </c>
      <c r="AV138" s="225">
        <v>0.14142869194404711</v>
      </c>
      <c r="AW138" s="225"/>
      <c r="AX138" s="225"/>
      <c r="AY138" s="225"/>
      <c r="AZ138" s="225"/>
      <c r="BA138" s="225"/>
      <c r="BB138" s="225"/>
      <c r="BC138" s="257">
        <v>46670.336911999999</v>
      </c>
      <c r="BD138" s="225">
        <v>0.13435725734684476</v>
      </c>
      <c r="BE138" s="225">
        <v>0.14142869194404711</v>
      </c>
      <c r="BF138" s="257"/>
      <c r="BG138" s="257">
        <v>66480.591023999994</v>
      </c>
      <c r="BH138" s="225">
        <v>0.19138815932749884</v>
      </c>
      <c r="BI138" s="225">
        <v>0.20146122034473563</v>
      </c>
      <c r="BJ138" s="257">
        <f t="shared" si="78"/>
        <v>329992</v>
      </c>
      <c r="BK138" s="257">
        <v>68514.169504000005</v>
      </c>
      <c r="BL138" s="225">
        <f t="shared" si="101"/>
        <v>0.19724254233072319</v>
      </c>
      <c r="BM138" s="225">
        <f t="shared" si="83"/>
        <v>0.20762372876918231</v>
      </c>
      <c r="BN138" s="205">
        <f t="shared" si="119"/>
        <v>22621.939757000007</v>
      </c>
      <c r="BO138" s="205"/>
      <c r="BP138" s="227">
        <v>15000</v>
      </c>
      <c r="BQ138" s="224">
        <f t="shared" si="84"/>
        <v>4.3182865039152467E-2</v>
      </c>
      <c r="BR138" s="227">
        <v>35000</v>
      </c>
      <c r="BS138" s="224">
        <f t="shared" si="102"/>
        <v>0.10076001842468908</v>
      </c>
      <c r="BT138" s="227">
        <v>50000</v>
      </c>
      <c r="BU138" s="224">
        <f t="shared" si="103"/>
        <v>0.14394288346384154</v>
      </c>
      <c r="BV138" s="227">
        <v>80000</v>
      </c>
      <c r="BW138" s="224">
        <f t="shared" si="104"/>
        <v>0.23030861354214649</v>
      </c>
      <c r="BX138" s="227">
        <v>110000</v>
      </c>
      <c r="BY138" s="224">
        <f t="shared" si="105"/>
        <v>0.31667434362045138</v>
      </c>
      <c r="BZ138" s="227">
        <v>140000</v>
      </c>
      <c r="CA138" s="224">
        <f t="shared" si="106"/>
        <v>0.40304007369875633</v>
      </c>
      <c r="CB138" s="227">
        <v>165000</v>
      </c>
      <c r="CC138" s="224">
        <f t="shared" si="107"/>
        <v>0.4750115154306771</v>
      </c>
      <c r="CD138" s="227">
        <v>190000</v>
      </c>
      <c r="CE138" s="224">
        <f t="shared" si="108"/>
        <v>0.54698295716259793</v>
      </c>
      <c r="CF138" s="227">
        <v>240000</v>
      </c>
      <c r="CG138" s="224">
        <f t="shared" si="109"/>
        <v>0.69092584062643947</v>
      </c>
      <c r="CH138" s="227">
        <v>240000</v>
      </c>
      <c r="CI138" s="224">
        <f t="shared" si="110"/>
        <v>0.69092584062643947</v>
      </c>
      <c r="CJ138" s="227">
        <v>270000</v>
      </c>
      <c r="CK138" s="224">
        <f t="shared" si="111"/>
        <v>0.77729157070474431</v>
      </c>
      <c r="CL138" s="227">
        <v>305000</v>
      </c>
      <c r="CM138" s="224">
        <f t="shared" si="112"/>
        <v>0.87805158912943349</v>
      </c>
      <c r="CN138" s="227">
        <v>329650</v>
      </c>
      <c r="CO138" s="224">
        <f t="shared" si="113"/>
        <v>0.94901543067710736</v>
      </c>
      <c r="CP138" s="213" t="str">
        <f t="shared" si="85"/>
        <v>Không đạt</v>
      </c>
      <c r="CQ138" s="213" t="str">
        <f t="shared" si="86"/>
        <v>Không đạt</v>
      </c>
      <c r="CR138" s="192"/>
      <c r="CS138" s="192"/>
      <c r="CT138" s="223"/>
      <c r="CU138" s="163"/>
      <c r="CW138" s="195"/>
      <c r="CX138" s="196"/>
      <c r="CY138" s="196"/>
      <c r="CZ138" s="197"/>
      <c r="DA138" s="196"/>
      <c r="DB138" s="196"/>
      <c r="DC138" s="196"/>
      <c r="DE138" s="199"/>
      <c r="DF138" s="200"/>
      <c r="DG138" s="181"/>
    </row>
    <row r="139" spans="1:111" ht="25.5" outlineLevel="1" x14ac:dyDescent="0.25">
      <c r="A139" s="192">
        <f ca="1">MAX(A$20:A138)+1</f>
        <v>75</v>
      </c>
      <c r="B139" s="222" t="s">
        <v>294</v>
      </c>
      <c r="C139" s="222">
        <v>8172948</v>
      </c>
      <c r="D139" s="214">
        <f t="shared" si="117"/>
        <v>188000</v>
      </c>
      <c r="E139" s="215">
        <v>188000</v>
      </c>
      <c r="F139" s="214"/>
      <c r="G139" s="215"/>
      <c r="H139" s="257"/>
      <c r="I139" s="235"/>
      <c r="J139" s="235"/>
      <c r="K139" s="223"/>
      <c r="L139" s="235"/>
      <c r="M139" s="223"/>
      <c r="N139" s="223"/>
      <c r="O139" s="257"/>
      <c r="P139" s="257"/>
      <c r="Q139" s="224"/>
      <c r="R139" s="257">
        <v>26679.622399</v>
      </c>
      <c r="S139" s="225">
        <v>0.18655513103096244</v>
      </c>
      <c r="T139" s="225">
        <v>0.18655513103096244</v>
      </c>
      <c r="U139" s="257">
        <v>27937.945399</v>
      </c>
      <c r="V139" s="225">
        <v>0.1953538542150309</v>
      </c>
      <c r="W139" s="225">
        <v>0.1953538542150309</v>
      </c>
      <c r="X139" s="257">
        <v>27937.945399</v>
      </c>
      <c r="Y139" s="225">
        <v>0.1953538542150309</v>
      </c>
      <c r="Z139" s="225">
        <v>0.1953538542150309</v>
      </c>
      <c r="AA139" s="257">
        <v>27937.945399</v>
      </c>
      <c r="AB139" s="225">
        <v>0.1953538542150309</v>
      </c>
      <c r="AC139" s="225">
        <v>0.1953538542150309</v>
      </c>
      <c r="AD139" s="257">
        <v>28253.442399</v>
      </c>
      <c r="AE139" s="225">
        <v>0.19755994181607137</v>
      </c>
      <c r="AF139" s="225">
        <v>0.19755994181607137</v>
      </c>
      <c r="AG139" s="257">
        <v>28253.442399</v>
      </c>
      <c r="AH139" s="225">
        <v>0.19755994181607137</v>
      </c>
      <c r="AI139" s="225">
        <v>0.19755994181607137</v>
      </c>
      <c r="AJ139" s="257">
        <v>28253.442399</v>
      </c>
      <c r="AK139" s="225">
        <v>0.19755994181607137</v>
      </c>
      <c r="AL139" s="225">
        <v>0.19755994181607137</v>
      </c>
      <c r="AM139" s="257">
        <v>28253.442399</v>
      </c>
      <c r="AN139" s="225">
        <v>0.19755994181607137</v>
      </c>
      <c r="AO139" s="225">
        <v>0.19755994181607137</v>
      </c>
      <c r="AP139" s="225"/>
      <c r="AQ139" s="257">
        <v>28253.442399</v>
      </c>
      <c r="AR139" s="225">
        <v>0.19755994181607137</v>
      </c>
      <c r="AS139" s="225">
        <v>0.19755994181607137</v>
      </c>
      <c r="AT139" s="257">
        <v>28253.442399</v>
      </c>
      <c r="AU139" s="225">
        <v>0.19755994181607137</v>
      </c>
      <c r="AV139" s="225">
        <v>0.19755994181607137</v>
      </c>
      <c r="AW139" s="225"/>
      <c r="AX139" s="225"/>
      <c r="AY139" s="225"/>
      <c r="AZ139" s="225"/>
      <c r="BA139" s="225"/>
      <c r="BB139" s="225"/>
      <c r="BC139" s="257">
        <v>28253.442399</v>
      </c>
      <c r="BD139" s="225">
        <v>0.19755994181607137</v>
      </c>
      <c r="BE139" s="225">
        <v>0.19755994181607137</v>
      </c>
      <c r="BF139" s="257"/>
      <c r="BG139" s="257">
        <v>59943.046899000001</v>
      </c>
      <c r="BH139" s="225">
        <v>0.31884599414361703</v>
      </c>
      <c r="BI139" s="225">
        <v>0.31884599414361703</v>
      </c>
      <c r="BJ139" s="257">
        <f t="shared" si="78"/>
        <v>188000</v>
      </c>
      <c r="BK139" s="257">
        <v>73032.022899000003</v>
      </c>
      <c r="BL139" s="225">
        <f t="shared" si="101"/>
        <v>0.38846820690957451</v>
      </c>
      <c r="BM139" s="225">
        <f t="shared" si="83"/>
        <v>0.38846820690957451</v>
      </c>
      <c r="BN139" s="205">
        <f t="shared" si="119"/>
        <v>44778.580500000004</v>
      </c>
      <c r="BO139" s="205"/>
      <c r="BP139" s="227"/>
      <c r="BQ139" s="224"/>
      <c r="BR139" s="227"/>
      <c r="BS139" s="224"/>
      <c r="BT139" s="227"/>
      <c r="BU139" s="224"/>
      <c r="BV139" s="227"/>
      <c r="BW139" s="224"/>
      <c r="BX139" s="227"/>
      <c r="BY139" s="224"/>
      <c r="BZ139" s="227"/>
      <c r="CA139" s="224"/>
      <c r="CB139" s="227"/>
      <c r="CC139" s="224"/>
      <c r="CD139" s="227"/>
      <c r="CE139" s="224"/>
      <c r="CF139" s="227"/>
      <c r="CG139" s="224"/>
      <c r="CH139" s="227"/>
      <c r="CI139" s="224"/>
      <c r="CJ139" s="227"/>
      <c r="CK139" s="224"/>
      <c r="CL139" s="227"/>
      <c r="CM139" s="224"/>
      <c r="CN139" s="227"/>
      <c r="CO139" s="224"/>
      <c r="CP139" s="213" t="str">
        <f t="shared" si="85"/>
        <v>Đạt</v>
      </c>
      <c r="CQ139" s="213" t="str">
        <f t="shared" si="86"/>
        <v>Không đạt</v>
      </c>
      <c r="CR139" s="192"/>
      <c r="CS139" s="192"/>
      <c r="CT139" s="223"/>
      <c r="CU139" s="163"/>
      <c r="CW139" s="195"/>
      <c r="CX139" s="196"/>
      <c r="CY139" s="196"/>
      <c r="CZ139" s="197"/>
      <c r="DA139" s="196"/>
      <c r="DB139" s="196"/>
      <c r="DC139" s="196"/>
      <c r="DE139" s="199"/>
      <c r="DF139" s="200"/>
      <c r="DG139" s="181"/>
    </row>
    <row r="140" spans="1:111" ht="25.5" outlineLevel="1" x14ac:dyDescent="0.25">
      <c r="A140" s="192">
        <f ca="1">MAX(A$20:A139)+1</f>
        <v>74</v>
      </c>
      <c r="B140" s="222" t="s">
        <v>295</v>
      </c>
      <c r="C140" s="222">
        <v>8172949</v>
      </c>
      <c r="D140" s="214">
        <f t="shared" si="117"/>
        <v>182301</v>
      </c>
      <c r="E140" s="215">
        <v>182301</v>
      </c>
      <c r="F140" s="214"/>
      <c r="G140" s="215"/>
      <c r="H140" s="257"/>
      <c r="I140" s="235"/>
      <c r="J140" s="235"/>
      <c r="K140" s="223"/>
      <c r="L140" s="235"/>
      <c r="M140" s="223"/>
      <c r="N140" s="223"/>
      <c r="O140" s="257"/>
      <c r="P140" s="257"/>
      <c r="Q140" s="224"/>
      <c r="R140" s="257">
        <v>19879.725299999998</v>
      </c>
      <c r="S140" s="225">
        <v>0.11796656361262757</v>
      </c>
      <c r="T140" s="225">
        <v>0.11796656361262757</v>
      </c>
      <c r="U140" s="257">
        <v>21095.8943</v>
      </c>
      <c r="V140" s="225">
        <v>0.12518332720151912</v>
      </c>
      <c r="W140" s="225">
        <v>0.12518332720151912</v>
      </c>
      <c r="X140" s="257">
        <v>21095.8943</v>
      </c>
      <c r="Y140" s="225">
        <v>0.12518332720151912</v>
      </c>
      <c r="Z140" s="225">
        <v>0.12518332720151912</v>
      </c>
      <c r="AA140" s="257">
        <v>21095.8943</v>
      </c>
      <c r="AB140" s="225">
        <v>0.12518332720151912</v>
      </c>
      <c r="AC140" s="225">
        <v>0.12518332720151912</v>
      </c>
      <c r="AD140" s="257">
        <v>21390.3433</v>
      </c>
      <c r="AE140" s="225">
        <v>0.12693059162117257</v>
      </c>
      <c r="AF140" s="225">
        <v>0.12693059162117257</v>
      </c>
      <c r="AG140" s="257">
        <v>21390.3433</v>
      </c>
      <c r="AH140" s="225">
        <v>0.12693059162117257</v>
      </c>
      <c r="AI140" s="225">
        <v>0.12693059162117257</v>
      </c>
      <c r="AJ140" s="257">
        <v>21390.3433</v>
      </c>
      <c r="AK140" s="225">
        <v>0.12693059162117257</v>
      </c>
      <c r="AL140" s="225">
        <v>0.12693059162117257</v>
      </c>
      <c r="AM140" s="257">
        <v>21390.3433</v>
      </c>
      <c r="AN140" s="225">
        <v>0.12693059162117257</v>
      </c>
      <c r="AO140" s="225">
        <v>0.12693059162117257</v>
      </c>
      <c r="AP140" s="225"/>
      <c r="AQ140" s="257">
        <v>56844.855300000003</v>
      </c>
      <c r="AR140" s="225">
        <v>0.33731815392831715</v>
      </c>
      <c r="AS140" s="225">
        <v>0.33731815392831715</v>
      </c>
      <c r="AT140" s="257">
        <v>56844.855300000003</v>
      </c>
      <c r="AU140" s="225">
        <v>0.33731815392831715</v>
      </c>
      <c r="AV140" s="225">
        <v>0.33731815392831715</v>
      </c>
      <c r="AW140" s="225"/>
      <c r="AX140" s="225"/>
      <c r="AY140" s="225"/>
      <c r="AZ140" s="225"/>
      <c r="BA140" s="225"/>
      <c r="BB140" s="225"/>
      <c r="BC140" s="257">
        <v>56844.855300000003</v>
      </c>
      <c r="BD140" s="225">
        <v>0.33731815392831715</v>
      </c>
      <c r="BE140" s="225">
        <v>0.33731815392831715</v>
      </c>
      <c r="BF140" s="257"/>
      <c r="BG140" s="257">
        <v>99625.957699999999</v>
      </c>
      <c r="BH140" s="225">
        <v>0.54649155901503554</v>
      </c>
      <c r="BI140" s="225">
        <v>0.54649155901503554</v>
      </c>
      <c r="BJ140" s="257">
        <f t="shared" si="78"/>
        <v>182301</v>
      </c>
      <c r="BK140" s="257">
        <v>118460.6007</v>
      </c>
      <c r="BL140" s="225">
        <f t="shared" si="101"/>
        <v>0.64980773939802849</v>
      </c>
      <c r="BM140" s="225">
        <f t="shared" si="83"/>
        <v>0.64980773939802849</v>
      </c>
      <c r="BN140" s="205">
        <f t="shared" si="119"/>
        <v>97070.257400000002</v>
      </c>
      <c r="BO140" s="205"/>
      <c r="BP140" s="227"/>
      <c r="BQ140" s="224"/>
      <c r="BR140" s="227"/>
      <c r="BS140" s="224"/>
      <c r="BT140" s="227"/>
      <c r="BU140" s="224"/>
      <c r="BV140" s="227"/>
      <c r="BW140" s="224"/>
      <c r="BX140" s="227"/>
      <c r="BY140" s="224"/>
      <c r="BZ140" s="227"/>
      <c r="CA140" s="224"/>
      <c r="CB140" s="227"/>
      <c r="CC140" s="224"/>
      <c r="CD140" s="227"/>
      <c r="CE140" s="224"/>
      <c r="CF140" s="227"/>
      <c r="CG140" s="224"/>
      <c r="CH140" s="227"/>
      <c r="CI140" s="224"/>
      <c r="CJ140" s="227"/>
      <c r="CK140" s="224"/>
      <c r="CL140" s="227"/>
      <c r="CM140" s="224"/>
      <c r="CN140" s="227"/>
      <c r="CO140" s="224"/>
      <c r="CP140" s="213" t="str">
        <f t="shared" si="85"/>
        <v>Đạt</v>
      </c>
      <c r="CQ140" s="213" t="str">
        <f t="shared" si="86"/>
        <v>Đạt</v>
      </c>
      <c r="CR140" s="192"/>
      <c r="CS140" s="192"/>
      <c r="CT140" s="223"/>
      <c r="CU140" s="163"/>
      <c r="CW140" s="195"/>
      <c r="CX140" s="196"/>
      <c r="CY140" s="196"/>
      <c r="CZ140" s="197"/>
      <c r="DA140" s="196"/>
      <c r="DB140" s="196"/>
      <c r="DC140" s="196"/>
      <c r="DE140" s="199"/>
      <c r="DF140" s="200"/>
      <c r="DG140" s="181"/>
    </row>
    <row r="141" spans="1:111" ht="25.5" outlineLevel="1" x14ac:dyDescent="0.25">
      <c r="A141" s="192">
        <f ca="1">MAX(A$20:A140)+1</f>
        <v>74</v>
      </c>
      <c r="B141" s="222" t="s">
        <v>296</v>
      </c>
      <c r="C141" s="222">
        <v>8172946</v>
      </c>
      <c r="D141" s="214">
        <f t="shared" si="117"/>
        <v>181079</v>
      </c>
      <c r="E141" s="215">
        <v>181079</v>
      </c>
      <c r="F141" s="214"/>
      <c r="G141" s="215"/>
      <c r="H141" s="257"/>
      <c r="I141" s="235"/>
      <c r="J141" s="235"/>
      <c r="K141" s="223"/>
      <c r="L141" s="235"/>
      <c r="M141" s="223"/>
      <c r="N141" s="223"/>
      <c r="O141" s="257"/>
      <c r="P141" s="257"/>
      <c r="Q141" s="224"/>
      <c r="R141" s="257">
        <v>26542.794000000002</v>
      </c>
      <c r="S141" s="225">
        <v>0.19025728621604188</v>
      </c>
      <c r="T141" s="225">
        <v>0.19025728621604188</v>
      </c>
      <c r="U141" s="257">
        <v>29190.011999999999</v>
      </c>
      <c r="V141" s="225">
        <v>0.2092323991111748</v>
      </c>
      <c r="W141" s="225">
        <v>0.2092323991111748</v>
      </c>
      <c r="X141" s="257">
        <v>29190.011999999999</v>
      </c>
      <c r="Y141" s="225">
        <v>0.2092323991111748</v>
      </c>
      <c r="Z141" s="225">
        <v>0.2092323991111748</v>
      </c>
      <c r="AA141" s="257">
        <v>29190.011999999999</v>
      </c>
      <c r="AB141" s="225">
        <v>0.2092323991111748</v>
      </c>
      <c r="AC141" s="225">
        <v>0.2092323991111748</v>
      </c>
      <c r="AD141" s="257">
        <v>75396.361751999997</v>
      </c>
      <c r="AE141" s="225">
        <v>0.54043697048240269</v>
      </c>
      <c r="AF141" s="225">
        <v>0.54043697048240269</v>
      </c>
      <c r="AG141" s="257">
        <v>75396.361751999997</v>
      </c>
      <c r="AH141" s="225">
        <v>0.54043697048240269</v>
      </c>
      <c r="AI141" s="225">
        <v>0.54043697048240269</v>
      </c>
      <c r="AJ141" s="257">
        <v>75396.361751999997</v>
      </c>
      <c r="AK141" s="225">
        <v>0.54043697048240269</v>
      </c>
      <c r="AL141" s="225">
        <v>0.54043697048240269</v>
      </c>
      <c r="AM141" s="257">
        <v>75396.361751999997</v>
      </c>
      <c r="AN141" s="225">
        <v>0.54043697048240269</v>
      </c>
      <c r="AO141" s="225">
        <v>0.54043697048240269</v>
      </c>
      <c r="AP141" s="225"/>
      <c r="AQ141" s="257">
        <v>88794.138210999998</v>
      </c>
      <c r="AR141" s="225">
        <v>0.63647149459536945</v>
      </c>
      <c r="AS141" s="225">
        <v>0.63647149459536945</v>
      </c>
      <c r="AT141" s="257">
        <v>88794.138210999998</v>
      </c>
      <c r="AU141" s="225">
        <v>0.63647149459536945</v>
      </c>
      <c r="AV141" s="225">
        <v>0.63647149459536945</v>
      </c>
      <c r="AW141" s="225"/>
      <c r="AX141" s="225"/>
      <c r="AY141" s="225"/>
      <c r="AZ141" s="225"/>
      <c r="BA141" s="225"/>
      <c r="BB141" s="225"/>
      <c r="BC141" s="257">
        <v>88794.138210999998</v>
      </c>
      <c r="BD141" s="225">
        <v>0.63647149459536945</v>
      </c>
      <c r="BE141" s="225">
        <v>0.63647149459536945</v>
      </c>
      <c r="BF141" s="257"/>
      <c r="BG141" s="257">
        <v>106128.91231099999</v>
      </c>
      <c r="BH141" s="225">
        <v>0.58609177381695277</v>
      </c>
      <c r="BI141" s="225">
        <v>0.58609177381695277</v>
      </c>
      <c r="BJ141" s="257">
        <f t="shared" si="78"/>
        <v>181079</v>
      </c>
      <c r="BK141" s="257">
        <v>125116.552668</v>
      </c>
      <c r="BL141" s="225">
        <f t="shared" si="101"/>
        <v>0.69095009729455104</v>
      </c>
      <c r="BM141" s="225">
        <f t="shared" si="83"/>
        <v>0.69095009729455104</v>
      </c>
      <c r="BN141" s="205">
        <f t="shared" si="119"/>
        <v>49720.190916000007</v>
      </c>
      <c r="BO141" s="205"/>
      <c r="BP141" s="227"/>
      <c r="BQ141" s="224"/>
      <c r="BR141" s="227"/>
      <c r="BS141" s="224"/>
      <c r="BT141" s="227"/>
      <c r="BU141" s="224"/>
      <c r="BV141" s="227"/>
      <c r="BW141" s="224"/>
      <c r="BX141" s="227"/>
      <c r="BY141" s="224"/>
      <c r="BZ141" s="227"/>
      <c r="CA141" s="224"/>
      <c r="CB141" s="227"/>
      <c r="CC141" s="224"/>
      <c r="CD141" s="227"/>
      <c r="CE141" s="224"/>
      <c r="CF141" s="227"/>
      <c r="CG141" s="224"/>
      <c r="CH141" s="227"/>
      <c r="CI141" s="224"/>
      <c r="CJ141" s="227"/>
      <c r="CK141" s="224"/>
      <c r="CL141" s="227"/>
      <c r="CM141" s="224"/>
      <c r="CN141" s="227"/>
      <c r="CO141" s="224"/>
      <c r="CP141" s="213" t="str">
        <f t="shared" si="85"/>
        <v>Đạt</v>
      </c>
      <c r="CQ141" s="213" t="str">
        <f t="shared" si="86"/>
        <v>Đạt</v>
      </c>
      <c r="CR141" s="192"/>
      <c r="CS141" s="192"/>
      <c r="CT141" s="223"/>
      <c r="CU141" s="163"/>
      <c r="CW141" s="195"/>
      <c r="CX141" s="196"/>
      <c r="CY141" s="196"/>
      <c r="CZ141" s="197"/>
      <c r="DA141" s="196"/>
      <c r="DB141" s="196"/>
      <c r="DC141" s="196"/>
      <c r="DE141" s="199"/>
      <c r="DF141" s="200"/>
      <c r="DG141" s="181"/>
    </row>
    <row r="142" spans="1:111" ht="25.5" outlineLevel="1" x14ac:dyDescent="0.25">
      <c r="A142" s="192">
        <f ca="1">MAX(A$20:A141)+1</f>
        <v>75</v>
      </c>
      <c r="B142" s="222" t="s">
        <v>297</v>
      </c>
      <c r="C142" s="222">
        <v>8172947</v>
      </c>
      <c r="D142" s="214">
        <f t="shared" si="117"/>
        <v>187316</v>
      </c>
      <c r="E142" s="215">
        <v>187316</v>
      </c>
      <c r="F142" s="214"/>
      <c r="G142" s="215"/>
      <c r="H142" s="257"/>
      <c r="I142" s="235"/>
      <c r="J142" s="235"/>
      <c r="K142" s="223"/>
      <c r="L142" s="235"/>
      <c r="M142" s="223"/>
      <c r="N142" s="223"/>
      <c r="O142" s="257"/>
      <c r="P142" s="257"/>
      <c r="Q142" s="224"/>
      <c r="R142" s="257">
        <v>37785.409800000001</v>
      </c>
      <c r="S142" s="225">
        <v>0.84540574560912851</v>
      </c>
      <c r="T142" s="225">
        <v>0.84540574560912851</v>
      </c>
      <c r="U142" s="257">
        <v>38809.289799999999</v>
      </c>
      <c r="V142" s="225">
        <v>0.8683139008837677</v>
      </c>
      <c r="W142" s="225">
        <v>0.8683139008837677</v>
      </c>
      <c r="X142" s="257">
        <v>38809.289799999999</v>
      </c>
      <c r="Y142" s="225">
        <v>0.8683139008837677</v>
      </c>
      <c r="Z142" s="225">
        <v>0.8683139008837677</v>
      </c>
      <c r="AA142" s="257">
        <v>38809.289799999999</v>
      </c>
      <c r="AB142" s="225">
        <v>0.8683139008837677</v>
      </c>
      <c r="AC142" s="225">
        <v>0.8683139008837677</v>
      </c>
      <c r="AD142" s="257">
        <v>38999.500800000002</v>
      </c>
      <c r="AE142" s="225">
        <v>0.87256965656113661</v>
      </c>
      <c r="AF142" s="225">
        <v>0.87256965656113661</v>
      </c>
      <c r="AG142" s="257">
        <v>38999.500800000002</v>
      </c>
      <c r="AH142" s="225">
        <v>0.87256965656113661</v>
      </c>
      <c r="AI142" s="225">
        <v>0.87256965656113661</v>
      </c>
      <c r="AJ142" s="257">
        <v>38999.500800000002</v>
      </c>
      <c r="AK142" s="225">
        <v>0.87256965656113661</v>
      </c>
      <c r="AL142" s="225">
        <v>0.87256965656113661</v>
      </c>
      <c r="AM142" s="257">
        <v>38999.500800000002</v>
      </c>
      <c r="AN142" s="225">
        <v>0.87256965656113661</v>
      </c>
      <c r="AO142" s="225">
        <v>0.87256965656113661</v>
      </c>
      <c r="AP142" s="225"/>
      <c r="AQ142" s="257">
        <v>38999.500800000002</v>
      </c>
      <c r="AR142" s="225">
        <v>0.87256965656113661</v>
      </c>
      <c r="AS142" s="225">
        <v>0.87256965656113661</v>
      </c>
      <c r="AT142" s="257">
        <v>38999.500800000002</v>
      </c>
      <c r="AU142" s="225">
        <v>0.87256965656113661</v>
      </c>
      <c r="AV142" s="225">
        <v>0.87256965656113661</v>
      </c>
      <c r="AW142" s="225"/>
      <c r="AX142" s="225"/>
      <c r="AY142" s="225"/>
      <c r="AZ142" s="225"/>
      <c r="BA142" s="225"/>
      <c r="BB142" s="225"/>
      <c r="BC142" s="257">
        <v>38999.500800000002</v>
      </c>
      <c r="BD142" s="225">
        <v>0.87256965656113661</v>
      </c>
      <c r="BE142" s="225">
        <v>0.87256965656113661</v>
      </c>
      <c r="BF142" s="257"/>
      <c r="BG142" s="257">
        <v>75965.515899999999</v>
      </c>
      <c r="BH142" s="225">
        <v>0.40554739531059814</v>
      </c>
      <c r="BI142" s="225">
        <v>0.40554739531059814</v>
      </c>
      <c r="BJ142" s="257">
        <f t="shared" si="78"/>
        <v>187316</v>
      </c>
      <c r="BK142" s="257">
        <v>109919.58990000001</v>
      </c>
      <c r="BL142" s="225">
        <f t="shared" si="101"/>
        <v>0.58681367261739525</v>
      </c>
      <c r="BM142" s="225">
        <f t="shared" si="83"/>
        <v>0.58681367261739525</v>
      </c>
      <c r="BN142" s="205">
        <f t="shared" si="119"/>
        <v>70920.089100000012</v>
      </c>
      <c r="BO142" s="205"/>
      <c r="BP142" s="227"/>
      <c r="BQ142" s="224"/>
      <c r="BR142" s="227"/>
      <c r="BS142" s="224"/>
      <c r="BT142" s="227"/>
      <c r="BU142" s="224"/>
      <c r="BV142" s="227"/>
      <c r="BW142" s="224"/>
      <c r="BX142" s="227"/>
      <c r="BY142" s="224"/>
      <c r="BZ142" s="227"/>
      <c r="CA142" s="224"/>
      <c r="CB142" s="227"/>
      <c r="CC142" s="224"/>
      <c r="CD142" s="227"/>
      <c r="CE142" s="224"/>
      <c r="CF142" s="227"/>
      <c r="CG142" s="224"/>
      <c r="CH142" s="227"/>
      <c r="CI142" s="224"/>
      <c r="CJ142" s="227"/>
      <c r="CK142" s="224"/>
      <c r="CL142" s="227"/>
      <c r="CM142" s="224"/>
      <c r="CN142" s="227"/>
      <c r="CO142" s="224"/>
      <c r="CP142" s="213" t="str">
        <f t="shared" si="85"/>
        <v>Đạt</v>
      </c>
      <c r="CQ142" s="213" t="str">
        <f t="shared" si="86"/>
        <v>Đạt</v>
      </c>
      <c r="CR142" s="192"/>
      <c r="CS142" s="192"/>
      <c r="CT142" s="223"/>
      <c r="CU142" s="163"/>
      <c r="CW142" s="195"/>
      <c r="CX142" s="196"/>
      <c r="CY142" s="196"/>
      <c r="CZ142" s="197"/>
      <c r="DA142" s="196"/>
      <c r="DB142" s="196"/>
      <c r="DC142" s="196"/>
      <c r="DE142" s="199"/>
      <c r="DF142" s="200"/>
      <c r="DG142" s="181"/>
    </row>
    <row r="143" spans="1:111" ht="25.5" outlineLevel="1" x14ac:dyDescent="0.25">
      <c r="A143" s="192">
        <f ca="1">MAX(A$20:A142)+1</f>
        <v>73</v>
      </c>
      <c r="B143" s="222" t="s">
        <v>298</v>
      </c>
      <c r="C143" s="222">
        <v>7892098</v>
      </c>
      <c r="D143" s="214">
        <f t="shared" si="117"/>
        <v>118078.85973500015</v>
      </c>
      <c r="E143" s="215">
        <v>118078.85973500015</v>
      </c>
      <c r="F143" s="214"/>
      <c r="G143" s="223"/>
      <c r="H143" s="257"/>
      <c r="I143" s="235"/>
      <c r="J143" s="235"/>
      <c r="K143" s="223"/>
      <c r="L143" s="235"/>
      <c r="M143" s="223"/>
      <c r="N143" s="223"/>
      <c r="O143" s="257"/>
      <c r="P143" s="257">
        <v>23571.987000000001</v>
      </c>
      <c r="Q143" s="224">
        <f>P143/$D143</f>
        <v>0.19962918894120171</v>
      </c>
      <c r="R143" s="257">
        <v>24864.273000000001</v>
      </c>
      <c r="S143" s="225">
        <v>0.21057345113089621</v>
      </c>
      <c r="T143" s="225">
        <v>0.21057345113089621</v>
      </c>
      <c r="U143" s="257">
        <v>25189.813999999998</v>
      </c>
      <c r="V143" s="225">
        <v>0.21333043066754312</v>
      </c>
      <c r="W143" s="225">
        <v>0.21333043066754312</v>
      </c>
      <c r="X143" s="257">
        <v>25189.813999999998</v>
      </c>
      <c r="Y143" s="225">
        <v>0.21333043066754312</v>
      </c>
      <c r="Z143" s="225">
        <v>0.21333043066754312</v>
      </c>
      <c r="AA143" s="257">
        <v>25189.813999999998</v>
      </c>
      <c r="AB143" s="225">
        <v>0.21333043066754312</v>
      </c>
      <c r="AC143" s="225">
        <v>0.21333043066754312</v>
      </c>
      <c r="AD143" s="257">
        <v>29189.813999999998</v>
      </c>
      <c r="AE143" s="225">
        <v>0.24720609654860809</v>
      </c>
      <c r="AF143" s="225">
        <v>0.24720609654860809</v>
      </c>
      <c r="AG143" s="257">
        <v>29189.813999999998</v>
      </c>
      <c r="AH143" s="225">
        <v>0.24720609654860809</v>
      </c>
      <c r="AI143" s="225">
        <v>0.24720609654860809</v>
      </c>
      <c r="AJ143" s="205">
        <v>29189.813999999998</v>
      </c>
      <c r="AK143" s="225">
        <v>0.24720609654860809</v>
      </c>
      <c r="AL143" s="225">
        <v>0.24720609654860809</v>
      </c>
      <c r="AM143" s="257">
        <v>29189.813999999998</v>
      </c>
      <c r="AN143" s="225">
        <v>0.24720609654860809</v>
      </c>
      <c r="AO143" s="225">
        <v>0.24720609654860809</v>
      </c>
      <c r="AP143" s="225"/>
      <c r="AQ143" s="257">
        <v>29189.813999999998</v>
      </c>
      <c r="AR143" s="225">
        <v>0.24720609654860809</v>
      </c>
      <c r="AS143" s="225">
        <v>0.24720609654860809</v>
      </c>
      <c r="AT143" s="257">
        <v>29189.813999999998</v>
      </c>
      <c r="AU143" s="225">
        <v>0.24720609654860809</v>
      </c>
      <c r="AV143" s="225">
        <v>0.24720609654860809</v>
      </c>
      <c r="AW143" s="225"/>
      <c r="AX143" s="225"/>
      <c r="AY143" s="225"/>
      <c r="AZ143" s="225"/>
      <c r="BA143" s="225"/>
      <c r="BB143" s="225"/>
      <c r="BC143" s="257">
        <v>29189.813999999998</v>
      </c>
      <c r="BD143" s="225">
        <v>0.24720609654860809</v>
      </c>
      <c r="BE143" s="225">
        <v>0.24720609654860809</v>
      </c>
      <c r="BF143" s="257"/>
      <c r="BG143" s="257">
        <v>56915.813999999998</v>
      </c>
      <c r="BH143" s="225">
        <v>0.48201527460320986</v>
      </c>
      <c r="BI143" s="225">
        <v>0.48201527460320986</v>
      </c>
      <c r="BJ143" s="257">
        <f t="shared" si="78"/>
        <v>118078.85973500015</v>
      </c>
      <c r="BK143" s="257">
        <v>63391.813999999998</v>
      </c>
      <c r="BL143" s="225">
        <f>BK143/$D143</f>
        <v>0.53685997766465399</v>
      </c>
      <c r="BM143" s="225">
        <f>BK143/(E143+0.95*F143)</f>
        <v>0.53685997766465399</v>
      </c>
      <c r="BN143" s="205">
        <f t="shared" si="119"/>
        <v>34202</v>
      </c>
      <c r="BO143" s="205"/>
      <c r="BP143" s="227">
        <v>10000</v>
      </c>
      <c r="BQ143" s="224">
        <f>BP143/$D143</f>
        <v>8.4689164702662412E-2</v>
      </c>
      <c r="BR143" s="227">
        <v>20000</v>
      </c>
      <c r="BS143" s="224">
        <f t="shared" ref="BS143:BS158" si="120">BR143/$D143</f>
        <v>0.16937832940532482</v>
      </c>
      <c r="BT143" s="227">
        <v>30000</v>
      </c>
      <c r="BU143" s="224">
        <f>BT143/$D143</f>
        <v>0.25406749410798724</v>
      </c>
      <c r="BV143" s="227">
        <v>43333</v>
      </c>
      <c r="BW143" s="224">
        <f>BV143/$D143</f>
        <v>0.36698355740604699</v>
      </c>
      <c r="BX143" s="227">
        <v>56666</v>
      </c>
      <c r="BY143" s="224">
        <f>BX143/$D143</f>
        <v>0.4798996207041068</v>
      </c>
      <c r="BZ143" s="227">
        <v>69999</v>
      </c>
      <c r="CA143" s="224">
        <f>BZ143/$D143</f>
        <v>0.59281568400216655</v>
      </c>
      <c r="CB143" s="227">
        <v>76692</v>
      </c>
      <c r="CC143" s="224">
        <f>CB143/$D143</f>
        <v>0.64949814193765854</v>
      </c>
      <c r="CD143" s="227">
        <v>83385</v>
      </c>
      <c r="CE143" s="224">
        <f>CD143/$D143</f>
        <v>0.70618059987315052</v>
      </c>
      <c r="CF143" s="227">
        <v>90078</v>
      </c>
      <c r="CG143" s="224">
        <f t="shared" ref="CG143:CG158" si="121">CF143/$D143</f>
        <v>0.76286305780864239</v>
      </c>
      <c r="CH143" s="227">
        <v>97078</v>
      </c>
      <c r="CI143" s="224">
        <f t="shared" ref="CI143:CI158" si="122">CH143/$D143</f>
        <v>0.82214547310050612</v>
      </c>
      <c r="CJ143" s="227">
        <v>104078</v>
      </c>
      <c r="CK143" s="224">
        <f>CJ143/$D143</f>
        <v>0.88142788839236974</v>
      </c>
      <c r="CL143" s="227">
        <v>111078</v>
      </c>
      <c r="CM143" s="224">
        <f>CL143/$D143</f>
        <v>0.94071030368423347</v>
      </c>
      <c r="CN143" s="227">
        <v>118078</v>
      </c>
      <c r="CO143" s="224">
        <f>CN143/$D143</f>
        <v>0.99999271897609721</v>
      </c>
      <c r="CP143" s="213" t="str">
        <f t="shared" si="85"/>
        <v>Đạt</v>
      </c>
      <c r="CQ143" s="213" t="str">
        <f t="shared" si="86"/>
        <v>Đạt</v>
      </c>
      <c r="CR143" s="192"/>
      <c r="CS143" s="192"/>
      <c r="CT143" s="223"/>
      <c r="CU143" s="163"/>
      <c r="CW143" s="195"/>
      <c r="CX143" s="196"/>
      <c r="CY143" s="196"/>
      <c r="CZ143" s="197"/>
      <c r="DA143" s="196"/>
      <c r="DB143" s="196"/>
      <c r="DC143" s="196"/>
      <c r="DE143" s="199"/>
      <c r="DF143" s="200"/>
      <c r="DG143" s="181"/>
    </row>
    <row r="144" spans="1:111" s="234" customFormat="1" ht="42" customHeight="1" x14ac:dyDescent="0.25">
      <c r="A144" s="191">
        <v>4</v>
      </c>
      <c r="B144" s="210" t="s">
        <v>299</v>
      </c>
      <c r="C144" s="210"/>
      <c r="D144" s="205">
        <f t="shared" ref="D144:I145" si="123">D145</f>
        <v>75000</v>
      </c>
      <c r="E144" s="205">
        <f t="shared" si="123"/>
        <v>0</v>
      </c>
      <c r="F144" s="205">
        <f t="shared" si="123"/>
        <v>75000</v>
      </c>
      <c r="G144" s="205">
        <f t="shared" si="123"/>
        <v>0</v>
      </c>
      <c r="H144" s="205">
        <f t="shared" si="123"/>
        <v>75000</v>
      </c>
      <c r="I144" s="205">
        <f t="shared" si="123"/>
        <v>5000</v>
      </c>
      <c r="J144" s="205"/>
      <c r="K144" s="205">
        <f>K145</f>
        <v>0</v>
      </c>
      <c r="L144" s="205">
        <f>L145</f>
        <v>0</v>
      </c>
      <c r="M144" s="231"/>
      <c r="N144" s="231"/>
      <c r="O144" s="205">
        <f t="shared" si="87"/>
        <v>5000</v>
      </c>
      <c r="P144" s="205">
        <v>0</v>
      </c>
      <c r="Q144" s="186">
        <f t="shared" ref="Q144:Q207" si="124">P144/$D144</f>
        <v>0</v>
      </c>
      <c r="R144" s="205">
        <v>0</v>
      </c>
      <c r="S144" s="185">
        <v>0</v>
      </c>
      <c r="T144" s="185">
        <v>0</v>
      </c>
      <c r="U144" s="205">
        <v>0</v>
      </c>
      <c r="V144" s="185">
        <v>0</v>
      </c>
      <c r="W144" s="185">
        <v>0</v>
      </c>
      <c r="X144" s="205">
        <v>0</v>
      </c>
      <c r="Y144" s="185">
        <v>0</v>
      </c>
      <c r="Z144" s="185">
        <v>0</v>
      </c>
      <c r="AA144" s="205">
        <v>0</v>
      </c>
      <c r="AB144" s="185">
        <v>0</v>
      </c>
      <c r="AC144" s="185">
        <v>0</v>
      </c>
      <c r="AD144" s="205">
        <v>0</v>
      </c>
      <c r="AE144" s="185">
        <v>0</v>
      </c>
      <c r="AF144" s="185">
        <v>0</v>
      </c>
      <c r="AG144" s="205">
        <v>0</v>
      </c>
      <c r="AH144" s="185">
        <v>0</v>
      </c>
      <c r="AI144" s="185">
        <v>0</v>
      </c>
      <c r="AJ144" s="188">
        <v>0</v>
      </c>
      <c r="AK144" s="185">
        <v>0</v>
      </c>
      <c r="AL144" s="185">
        <v>0</v>
      </c>
      <c r="AM144" s="205">
        <v>0</v>
      </c>
      <c r="AN144" s="185">
        <v>0</v>
      </c>
      <c r="AO144" s="185">
        <v>0</v>
      </c>
      <c r="AP144" s="185"/>
      <c r="AQ144" s="205">
        <v>5000</v>
      </c>
      <c r="AR144" s="185">
        <v>6.6666666666666666E-2</v>
      </c>
      <c r="AS144" s="185">
        <v>7.0175438596491224E-2</v>
      </c>
      <c r="AT144" s="205">
        <v>5000</v>
      </c>
      <c r="AU144" s="185">
        <v>6.6666666666666666E-2</v>
      </c>
      <c r="AV144" s="185">
        <v>7.0175438596491224E-2</v>
      </c>
      <c r="AW144" s="185"/>
      <c r="AX144" s="185"/>
      <c r="AY144" s="185"/>
      <c r="AZ144" s="185"/>
      <c r="BA144" s="185"/>
      <c r="BB144" s="185"/>
      <c r="BC144" s="205">
        <v>5000</v>
      </c>
      <c r="BD144" s="185">
        <v>6.6666666666666666E-2</v>
      </c>
      <c r="BE144" s="185">
        <v>7.0175438596491224E-2</v>
      </c>
      <c r="BF144" s="205"/>
      <c r="BG144" s="205">
        <v>5000</v>
      </c>
      <c r="BH144" s="185">
        <v>6.6666666666666666E-2</v>
      </c>
      <c r="BI144" s="185">
        <v>7.0175438596491224E-2</v>
      </c>
      <c r="BJ144" s="205">
        <f t="shared" ref="BJ144:BJ207" si="125">E144+(F144*0.95)</f>
        <v>71250</v>
      </c>
      <c r="BK144" s="205">
        <v>17861.675017000001</v>
      </c>
      <c r="BL144" s="185">
        <f t="shared" si="101"/>
        <v>0.23815566689333334</v>
      </c>
      <c r="BM144" s="185">
        <f t="shared" si="83"/>
        <v>0.25069017567719298</v>
      </c>
      <c r="BN144" s="205">
        <f t="shared" si="119"/>
        <v>17861.675017000001</v>
      </c>
      <c r="BO144" s="205"/>
      <c r="BP144" s="189">
        <f>BP145</f>
        <v>0</v>
      </c>
      <c r="BQ144" s="186">
        <f t="shared" si="84"/>
        <v>0</v>
      </c>
      <c r="BR144" s="189">
        <f>BR145</f>
        <v>5000</v>
      </c>
      <c r="BS144" s="186">
        <f t="shared" si="120"/>
        <v>6.6666666666666666E-2</v>
      </c>
      <c r="BT144" s="189">
        <f>BT145</f>
        <v>13750</v>
      </c>
      <c r="BU144" s="186">
        <f t="shared" ref="BU144:BU188" si="126">BT144/$D144</f>
        <v>0.18333333333333332</v>
      </c>
      <c r="BV144" s="189">
        <f t="shared" ref="BV144:CJ145" si="127">BV145</f>
        <v>26750</v>
      </c>
      <c r="BW144" s="186">
        <f t="shared" ref="BW144:BW188" si="128">BV144/$D144</f>
        <v>0.35666666666666669</v>
      </c>
      <c r="BX144" s="189">
        <f t="shared" si="127"/>
        <v>39250</v>
      </c>
      <c r="BY144" s="186">
        <f t="shared" ref="BY144:BY188" si="129">BX144/$D144</f>
        <v>0.52333333333333332</v>
      </c>
      <c r="BZ144" s="189">
        <f t="shared" si="127"/>
        <v>45250</v>
      </c>
      <c r="CA144" s="186">
        <f t="shared" ref="CA144:CA188" si="130">BZ144/$D144</f>
        <v>0.60333333333333339</v>
      </c>
      <c r="CB144" s="189">
        <f t="shared" si="127"/>
        <v>50250</v>
      </c>
      <c r="CC144" s="186">
        <f t="shared" ref="CC144:CE155" si="131">CB144/$D144</f>
        <v>0.67</v>
      </c>
      <c r="CD144" s="189">
        <f t="shared" si="127"/>
        <v>55250</v>
      </c>
      <c r="CE144" s="186">
        <f>CD144/$D144</f>
        <v>0.73666666666666669</v>
      </c>
      <c r="CF144" s="189">
        <f t="shared" si="127"/>
        <v>58250</v>
      </c>
      <c r="CG144" s="186">
        <f t="shared" si="121"/>
        <v>0.77666666666666662</v>
      </c>
      <c r="CH144" s="189">
        <f t="shared" si="127"/>
        <v>61250</v>
      </c>
      <c r="CI144" s="186">
        <f t="shared" si="122"/>
        <v>0.81666666666666665</v>
      </c>
      <c r="CJ144" s="189">
        <f t="shared" si="127"/>
        <v>66250</v>
      </c>
      <c r="CK144" s="186">
        <f t="shared" ref="CK144:CK158" si="132">CJ144/$D144</f>
        <v>0.8833333333333333</v>
      </c>
      <c r="CL144" s="189">
        <f t="shared" ref="CL144:CN145" si="133">CL145</f>
        <v>71250</v>
      </c>
      <c r="CM144" s="186">
        <f t="shared" ref="CM144:CM158" si="134">CL144/$D144</f>
        <v>0.95</v>
      </c>
      <c r="CN144" s="189">
        <f t="shared" si="133"/>
        <v>71250</v>
      </c>
      <c r="CO144" s="186">
        <f t="shared" ref="CO144:CO158" si="135">CN144/$D144</f>
        <v>0.95</v>
      </c>
      <c r="CP144" s="213" t="str">
        <f t="shared" si="85"/>
        <v>Không đạt</v>
      </c>
      <c r="CQ144" s="213" t="str">
        <f t="shared" si="86"/>
        <v>Không đạt</v>
      </c>
      <c r="CR144" s="213"/>
      <c r="CS144" s="213"/>
      <c r="CT144" s="213"/>
      <c r="CU144" s="163"/>
      <c r="CV144" s="243"/>
      <c r="CW144" s="195"/>
      <c r="CX144" s="196"/>
      <c r="CY144" s="196"/>
      <c r="CZ144" s="197"/>
      <c r="DA144" s="196"/>
      <c r="DB144" s="196"/>
      <c r="DC144" s="196"/>
      <c r="DE144" s="199"/>
      <c r="DF144" s="200"/>
      <c r="DG144" s="181"/>
    </row>
    <row r="145" spans="1:111" s="255" customFormat="1" outlineLevel="1" x14ac:dyDescent="0.25">
      <c r="A145" s="191" t="s">
        <v>29</v>
      </c>
      <c r="B145" s="210" t="s">
        <v>157</v>
      </c>
      <c r="C145" s="210"/>
      <c r="D145" s="189">
        <f t="shared" si="123"/>
        <v>75000</v>
      </c>
      <c r="E145" s="189">
        <f t="shared" si="123"/>
        <v>0</v>
      </c>
      <c r="F145" s="189">
        <f t="shared" si="123"/>
        <v>75000</v>
      </c>
      <c r="G145" s="189">
        <f t="shared" si="123"/>
        <v>0</v>
      </c>
      <c r="H145" s="189">
        <f t="shared" si="123"/>
        <v>75000</v>
      </c>
      <c r="I145" s="188">
        <f t="shared" si="123"/>
        <v>5000</v>
      </c>
      <c r="J145" s="188"/>
      <c r="K145" s="189">
        <f>K146</f>
        <v>0</v>
      </c>
      <c r="L145" s="188">
        <f>L146</f>
        <v>0</v>
      </c>
      <c r="M145" s="231"/>
      <c r="N145" s="231"/>
      <c r="O145" s="188">
        <f t="shared" si="87"/>
        <v>5000</v>
      </c>
      <c r="P145" s="188">
        <v>27078.295252</v>
      </c>
      <c r="Q145" s="186">
        <f t="shared" si="124"/>
        <v>0.36104393669333334</v>
      </c>
      <c r="R145" s="188">
        <v>0</v>
      </c>
      <c r="S145" s="185">
        <v>0</v>
      </c>
      <c r="T145" s="185">
        <v>0</v>
      </c>
      <c r="U145" s="188">
        <v>0</v>
      </c>
      <c r="V145" s="185">
        <v>0</v>
      </c>
      <c r="W145" s="185">
        <v>0</v>
      </c>
      <c r="X145" s="188">
        <v>0</v>
      </c>
      <c r="Y145" s="185">
        <v>0</v>
      </c>
      <c r="Z145" s="185">
        <v>0</v>
      </c>
      <c r="AA145" s="188">
        <v>0</v>
      </c>
      <c r="AB145" s="185">
        <v>0</v>
      </c>
      <c r="AC145" s="185">
        <v>0</v>
      </c>
      <c r="AD145" s="188">
        <v>0</v>
      </c>
      <c r="AE145" s="185">
        <v>0</v>
      </c>
      <c r="AF145" s="185">
        <v>0</v>
      </c>
      <c r="AG145" s="188">
        <v>0</v>
      </c>
      <c r="AH145" s="185">
        <v>0</v>
      </c>
      <c r="AI145" s="185">
        <v>0</v>
      </c>
      <c r="AJ145" s="257">
        <v>0</v>
      </c>
      <c r="AK145" s="185">
        <v>0</v>
      </c>
      <c r="AL145" s="185">
        <v>0</v>
      </c>
      <c r="AM145" s="188">
        <v>0</v>
      </c>
      <c r="AN145" s="185">
        <v>0</v>
      </c>
      <c r="AO145" s="185">
        <v>0</v>
      </c>
      <c r="AP145" s="185"/>
      <c r="AQ145" s="188">
        <v>5000</v>
      </c>
      <c r="AR145" s="185">
        <v>6.6666666666666666E-2</v>
      </c>
      <c r="AS145" s="185">
        <v>7.0175438596491224E-2</v>
      </c>
      <c r="AT145" s="188">
        <v>5000</v>
      </c>
      <c r="AU145" s="185">
        <v>6.6666666666666666E-2</v>
      </c>
      <c r="AV145" s="185">
        <v>7.0175438596491224E-2</v>
      </c>
      <c r="AW145" s="185"/>
      <c r="AX145" s="185"/>
      <c r="AY145" s="185"/>
      <c r="AZ145" s="185"/>
      <c r="BA145" s="185"/>
      <c r="BB145" s="185"/>
      <c r="BC145" s="188">
        <v>5000</v>
      </c>
      <c r="BD145" s="185">
        <v>6.6666666666666666E-2</v>
      </c>
      <c r="BE145" s="185">
        <v>7.0175438596491224E-2</v>
      </c>
      <c r="BF145" s="188"/>
      <c r="BG145" s="188">
        <v>5000</v>
      </c>
      <c r="BH145" s="185">
        <v>6.6666666666666666E-2</v>
      </c>
      <c r="BI145" s="185">
        <v>7.0175438596491224E-2</v>
      </c>
      <c r="BJ145" s="188">
        <f t="shared" si="125"/>
        <v>71250</v>
      </c>
      <c r="BK145" s="188">
        <f>BK146</f>
        <v>10161.675017</v>
      </c>
      <c r="BL145" s="185">
        <f t="shared" si="101"/>
        <v>0.13548900022666666</v>
      </c>
      <c r="BM145" s="185">
        <f t="shared" si="83"/>
        <v>0.14262000023859647</v>
      </c>
      <c r="BN145" s="205">
        <f t="shared" si="119"/>
        <v>10161.675017</v>
      </c>
      <c r="BO145" s="205"/>
      <c r="BP145" s="189">
        <f>BP146</f>
        <v>0</v>
      </c>
      <c r="BQ145" s="186">
        <f t="shared" si="84"/>
        <v>0</v>
      </c>
      <c r="BR145" s="189">
        <f>BR146</f>
        <v>5000</v>
      </c>
      <c r="BS145" s="186">
        <f t="shared" si="120"/>
        <v>6.6666666666666666E-2</v>
      </c>
      <c r="BT145" s="189">
        <f>BT146</f>
        <v>13750</v>
      </c>
      <c r="BU145" s="186">
        <f t="shared" si="126"/>
        <v>0.18333333333333332</v>
      </c>
      <c r="BV145" s="189">
        <f t="shared" si="127"/>
        <v>26750</v>
      </c>
      <c r="BW145" s="186">
        <f t="shared" si="128"/>
        <v>0.35666666666666669</v>
      </c>
      <c r="BX145" s="189">
        <f t="shared" si="127"/>
        <v>39250</v>
      </c>
      <c r="BY145" s="186">
        <f t="shared" si="129"/>
        <v>0.52333333333333332</v>
      </c>
      <c r="BZ145" s="189">
        <f t="shared" si="127"/>
        <v>45250</v>
      </c>
      <c r="CA145" s="186">
        <f t="shared" si="130"/>
        <v>0.60333333333333339</v>
      </c>
      <c r="CB145" s="189">
        <f t="shared" si="127"/>
        <v>50250</v>
      </c>
      <c r="CC145" s="186">
        <f t="shared" si="131"/>
        <v>0.67</v>
      </c>
      <c r="CD145" s="189">
        <f t="shared" si="127"/>
        <v>55250</v>
      </c>
      <c r="CE145" s="186">
        <f>CD145/$D145</f>
        <v>0.73666666666666669</v>
      </c>
      <c r="CF145" s="189">
        <f t="shared" si="127"/>
        <v>58250</v>
      </c>
      <c r="CG145" s="186">
        <f t="shared" si="121"/>
        <v>0.77666666666666662</v>
      </c>
      <c r="CH145" s="189">
        <f t="shared" si="127"/>
        <v>61250</v>
      </c>
      <c r="CI145" s="186">
        <f t="shared" si="122"/>
        <v>0.81666666666666665</v>
      </c>
      <c r="CJ145" s="189">
        <f t="shared" si="127"/>
        <v>66250</v>
      </c>
      <c r="CK145" s="186">
        <f t="shared" si="132"/>
        <v>0.8833333333333333</v>
      </c>
      <c r="CL145" s="189">
        <f t="shared" si="133"/>
        <v>71250</v>
      </c>
      <c r="CM145" s="186">
        <f t="shared" si="134"/>
        <v>0.95</v>
      </c>
      <c r="CN145" s="189">
        <f t="shared" si="133"/>
        <v>71250</v>
      </c>
      <c r="CO145" s="186">
        <f t="shared" si="135"/>
        <v>0.95</v>
      </c>
      <c r="CP145" s="213" t="str">
        <f t="shared" si="85"/>
        <v>Không đạt</v>
      </c>
      <c r="CQ145" s="213" t="str">
        <f t="shared" si="86"/>
        <v>Không đạt</v>
      </c>
      <c r="CR145" s="213"/>
      <c r="CS145" s="213"/>
      <c r="CT145" s="231"/>
      <c r="CU145" s="163"/>
      <c r="CV145" s="252"/>
      <c r="CW145" s="253"/>
      <c r="CX145" s="254"/>
      <c r="CY145" s="254"/>
      <c r="CZ145" s="198"/>
      <c r="DA145" s="254"/>
      <c r="DB145" s="254"/>
      <c r="DC145" s="254"/>
      <c r="DE145" s="199"/>
      <c r="DF145" s="200"/>
      <c r="DG145" s="181"/>
    </row>
    <row r="146" spans="1:111" ht="59.25" customHeight="1" outlineLevel="1" x14ac:dyDescent="0.25">
      <c r="A146" s="192">
        <v>1</v>
      </c>
      <c r="B146" s="247" t="s">
        <v>300</v>
      </c>
      <c r="C146" s="248">
        <v>7782222</v>
      </c>
      <c r="D146" s="214">
        <f t="shared" si="117"/>
        <v>75000</v>
      </c>
      <c r="E146" s="205"/>
      <c r="F146" s="214">
        <f>G146+H146+K146+M146</f>
        <v>75000</v>
      </c>
      <c r="G146" s="223"/>
      <c r="H146" s="257">
        <v>75000</v>
      </c>
      <c r="I146" s="235">
        <v>5000</v>
      </c>
      <c r="J146" s="257">
        <v>5000</v>
      </c>
      <c r="K146" s="223"/>
      <c r="L146" s="235"/>
      <c r="M146" s="223"/>
      <c r="N146" s="223"/>
      <c r="O146" s="257">
        <f t="shared" si="87"/>
        <v>5000</v>
      </c>
      <c r="P146" s="257">
        <v>0</v>
      </c>
      <c r="Q146" s="258">
        <f t="shared" si="124"/>
        <v>0</v>
      </c>
      <c r="R146" s="257"/>
      <c r="S146" s="225">
        <v>0</v>
      </c>
      <c r="T146" s="225">
        <v>0</v>
      </c>
      <c r="U146" s="257"/>
      <c r="V146" s="225">
        <v>0</v>
      </c>
      <c r="W146" s="225">
        <v>0</v>
      </c>
      <c r="X146" s="257"/>
      <c r="Y146" s="225">
        <v>0</v>
      </c>
      <c r="Z146" s="225">
        <v>0</v>
      </c>
      <c r="AA146" s="257"/>
      <c r="AB146" s="225">
        <v>0</v>
      </c>
      <c r="AC146" s="225">
        <v>0</v>
      </c>
      <c r="AD146" s="257"/>
      <c r="AE146" s="225">
        <v>0</v>
      </c>
      <c r="AF146" s="225">
        <v>0</v>
      </c>
      <c r="AG146" s="257"/>
      <c r="AH146" s="225">
        <v>0</v>
      </c>
      <c r="AI146" s="225">
        <v>0</v>
      </c>
      <c r="AJ146" s="205"/>
      <c r="AK146" s="225">
        <v>0</v>
      </c>
      <c r="AL146" s="225">
        <v>0</v>
      </c>
      <c r="AM146" s="257"/>
      <c r="AN146" s="225">
        <v>0</v>
      </c>
      <c r="AO146" s="225">
        <v>0</v>
      </c>
      <c r="AP146" s="225"/>
      <c r="AQ146" s="257">
        <v>5000</v>
      </c>
      <c r="AR146" s="225">
        <v>6.6666666666666666E-2</v>
      </c>
      <c r="AS146" s="225">
        <v>7.0175438596491224E-2</v>
      </c>
      <c r="AT146" s="257">
        <v>5000</v>
      </c>
      <c r="AU146" s="225">
        <v>6.6666666666666666E-2</v>
      </c>
      <c r="AV146" s="225">
        <v>7.0175438596491224E-2</v>
      </c>
      <c r="AW146" s="225"/>
      <c r="AX146" s="225"/>
      <c r="AY146" s="225"/>
      <c r="AZ146" s="225"/>
      <c r="BA146" s="225"/>
      <c r="BB146" s="225"/>
      <c r="BC146" s="257">
        <v>5000</v>
      </c>
      <c r="BD146" s="225">
        <v>6.6666666666666666E-2</v>
      </c>
      <c r="BE146" s="225">
        <v>7.0175438596491224E-2</v>
      </c>
      <c r="BF146" s="257">
        <v>5000</v>
      </c>
      <c r="BG146" s="257">
        <v>5000</v>
      </c>
      <c r="BH146" s="225">
        <v>6.6666666666666666E-2</v>
      </c>
      <c r="BI146" s="225">
        <v>7.0175438596491224E-2</v>
      </c>
      <c r="BJ146" s="257">
        <f t="shared" si="125"/>
        <v>71250</v>
      </c>
      <c r="BK146" s="257">
        <v>10161.675017</v>
      </c>
      <c r="BL146" s="225">
        <f t="shared" si="101"/>
        <v>0.13548900022666666</v>
      </c>
      <c r="BM146" s="225">
        <f t="shared" ref="BM146:BM209" si="136">BK146/(E146+0.95*F146)</f>
        <v>0.14262000023859647</v>
      </c>
      <c r="BN146" s="205">
        <f t="shared" si="119"/>
        <v>10161.675017</v>
      </c>
      <c r="BO146" s="205"/>
      <c r="BP146" s="245"/>
      <c r="BQ146" s="224">
        <f t="shared" ref="BQ146:BQ209" si="137">BP146/$D146</f>
        <v>0</v>
      </c>
      <c r="BR146" s="245">
        <v>5000</v>
      </c>
      <c r="BS146" s="224">
        <f t="shared" si="120"/>
        <v>6.6666666666666666E-2</v>
      </c>
      <c r="BT146" s="245">
        <f>8750+BR146</f>
        <v>13750</v>
      </c>
      <c r="BU146" s="258">
        <f t="shared" si="126"/>
        <v>0.18333333333333332</v>
      </c>
      <c r="BV146" s="245">
        <f>13000+BT146</f>
        <v>26750</v>
      </c>
      <c r="BW146" s="224">
        <f t="shared" si="128"/>
        <v>0.35666666666666669</v>
      </c>
      <c r="BX146" s="245">
        <f>12500+BV146</f>
        <v>39250</v>
      </c>
      <c r="BY146" s="224">
        <f t="shared" si="129"/>
        <v>0.52333333333333332</v>
      </c>
      <c r="BZ146" s="245">
        <f>6000+BX146</f>
        <v>45250</v>
      </c>
      <c r="CA146" s="224">
        <f t="shared" si="130"/>
        <v>0.60333333333333339</v>
      </c>
      <c r="CB146" s="245">
        <f>5000+BZ146</f>
        <v>50250</v>
      </c>
      <c r="CC146" s="224">
        <f t="shared" si="131"/>
        <v>0.67</v>
      </c>
      <c r="CD146" s="245">
        <f>5000+CB146</f>
        <v>55250</v>
      </c>
      <c r="CE146" s="224">
        <f t="shared" si="131"/>
        <v>0.73666666666666669</v>
      </c>
      <c r="CF146" s="245">
        <f>3000+CD146</f>
        <v>58250</v>
      </c>
      <c r="CG146" s="224">
        <f t="shared" si="121"/>
        <v>0.77666666666666662</v>
      </c>
      <c r="CH146" s="245">
        <f>3000+CF146</f>
        <v>61250</v>
      </c>
      <c r="CI146" s="224">
        <f t="shared" si="122"/>
        <v>0.81666666666666665</v>
      </c>
      <c r="CJ146" s="245">
        <f>5000+CH146</f>
        <v>66250</v>
      </c>
      <c r="CK146" s="224">
        <f t="shared" si="132"/>
        <v>0.8833333333333333</v>
      </c>
      <c r="CL146" s="245">
        <f>5000+CJ146</f>
        <v>71250</v>
      </c>
      <c r="CM146" s="224">
        <f t="shared" si="134"/>
        <v>0.95</v>
      </c>
      <c r="CN146" s="245">
        <f>CL146</f>
        <v>71250</v>
      </c>
      <c r="CO146" s="224">
        <f t="shared" si="135"/>
        <v>0.95</v>
      </c>
      <c r="CP146" s="213" t="str">
        <f t="shared" ref="CP146:CP209" si="138">IF(BM146&gt;34.7%,"Đạt","Không đạt")</f>
        <v>Không đạt</v>
      </c>
      <c r="CQ146" s="213" t="str">
        <f t="shared" ref="CQ146:CQ209" si="139">IF(BM146&gt;43.8%,"Đạt","Không đạt")</f>
        <v>Không đạt</v>
      </c>
      <c r="CR146" s="192"/>
      <c r="CS146" s="192"/>
      <c r="CT146" s="223"/>
      <c r="CU146" s="163"/>
      <c r="CW146" s="195"/>
      <c r="CX146" s="196"/>
      <c r="CY146" s="196"/>
      <c r="CZ146" s="197"/>
      <c r="DA146" s="196"/>
      <c r="DB146" s="196"/>
      <c r="DC146" s="196"/>
      <c r="DE146" s="199"/>
      <c r="DF146" s="200"/>
      <c r="DG146" s="181"/>
    </row>
    <row r="147" spans="1:111" s="233" customFormat="1" ht="18" customHeight="1" x14ac:dyDescent="0.25">
      <c r="A147" s="191">
        <v>6</v>
      </c>
      <c r="B147" s="210" t="s">
        <v>301</v>
      </c>
      <c r="C147" s="210"/>
      <c r="D147" s="205">
        <f t="shared" ref="D147:L147" si="140">D148+D157</f>
        <v>224800</v>
      </c>
      <c r="E147" s="205">
        <f t="shared" si="140"/>
        <v>0</v>
      </c>
      <c r="F147" s="205">
        <f t="shared" si="140"/>
        <v>224800</v>
      </c>
      <c r="G147" s="205">
        <f t="shared" si="140"/>
        <v>10000</v>
      </c>
      <c r="H147" s="205">
        <f t="shared" si="140"/>
        <v>214800</v>
      </c>
      <c r="I147" s="205">
        <f t="shared" si="140"/>
        <v>7759</v>
      </c>
      <c r="J147" s="205"/>
      <c r="K147" s="205">
        <f t="shared" si="140"/>
        <v>0</v>
      </c>
      <c r="L147" s="205">
        <f t="shared" si="140"/>
        <v>0</v>
      </c>
      <c r="M147" s="231"/>
      <c r="N147" s="231"/>
      <c r="O147" s="205">
        <f t="shared" si="87"/>
        <v>17759</v>
      </c>
      <c r="P147" s="205">
        <v>11664.517748</v>
      </c>
      <c r="Q147" s="186">
        <f t="shared" si="124"/>
        <v>5.1888424145907476E-2</v>
      </c>
      <c r="R147" s="205">
        <v>12059.126445</v>
      </c>
      <c r="S147" s="185">
        <v>5.364380091192171E-2</v>
      </c>
      <c r="T147" s="185">
        <v>5.6467158854654427E-2</v>
      </c>
      <c r="U147" s="205">
        <v>12416.316709999999</v>
      </c>
      <c r="V147" s="185">
        <v>5.5232725578291814E-2</v>
      </c>
      <c r="W147" s="185">
        <v>5.8139711135044014E-2</v>
      </c>
      <c r="X147" s="205">
        <v>12416.316709999999</v>
      </c>
      <c r="Y147" s="185">
        <v>5.5232725578291814E-2</v>
      </c>
      <c r="Z147" s="185">
        <v>5.8139711135044014E-2</v>
      </c>
      <c r="AA147" s="205">
        <v>12416.316709999999</v>
      </c>
      <c r="AB147" s="185">
        <v>5.5232725578291814E-2</v>
      </c>
      <c r="AC147" s="185">
        <v>5.8139711135044014E-2</v>
      </c>
      <c r="AD147" s="205">
        <v>12516.316709999999</v>
      </c>
      <c r="AE147" s="185">
        <v>5.5677565435943058E-2</v>
      </c>
      <c r="AF147" s="185">
        <v>5.8607963616782166E-2</v>
      </c>
      <c r="AG147" s="205">
        <v>14034.14471</v>
      </c>
      <c r="AH147" s="185">
        <v>6.2429469350533812E-2</v>
      </c>
      <c r="AI147" s="185">
        <v>6.5715230895298751E-2</v>
      </c>
      <c r="AJ147" s="189">
        <v>14034.14471</v>
      </c>
      <c r="AK147" s="185">
        <v>6.2429469350533812E-2</v>
      </c>
      <c r="AL147" s="185">
        <v>6.5715230895298751E-2</v>
      </c>
      <c r="AM147" s="205">
        <v>17048.984</v>
      </c>
      <c r="AN147" s="185">
        <v>7.5840676156583631E-2</v>
      </c>
      <c r="AO147" s="185">
        <v>7.9832290691140659E-2</v>
      </c>
      <c r="AP147" s="185"/>
      <c r="AQ147" s="205">
        <v>17257.156000000003</v>
      </c>
      <c r="AR147" s="185">
        <v>7.6766708185053392E-2</v>
      </c>
      <c r="AS147" s="185">
        <v>8.0807061247424622E-2</v>
      </c>
      <c r="AT147" s="205">
        <v>17257.156000000003</v>
      </c>
      <c r="AU147" s="185">
        <v>7.6766708185053392E-2</v>
      </c>
      <c r="AV147" s="185">
        <v>8.0807061247424622E-2</v>
      </c>
      <c r="AW147" s="205">
        <v>17257.156000000003</v>
      </c>
      <c r="AX147" s="185">
        <v>7.6766708185053392E-2</v>
      </c>
      <c r="AY147" s="185">
        <v>8.0807061247424622E-2</v>
      </c>
      <c r="AZ147" s="205">
        <v>17257.156000000003</v>
      </c>
      <c r="BA147" s="185">
        <v>7.6766708185053392E-2</v>
      </c>
      <c r="BB147" s="185">
        <v>8.0807061247424622E-2</v>
      </c>
      <c r="BC147" s="205">
        <v>17638.156000000003</v>
      </c>
      <c r="BD147" s="185">
        <v>7.8461548042704637E-2</v>
      </c>
      <c r="BE147" s="185">
        <v>8.2591103202846988E-2</v>
      </c>
      <c r="BF147" s="205"/>
      <c r="BG147" s="205">
        <v>38232.16599999999</v>
      </c>
      <c r="BH147" s="185">
        <v>0.17007191281138787</v>
      </c>
      <c r="BI147" s="185">
        <v>0.17902306611725038</v>
      </c>
      <c r="BJ147" s="205">
        <f t="shared" si="125"/>
        <v>213560</v>
      </c>
      <c r="BK147" s="205">
        <v>52238</v>
      </c>
      <c r="BL147" s="185">
        <f t="shared" si="101"/>
        <v>0.23237544483985764</v>
      </c>
      <c r="BM147" s="185">
        <f t="shared" si="136"/>
        <v>0.24460573141037648</v>
      </c>
      <c r="BN147" s="205">
        <f t="shared" si="119"/>
        <v>39721.683290000001</v>
      </c>
      <c r="BO147" s="205"/>
      <c r="BP147" s="189">
        <f>BP148+BP157</f>
        <v>2246</v>
      </c>
      <c r="BQ147" s="186">
        <f t="shared" si="137"/>
        <v>9.9911032028469748E-3</v>
      </c>
      <c r="BR147" s="189">
        <f>BR148+BR157</f>
        <v>2246</v>
      </c>
      <c r="BS147" s="186">
        <f t="shared" si="120"/>
        <v>9.9911032028469748E-3</v>
      </c>
      <c r="BT147" s="189">
        <f>BT148+BT157</f>
        <v>14203.5</v>
      </c>
      <c r="BU147" s="186">
        <f t="shared" si="126"/>
        <v>6.3182829181494662E-2</v>
      </c>
      <c r="BV147" s="189">
        <f>BV148+BV157</f>
        <v>27833.5</v>
      </c>
      <c r="BW147" s="186">
        <f t="shared" si="128"/>
        <v>0.12381450177935943</v>
      </c>
      <c r="BX147" s="189">
        <f>BX148+BX157</f>
        <v>52476</v>
      </c>
      <c r="BY147" s="186">
        <f t="shared" si="129"/>
        <v>0.23343416370106762</v>
      </c>
      <c r="BZ147" s="189">
        <f>BZ148+BZ157</f>
        <v>83204</v>
      </c>
      <c r="CA147" s="186">
        <f t="shared" si="130"/>
        <v>0.37012455516014237</v>
      </c>
      <c r="CB147" s="189">
        <f>CB148+CB157</f>
        <v>105441</v>
      </c>
      <c r="CC147" s="186">
        <f t="shared" si="131"/>
        <v>0.4690435943060498</v>
      </c>
      <c r="CD147" s="189">
        <f>CD148+CD157</f>
        <v>119866</v>
      </c>
      <c r="CE147" s="186">
        <f t="shared" si="131"/>
        <v>0.53321174377224201</v>
      </c>
      <c r="CF147" s="189">
        <f>CF148+CF157</f>
        <v>146206</v>
      </c>
      <c r="CG147" s="186">
        <f t="shared" si="121"/>
        <v>0.65038256227758007</v>
      </c>
      <c r="CH147" s="189">
        <f>CH148+CH157</f>
        <v>164406</v>
      </c>
      <c r="CI147" s="186">
        <f t="shared" si="122"/>
        <v>0.7313434163701068</v>
      </c>
      <c r="CJ147" s="189">
        <f>CJ148+CJ157</f>
        <v>177831</v>
      </c>
      <c r="CK147" s="186">
        <f t="shared" si="132"/>
        <v>0.79106316725978643</v>
      </c>
      <c r="CL147" s="189">
        <f>CL148+CL157</f>
        <v>205915</v>
      </c>
      <c r="CM147" s="186">
        <f t="shared" si="134"/>
        <v>0.91599199288256228</v>
      </c>
      <c r="CN147" s="189">
        <f>CN148+CN157</f>
        <v>215365</v>
      </c>
      <c r="CO147" s="186">
        <f t="shared" si="135"/>
        <v>0.95802935943060497</v>
      </c>
      <c r="CP147" s="213" t="str">
        <f t="shared" si="138"/>
        <v>Không đạt</v>
      </c>
      <c r="CQ147" s="213" t="str">
        <f t="shared" si="139"/>
        <v>Không đạt</v>
      </c>
      <c r="CR147" s="213"/>
      <c r="CS147" s="213"/>
      <c r="CT147" s="213"/>
      <c r="CU147" s="163"/>
      <c r="CV147" s="232"/>
      <c r="CW147" s="195"/>
      <c r="CX147" s="196"/>
      <c r="CY147" s="196"/>
      <c r="CZ147" s="197"/>
      <c r="DA147" s="196"/>
      <c r="DB147" s="196"/>
      <c r="DC147" s="196"/>
      <c r="DE147" s="199"/>
      <c r="DF147" s="200"/>
      <c r="DG147" s="181"/>
    </row>
    <row r="148" spans="1:111" s="255" customFormat="1" outlineLevel="1" x14ac:dyDescent="0.25">
      <c r="A148" s="191" t="s">
        <v>29</v>
      </c>
      <c r="B148" s="210" t="s">
        <v>157</v>
      </c>
      <c r="C148" s="210"/>
      <c r="D148" s="189">
        <f t="shared" ref="D148:I148" si="141">SUM(D149:D156)</f>
        <v>75100</v>
      </c>
      <c r="E148" s="189">
        <f t="shared" si="141"/>
        <v>0</v>
      </c>
      <c r="F148" s="189">
        <f t="shared" si="141"/>
        <v>75100</v>
      </c>
      <c r="G148" s="189">
        <f t="shared" si="141"/>
        <v>0</v>
      </c>
      <c r="H148" s="189">
        <f t="shared" si="141"/>
        <v>75100</v>
      </c>
      <c r="I148" s="214">
        <f t="shared" si="141"/>
        <v>0</v>
      </c>
      <c r="J148" s="214"/>
      <c r="K148" s="189">
        <f>SUM(K149:K156)</f>
        <v>0</v>
      </c>
      <c r="L148" s="214">
        <f>SUM(L149:L156)</f>
        <v>0</v>
      </c>
      <c r="M148" s="214">
        <f>SUM(M149:M156)</f>
        <v>0</v>
      </c>
      <c r="N148" s="214">
        <f>SUM(N149:N156)</f>
        <v>0</v>
      </c>
      <c r="O148" s="214">
        <f>SUM(O149:O156)</f>
        <v>0</v>
      </c>
      <c r="P148" s="214">
        <v>27078.295252</v>
      </c>
      <c r="Q148" s="186">
        <f t="shared" si="124"/>
        <v>0.3605631857789614</v>
      </c>
      <c r="R148" s="189">
        <v>0</v>
      </c>
      <c r="S148" s="185">
        <v>0</v>
      </c>
      <c r="T148" s="185">
        <v>0</v>
      </c>
      <c r="U148" s="189">
        <v>0</v>
      </c>
      <c r="V148" s="185">
        <v>0</v>
      </c>
      <c r="W148" s="185">
        <v>0</v>
      </c>
      <c r="X148" s="189">
        <v>0</v>
      </c>
      <c r="Y148" s="185">
        <v>0</v>
      </c>
      <c r="Z148" s="185">
        <v>0</v>
      </c>
      <c r="AA148" s="189">
        <v>0</v>
      </c>
      <c r="AB148" s="185">
        <v>0</v>
      </c>
      <c r="AC148" s="185">
        <v>0</v>
      </c>
      <c r="AD148" s="189">
        <v>0</v>
      </c>
      <c r="AE148" s="185">
        <v>0</v>
      </c>
      <c r="AF148" s="185">
        <v>0</v>
      </c>
      <c r="AG148" s="189">
        <v>0</v>
      </c>
      <c r="AH148" s="185">
        <v>0</v>
      </c>
      <c r="AI148" s="185">
        <v>0</v>
      </c>
      <c r="AJ148" s="257">
        <v>0</v>
      </c>
      <c r="AK148" s="185">
        <v>0</v>
      </c>
      <c r="AL148" s="185">
        <v>0</v>
      </c>
      <c r="AM148" s="189">
        <v>0</v>
      </c>
      <c r="AN148" s="185">
        <v>0</v>
      </c>
      <c r="AO148" s="185">
        <v>0</v>
      </c>
      <c r="AP148" s="185"/>
      <c r="AQ148" s="189">
        <v>0</v>
      </c>
      <c r="AR148" s="185">
        <v>0</v>
      </c>
      <c r="AS148" s="185">
        <v>0</v>
      </c>
      <c r="AT148" s="189">
        <v>0</v>
      </c>
      <c r="AU148" s="185">
        <v>0</v>
      </c>
      <c r="AV148" s="185">
        <v>0</v>
      </c>
      <c r="AW148" s="189">
        <v>0</v>
      </c>
      <c r="AX148" s="185">
        <v>0</v>
      </c>
      <c r="AY148" s="185">
        <v>0</v>
      </c>
      <c r="AZ148" s="189">
        <v>0</v>
      </c>
      <c r="BA148" s="185">
        <v>0</v>
      </c>
      <c r="BB148" s="185">
        <v>0</v>
      </c>
      <c r="BC148" s="189">
        <v>17</v>
      </c>
      <c r="BD148" s="185">
        <v>2.2636484687083889E-4</v>
      </c>
      <c r="BE148" s="185">
        <v>2.3827878617983041E-4</v>
      </c>
      <c r="BF148" s="189"/>
      <c r="BG148" s="189">
        <v>4947.259</v>
      </c>
      <c r="BH148" s="185">
        <v>6.5875619174434089E-2</v>
      </c>
      <c r="BI148" s="185">
        <v>6.9342757025720098E-2</v>
      </c>
      <c r="BJ148" s="189">
        <f t="shared" si="125"/>
        <v>71345</v>
      </c>
      <c r="BK148" s="189">
        <f>SUM(BK149:BK156)</f>
        <v>4958.259</v>
      </c>
      <c r="BL148" s="185">
        <f t="shared" si="101"/>
        <v>6.6022090545938744E-2</v>
      </c>
      <c r="BM148" s="185">
        <f t="shared" si="136"/>
        <v>6.9496937416777635E-2</v>
      </c>
      <c r="BN148" s="205">
        <f t="shared" si="119"/>
        <v>4958.259</v>
      </c>
      <c r="BO148" s="205"/>
      <c r="BP148" s="189">
        <f>SUM(BP149:BP156)</f>
        <v>0</v>
      </c>
      <c r="BQ148" s="186">
        <f t="shared" si="137"/>
        <v>0</v>
      </c>
      <c r="BR148" s="189">
        <f>SUM(BR149:BR156)</f>
        <v>0</v>
      </c>
      <c r="BS148" s="186">
        <f t="shared" si="120"/>
        <v>0</v>
      </c>
      <c r="BT148" s="189">
        <f>SUM(BT149:BT156)</f>
        <v>1187.5</v>
      </c>
      <c r="BU148" s="186">
        <f t="shared" si="126"/>
        <v>1.581225033288948E-2</v>
      </c>
      <c r="BV148" s="189">
        <f>SUM(BV149:BV156)</f>
        <v>5937.5</v>
      </c>
      <c r="BW148" s="186">
        <f t="shared" si="128"/>
        <v>7.9061251664447399E-2</v>
      </c>
      <c r="BX148" s="189">
        <f>SUM(BX149:BX156)</f>
        <v>22230</v>
      </c>
      <c r="BY148" s="186">
        <f t="shared" si="129"/>
        <v>0.29600532623169107</v>
      </c>
      <c r="BZ148" s="189">
        <f>SUM(BZ149:BZ156)</f>
        <v>24245</v>
      </c>
      <c r="CA148" s="186">
        <f t="shared" si="130"/>
        <v>0.32283621837549936</v>
      </c>
      <c r="CB148" s="189">
        <f>SUM(CB149:CB156)</f>
        <v>32845</v>
      </c>
      <c r="CC148" s="186">
        <f t="shared" si="131"/>
        <v>0.43735019973368844</v>
      </c>
      <c r="CD148" s="189">
        <f>SUM(CD149:CD156)</f>
        <v>36045</v>
      </c>
      <c r="CE148" s="186">
        <f t="shared" si="131"/>
        <v>0.47996005326231689</v>
      </c>
      <c r="CF148" s="189">
        <f>SUM(CF149:CF156)</f>
        <v>44995</v>
      </c>
      <c r="CG148" s="186">
        <f t="shared" si="121"/>
        <v>0.5991344873501997</v>
      </c>
      <c r="CH148" s="189">
        <f>SUM(CH149:CH156)</f>
        <v>53995</v>
      </c>
      <c r="CI148" s="186">
        <f t="shared" si="122"/>
        <v>0.71897470039946743</v>
      </c>
      <c r="CJ148" s="189">
        <f>SUM(CJ149:CJ156)</f>
        <v>60370</v>
      </c>
      <c r="CK148" s="186">
        <f t="shared" si="132"/>
        <v>0.803861517976032</v>
      </c>
      <c r="CL148" s="189">
        <f>SUM(CL149:CL156)</f>
        <v>71345</v>
      </c>
      <c r="CM148" s="186">
        <f t="shared" si="134"/>
        <v>0.95</v>
      </c>
      <c r="CN148" s="189">
        <f>SUM(CN149:CN156)</f>
        <v>71345</v>
      </c>
      <c r="CO148" s="186">
        <f t="shared" si="135"/>
        <v>0.95</v>
      </c>
      <c r="CP148" s="213" t="str">
        <f t="shared" si="138"/>
        <v>Không đạt</v>
      </c>
      <c r="CQ148" s="213" t="str">
        <f t="shared" si="139"/>
        <v>Không đạt</v>
      </c>
      <c r="CR148" s="213"/>
      <c r="CS148" s="213"/>
      <c r="CT148" s="231"/>
      <c r="CU148" s="163"/>
      <c r="CV148" s="142"/>
      <c r="CW148" s="195"/>
      <c r="CX148" s="196"/>
      <c r="CY148" s="196"/>
      <c r="CZ148" s="197"/>
      <c r="DA148" s="196"/>
      <c r="DB148" s="196"/>
      <c r="DC148" s="196"/>
      <c r="DD148" s="144"/>
      <c r="DE148" s="199"/>
      <c r="DF148" s="200"/>
      <c r="DG148" s="181"/>
    </row>
    <row r="149" spans="1:111" outlineLevel="1" x14ac:dyDescent="0.25">
      <c r="A149" s="192">
        <v>1</v>
      </c>
      <c r="B149" s="247" t="s">
        <v>302</v>
      </c>
      <c r="C149" s="248" t="s">
        <v>303</v>
      </c>
      <c r="D149" s="214">
        <f t="shared" si="117"/>
        <v>2000</v>
      </c>
      <c r="E149" s="205"/>
      <c r="F149" s="214">
        <f t="shared" ref="F149:F156" si="142">G149+H149+K149+M149</f>
        <v>2000</v>
      </c>
      <c r="G149" s="260"/>
      <c r="H149" s="257">
        <v>2000</v>
      </c>
      <c r="I149" s="235"/>
      <c r="J149" s="235"/>
      <c r="K149" s="223"/>
      <c r="L149" s="235"/>
      <c r="M149" s="223"/>
      <c r="N149" s="223"/>
      <c r="O149" s="257">
        <f t="shared" si="87"/>
        <v>0</v>
      </c>
      <c r="P149" s="257">
        <v>0</v>
      </c>
      <c r="Q149" s="224">
        <f t="shared" si="124"/>
        <v>0</v>
      </c>
      <c r="R149" s="257"/>
      <c r="S149" s="225">
        <v>0</v>
      </c>
      <c r="T149" s="225">
        <v>0</v>
      </c>
      <c r="U149" s="257"/>
      <c r="V149" s="225">
        <v>0</v>
      </c>
      <c r="W149" s="225">
        <v>0</v>
      </c>
      <c r="X149" s="257"/>
      <c r="Y149" s="225">
        <v>0</v>
      </c>
      <c r="Z149" s="225">
        <v>0</v>
      </c>
      <c r="AA149" s="257"/>
      <c r="AB149" s="225">
        <v>0</v>
      </c>
      <c r="AC149" s="225">
        <v>0</v>
      </c>
      <c r="AD149" s="257"/>
      <c r="AE149" s="225">
        <v>0</v>
      </c>
      <c r="AF149" s="225">
        <v>0</v>
      </c>
      <c r="AG149" s="257"/>
      <c r="AH149" s="225">
        <v>0</v>
      </c>
      <c r="AI149" s="225">
        <v>0</v>
      </c>
      <c r="AJ149" s="257"/>
      <c r="AK149" s="225">
        <v>0</v>
      </c>
      <c r="AL149" s="225">
        <v>0</v>
      </c>
      <c r="AM149" s="257"/>
      <c r="AN149" s="225">
        <v>0</v>
      </c>
      <c r="AO149" s="225">
        <v>0</v>
      </c>
      <c r="AP149" s="225"/>
      <c r="AQ149" s="257"/>
      <c r="AR149" s="225">
        <v>0</v>
      </c>
      <c r="AS149" s="225">
        <v>0</v>
      </c>
      <c r="AT149" s="257"/>
      <c r="AU149" s="225">
        <v>0</v>
      </c>
      <c r="AV149" s="225">
        <v>0</v>
      </c>
      <c r="AW149" s="257"/>
      <c r="AX149" s="225">
        <v>0</v>
      </c>
      <c r="AY149" s="225">
        <v>0</v>
      </c>
      <c r="AZ149" s="257"/>
      <c r="BA149" s="225">
        <v>0</v>
      </c>
      <c r="BB149" s="225">
        <v>0</v>
      </c>
      <c r="BC149" s="257"/>
      <c r="BD149" s="225">
        <v>0</v>
      </c>
      <c r="BE149" s="225">
        <v>0</v>
      </c>
      <c r="BF149" s="257">
        <v>790</v>
      </c>
      <c r="BG149" s="257">
        <v>790</v>
      </c>
      <c r="BH149" s="225">
        <v>0.39500000000000002</v>
      </c>
      <c r="BI149" s="225">
        <v>0.41578947368421054</v>
      </c>
      <c r="BJ149" s="257">
        <f t="shared" si="125"/>
        <v>1900</v>
      </c>
      <c r="BK149" s="257">
        <v>801</v>
      </c>
      <c r="BL149" s="225">
        <f t="shared" si="101"/>
        <v>0.40050000000000002</v>
      </c>
      <c r="BM149" s="225">
        <f t="shared" si="136"/>
        <v>0.42157894736842105</v>
      </c>
      <c r="BN149" s="205">
        <f t="shared" si="119"/>
        <v>801</v>
      </c>
      <c r="BO149" s="205"/>
      <c r="BP149" s="227"/>
      <c r="BQ149" s="224">
        <f t="shared" si="137"/>
        <v>0</v>
      </c>
      <c r="BR149" s="227"/>
      <c r="BS149" s="224">
        <f t="shared" si="120"/>
        <v>0</v>
      </c>
      <c r="BT149" s="227"/>
      <c r="BU149" s="224">
        <f t="shared" si="126"/>
        <v>0</v>
      </c>
      <c r="BV149" s="227"/>
      <c r="BW149" s="224">
        <f t="shared" si="128"/>
        <v>0</v>
      </c>
      <c r="BX149" s="227">
        <v>1200</v>
      </c>
      <c r="BY149" s="224">
        <f t="shared" si="129"/>
        <v>0.6</v>
      </c>
      <c r="BZ149" s="227">
        <v>1200</v>
      </c>
      <c r="CA149" s="224">
        <f t="shared" si="130"/>
        <v>0.6</v>
      </c>
      <c r="CB149" s="227">
        <v>1500</v>
      </c>
      <c r="CC149" s="224">
        <f t="shared" si="131"/>
        <v>0.75</v>
      </c>
      <c r="CD149" s="227">
        <v>1700</v>
      </c>
      <c r="CE149" s="224">
        <f t="shared" si="131"/>
        <v>0.85</v>
      </c>
      <c r="CF149" s="227">
        <v>1900</v>
      </c>
      <c r="CG149" s="224">
        <f t="shared" si="121"/>
        <v>0.95</v>
      </c>
      <c r="CH149" s="227">
        <v>1900</v>
      </c>
      <c r="CI149" s="224">
        <f t="shared" si="122"/>
        <v>0.95</v>
      </c>
      <c r="CJ149" s="227">
        <v>1900</v>
      </c>
      <c r="CK149" s="224">
        <f t="shared" si="132"/>
        <v>0.95</v>
      </c>
      <c r="CL149" s="227">
        <v>1900</v>
      </c>
      <c r="CM149" s="224">
        <f t="shared" si="134"/>
        <v>0.95</v>
      </c>
      <c r="CN149" s="227">
        <v>1900</v>
      </c>
      <c r="CO149" s="224">
        <f t="shared" si="135"/>
        <v>0.95</v>
      </c>
      <c r="CP149" s="213" t="str">
        <f t="shared" si="138"/>
        <v>Đạt</v>
      </c>
      <c r="CQ149" s="213" t="str">
        <f t="shared" si="139"/>
        <v>Không đạt</v>
      </c>
      <c r="CR149" s="192"/>
      <c r="CS149" s="192"/>
      <c r="CT149" s="223"/>
      <c r="CU149" s="163"/>
      <c r="CW149" s="195"/>
      <c r="CX149" s="196"/>
      <c r="CY149" s="196"/>
      <c r="CZ149" s="197"/>
      <c r="DA149" s="196"/>
      <c r="DB149" s="196"/>
      <c r="DC149" s="196"/>
      <c r="DE149" s="199"/>
      <c r="DF149" s="200"/>
      <c r="DG149" s="181"/>
    </row>
    <row r="150" spans="1:111" ht="51" outlineLevel="1" x14ac:dyDescent="0.25">
      <c r="A150" s="192">
        <f>MAX(A$148:$B149)+1</f>
        <v>2</v>
      </c>
      <c r="B150" s="222" t="s">
        <v>304</v>
      </c>
      <c r="C150" s="222">
        <v>7519781</v>
      </c>
      <c r="D150" s="214">
        <f t="shared" si="117"/>
        <v>100</v>
      </c>
      <c r="E150" s="205"/>
      <c r="F150" s="214">
        <f t="shared" si="142"/>
        <v>100</v>
      </c>
      <c r="G150" s="260"/>
      <c r="H150" s="257">
        <v>100</v>
      </c>
      <c r="I150" s="235"/>
      <c r="J150" s="235"/>
      <c r="K150" s="223"/>
      <c r="L150" s="235"/>
      <c r="M150" s="223"/>
      <c r="N150" s="223"/>
      <c r="O150" s="257">
        <f t="shared" si="87"/>
        <v>0</v>
      </c>
      <c r="P150" s="257">
        <v>0</v>
      </c>
      <c r="Q150" s="224">
        <f t="shared" si="124"/>
        <v>0</v>
      </c>
      <c r="R150" s="257"/>
      <c r="S150" s="225">
        <v>0</v>
      </c>
      <c r="T150" s="225">
        <v>0</v>
      </c>
      <c r="U150" s="257"/>
      <c r="V150" s="225">
        <v>0</v>
      </c>
      <c r="W150" s="225">
        <v>0</v>
      </c>
      <c r="X150" s="257"/>
      <c r="Y150" s="225">
        <v>0</v>
      </c>
      <c r="Z150" s="225">
        <v>0</v>
      </c>
      <c r="AA150" s="257"/>
      <c r="AB150" s="225">
        <v>0</v>
      </c>
      <c r="AC150" s="225">
        <v>0</v>
      </c>
      <c r="AD150" s="257"/>
      <c r="AE150" s="225">
        <v>0</v>
      </c>
      <c r="AF150" s="225">
        <v>0</v>
      </c>
      <c r="AG150" s="257"/>
      <c r="AH150" s="225">
        <v>0</v>
      </c>
      <c r="AI150" s="225">
        <v>0</v>
      </c>
      <c r="AJ150" s="257"/>
      <c r="AK150" s="225">
        <v>0</v>
      </c>
      <c r="AL150" s="225">
        <v>0</v>
      </c>
      <c r="AM150" s="257"/>
      <c r="AN150" s="225">
        <v>0</v>
      </c>
      <c r="AO150" s="225">
        <v>0</v>
      </c>
      <c r="AP150" s="225"/>
      <c r="AQ150" s="257"/>
      <c r="AR150" s="225">
        <v>0</v>
      </c>
      <c r="AS150" s="225">
        <v>0</v>
      </c>
      <c r="AT150" s="257"/>
      <c r="AU150" s="225">
        <v>0</v>
      </c>
      <c r="AV150" s="225">
        <v>0</v>
      </c>
      <c r="AW150" s="257"/>
      <c r="AX150" s="225">
        <v>0</v>
      </c>
      <c r="AY150" s="225">
        <v>0</v>
      </c>
      <c r="AZ150" s="257"/>
      <c r="BA150" s="225">
        <v>0</v>
      </c>
      <c r="BB150" s="225">
        <v>0</v>
      </c>
      <c r="BC150" s="257">
        <v>17</v>
      </c>
      <c r="BD150" s="225">
        <v>0.17</v>
      </c>
      <c r="BE150" s="225">
        <v>0.17894736842105263</v>
      </c>
      <c r="BF150" s="257">
        <v>17</v>
      </c>
      <c r="BG150" s="257">
        <v>17</v>
      </c>
      <c r="BH150" s="225">
        <v>0.17</v>
      </c>
      <c r="BI150" s="225">
        <v>0.17894736842105263</v>
      </c>
      <c r="BJ150" s="257">
        <f t="shared" si="125"/>
        <v>95</v>
      </c>
      <c r="BK150" s="257">
        <v>17</v>
      </c>
      <c r="BL150" s="225">
        <f t="shared" si="101"/>
        <v>0.17</v>
      </c>
      <c r="BM150" s="225">
        <f t="shared" si="136"/>
        <v>0.17894736842105263</v>
      </c>
      <c r="BN150" s="205">
        <f t="shared" si="119"/>
        <v>17</v>
      </c>
      <c r="BO150" s="205"/>
      <c r="BP150" s="227"/>
      <c r="BQ150" s="224">
        <f t="shared" si="137"/>
        <v>0</v>
      </c>
      <c r="BR150" s="227"/>
      <c r="BS150" s="224">
        <f t="shared" si="120"/>
        <v>0</v>
      </c>
      <c r="BT150" s="227"/>
      <c r="BU150" s="224">
        <f t="shared" si="126"/>
        <v>0</v>
      </c>
      <c r="BV150" s="227"/>
      <c r="BW150" s="224">
        <f t="shared" si="128"/>
        <v>0</v>
      </c>
      <c r="BX150" s="227">
        <v>30</v>
      </c>
      <c r="BY150" s="224">
        <f t="shared" si="129"/>
        <v>0.3</v>
      </c>
      <c r="BZ150" s="227">
        <v>45</v>
      </c>
      <c r="CA150" s="224">
        <f t="shared" si="130"/>
        <v>0.45</v>
      </c>
      <c r="CB150" s="227">
        <v>95</v>
      </c>
      <c r="CC150" s="224">
        <f t="shared" si="131"/>
        <v>0.95</v>
      </c>
      <c r="CD150" s="227">
        <v>95</v>
      </c>
      <c r="CE150" s="224">
        <f t="shared" si="131"/>
        <v>0.95</v>
      </c>
      <c r="CF150" s="227">
        <v>95</v>
      </c>
      <c r="CG150" s="224">
        <f t="shared" si="121"/>
        <v>0.95</v>
      </c>
      <c r="CH150" s="227">
        <v>95</v>
      </c>
      <c r="CI150" s="224">
        <f t="shared" si="122"/>
        <v>0.95</v>
      </c>
      <c r="CJ150" s="227">
        <v>95</v>
      </c>
      <c r="CK150" s="224">
        <f t="shared" si="132"/>
        <v>0.95</v>
      </c>
      <c r="CL150" s="227">
        <v>95</v>
      </c>
      <c r="CM150" s="224">
        <f t="shared" si="134"/>
        <v>0.95</v>
      </c>
      <c r="CN150" s="227">
        <v>95</v>
      </c>
      <c r="CO150" s="224">
        <f t="shared" si="135"/>
        <v>0.95</v>
      </c>
      <c r="CP150" s="213" t="str">
        <f t="shared" si="138"/>
        <v>Không đạt</v>
      </c>
      <c r="CQ150" s="213" t="str">
        <f t="shared" si="139"/>
        <v>Không đạt</v>
      </c>
      <c r="CR150" s="192"/>
      <c r="CS150" s="192"/>
      <c r="CT150" s="223"/>
      <c r="CU150" s="163"/>
      <c r="CW150" s="195"/>
      <c r="CX150" s="196"/>
      <c r="CY150" s="196"/>
      <c r="CZ150" s="197"/>
      <c r="DA150" s="196"/>
      <c r="DB150" s="196"/>
      <c r="DC150" s="196"/>
      <c r="DE150" s="199"/>
      <c r="DF150" s="200"/>
      <c r="DG150" s="181"/>
    </row>
    <row r="151" spans="1:111" outlineLevel="1" x14ac:dyDescent="0.25">
      <c r="A151" s="192">
        <f>MAX(A$148:$B150)+1</f>
        <v>3</v>
      </c>
      <c r="B151" s="222" t="s">
        <v>305</v>
      </c>
      <c r="C151" s="222">
        <v>7638395</v>
      </c>
      <c r="D151" s="214">
        <f t="shared" si="117"/>
        <v>8000</v>
      </c>
      <c r="E151" s="205"/>
      <c r="F151" s="214">
        <f t="shared" si="142"/>
        <v>8000</v>
      </c>
      <c r="G151" s="260"/>
      <c r="H151" s="257">
        <v>8000</v>
      </c>
      <c r="I151" s="235"/>
      <c r="J151" s="235"/>
      <c r="K151" s="223"/>
      <c r="L151" s="235"/>
      <c r="M151" s="223"/>
      <c r="N151" s="223"/>
      <c r="O151" s="257">
        <f t="shared" si="87"/>
        <v>0</v>
      </c>
      <c r="P151" s="257">
        <v>0</v>
      </c>
      <c r="Q151" s="224">
        <f t="shared" si="124"/>
        <v>0</v>
      </c>
      <c r="R151" s="257"/>
      <c r="S151" s="225">
        <v>0</v>
      </c>
      <c r="T151" s="225">
        <v>0</v>
      </c>
      <c r="U151" s="257"/>
      <c r="V151" s="225">
        <v>0</v>
      </c>
      <c r="W151" s="225">
        <v>0</v>
      </c>
      <c r="X151" s="257"/>
      <c r="Y151" s="225">
        <v>0</v>
      </c>
      <c r="Z151" s="225">
        <v>0</v>
      </c>
      <c r="AA151" s="257"/>
      <c r="AB151" s="225">
        <v>0</v>
      </c>
      <c r="AC151" s="225">
        <v>0</v>
      </c>
      <c r="AD151" s="257"/>
      <c r="AE151" s="225">
        <v>0</v>
      </c>
      <c r="AF151" s="225">
        <v>0</v>
      </c>
      <c r="AG151" s="257"/>
      <c r="AH151" s="225">
        <v>0</v>
      </c>
      <c r="AI151" s="225">
        <v>0</v>
      </c>
      <c r="AJ151" s="257"/>
      <c r="AK151" s="225">
        <v>0</v>
      </c>
      <c r="AL151" s="225">
        <v>0</v>
      </c>
      <c r="AM151" s="257"/>
      <c r="AN151" s="225">
        <v>0</v>
      </c>
      <c r="AO151" s="225">
        <v>0</v>
      </c>
      <c r="AP151" s="225"/>
      <c r="AQ151" s="257"/>
      <c r="AR151" s="225">
        <v>0</v>
      </c>
      <c r="AS151" s="225">
        <v>0</v>
      </c>
      <c r="AT151" s="257"/>
      <c r="AU151" s="225">
        <v>0</v>
      </c>
      <c r="AV151" s="225">
        <v>0</v>
      </c>
      <c r="AW151" s="257"/>
      <c r="AX151" s="225">
        <v>0</v>
      </c>
      <c r="AY151" s="225">
        <v>0</v>
      </c>
      <c r="AZ151" s="257"/>
      <c r="BA151" s="225">
        <v>0</v>
      </c>
      <c r="BB151" s="225">
        <v>0</v>
      </c>
      <c r="BC151" s="257"/>
      <c r="BD151" s="225">
        <v>0</v>
      </c>
      <c r="BE151" s="225">
        <v>0</v>
      </c>
      <c r="BF151" s="257"/>
      <c r="BG151" s="257"/>
      <c r="BH151" s="225">
        <v>0</v>
      </c>
      <c r="BI151" s="225">
        <v>0</v>
      </c>
      <c r="BJ151" s="257">
        <f t="shared" si="125"/>
        <v>7600</v>
      </c>
      <c r="BK151" s="257"/>
      <c r="BL151" s="225">
        <f t="shared" si="101"/>
        <v>0</v>
      </c>
      <c r="BM151" s="225">
        <f t="shared" si="136"/>
        <v>0</v>
      </c>
      <c r="BN151" s="205">
        <f t="shared" si="119"/>
        <v>0</v>
      </c>
      <c r="BO151" s="205"/>
      <c r="BP151" s="227"/>
      <c r="BQ151" s="224">
        <f t="shared" si="137"/>
        <v>0</v>
      </c>
      <c r="BR151" s="227"/>
      <c r="BS151" s="224">
        <f t="shared" si="120"/>
        <v>0</v>
      </c>
      <c r="BT151" s="227"/>
      <c r="BU151" s="224">
        <f t="shared" si="126"/>
        <v>0</v>
      </c>
      <c r="BV151" s="227"/>
      <c r="BW151" s="224">
        <f t="shared" si="128"/>
        <v>0</v>
      </c>
      <c r="BX151" s="227"/>
      <c r="BY151" s="224">
        <f t="shared" si="129"/>
        <v>0</v>
      </c>
      <c r="BZ151" s="227">
        <v>2000</v>
      </c>
      <c r="CA151" s="224">
        <f t="shared" si="130"/>
        <v>0.25</v>
      </c>
      <c r="CB151" s="227">
        <v>2000</v>
      </c>
      <c r="CC151" s="224">
        <f t="shared" si="131"/>
        <v>0.25</v>
      </c>
      <c r="CD151" s="227">
        <v>3000</v>
      </c>
      <c r="CE151" s="224">
        <f t="shared" si="131"/>
        <v>0.375</v>
      </c>
      <c r="CF151" s="227">
        <v>3000</v>
      </c>
      <c r="CG151" s="224">
        <f t="shared" si="121"/>
        <v>0.375</v>
      </c>
      <c r="CH151" s="227">
        <v>5000</v>
      </c>
      <c r="CI151" s="224">
        <f t="shared" si="122"/>
        <v>0.625</v>
      </c>
      <c r="CJ151" s="227">
        <v>7000</v>
      </c>
      <c r="CK151" s="224">
        <f t="shared" si="132"/>
        <v>0.875</v>
      </c>
      <c r="CL151" s="227">
        <v>7600</v>
      </c>
      <c r="CM151" s="224">
        <f t="shared" si="134"/>
        <v>0.95</v>
      </c>
      <c r="CN151" s="227">
        <v>7600</v>
      </c>
      <c r="CO151" s="224">
        <f t="shared" si="135"/>
        <v>0.95</v>
      </c>
      <c r="CP151" s="213" t="str">
        <f t="shared" si="138"/>
        <v>Không đạt</v>
      </c>
      <c r="CQ151" s="213" t="str">
        <f t="shared" si="139"/>
        <v>Không đạt</v>
      </c>
      <c r="CR151" s="192"/>
      <c r="CS151" s="192"/>
      <c r="CT151" s="223"/>
      <c r="CU151" s="163"/>
      <c r="CW151" s="195"/>
      <c r="CX151" s="196"/>
      <c r="CY151" s="196"/>
      <c r="CZ151" s="197"/>
      <c r="DA151" s="196"/>
      <c r="DB151" s="196"/>
      <c r="DC151" s="196"/>
      <c r="DE151" s="199"/>
      <c r="DF151" s="200"/>
      <c r="DG151" s="181"/>
    </row>
    <row r="152" spans="1:111" ht="25.5" outlineLevel="1" x14ac:dyDescent="0.25">
      <c r="A152" s="192">
        <f>MAX(A$148:$B151)+1</f>
        <v>4</v>
      </c>
      <c r="B152" s="222" t="s">
        <v>306</v>
      </c>
      <c r="C152" s="222">
        <v>7620905</v>
      </c>
      <c r="D152" s="214">
        <f t="shared" si="117"/>
        <v>20000</v>
      </c>
      <c r="E152" s="205"/>
      <c r="F152" s="214">
        <f t="shared" si="142"/>
        <v>20000</v>
      </c>
      <c r="G152" s="260"/>
      <c r="H152" s="257">
        <v>20000</v>
      </c>
      <c r="I152" s="235"/>
      <c r="J152" s="235"/>
      <c r="K152" s="223"/>
      <c r="L152" s="235"/>
      <c r="M152" s="223"/>
      <c r="N152" s="223"/>
      <c r="O152" s="257">
        <f t="shared" si="87"/>
        <v>0</v>
      </c>
      <c r="P152" s="257">
        <v>0</v>
      </c>
      <c r="Q152" s="224">
        <f t="shared" si="124"/>
        <v>0</v>
      </c>
      <c r="R152" s="257"/>
      <c r="S152" s="225">
        <v>0</v>
      </c>
      <c r="T152" s="225">
        <v>0</v>
      </c>
      <c r="U152" s="257"/>
      <c r="V152" s="225">
        <v>0</v>
      </c>
      <c r="W152" s="225">
        <v>0</v>
      </c>
      <c r="X152" s="257"/>
      <c r="Y152" s="225">
        <v>0</v>
      </c>
      <c r="Z152" s="225">
        <v>0</v>
      </c>
      <c r="AA152" s="257"/>
      <c r="AB152" s="225">
        <v>0</v>
      </c>
      <c r="AC152" s="225">
        <v>0</v>
      </c>
      <c r="AD152" s="257"/>
      <c r="AE152" s="225">
        <v>0</v>
      </c>
      <c r="AF152" s="225">
        <v>0</v>
      </c>
      <c r="AG152" s="257"/>
      <c r="AH152" s="225">
        <v>0</v>
      </c>
      <c r="AI152" s="225">
        <v>0</v>
      </c>
      <c r="AJ152" s="257"/>
      <c r="AK152" s="225">
        <v>0</v>
      </c>
      <c r="AL152" s="225">
        <v>0</v>
      </c>
      <c r="AM152" s="257"/>
      <c r="AN152" s="225">
        <v>0</v>
      </c>
      <c r="AO152" s="225">
        <v>0</v>
      </c>
      <c r="AP152" s="225"/>
      <c r="AQ152" s="257"/>
      <c r="AR152" s="225">
        <v>0</v>
      </c>
      <c r="AS152" s="225">
        <v>0</v>
      </c>
      <c r="AT152" s="257"/>
      <c r="AU152" s="225">
        <v>0</v>
      </c>
      <c r="AV152" s="225">
        <v>0</v>
      </c>
      <c r="AW152" s="257"/>
      <c r="AX152" s="225">
        <v>0</v>
      </c>
      <c r="AY152" s="225">
        <v>0</v>
      </c>
      <c r="AZ152" s="257"/>
      <c r="BA152" s="225">
        <v>0</v>
      </c>
      <c r="BB152" s="225">
        <v>0</v>
      </c>
      <c r="BC152" s="257"/>
      <c r="BD152" s="225">
        <v>0</v>
      </c>
      <c r="BE152" s="225">
        <v>0</v>
      </c>
      <c r="BF152" s="257">
        <v>4140.259</v>
      </c>
      <c r="BG152" s="257">
        <v>4140.259</v>
      </c>
      <c r="BH152" s="225">
        <v>0.20701295</v>
      </c>
      <c r="BI152" s="225">
        <v>0.21790836842105263</v>
      </c>
      <c r="BJ152" s="257">
        <f t="shared" si="125"/>
        <v>19000</v>
      </c>
      <c r="BK152" s="257">
        <v>4140.259</v>
      </c>
      <c r="BL152" s="225">
        <f t="shared" si="101"/>
        <v>0.20701295</v>
      </c>
      <c r="BM152" s="225">
        <f t="shared" si="136"/>
        <v>0.21790836842105263</v>
      </c>
      <c r="BN152" s="205">
        <f t="shared" si="119"/>
        <v>4140.259</v>
      </c>
      <c r="BO152" s="205"/>
      <c r="BP152" s="227"/>
      <c r="BQ152" s="224">
        <f t="shared" si="137"/>
        <v>0</v>
      </c>
      <c r="BR152" s="227"/>
      <c r="BS152" s="224">
        <f t="shared" si="120"/>
        <v>0</v>
      </c>
      <c r="BT152" s="227"/>
      <c r="BU152" s="224">
        <f t="shared" si="126"/>
        <v>0</v>
      </c>
      <c r="BV152" s="227"/>
      <c r="BW152" s="224">
        <f t="shared" si="128"/>
        <v>0</v>
      </c>
      <c r="BX152" s="227">
        <v>8500</v>
      </c>
      <c r="BY152" s="224">
        <f t="shared" si="129"/>
        <v>0.42499999999999999</v>
      </c>
      <c r="BZ152" s="227">
        <v>8500</v>
      </c>
      <c r="CA152" s="224">
        <f t="shared" si="130"/>
        <v>0.42499999999999999</v>
      </c>
      <c r="CB152" s="227">
        <v>10000</v>
      </c>
      <c r="CC152" s="224">
        <f t="shared" si="131"/>
        <v>0.5</v>
      </c>
      <c r="CD152" s="227">
        <v>12000</v>
      </c>
      <c r="CE152" s="224">
        <f t="shared" si="131"/>
        <v>0.6</v>
      </c>
      <c r="CF152" s="227">
        <v>14000</v>
      </c>
      <c r="CG152" s="224">
        <f t="shared" si="121"/>
        <v>0.7</v>
      </c>
      <c r="CH152" s="227">
        <v>16000</v>
      </c>
      <c r="CI152" s="224">
        <f t="shared" si="122"/>
        <v>0.8</v>
      </c>
      <c r="CJ152" s="227">
        <v>18000</v>
      </c>
      <c r="CK152" s="224">
        <f t="shared" si="132"/>
        <v>0.9</v>
      </c>
      <c r="CL152" s="227">
        <v>19000</v>
      </c>
      <c r="CM152" s="224">
        <f t="shared" si="134"/>
        <v>0.95</v>
      </c>
      <c r="CN152" s="227">
        <v>19000</v>
      </c>
      <c r="CO152" s="224">
        <f t="shared" si="135"/>
        <v>0.95</v>
      </c>
      <c r="CP152" s="213" t="str">
        <f t="shared" si="138"/>
        <v>Không đạt</v>
      </c>
      <c r="CQ152" s="213" t="str">
        <f t="shared" si="139"/>
        <v>Không đạt</v>
      </c>
      <c r="CR152" s="192"/>
      <c r="CS152" s="192"/>
      <c r="CT152" s="223"/>
      <c r="CU152" s="163"/>
      <c r="CW152" s="195"/>
      <c r="CX152" s="196"/>
      <c r="CY152" s="196"/>
      <c r="CZ152" s="197"/>
      <c r="DA152" s="196"/>
      <c r="DB152" s="196"/>
      <c r="DC152" s="196"/>
      <c r="DE152" s="199"/>
      <c r="DF152" s="200"/>
      <c r="DG152" s="181"/>
    </row>
    <row r="153" spans="1:111" outlineLevel="1" x14ac:dyDescent="0.25">
      <c r="A153" s="192">
        <f>MAX(A$148:$B152)+1</f>
        <v>5</v>
      </c>
      <c r="B153" s="222" t="s">
        <v>307</v>
      </c>
      <c r="C153" s="222" t="s">
        <v>308</v>
      </c>
      <c r="D153" s="214">
        <f t="shared" si="117"/>
        <v>10000</v>
      </c>
      <c r="E153" s="205"/>
      <c r="F153" s="214">
        <f t="shared" si="142"/>
        <v>10000</v>
      </c>
      <c r="G153" s="260"/>
      <c r="H153" s="257">
        <v>10000</v>
      </c>
      <c r="I153" s="235"/>
      <c r="J153" s="235"/>
      <c r="K153" s="223"/>
      <c r="L153" s="235"/>
      <c r="M153" s="223"/>
      <c r="N153" s="223"/>
      <c r="O153" s="257">
        <f t="shared" si="87"/>
        <v>0</v>
      </c>
      <c r="P153" s="257">
        <v>0</v>
      </c>
      <c r="Q153" s="224">
        <f t="shared" si="124"/>
        <v>0</v>
      </c>
      <c r="R153" s="257"/>
      <c r="S153" s="225">
        <v>0</v>
      </c>
      <c r="T153" s="225">
        <v>0</v>
      </c>
      <c r="U153" s="257"/>
      <c r="V153" s="225">
        <v>0</v>
      </c>
      <c r="W153" s="225">
        <v>0</v>
      </c>
      <c r="X153" s="257"/>
      <c r="Y153" s="225">
        <v>0</v>
      </c>
      <c r="Z153" s="225">
        <v>0</v>
      </c>
      <c r="AA153" s="257"/>
      <c r="AB153" s="225">
        <v>0</v>
      </c>
      <c r="AC153" s="225">
        <v>0</v>
      </c>
      <c r="AD153" s="257"/>
      <c r="AE153" s="225">
        <v>0</v>
      </c>
      <c r="AF153" s="225">
        <v>0</v>
      </c>
      <c r="AG153" s="257"/>
      <c r="AH153" s="225">
        <v>0</v>
      </c>
      <c r="AI153" s="225">
        <v>0</v>
      </c>
      <c r="AJ153" s="257"/>
      <c r="AK153" s="225">
        <v>0</v>
      </c>
      <c r="AL153" s="225">
        <v>0</v>
      </c>
      <c r="AM153" s="257"/>
      <c r="AN153" s="225">
        <v>0</v>
      </c>
      <c r="AO153" s="225">
        <v>0</v>
      </c>
      <c r="AP153" s="225"/>
      <c r="AQ153" s="257"/>
      <c r="AR153" s="225">
        <v>0</v>
      </c>
      <c r="AS153" s="225">
        <v>0</v>
      </c>
      <c r="AT153" s="257"/>
      <c r="AU153" s="225">
        <v>0</v>
      </c>
      <c r="AV153" s="225">
        <v>0</v>
      </c>
      <c r="AW153" s="257"/>
      <c r="AX153" s="225">
        <v>0</v>
      </c>
      <c r="AY153" s="225">
        <v>0</v>
      </c>
      <c r="AZ153" s="257"/>
      <c r="BA153" s="225">
        <v>0</v>
      </c>
      <c r="BB153" s="225">
        <v>0</v>
      </c>
      <c r="BC153" s="257"/>
      <c r="BD153" s="225">
        <v>0</v>
      </c>
      <c r="BE153" s="225">
        <v>0</v>
      </c>
      <c r="BF153" s="257"/>
      <c r="BG153" s="257"/>
      <c r="BH153" s="225">
        <v>0</v>
      </c>
      <c r="BI153" s="225">
        <v>0</v>
      </c>
      <c r="BJ153" s="257">
        <f t="shared" si="125"/>
        <v>9500</v>
      </c>
      <c r="BK153" s="257"/>
      <c r="BL153" s="225">
        <f t="shared" si="101"/>
        <v>0</v>
      </c>
      <c r="BM153" s="225">
        <f t="shared" si="136"/>
        <v>0</v>
      </c>
      <c r="BN153" s="205">
        <f t="shared" si="119"/>
        <v>0</v>
      </c>
      <c r="BO153" s="205"/>
      <c r="BP153" s="227"/>
      <c r="BQ153" s="224">
        <f t="shared" si="137"/>
        <v>0</v>
      </c>
      <c r="BR153" s="227"/>
      <c r="BS153" s="224">
        <f t="shared" si="120"/>
        <v>0</v>
      </c>
      <c r="BT153" s="227"/>
      <c r="BU153" s="224">
        <f t="shared" si="126"/>
        <v>0</v>
      </c>
      <c r="BV153" s="227"/>
      <c r="BW153" s="224">
        <f t="shared" si="128"/>
        <v>0</v>
      </c>
      <c r="BX153" s="227"/>
      <c r="BY153" s="224">
        <f t="shared" si="129"/>
        <v>0</v>
      </c>
      <c r="BZ153" s="227"/>
      <c r="CA153" s="224">
        <f t="shared" si="130"/>
        <v>0</v>
      </c>
      <c r="CB153" s="227">
        <v>1000</v>
      </c>
      <c r="CC153" s="224">
        <f t="shared" si="131"/>
        <v>0.1</v>
      </c>
      <c r="CD153" s="227">
        <f>CB153</f>
        <v>1000</v>
      </c>
      <c r="CE153" s="224">
        <f t="shared" si="131"/>
        <v>0.1</v>
      </c>
      <c r="CF153" s="227">
        <f>CD153</f>
        <v>1000</v>
      </c>
      <c r="CG153" s="224">
        <f t="shared" si="121"/>
        <v>0.1</v>
      </c>
      <c r="CH153" s="227">
        <v>6000</v>
      </c>
      <c r="CI153" s="224">
        <f t="shared" si="122"/>
        <v>0.6</v>
      </c>
      <c r="CJ153" s="227">
        <f>CH153</f>
        <v>6000</v>
      </c>
      <c r="CK153" s="224">
        <f t="shared" si="132"/>
        <v>0.6</v>
      </c>
      <c r="CL153" s="227">
        <v>9500</v>
      </c>
      <c r="CM153" s="224">
        <f t="shared" si="134"/>
        <v>0.95</v>
      </c>
      <c r="CN153" s="227">
        <v>9500</v>
      </c>
      <c r="CO153" s="224">
        <f t="shared" si="135"/>
        <v>0.95</v>
      </c>
      <c r="CP153" s="213" t="str">
        <f t="shared" si="138"/>
        <v>Không đạt</v>
      </c>
      <c r="CQ153" s="213" t="str">
        <f t="shared" si="139"/>
        <v>Không đạt</v>
      </c>
      <c r="CR153" s="192"/>
      <c r="CS153" s="192"/>
      <c r="CT153" s="223"/>
      <c r="CU153" s="163"/>
      <c r="CW153" s="195"/>
      <c r="CX153" s="196"/>
      <c r="CY153" s="196"/>
      <c r="CZ153" s="197"/>
      <c r="DA153" s="196"/>
      <c r="DB153" s="196"/>
      <c r="DC153" s="196"/>
      <c r="DE153" s="199"/>
      <c r="DF153" s="200"/>
      <c r="DG153" s="181"/>
    </row>
    <row r="154" spans="1:111" ht="25.5" outlineLevel="1" x14ac:dyDescent="0.25">
      <c r="A154" s="192">
        <f>MAX(A$148:$B153)+1</f>
        <v>6</v>
      </c>
      <c r="B154" s="222" t="s">
        <v>309</v>
      </c>
      <c r="C154" s="222">
        <v>0</v>
      </c>
      <c r="D154" s="214">
        <f t="shared" si="117"/>
        <v>5000</v>
      </c>
      <c r="E154" s="205"/>
      <c r="F154" s="214">
        <f t="shared" si="142"/>
        <v>5000</v>
      </c>
      <c r="G154" s="257"/>
      <c r="H154" s="257">
        <v>5000</v>
      </c>
      <c r="I154" s="235"/>
      <c r="J154" s="235"/>
      <c r="K154" s="223"/>
      <c r="L154" s="235"/>
      <c r="M154" s="223"/>
      <c r="N154" s="223"/>
      <c r="O154" s="257">
        <f t="shared" ref="O154:O205" si="143">G154+I154+L154+N154</f>
        <v>0</v>
      </c>
      <c r="P154" s="257">
        <v>0</v>
      </c>
      <c r="Q154" s="224">
        <f t="shared" si="124"/>
        <v>0</v>
      </c>
      <c r="R154" s="257"/>
      <c r="S154" s="225">
        <v>0</v>
      </c>
      <c r="T154" s="225">
        <v>0</v>
      </c>
      <c r="U154" s="257"/>
      <c r="V154" s="225">
        <v>0</v>
      </c>
      <c r="W154" s="225">
        <v>0</v>
      </c>
      <c r="X154" s="257"/>
      <c r="Y154" s="225">
        <v>0</v>
      </c>
      <c r="Z154" s="225">
        <v>0</v>
      </c>
      <c r="AA154" s="257"/>
      <c r="AB154" s="225">
        <v>0</v>
      </c>
      <c r="AC154" s="225">
        <v>0</v>
      </c>
      <c r="AD154" s="257"/>
      <c r="AE154" s="225">
        <v>0</v>
      </c>
      <c r="AF154" s="225">
        <v>0</v>
      </c>
      <c r="AG154" s="257"/>
      <c r="AH154" s="225">
        <v>0</v>
      </c>
      <c r="AI154" s="225">
        <v>0</v>
      </c>
      <c r="AJ154" s="257"/>
      <c r="AK154" s="225">
        <v>0</v>
      </c>
      <c r="AL154" s="225">
        <v>0</v>
      </c>
      <c r="AM154" s="257"/>
      <c r="AN154" s="225">
        <v>0</v>
      </c>
      <c r="AO154" s="225">
        <v>0</v>
      </c>
      <c r="AP154" s="225"/>
      <c r="AQ154" s="257"/>
      <c r="AR154" s="225">
        <v>0</v>
      </c>
      <c r="AS154" s="225">
        <v>0</v>
      </c>
      <c r="AT154" s="257"/>
      <c r="AU154" s="225">
        <v>0</v>
      </c>
      <c r="AV154" s="225">
        <v>0</v>
      </c>
      <c r="AW154" s="257"/>
      <c r="AX154" s="225">
        <v>0</v>
      </c>
      <c r="AY154" s="225">
        <v>0</v>
      </c>
      <c r="AZ154" s="257"/>
      <c r="BA154" s="225">
        <v>0</v>
      </c>
      <c r="BB154" s="225">
        <v>0</v>
      </c>
      <c r="BC154" s="257"/>
      <c r="BD154" s="225">
        <v>0</v>
      </c>
      <c r="BE154" s="225">
        <v>0</v>
      </c>
      <c r="BF154" s="257"/>
      <c r="BG154" s="257"/>
      <c r="BH154" s="225">
        <v>0</v>
      </c>
      <c r="BI154" s="225">
        <v>0</v>
      </c>
      <c r="BJ154" s="257">
        <f t="shared" si="125"/>
        <v>4750</v>
      </c>
      <c r="BK154" s="257"/>
      <c r="BL154" s="225">
        <f t="shared" si="101"/>
        <v>0</v>
      </c>
      <c r="BM154" s="225">
        <f t="shared" si="136"/>
        <v>0</v>
      </c>
      <c r="BN154" s="205">
        <f t="shared" si="119"/>
        <v>0</v>
      </c>
      <c r="BO154" s="205"/>
      <c r="BP154" s="227"/>
      <c r="BQ154" s="224">
        <f t="shared" si="137"/>
        <v>0</v>
      </c>
      <c r="BR154" s="227"/>
      <c r="BS154" s="224">
        <f t="shared" si="120"/>
        <v>0</v>
      </c>
      <c r="BT154" s="227"/>
      <c r="BU154" s="224">
        <f t="shared" si="126"/>
        <v>0</v>
      </c>
      <c r="BV154" s="227"/>
      <c r="BW154" s="224">
        <f t="shared" si="128"/>
        <v>0</v>
      </c>
      <c r="BX154" s="227">
        <v>1500</v>
      </c>
      <c r="BY154" s="224">
        <f t="shared" si="129"/>
        <v>0.3</v>
      </c>
      <c r="BZ154" s="227">
        <v>1500</v>
      </c>
      <c r="CA154" s="224">
        <f t="shared" si="130"/>
        <v>0.3</v>
      </c>
      <c r="CB154" s="227">
        <v>2000</v>
      </c>
      <c r="CC154" s="224">
        <f t="shared" si="131"/>
        <v>0.4</v>
      </c>
      <c r="CD154" s="227">
        <v>2000</v>
      </c>
      <c r="CE154" s="224">
        <f t="shared" si="131"/>
        <v>0.4</v>
      </c>
      <c r="CF154" s="227">
        <v>3000</v>
      </c>
      <c r="CG154" s="224">
        <f t="shared" si="121"/>
        <v>0.6</v>
      </c>
      <c r="CH154" s="227">
        <v>3000</v>
      </c>
      <c r="CI154" s="224">
        <f t="shared" si="122"/>
        <v>0.6</v>
      </c>
      <c r="CJ154" s="227">
        <v>3000</v>
      </c>
      <c r="CK154" s="224">
        <f t="shared" si="132"/>
        <v>0.6</v>
      </c>
      <c r="CL154" s="227">
        <v>4750</v>
      </c>
      <c r="CM154" s="224">
        <f t="shared" si="134"/>
        <v>0.95</v>
      </c>
      <c r="CN154" s="227">
        <v>4750</v>
      </c>
      <c r="CO154" s="224">
        <f t="shared" si="135"/>
        <v>0.95</v>
      </c>
      <c r="CP154" s="213" t="str">
        <f t="shared" si="138"/>
        <v>Không đạt</v>
      </c>
      <c r="CQ154" s="213" t="str">
        <f t="shared" si="139"/>
        <v>Không đạt</v>
      </c>
      <c r="CR154" s="192"/>
      <c r="CS154" s="192"/>
      <c r="CT154" s="223"/>
      <c r="CU154" s="163"/>
      <c r="CW154" s="195"/>
      <c r="CX154" s="196"/>
      <c r="CY154" s="196"/>
      <c r="CZ154" s="197"/>
      <c r="DA154" s="196"/>
      <c r="DB154" s="196"/>
      <c r="DC154" s="196"/>
      <c r="DE154" s="199"/>
      <c r="DF154" s="200"/>
      <c r="DG154" s="181"/>
    </row>
    <row r="155" spans="1:111" ht="38.25" outlineLevel="1" x14ac:dyDescent="0.25">
      <c r="A155" s="192">
        <f>MAX(A$148:$B154)+1</f>
        <v>7</v>
      </c>
      <c r="B155" s="222" t="s">
        <v>310</v>
      </c>
      <c r="C155" s="222"/>
      <c r="D155" s="214">
        <f t="shared" si="117"/>
        <v>5000</v>
      </c>
      <c r="E155" s="205"/>
      <c r="F155" s="214">
        <f t="shared" si="142"/>
        <v>5000</v>
      </c>
      <c r="G155" s="257"/>
      <c r="H155" s="257">
        <v>5000</v>
      </c>
      <c r="I155" s="235"/>
      <c r="J155" s="235"/>
      <c r="K155" s="223"/>
      <c r="L155" s="235"/>
      <c r="M155" s="223"/>
      <c r="N155" s="223"/>
      <c r="O155" s="257">
        <f t="shared" si="143"/>
        <v>0</v>
      </c>
      <c r="P155" s="257">
        <v>0</v>
      </c>
      <c r="Q155" s="224">
        <f t="shared" si="124"/>
        <v>0</v>
      </c>
      <c r="R155" s="257"/>
      <c r="S155" s="225">
        <v>0</v>
      </c>
      <c r="T155" s="225">
        <v>0</v>
      </c>
      <c r="U155" s="257"/>
      <c r="V155" s="225">
        <v>0</v>
      </c>
      <c r="W155" s="225">
        <v>0</v>
      </c>
      <c r="X155" s="257"/>
      <c r="Y155" s="225">
        <v>0</v>
      </c>
      <c r="Z155" s="225">
        <v>0</v>
      </c>
      <c r="AA155" s="257"/>
      <c r="AB155" s="225">
        <v>0</v>
      </c>
      <c r="AC155" s="225">
        <v>0</v>
      </c>
      <c r="AD155" s="257"/>
      <c r="AE155" s="225">
        <v>0</v>
      </c>
      <c r="AF155" s="225">
        <v>0</v>
      </c>
      <c r="AG155" s="257"/>
      <c r="AH155" s="225">
        <v>0</v>
      </c>
      <c r="AI155" s="225">
        <v>0</v>
      </c>
      <c r="AJ155" s="257"/>
      <c r="AK155" s="225">
        <v>0</v>
      </c>
      <c r="AL155" s="225">
        <v>0</v>
      </c>
      <c r="AM155" s="257"/>
      <c r="AN155" s="225">
        <v>0</v>
      </c>
      <c r="AO155" s="225">
        <v>0</v>
      </c>
      <c r="AP155" s="225"/>
      <c r="AQ155" s="257"/>
      <c r="AR155" s="225">
        <v>0</v>
      </c>
      <c r="AS155" s="225">
        <v>0</v>
      </c>
      <c r="AT155" s="257"/>
      <c r="AU155" s="225">
        <v>0</v>
      </c>
      <c r="AV155" s="225">
        <v>0</v>
      </c>
      <c r="AW155" s="257"/>
      <c r="AX155" s="225">
        <v>0</v>
      </c>
      <c r="AY155" s="225">
        <v>0</v>
      </c>
      <c r="AZ155" s="257"/>
      <c r="BA155" s="225">
        <v>0</v>
      </c>
      <c r="BB155" s="225">
        <v>0</v>
      </c>
      <c r="BC155" s="257"/>
      <c r="BD155" s="225">
        <v>0</v>
      </c>
      <c r="BE155" s="225">
        <v>0</v>
      </c>
      <c r="BF155" s="257"/>
      <c r="BG155" s="257"/>
      <c r="BH155" s="225">
        <v>0</v>
      </c>
      <c r="BI155" s="225">
        <v>0</v>
      </c>
      <c r="BJ155" s="257">
        <f t="shared" si="125"/>
        <v>4750</v>
      </c>
      <c r="BK155" s="257"/>
      <c r="BL155" s="225">
        <f t="shared" si="101"/>
        <v>0</v>
      </c>
      <c r="BM155" s="225">
        <f t="shared" si="136"/>
        <v>0</v>
      </c>
      <c r="BN155" s="205">
        <f t="shared" si="119"/>
        <v>0</v>
      </c>
      <c r="BO155" s="205"/>
      <c r="BP155" s="227"/>
      <c r="BQ155" s="224">
        <f t="shared" si="137"/>
        <v>0</v>
      </c>
      <c r="BR155" s="227"/>
      <c r="BS155" s="224">
        <f t="shared" si="120"/>
        <v>0</v>
      </c>
      <c r="BT155" s="227"/>
      <c r="BU155" s="224">
        <f t="shared" si="126"/>
        <v>0</v>
      </c>
      <c r="BV155" s="227"/>
      <c r="BW155" s="224">
        <f t="shared" si="128"/>
        <v>0</v>
      </c>
      <c r="BX155" s="227">
        <v>1500</v>
      </c>
      <c r="BY155" s="224">
        <f t="shared" si="129"/>
        <v>0.3</v>
      </c>
      <c r="BZ155" s="227">
        <v>1500</v>
      </c>
      <c r="CA155" s="224">
        <f t="shared" si="130"/>
        <v>0.3</v>
      </c>
      <c r="CB155" s="227">
        <v>2000</v>
      </c>
      <c r="CC155" s="224">
        <f t="shared" si="131"/>
        <v>0.4</v>
      </c>
      <c r="CD155" s="227">
        <v>2000</v>
      </c>
      <c r="CE155" s="224">
        <f t="shared" si="131"/>
        <v>0.4</v>
      </c>
      <c r="CF155" s="227">
        <v>3000</v>
      </c>
      <c r="CG155" s="224">
        <f t="shared" si="121"/>
        <v>0.6</v>
      </c>
      <c r="CH155" s="227">
        <v>3000</v>
      </c>
      <c r="CI155" s="224">
        <f t="shared" si="122"/>
        <v>0.6</v>
      </c>
      <c r="CJ155" s="227">
        <v>3000</v>
      </c>
      <c r="CK155" s="224">
        <f t="shared" si="132"/>
        <v>0.6</v>
      </c>
      <c r="CL155" s="227">
        <v>4750</v>
      </c>
      <c r="CM155" s="224">
        <f t="shared" si="134"/>
        <v>0.95</v>
      </c>
      <c r="CN155" s="227">
        <v>4750</v>
      </c>
      <c r="CO155" s="224">
        <f t="shared" si="135"/>
        <v>0.95</v>
      </c>
      <c r="CP155" s="213" t="str">
        <f t="shared" si="138"/>
        <v>Không đạt</v>
      </c>
      <c r="CQ155" s="213" t="str">
        <f t="shared" si="139"/>
        <v>Không đạt</v>
      </c>
      <c r="CR155" s="192"/>
      <c r="CS155" s="192"/>
      <c r="CT155" s="223"/>
      <c r="CU155" s="163"/>
      <c r="CW155" s="195"/>
      <c r="CX155" s="196"/>
      <c r="CY155" s="196"/>
      <c r="CZ155" s="197"/>
      <c r="DA155" s="196"/>
      <c r="DB155" s="196"/>
      <c r="DC155" s="196"/>
      <c r="DE155" s="199"/>
      <c r="DF155" s="200"/>
      <c r="DG155" s="181"/>
    </row>
    <row r="156" spans="1:111" ht="25.5" outlineLevel="1" x14ac:dyDescent="0.25">
      <c r="A156" s="192">
        <f>MAX(A$148:$B155)+1</f>
        <v>8</v>
      </c>
      <c r="B156" s="222" t="s">
        <v>311</v>
      </c>
      <c r="C156" s="222"/>
      <c r="D156" s="214">
        <f t="shared" si="117"/>
        <v>25000</v>
      </c>
      <c r="E156" s="205"/>
      <c r="F156" s="214">
        <f t="shared" si="142"/>
        <v>25000</v>
      </c>
      <c r="G156" s="257"/>
      <c r="H156" s="257">
        <v>25000</v>
      </c>
      <c r="I156" s="235"/>
      <c r="J156" s="235"/>
      <c r="K156" s="223"/>
      <c r="L156" s="235"/>
      <c r="M156" s="223"/>
      <c r="N156" s="223"/>
      <c r="O156" s="257">
        <f t="shared" si="143"/>
        <v>0</v>
      </c>
      <c r="P156" s="257">
        <v>0</v>
      </c>
      <c r="Q156" s="224">
        <f t="shared" si="124"/>
        <v>0</v>
      </c>
      <c r="R156" s="257"/>
      <c r="S156" s="225">
        <v>0</v>
      </c>
      <c r="T156" s="225">
        <v>0</v>
      </c>
      <c r="U156" s="257"/>
      <c r="V156" s="225">
        <v>0</v>
      </c>
      <c r="W156" s="225">
        <v>0</v>
      </c>
      <c r="X156" s="257"/>
      <c r="Y156" s="225">
        <v>0</v>
      </c>
      <c r="Z156" s="225">
        <v>0</v>
      </c>
      <c r="AA156" s="257"/>
      <c r="AB156" s="225">
        <v>0</v>
      </c>
      <c r="AC156" s="225">
        <v>0</v>
      </c>
      <c r="AD156" s="257"/>
      <c r="AE156" s="225">
        <v>0</v>
      </c>
      <c r="AF156" s="225">
        <v>0</v>
      </c>
      <c r="AG156" s="257"/>
      <c r="AH156" s="225">
        <v>0</v>
      </c>
      <c r="AI156" s="225">
        <v>0</v>
      </c>
      <c r="AJ156" s="214"/>
      <c r="AK156" s="225">
        <v>0</v>
      </c>
      <c r="AL156" s="225">
        <v>0</v>
      </c>
      <c r="AM156" s="257"/>
      <c r="AN156" s="225">
        <v>0</v>
      </c>
      <c r="AO156" s="225">
        <v>0</v>
      </c>
      <c r="AP156" s="225"/>
      <c r="AQ156" s="257"/>
      <c r="AR156" s="225">
        <v>0</v>
      </c>
      <c r="AS156" s="225">
        <v>0</v>
      </c>
      <c r="AT156" s="257"/>
      <c r="AU156" s="225">
        <v>0</v>
      </c>
      <c r="AV156" s="225">
        <v>0</v>
      </c>
      <c r="AW156" s="257"/>
      <c r="AX156" s="225">
        <v>0</v>
      </c>
      <c r="AY156" s="225">
        <v>0</v>
      </c>
      <c r="AZ156" s="257"/>
      <c r="BA156" s="225">
        <v>0</v>
      </c>
      <c r="BB156" s="225">
        <v>0</v>
      </c>
      <c r="BC156" s="257"/>
      <c r="BD156" s="225">
        <v>0</v>
      </c>
      <c r="BE156" s="225">
        <v>0</v>
      </c>
      <c r="BF156" s="257"/>
      <c r="BG156" s="257"/>
      <c r="BH156" s="225">
        <v>0</v>
      </c>
      <c r="BI156" s="225">
        <v>0</v>
      </c>
      <c r="BJ156" s="257">
        <f t="shared" si="125"/>
        <v>23750</v>
      </c>
      <c r="BK156" s="257"/>
      <c r="BL156" s="225">
        <f t="shared" si="101"/>
        <v>0</v>
      </c>
      <c r="BM156" s="225">
        <f t="shared" si="136"/>
        <v>0</v>
      </c>
      <c r="BN156" s="205">
        <f t="shared" si="119"/>
        <v>0</v>
      </c>
      <c r="BO156" s="205"/>
      <c r="BP156" s="227"/>
      <c r="BQ156" s="224">
        <f t="shared" si="137"/>
        <v>0</v>
      </c>
      <c r="BR156" s="227"/>
      <c r="BS156" s="224">
        <f t="shared" si="120"/>
        <v>0</v>
      </c>
      <c r="BT156" s="227">
        <v>1187.5</v>
      </c>
      <c r="BU156" s="224">
        <f>BT156/$D156</f>
        <v>4.7500000000000001E-2</v>
      </c>
      <c r="BV156" s="227">
        <v>5937.5</v>
      </c>
      <c r="BW156" s="224">
        <f>BV156/$D156</f>
        <v>0.23749999999999999</v>
      </c>
      <c r="BX156" s="227">
        <v>9500</v>
      </c>
      <c r="BY156" s="224">
        <f>BX156/$D156</f>
        <v>0.38</v>
      </c>
      <c r="BZ156" s="227">
        <v>9500</v>
      </c>
      <c r="CA156" s="224">
        <f>BZ156/$D156</f>
        <v>0.38</v>
      </c>
      <c r="CB156" s="227">
        <v>14250</v>
      </c>
      <c r="CC156" s="224">
        <f>CB156/$D156</f>
        <v>0.56999999999999995</v>
      </c>
      <c r="CD156" s="227">
        <v>14250</v>
      </c>
      <c r="CE156" s="224">
        <f>CD156/$D156</f>
        <v>0.56999999999999995</v>
      </c>
      <c r="CF156" s="227">
        <v>19000</v>
      </c>
      <c r="CG156" s="224">
        <f t="shared" si="121"/>
        <v>0.76</v>
      </c>
      <c r="CH156" s="227">
        <v>19000</v>
      </c>
      <c r="CI156" s="224">
        <f t="shared" si="122"/>
        <v>0.76</v>
      </c>
      <c r="CJ156" s="227">
        <v>21375</v>
      </c>
      <c r="CK156" s="224">
        <f>CJ156/$D156</f>
        <v>0.85499999999999998</v>
      </c>
      <c r="CL156" s="227">
        <v>23750</v>
      </c>
      <c r="CM156" s="224">
        <f>CL156/$D156</f>
        <v>0.95</v>
      </c>
      <c r="CN156" s="227">
        <v>23750</v>
      </c>
      <c r="CO156" s="224">
        <f>CN156/$D156</f>
        <v>0.95</v>
      </c>
      <c r="CP156" s="213" t="str">
        <f t="shared" si="138"/>
        <v>Không đạt</v>
      </c>
      <c r="CQ156" s="213" t="str">
        <f t="shared" si="139"/>
        <v>Không đạt</v>
      </c>
      <c r="CR156" s="192"/>
      <c r="CS156" s="192"/>
      <c r="CT156" s="223"/>
      <c r="CU156" s="163"/>
      <c r="CW156" s="195"/>
      <c r="CX156" s="196"/>
      <c r="CY156" s="196"/>
      <c r="CZ156" s="197"/>
      <c r="DA156" s="196"/>
      <c r="DB156" s="196"/>
      <c r="DC156" s="196"/>
      <c r="DE156" s="199"/>
      <c r="DF156" s="200"/>
      <c r="DG156" s="181"/>
    </row>
    <row r="157" spans="1:111" outlineLevel="1" x14ac:dyDescent="0.25">
      <c r="A157" s="191" t="s">
        <v>29</v>
      </c>
      <c r="B157" s="210" t="s">
        <v>178</v>
      </c>
      <c r="C157" s="210"/>
      <c r="D157" s="214">
        <f t="shared" ref="D157:L157" si="144">D158+D188</f>
        <v>149700</v>
      </c>
      <c r="E157" s="214">
        <f t="shared" si="144"/>
        <v>0</v>
      </c>
      <c r="F157" s="214">
        <f t="shared" si="144"/>
        <v>149700</v>
      </c>
      <c r="G157" s="214">
        <f t="shared" si="144"/>
        <v>10000</v>
      </c>
      <c r="H157" s="214">
        <f t="shared" si="144"/>
        <v>139700</v>
      </c>
      <c r="I157" s="214">
        <f t="shared" si="144"/>
        <v>7759</v>
      </c>
      <c r="J157" s="214"/>
      <c r="K157" s="214">
        <f t="shared" si="144"/>
        <v>0</v>
      </c>
      <c r="L157" s="214">
        <f t="shared" si="144"/>
        <v>0</v>
      </c>
      <c r="M157" s="223"/>
      <c r="N157" s="223"/>
      <c r="O157" s="214">
        <f t="shared" si="143"/>
        <v>17759</v>
      </c>
      <c r="P157" s="214">
        <f>P158+P188</f>
        <v>11664.517748</v>
      </c>
      <c r="Q157" s="186">
        <f t="shared" si="124"/>
        <v>7.7919290233800939E-2</v>
      </c>
      <c r="R157" s="214">
        <v>12059.126445</v>
      </c>
      <c r="S157" s="185">
        <v>8.0555286873747495E-2</v>
      </c>
      <c r="T157" s="185">
        <v>8.4795038814471049E-2</v>
      </c>
      <c r="U157" s="214">
        <v>12416.316709999999</v>
      </c>
      <c r="V157" s="185">
        <v>8.2941327388109554E-2</v>
      </c>
      <c r="W157" s="185">
        <v>8.7306660408536366E-2</v>
      </c>
      <c r="X157" s="214">
        <v>12416.316709999999</v>
      </c>
      <c r="Y157" s="185">
        <v>8.2941327388109554E-2</v>
      </c>
      <c r="Z157" s="185">
        <v>8.7306660408536366E-2</v>
      </c>
      <c r="AA157" s="214">
        <v>12416.316709999999</v>
      </c>
      <c r="AB157" s="185">
        <v>8.2941327388109554E-2</v>
      </c>
      <c r="AC157" s="185">
        <v>8.7306660408536366E-2</v>
      </c>
      <c r="AD157" s="214">
        <v>12516.316709999999</v>
      </c>
      <c r="AE157" s="185">
        <v>8.3609330060120238E-2</v>
      </c>
      <c r="AF157" s="185">
        <v>8.8009821115916043E-2</v>
      </c>
      <c r="AG157" s="214">
        <v>14034.14471</v>
      </c>
      <c r="AH157" s="185">
        <v>9.3748461656646631E-2</v>
      </c>
      <c r="AI157" s="185">
        <v>9.8682591217522764E-2</v>
      </c>
      <c r="AJ157" s="214">
        <v>14034.14471</v>
      </c>
      <c r="AK157" s="185">
        <v>9.3748461656646631E-2</v>
      </c>
      <c r="AL157" s="185">
        <v>9.8682591217522764E-2</v>
      </c>
      <c r="AM157" s="214">
        <v>17048.984</v>
      </c>
      <c r="AN157" s="185">
        <v>0.11388766867067468</v>
      </c>
      <c r="AO157" s="185">
        <v>0.11988175649544704</v>
      </c>
      <c r="AP157" s="185"/>
      <c r="AQ157" s="214">
        <v>17257.156000000003</v>
      </c>
      <c r="AR157" s="185">
        <v>0.11527826319305279</v>
      </c>
      <c r="AS157" s="185">
        <v>0.12134554020321346</v>
      </c>
      <c r="AT157" s="214">
        <v>17257.156000000003</v>
      </c>
      <c r="AU157" s="185">
        <v>0.11527826319305279</v>
      </c>
      <c r="AV157" s="185">
        <v>0.12134554020321346</v>
      </c>
      <c r="AW157" s="214">
        <v>17257.156000000003</v>
      </c>
      <c r="AX157" s="185">
        <v>0.11527826319305279</v>
      </c>
      <c r="AY157" s="185">
        <v>0.12134554020321346</v>
      </c>
      <c r="AZ157" s="214">
        <v>17257.156000000003</v>
      </c>
      <c r="BA157" s="185">
        <v>0.11527826319305279</v>
      </c>
      <c r="BB157" s="185">
        <v>0.12134554020321346</v>
      </c>
      <c r="BC157" s="214">
        <v>17621.156000000003</v>
      </c>
      <c r="BD157" s="185">
        <v>0.11770979291917169</v>
      </c>
      <c r="BE157" s="185">
        <v>0.12390504517807546</v>
      </c>
      <c r="BF157" s="214"/>
      <c r="BG157" s="214">
        <v>33284.906999999992</v>
      </c>
      <c r="BH157" s="185">
        <v>0.2223440681362725</v>
      </c>
      <c r="BI157" s="185">
        <v>0.23404638751186577</v>
      </c>
      <c r="BJ157" s="214">
        <f t="shared" si="125"/>
        <v>142215</v>
      </c>
      <c r="BK157" s="214">
        <f>BK158+BK188</f>
        <v>33564.495999999999</v>
      </c>
      <c r="BL157" s="185">
        <f t="shared" si="101"/>
        <v>0.2242117301269205</v>
      </c>
      <c r="BM157" s="185">
        <f t="shared" si="136"/>
        <v>0.23601234750202157</v>
      </c>
      <c r="BN157" s="205">
        <f t="shared" si="119"/>
        <v>21048.17929</v>
      </c>
      <c r="BO157" s="205"/>
      <c r="BP157" s="189">
        <f>BP158+BP188</f>
        <v>2246</v>
      </c>
      <c r="BQ157" s="186">
        <f t="shared" si="137"/>
        <v>1.5003340013360053E-2</v>
      </c>
      <c r="BR157" s="189">
        <f>BR158+BR188</f>
        <v>2246</v>
      </c>
      <c r="BS157" s="186">
        <f t="shared" si="120"/>
        <v>1.5003340013360053E-2</v>
      </c>
      <c r="BT157" s="189">
        <f>BT158+BT188</f>
        <v>13016</v>
      </c>
      <c r="BU157" s="186">
        <f t="shared" si="126"/>
        <v>8.6947227788911161E-2</v>
      </c>
      <c r="BV157" s="189">
        <f>BV158+BV188</f>
        <v>21896</v>
      </c>
      <c r="BW157" s="186">
        <f t="shared" si="128"/>
        <v>0.14626586506346026</v>
      </c>
      <c r="BX157" s="189">
        <f>BX158+BX188</f>
        <v>30246</v>
      </c>
      <c r="BY157" s="186">
        <f t="shared" si="129"/>
        <v>0.20204408817635269</v>
      </c>
      <c r="BZ157" s="189">
        <f>BZ158+BZ188</f>
        <v>58959</v>
      </c>
      <c r="CA157" s="186">
        <f t="shared" si="130"/>
        <v>0.39384769539078157</v>
      </c>
      <c r="CB157" s="189">
        <f>CB158+CB188</f>
        <v>72596</v>
      </c>
      <c r="CC157" s="186">
        <f>CB157/$D157</f>
        <v>0.48494321977287907</v>
      </c>
      <c r="CD157" s="189">
        <f>CD158+CD188</f>
        <v>83821</v>
      </c>
      <c r="CE157" s="186">
        <f>CD157/$D157</f>
        <v>0.55992651970607887</v>
      </c>
      <c r="CF157" s="189">
        <f>CF158+CF188</f>
        <v>101211</v>
      </c>
      <c r="CG157" s="186">
        <f t="shared" si="121"/>
        <v>0.67609218436873753</v>
      </c>
      <c r="CH157" s="189">
        <f>CH158+CH188</f>
        <v>110411</v>
      </c>
      <c r="CI157" s="186">
        <f t="shared" si="122"/>
        <v>0.73754843019372074</v>
      </c>
      <c r="CJ157" s="189">
        <f>CJ158+CJ188</f>
        <v>117461</v>
      </c>
      <c r="CK157" s="186">
        <f t="shared" si="132"/>
        <v>0.78464261857047424</v>
      </c>
      <c r="CL157" s="189">
        <f>CL158+CL188</f>
        <v>134570</v>
      </c>
      <c r="CM157" s="186">
        <f t="shared" si="134"/>
        <v>0.89893119572478286</v>
      </c>
      <c r="CN157" s="189">
        <f>CN158+CN188</f>
        <v>144020</v>
      </c>
      <c r="CO157" s="186">
        <f t="shared" si="135"/>
        <v>0.96205744822979289</v>
      </c>
      <c r="CP157" s="213" t="str">
        <f t="shared" si="138"/>
        <v>Không đạt</v>
      </c>
      <c r="CQ157" s="213" t="str">
        <f t="shared" si="139"/>
        <v>Không đạt</v>
      </c>
      <c r="CR157" s="192"/>
      <c r="CS157" s="192"/>
      <c r="CT157" s="223"/>
      <c r="CU157" s="163"/>
      <c r="CW157" s="195"/>
      <c r="CX157" s="196"/>
      <c r="CY157" s="196"/>
      <c r="CZ157" s="197"/>
      <c r="DA157" s="196"/>
      <c r="DB157" s="196"/>
      <c r="DC157" s="196"/>
      <c r="DE157" s="199"/>
      <c r="DF157" s="200"/>
      <c r="DG157" s="181"/>
    </row>
    <row r="158" spans="1:111" outlineLevel="1" x14ac:dyDescent="0.25">
      <c r="A158" s="256" t="s">
        <v>34</v>
      </c>
      <c r="B158" s="210" t="s">
        <v>312</v>
      </c>
      <c r="C158" s="210"/>
      <c r="D158" s="214">
        <f t="shared" ref="D158:L158" si="145">SUM(D159:D187)</f>
        <v>102700</v>
      </c>
      <c r="E158" s="214">
        <f t="shared" si="145"/>
        <v>0</v>
      </c>
      <c r="F158" s="214">
        <f t="shared" si="145"/>
        <v>102700</v>
      </c>
      <c r="G158" s="214">
        <f t="shared" si="145"/>
        <v>0</v>
      </c>
      <c r="H158" s="214">
        <f t="shared" si="145"/>
        <v>102700</v>
      </c>
      <c r="I158" s="214">
        <f t="shared" si="145"/>
        <v>6415</v>
      </c>
      <c r="J158" s="214"/>
      <c r="K158" s="214">
        <f t="shared" si="145"/>
        <v>0</v>
      </c>
      <c r="L158" s="214">
        <f t="shared" si="145"/>
        <v>0</v>
      </c>
      <c r="M158" s="223"/>
      <c r="N158" s="223"/>
      <c r="O158" s="214">
        <f t="shared" si="143"/>
        <v>6415</v>
      </c>
      <c r="P158" s="214">
        <f>SUM(P159:P187)</f>
        <v>1080.3150000000001</v>
      </c>
      <c r="Q158" s="186">
        <f t="shared" si="124"/>
        <v>1.0519133398247322E-2</v>
      </c>
      <c r="R158" s="214">
        <v>1470.3617099999999</v>
      </c>
      <c r="S158" s="185">
        <v>1.4387100880626223E-2</v>
      </c>
      <c r="T158" s="185">
        <v>1.5144316716448655E-2</v>
      </c>
      <c r="U158" s="214">
        <v>1682.7087099999999</v>
      </c>
      <c r="V158" s="185">
        <v>1.6464860176125244E-2</v>
      </c>
      <c r="W158" s="185">
        <v>1.7331431764342362E-2</v>
      </c>
      <c r="X158" s="214">
        <v>1682.7087099999999</v>
      </c>
      <c r="Y158" s="185">
        <v>1.6464860176125244E-2</v>
      </c>
      <c r="Z158" s="185">
        <v>1.7331431764342362E-2</v>
      </c>
      <c r="AA158" s="214">
        <v>1682.7087099999999</v>
      </c>
      <c r="AB158" s="185">
        <v>1.6464860176125244E-2</v>
      </c>
      <c r="AC158" s="185">
        <v>1.7331431764342362E-2</v>
      </c>
      <c r="AD158" s="214">
        <v>1682.7087099999999</v>
      </c>
      <c r="AE158" s="185">
        <v>1.6464860176125244E-2</v>
      </c>
      <c r="AF158" s="185">
        <v>1.7331431764342362E-2</v>
      </c>
      <c r="AG158" s="214">
        <v>3198.6817099999998</v>
      </c>
      <c r="AH158" s="185">
        <v>3.1298255479452051E-2</v>
      </c>
      <c r="AI158" s="185">
        <v>3.2945532083633738E-2</v>
      </c>
      <c r="AJ158" s="250">
        <v>3198.6817099999998</v>
      </c>
      <c r="AK158" s="185">
        <v>3.1298255479452051E-2</v>
      </c>
      <c r="AL158" s="185">
        <v>3.2945532083633738E-2</v>
      </c>
      <c r="AM158" s="214">
        <v>6213.5210000000006</v>
      </c>
      <c r="AN158" s="185">
        <v>6.0797661448140909E-2</v>
      </c>
      <c r="AO158" s="185">
        <v>6.3997538366464116E-2</v>
      </c>
      <c r="AP158" s="185"/>
      <c r="AQ158" s="214">
        <v>6413.5480000000007</v>
      </c>
      <c r="AR158" s="185">
        <v>6.2754872798434447E-2</v>
      </c>
      <c r="AS158" s="185">
        <v>6.6057760840457308E-2</v>
      </c>
      <c r="AT158" s="214">
        <v>6413.5480000000007</v>
      </c>
      <c r="AU158" s="185">
        <v>6.2754872798434447E-2</v>
      </c>
      <c r="AV158" s="185">
        <v>6.6057760840457308E-2</v>
      </c>
      <c r="AW158" s="214">
        <v>6413.5480000000007</v>
      </c>
      <c r="AX158" s="185">
        <v>6.2754872798434447E-2</v>
      </c>
      <c r="AY158" s="185">
        <v>6.6057760840457308E-2</v>
      </c>
      <c r="AZ158" s="214">
        <v>6413.5480000000007</v>
      </c>
      <c r="BA158" s="185">
        <v>6.2754872798434447E-2</v>
      </c>
      <c r="BB158" s="185">
        <v>6.6057760840457308E-2</v>
      </c>
      <c r="BC158" s="214">
        <v>6777.5480000000007</v>
      </c>
      <c r="BD158" s="185">
        <v>6.6316516634050887E-2</v>
      </c>
      <c r="BE158" s="185">
        <v>6.9806859614790412E-2</v>
      </c>
      <c r="BF158" s="214"/>
      <c r="BG158" s="214">
        <v>21024.813999999995</v>
      </c>
      <c r="BH158" s="185">
        <v>0.20472068159688409</v>
      </c>
      <c r="BI158" s="185">
        <v>0.21549545431250955</v>
      </c>
      <c r="BJ158" s="214">
        <f t="shared" si="125"/>
        <v>97565</v>
      </c>
      <c r="BK158" s="214">
        <f>SUM(BK159:BK187)</f>
        <v>21304.402999999995</v>
      </c>
      <c r="BL158" s="185">
        <f t="shared" si="101"/>
        <v>0.20744306718597852</v>
      </c>
      <c r="BM158" s="185">
        <f t="shared" si="136"/>
        <v>0.21836112335366162</v>
      </c>
      <c r="BN158" s="205">
        <f t="shared" si="119"/>
        <v>19621.694289999996</v>
      </c>
      <c r="BO158" s="205"/>
      <c r="BP158" s="189">
        <f>SUM(BP159:BP187)</f>
        <v>2246</v>
      </c>
      <c r="BQ158" s="186">
        <f t="shared" si="137"/>
        <v>2.1869522882181112E-2</v>
      </c>
      <c r="BR158" s="189">
        <f>SUM(BR159:BR187)</f>
        <v>2246</v>
      </c>
      <c r="BS158" s="186">
        <f t="shared" si="120"/>
        <v>2.1869522882181112E-2</v>
      </c>
      <c r="BT158" s="189">
        <f>SUM(BT159:BT187)</f>
        <v>6016</v>
      </c>
      <c r="BU158" s="186">
        <f t="shared" si="126"/>
        <v>5.8578383641674781E-2</v>
      </c>
      <c r="BV158" s="189">
        <f>SUM(BV159:BV187)</f>
        <v>14396</v>
      </c>
      <c r="BW158" s="186">
        <f t="shared" si="128"/>
        <v>0.14017526777020448</v>
      </c>
      <c r="BX158" s="189">
        <f>SUM(BX159:BX187)</f>
        <v>18746</v>
      </c>
      <c r="BY158" s="186">
        <f t="shared" si="129"/>
        <v>0.18253164556962026</v>
      </c>
      <c r="BZ158" s="189">
        <f>SUM(BZ159:BZ187)</f>
        <v>35521</v>
      </c>
      <c r="CA158" s="186">
        <f t="shared" si="130"/>
        <v>0.34587147030185006</v>
      </c>
      <c r="CB158" s="189">
        <f>SUM(CB159:CB187)</f>
        <v>40921</v>
      </c>
      <c r="CC158" s="186">
        <f>CB158/$D158</f>
        <v>0.39845180136319375</v>
      </c>
      <c r="CD158" s="189">
        <f>SUM(CD159:CD187)</f>
        <v>47896</v>
      </c>
      <c r="CE158" s="186">
        <f>CD158/$D158</f>
        <v>0.46636806231742939</v>
      </c>
      <c r="CF158" s="189">
        <f>SUM(CF159:CF187)</f>
        <v>58086</v>
      </c>
      <c r="CG158" s="186">
        <f t="shared" si="121"/>
        <v>0.56558909444985395</v>
      </c>
      <c r="CH158" s="189">
        <f>SUM(CH159:CH187)</f>
        <v>65286</v>
      </c>
      <c r="CI158" s="186">
        <f t="shared" si="122"/>
        <v>0.6356962025316456</v>
      </c>
      <c r="CJ158" s="189">
        <f>SUM(CJ159:CJ187)</f>
        <v>71086</v>
      </c>
      <c r="CK158" s="186">
        <f t="shared" si="132"/>
        <v>0.69217137293086661</v>
      </c>
      <c r="CL158" s="189">
        <f>SUM(CL159:CL187)</f>
        <v>88195</v>
      </c>
      <c r="CM158" s="186">
        <f t="shared" si="134"/>
        <v>0.85876338851022394</v>
      </c>
      <c r="CN158" s="189">
        <f>SUM(CN159:CN187)</f>
        <v>96995</v>
      </c>
      <c r="CO158" s="186">
        <f t="shared" si="135"/>
        <v>0.94444985394352488</v>
      </c>
      <c r="CP158" s="213" t="str">
        <f t="shared" si="138"/>
        <v>Không đạt</v>
      </c>
      <c r="CQ158" s="213" t="str">
        <f t="shared" si="139"/>
        <v>Không đạt</v>
      </c>
      <c r="CR158" s="192"/>
      <c r="CS158" s="192"/>
      <c r="CT158" s="223"/>
      <c r="CU158" s="163"/>
      <c r="CW158" s="195"/>
      <c r="CX158" s="196"/>
      <c r="CY158" s="196"/>
      <c r="CZ158" s="197"/>
      <c r="DA158" s="196"/>
      <c r="DB158" s="196"/>
      <c r="DC158" s="196"/>
      <c r="DE158" s="199"/>
      <c r="DF158" s="200"/>
      <c r="DG158" s="181"/>
    </row>
    <row r="159" spans="1:111" outlineLevel="1" x14ac:dyDescent="0.25">
      <c r="A159" s="192"/>
      <c r="B159" s="240" t="s">
        <v>254</v>
      </c>
      <c r="C159" s="240"/>
      <c r="D159" s="214">
        <f t="shared" si="117"/>
        <v>0</v>
      </c>
      <c r="E159" s="205"/>
      <c r="F159" s="214">
        <f t="shared" ref="F159:F187" si="146">G159+H159+K159+M159</f>
        <v>0</v>
      </c>
      <c r="G159" s="250"/>
      <c r="H159" s="250"/>
      <c r="I159" s="235"/>
      <c r="J159" s="235"/>
      <c r="K159" s="223"/>
      <c r="L159" s="235"/>
      <c r="M159" s="223"/>
      <c r="N159" s="223"/>
      <c r="O159" s="250">
        <f t="shared" si="143"/>
        <v>0</v>
      </c>
      <c r="P159" s="250">
        <v>0</v>
      </c>
      <c r="Q159" s="224" t="e">
        <f t="shared" si="124"/>
        <v>#DIV/0!</v>
      </c>
      <c r="R159" s="250"/>
      <c r="S159" s="225"/>
      <c r="T159" s="225" t="e">
        <v>#DIV/0!</v>
      </c>
      <c r="U159" s="250"/>
      <c r="V159" s="225"/>
      <c r="W159" s="225" t="e">
        <v>#DIV/0!</v>
      </c>
      <c r="X159" s="250"/>
      <c r="Y159" s="225"/>
      <c r="Z159" s="225" t="e">
        <v>#DIV/0!</v>
      </c>
      <c r="AA159" s="250"/>
      <c r="AB159" s="225"/>
      <c r="AC159" s="225" t="e">
        <v>#DIV/0!</v>
      </c>
      <c r="AD159" s="250"/>
      <c r="AE159" s="225"/>
      <c r="AF159" s="225" t="e">
        <v>#DIV/0!</v>
      </c>
      <c r="AG159" s="250"/>
      <c r="AH159" s="225"/>
      <c r="AI159" s="225" t="e">
        <v>#DIV/0!</v>
      </c>
      <c r="AJ159" s="257"/>
      <c r="AK159" s="225"/>
      <c r="AL159" s="225" t="e">
        <v>#DIV/0!</v>
      </c>
      <c r="AM159" s="250"/>
      <c r="AN159" s="225"/>
      <c r="AO159" s="225" t="e">
        <v>#DIV/0!</v>
      </c>
      <c r="AP159" s="225"/>
      <c r="AQ159" s="250"/>
      <c r="AR159" s="225"/>
      <c r="AS159" s="225" t="e">
        <v>#DIV/0!</v>
      </c>
      <c r="AT159" s="250"/>
      <c r="AU159" s="225"/>
      <c r="AV159" s="225" t="e">
        <v>#DIV/0!</v>
      </c>
      <c r="AW159" s="250"/>
      <c r="AX159" s="225"/>
      <c r="AY159" s="225" t="e">
        <v>#DIV/0!</v>
      </c>
      <c r="AZ159" s="250"/>
      <c r="BA159" s="225"/>
      <c r="BB159" s="225"/>
      <c r="BC159" s="250"/>
      <c r="BD159" s="225"/>
      <c r="BE159" s="225"/>
      <c r="BF159" s="250"/>
      <c r="BG159" s="250"/>
      <c r="BH159" s="225"/>
      <c r="BI159" s="225"/>
      <c r="BJ159" s="250">
        <f t="shared" si="125"/>
        <v>0</v>
      </c>
      <c r="BK159" s="250"/>
      <c r="BL159" s="225"/>
      <c r="BM159" s="225"/>
      <c r="BN159" s="205">
        <f t="shared" si="119"/>
        <v>0</v>
      </c>
      <c r="BO159" s="205"/>
      <c r="BP159" s="227"/>
      <c r="BQ159" s="224"/>
      <c r="BR159" s="227"/>
      <c r="BS159" s="224"/>
      <c r="BT159" s="227"/>
      <c r="BU159" s="224"/>
      <c r="BV159" s="227"/>
      <c r="BW159" s="224"/>
      <c r="BX159" s="227"/>
      <c r="BY159" s="224"/>
      <c r="BZ159" s="227"/>
      <c r="CA159" s="224"/>
      <c r="CB159" s="227"/>
      <c r="CC159" s="224"/>
      <c r="CD159" s="227"/>
      <c r="CE159" s="224"/>
      <c r="CF159" s="227"/>
      <c r="CG159" s="224"/>
      <c r="CH159" s="227"/>
      <c r="CI159" s="224"/>
      <c r="CJ159" s="227"/>
      <c r="CK159" s="224"/>
      <c r="CL159" s="227"/>
      <c r="CM159" s="224"/>
      <c r="CN159" s="227"/>
      <c r="CO159" s="224"/>
      <c r="CP159" s="213" t="str">
        <f t="shared" si="138"/>
        <v>Không đạt</v>
      </c>
      <c r="CQ159" s="213" t="str">
        <f t="shared" si="139"/>
        <v>Không đạt</v>
      </c>
      <c r="CR159" s="192"/>
      <c r="CS159" s="192"/>
      <c r="CT159" s="223"/>
      <c r="CU159" s="163"/>
      <c r="CW159" s="195"/>
      <c r="CX159" s="196"/>
      <c r="CY159" s="196"/>
      <c r="CZ159" s="197"/>
      <c r="DA159" s="196"/>
      <c r="DB159" s="196"/>
      <c r="DC159" s="196"/>
      <c r="DE159" s="199"/>
      <c r="DF159" s="200"/>
      <c r="DG159" s="181"/>
    </row>
    <row r="160" spans="1:111" ht="25.5" outlineLevel="1" x14ac:dyDescent="0.25">
      <c r="A160" s="192">
        <f>MAX(A$155:$B159)+1</f>
        <v>9</v>
      </c>
      <c r="B160" s="222" t="s">
        <v>313</v>
      </c>
      <c r="C160" s="222"/>
      <c r="D160" s="214">
        <f t="shared" si="117"/>
        <v>3000</v>
      </c>
      <c r="E160" s="205"/>
      <c r="F160" s="214">
        <f t="shared" si="146"/>
        <v>3000</v>
      </c>
      <c r="G160" s="257"/>
      <c r="H160" s="257">
        <v>3000</v>
      </c>
      <c r="I160" s="235"/>
      <c r="J160" s="235"/>
      <c r="K160" s="223"/>
      <c r="L160" s="235"/>
      <c r="M160" s="223"/>
      <c r="N160" s="223"/>
      <c r="O160" s="257">
        <f t="shared" si="143"/>
        <v>0</v>
      </c>
      <c r="P160" s="257">
        <v>0</v>
      </c>
      <c r="Q160" s="224">
        <f t="shared" si="124"/>
        <v>0</v>
      </c>
      <c r="R160" s="257"/>
      <c r="S160" s="225">
        <v>0</v>
      </c>
      <c r="T160" s="225">
        <v>0</v>
      </c>
      <c r="U160" s="257"/>
      <c r="V160" s="225">
        <v>0</v>
      </c>
      <c r="W160" s="225">
        <v>0</v>
      </c>
      <c r="X160" s="257"/>
      <c r="Y160" s="225">
        <v>0</v>
      </c>
      <c r="Z160" s="225">
        <v>0</v>
      </c>
      <c r="AA160" s="257"/>
      <c r="AB160" s="225">
        <v>0</v>
      </c>
      <c r="AC160" s="225">
        <v>0</v>
      </c>
      <c r="AD160" s="257"/>
      <c r="AE160" s="225">
        <v>0</v>
      </c>
      <c r="AF160" s="225">
        <v>0</v>
      </c>
      <c r="AG160" s="257"/>
      <c r="AH160" s="225">
        <v>0</v>
      </c>
      <c r="AI160" s="225">
        <v>0</v>
      </c>
      <c r="AJ160" s="257"/>
      <c r="AK160" s="225">
        <v>0</v>
      </c>
      <c r="AL160" s="225">
        <v>0</v>
      </c>
      <c r="AM160" s="257"/>
      <c r="AN160" s="225">
        <v>0</v>
      </c>
      <c r="AO160" s="225">
        <v>0</v>
      </c>
      <c r="AP160" s="225"/>
      <c r="AQ160" s="257"/>
      <c r="AR160" s="225">
        <v>0</v>
      </c>
      <c r="AS160" s="225">
        <v>0</v>
      </c>
      <c r="AT160" s="257"/>
      <c r="AU160" s="225">
        <v>0</v>
      </c>
      <c r="AV160" s="225">
        <v>0</v>
      </c>
      <c r="AW160" s="257"/>
      <c r="AX160" s="225">
        <v>0</v>
      </c>
      <c r="AY160" s="225">
        <v>0</v>
      </c>
      <c r="AZ160" s="257"/>
      <c r="BA160" s="225">
        <v>0</v>
      </c>
      <c r="BB160" s="225">
        <v>0</v>
      </c>
      <c r="BC160" s="257"/>
      <c r="BD160" s="225">
        <v>0</v>
      </c>
      <c r="BE160" s="225">
        <v>0</v>
      </c>
      <c r="BF160" s="257"/>
      <c r="BG160" s="257"/>
      <c r="BH160" s="225">
        <v>0</v>
      </c>
      <c r="BI160" s="225">
        <v>0</v>
      </c>
      <c r="BJ160" s="257">
        <f t="shared" si="125"/>
        <v>2850</v>
      </c>
      <c r="BK160" s="257"/>
      <c r="BL160" s="225">
        <f>BK160/$D160</f>
        <v>0</v>
      </c>
      <c r="BM160" s="225">
        <f t="shared" si="136"/>
        <v>0</v>
      </c>
      <c r="BN160" s="205">
        <f t="shared" si="119"/>
        <v>0</v>
      </c>
      <c r="BO160" s="205"/>
      <c r="BP160" s="227"/>
      <c r="BQ160" s="224">
        <f>BP160/$D160</f>
        <v>0</v>
      </c>
      <c r="BR160" s="227"/>
      <c r="BS160" s="224">
        <f>BR160/$D160</f>
        <v>0</v>
      </c>
      <c r="BT160" s="227"/>
      <c r="BU160" s="224">
        <f>BT160/$D160</f>
        <v>0</v>
      </c>
      <c r="BV160" s="227"/>
      <c r="BW160" s="224">
        <f>BV160/$D160</f>
        <v>0</v>
      </c>
      <c r="BX160" s="227"/>
      <c r="BY160" s="224">
        <f>BX160/$D160</f>
        <v>0</v>
      </c>
      <c r="BZ160" s="227"/>
      <c r="CA160" s="224">
        <f>BZ160/$D160</f>
        <v>0</v>
      </c>
      <c r="CB160" s="227"/>
      <c r="CC160" s="224">
        <f t="shared" ref="CC160:CE161" si="147">CB160/$D160</f>
        <v>0</v>
      </c>
      <c r="CD160" s="227"/>
      <c r="CE160" s="224">
        <f t="shared" si="147"/>
        <v>0</v>
      </c>
      <c r="CF160" s="227"/>
      <c r="CG160" s="224">
        <f t="shared" ref="CG160:CI161" si="148">CF160/$D160</f>
        <v>0</v>
      </c>
      <c r="CH160" s="227">
        <v>500</v>
      </c>
      <c r="CI160" s="224">
        <f t="shared" si="148"/>
        <v>0.16666666666666666</v>
      </c>
      <c r="CJ160" s="227">
        <v>1300</v>
      </c>
      <c r="CK160" s="224">
        <f>CJ160/$D160</f>
        <v>0.43333333333333335</v>
      </c>
      <c r="CL160" s="227">
        <v>2850</v>
      </c>
      <c r="CM160" s="224">
        <f>CL160/$D160</f>
        <v>0.95</v>
      </c>
      <c r="CN160" s="227">
        <v>2850</v>
      </c>
      <c r="CO160" s="224">
        <f>CN160/$D160</f>
        <v>0.95</v>
      </c>
      <c r="CP160" s="213" t="str">
        <f t="shared" si="138"/>
        <v>Không đạt</v>
      </c>
      <c r="CQ160" s="213" t="str">
        <f t="shared" si="139"/>
        <v>Không đạt</v>
      </c>
      <c r="CR160" s="192"/>
      <c r="CS160" s="192"/>
      <c r="CT160" s="223"/>
      <c r="CU160" s="163"/>
      <c r="CW160" s="195"/>
      <c r="CX160" s="196"/>
      <c r="CY160" s="196"/>
      <c r="CZ160" s="197"/>
      <c r="DA160" s="196"/>
      <c r="DB160" s="196"/>
      <c r="DC160" s="196"/>
      <c r="DE160" s="199"/>
      <c r="DF160" s="200"/>
      <c r="DG160" s="181"/>
    </row>
    <row r="161" spans="1:111" outlineLevel="1" x14ac:dyDescent="0.25">
      <c r="A161" s="192">
        <f>MAX(A$155:$B160)+1</f>
        <v>10</v>
      </c>
      <c r="B161" s="222" t="s">
        <v>314</v>
      </c>
      <c r="C161" s="222"/>
      <c r="D161" s="214">
        <f t="shared" si="117"/>
        <v>1000</v>
      </c>
      <c r="E161" s="205"/>
      <c r="F161" s="214">
        <f t="shared" si="146"/>
        <v>1000</v>
      </c>
      <c r="G161" s="257"/>
      <c r="H161" s="257">
        <f>500+500</f>
        <v>1000</v>
      </c>
      <c r="I161" s="235"/>
      <c r="J161" s="235"/>
      <c r="K161" s="223"/>
      <c r="L161" s="235"/>
      <c r="M161" s="223"/>
      <c r="N161" s="223"/>
      <c r="O161" s="257">
        <f t="shared" si="143"/>
        <v>0</v>
      </c>
      <c r="P161" s="257">
        <v>0</v>
      </c>
      <c r="Q161" s="224">
        <f t="shared" si="124"/>
        <v>0</v>
      </c>
      <c r="R161" s="257"/>
      <c r="S161" s="225">
        <v>0</v>
      </c>
      <c r="T161" s="225">
        <v>0</v>
      </c>
      <c r="U161" s="257"/>
      <c r="V161" s="225">
        <v>0</v>
      </c>
      <c r="W161" s="225">
        <v>0</v>
      </c>
      <c r="X161" s="257"/>
      <c r="Y161" s="225">
        <v>0</v>
      </c>
      <c r="Z161" s="225">
        <v>0</v>
      </c>
      <c r="AA161" s="257"/>
      <c r="AB161" s="225">
        <v>0</v>
      </c>
      <c r="AC161" s="225">
        <v>0</v>
      </c>
      <c r="AD161" s="257"/>
      <c r="AE161" s="225">
        <v>0</v>
      </c>
      <c r="AF161" s="225">
        <v>0</v>
      </c>
      <c r="AG161" s="257"/>
      <c r="AH161" s="225">
        <v>0</v>
      </c>
      <c r="AI161" s="225">
        <v>0</v>
      </c>
      <c r="AJ161" s="250"/>
      <c r="AK161" s="225">
        <v>0</v>
      </c>
      <c r="AL161" s="225">
        <v>0</v>
      </c>
      <c r="AM161" s="257"/>
      <c r="AN161" s="225">
        <v>0</v>
      </c>
      <c r="AO161" s="225">
        <v>0</v>
      </c>
      <c r="AP161" s="225"/>
      <c r="AQ161" s="257"/>
      <c r="AR161" s="225">
        <v>0</v>
      </c>
      <c r="AS161" s="225">
        <v>0</v>
      </c>
      <c r="AT161" s="257"/>
      <c r="AU161" s="225">
        <v>0</v>
      </c>
      <c r="AV161" s="225">
        <v>0</v>
      </c>
      <c r="AW161" s="257"/>
      <c r="AX161" s="225">
        <v>0</v>
      </c>
      <c r="AY161" s="225">
        <v>0</v>
      </c>
      <c r="AZ161" s="257"/>
      <c r="BA161" s="225">
        <v>0</v>
      </c>
      <c r="BB161" s="225">
        <v>0</v>
      </c>
      <c r="BC161" s="257"/>
      <c r="BD161" s="225">
        <v>0</v>
      </c>
      <c r="BE161" s="225">
        <v>0</v>
      </c>
      <c r="BF161" s="257">
        <v>475</v>
      </c>
      <c r="BG161" s="257">
        <v>475</v>
      </c>
      <c r="BH161" s="225">
        <v>0.47499999999999998</v>
      </c>
      <c r="BI161" s="225">
        <v>0.5</v>
      </c>
      <c r="BJ161" s="257">
        <f t="shared" si="125"/>
        <v>950</v>
      </c>
      <c r="BK161" s="257">
        <v>475</v>
      </c>
      <c r="BL161" s="225">
        <f>BK161/$D161</f>
        <v>0.47499999999999998</v>
      </c>
      <c r="BM161" s="225">
        <f t="shared" si="136"/>
        <v>0.5</v>
      </c>
      <c r="BN161" s="205">
        <f t="shared" si="119"/>
        <v>475</v>
      </c>
      <c r="BO161" s="205"/>
      <c r="BP161" s="227"/>
      <c r="BQ161" s="224">
        <f>BP161/$D161</f>
        <v>0</v>
      </c>
      <c r="BR161" s="227"/>
      <c r="BS161" s="224">
        <f>BR161/$D161</f>
        <v>0</v>
      </c>
      <c r="BT161" s="227"/>
      <c r="BU161" s="224">
        <f>BT161/$D161</f>
        <v>0</v>
      </c>
      <c r="BV161" s="227"/>
      <c r="BW161" s="224">
        <f>BV161/$D161</f>
        <v>0</v>
      </c>
      <c r="BX161" s="227"/>
      <c r="BY161" s="224">
        <f>BX161/$D161</f>
        <v>0</v>
      </c>
      <c r="BZ161" s="227"/>
      <c r="CA161" s="224">
        <f>BZ161/$D161</f>
        <v>0</v>
      </c>
      <c r="CB161" s="227"/>
      <c r="CC161" s="224">
        <f t="shared" si="147"/>
        <v>0</v>
      </c>
      <c r="CD161" s="227">
        <v>475</v>
      </c>
      <c r="CE161" s="224">
        <f t="shared" si="147"/>
        <v>0.47499999999999998</v>
      </c>
      <c r="CF161" s="227">
        <f>CD161</f>
        <v>475</v>
      </c>
      <c r="CG161" s="224">
        <f t="shared" si="148"/>
        <v>0.47499999999999998</v>
      </c>
      <c r="CH161" s="227">
        <f>CF161</f>
        <v>475</v>
      </c>
      <c r="CI161" s="224">
        <f t="shared" si="148"/>
        <v>0.47499999999999998</v>
      </c>
      <c r="CJ161" s="227">
        <f>CH161</f>
        <v>475</v>
      </c>
      <c r="CK161" s="224">
        <f>CJ161/$D161</f>
        <v>0.47499999999999998</v>
      </c>
      <c r="CL161" s="227">
        <f>CJ161</f>
        <v>475</v>
      </c>
      <c r="CM161" s="224">
        <f>CL161/$D161</f>
        <v>0.47499999999999998</v>
      </c>
      <c r="CN161" s="227">
        <f>CL161</f>
        <v>475</v>
      </c>
      <c r="CO161" s="224">
        <f>CN161/$D161</f>
        <v>0.47499999999999998</v>
      </c>
      <c r="CP161" s="213" t="str">
        <f t="shared" si="138"/>
        <v>Đạt</v>
      </c>
      <c r="CQ161" s="213" t="str">
        <f t="shared" si="139"/>
        <v>Đạt</v>
      </c>
      <c r="CR161" s="192"/>
      <c r="CS161" s="192"/>
      <c r="CT161" s="223"/>
      <c r="CU161" s="163"/>
      <c r="CW161" s="195"/>
      <c r="CX161" s="196"/>
      <c r="CY161" s="196"/>
      <c r="CZ161" s="197"/>
      <c r="DA161" s="196"/>
      <c r="DB161" s="196"/>
      <c r="DC161" s="196"/>
      <c r="DE161" s="199"/>
      <c r="DF161" s="200"/>
      <c r="DG161" s="181"/>
    </row>
    <row r="162" spans="1:111" outlineLevel="1" x14ac:dyDescent="0.25">
      <c r="A162" s="192"/>
      <c r="B162" s="261" t="s">
        <v>190</v>
      </c>
      <c r="C162" s="240"/>
      <c r="D162" s="214">
        <f t="shared" si="117"/>
        <v>0</v>
      </c>
      <c r="E162" s="205"/>
      <c r="F162" s="214">
        <f t="shared" si="146"/>
        <v>0</v>
      </c>
      <c r="G162" s="250"/>
      <c r="H162" s="250"/>
      <c r="I162" s="235"/>
      <c r="J162" s="235"/>
      <c r="K162" s="223"/>
      <c r="L162" s="235"/>
      <c r="M162" s="223"/>
      <c r="N162" s="223"/>
      <c r="O162" s="250">
        <f t="shared" si="143"/>
        <v>0</v>
      </c>
      <c r="P162" s="250">
        <v>0</v>
      </c>
      <c r="Q162" s="224" t="e">
        <f t="shared" si="124"/>
        <v>#DIV/0!</v>
      </c>
      <c r="R162" s="250"/>
      <c r="S162" s="225"/>
      <c r="T162" s="225" t="e">
        <v>#DIV/0!</v>
      </c>
      <c r="U162" s="250"/>
      <c r="V162" s="225"/>
      <c r="W162" s="225" t="e">
        <v>#DIV/0!</v>
      </c>
      <c r="X162" s="250"/>
      <c r="Y162" s="225"/>
      <c r="Z162" s="225" t="e">
        <v>#DIV/0!</v>
      </c>
      <c r="AA162" s="250"/>
      <c r="AB162" s="225"/>
      <c r="AC162" s="225" t="e">
        <v>#DIV/0!</v>
      </c>
      <c r="AD162" s="250"/>
      <c r="AE162" s="225"/>
      <c r="AF162" s="225" t="e">
        <v>#DIV/0!</v>
      </c>
      <c r="AG162" s="250"/>
      <c r="AH162" s="225"/>
      <c r="AI162" s="225" t="e">
        <v>#DIV/0!</v>
      </c>
      <c r="AJ162" s="257"/>
      <c r="AK162" s="225"/>
      <c r="AL162" s="225" t="e">
        <v>#DIV/0!</v>
      </c>
      <c r="AM162" s="250"/>
      <c r="AN162" s="225"/>
      <c r="AO162" s="225" t="e">
        <v>#DIV/0!</v>
      </c>
      <c r="AP162" s="225"/>
      <c r="AQ162" s="250"/>
      <c r="AR162" s="225"/>
      <c r="AS162" s="225" t="e">
        <v>#DIV/0!</v>
      </c>
      <c r="AT162" s="250"/>
      <c r="AU162" s="225"/>
      <c r="AV162" s="225" t="e">
        <v>#DIV/0!</v>
      </c>
      <c r="AW162" s="250"/>
      <c r="AX162" s="225"/>
      <c r="AY162" s="225" t="e">
        <v>#DIV/0!</v>
      </c>
      <c r="AZ162" s="250"/>
      <c r="BA162" s="225"/>
      <c r="BB162" s="225"/>
      <c r="BC162" s="250"/>
      <c r="BD162" s="225"/>
      <c r="BE162" s="225"/>
      <c r="BF162" s="250"/>
      <c r="BG162" s="250"/>
      <c r="BH162" s="225"/>
      <c r="BI162" s="225"/>
      <c r="BJ162" s="250">
        <f t="shared" si="125"/>
        <v>0</v>
      </c>
      <c r="BK162" s="250"/>
      <c r="BL162" s="225"/>
      <c r="BM162" s="225"/>
      <c r="BN162" s="205">
        <f t="shared" si="119"/>
        <v>0</v>
      </c>
      <c r="BO162" s="205"/>
      <c r="BP162" s="227"/>
      <c r="BQ162" s="224"/>
      <c r="BR162" s="227"/>
      <c r="BS162" s="224"/>
      <c r="BT162" s="227"/>
      <c r="BU162" s="224"/>
      <c r="BV162" s="227"/>
      <c r="BW162" s="224"/>
      <c r="BX162" s="227"/>
      <c r="BY162" s="224"/>
      <c r="BZ162" s="227"/>
      <c r="CA162" s="224"/>
      <c r="CB162" s="227"/>
      <c r="CC162" s="224"/>
      <c r="CD162" s="227"/>
      <c r="CE162" s="224"/>
      <c r="CF162" s="227"/>
      <c r="CG162" s="224"/>
      <c r="CH162" s="227"/>
      <c r="CI162" s="224"/>
      <c r="CJ162" s="227"/>
      <c r="CK162" s="224"/>
      <c r="CL162" s="227"/>
      <c r="CM162" s="224"/>
      <c r="CN162" s="227"/>
      <c r="CO162" s="224"/>
      <c r="CP162" s="213" t="str">
        <f t="shared" si="138"/>
        <v>Không đạt</v>
      </c>
      <c r="CQ162" s="213" t="str">
        <f t="shared" si="139"/>
        <v>Không đạt</v>
      </c>
      <c r="CR162" s="192"/>
      <c r="CS162" s="192"/>
      <c r="CT162" s="223"/>
      <c r="CU162" s="163"/>
      <c r="CW162" s="195"/>
      <c r="CX162" s="196"/>
      <c r="CY162" s="196"/>
      <c r="CZ162" s="197"/>
      <c r="DA162" s="196"/>
      <c r="DB162" s="196"/>
      <c r="DC162" s="196"/>
      <c r="DE162" s="199"/>
      <c r="DF162" s="200"/>
      <c r="DG162" s="181"/>
    </row>
    <row r="163" spans="1:111" ht="25.5" outlineLevel="1" x14ac:dyDescent="0.25">
      <c r="A163" s="192">
        <f>MAX(A$155:$B162)+1</f>
        <v>11</v>
      </c>
      <c r="B163" s="222" t="s">
        <v>315</v>
      </c>
      <c r="C163" s="222"/>
      <c r="D163" s="214">
        <f t="shared" si="117"/>
        <v>1200</v>
      </c>
      <c r="E163" s="205"/>
      <c r="F163" s="214">
        <f t="shared" si="146"/>
        <v>1200</v>
      </c>
      <c r="G163" s="257"/>
      <c r="H163" s="257">
        <f>2000-800</f>
        <v>1200</v>
      </c>
      <c r="I163" s="235"/>
      <c r="J163" s="235"/>
      <c r="K163" s="223"/>
      <c r="L163" s="235"/>
      <c r="M163" s="223"/>
      <c r="N163" s="223"/>
      <c r="O163" s="257">
        <f t="shared" si="143"/>
        <v>0</v>
      </c>
      <c r="P163" s="257">
        <v>0</v>
      </c>
      <c r="Q163" s="224">
        <f t="shared" si="124"/>
        <v>0</v>
      </c>
      <c r="R163" s="257"/>
      <c r="S163" s="225">
        <v>0</v>
      </c>
      <c r="T163" s="225">
        <v>0</v>
      </c>
      <c r="U163" s="257"/>
      <c r="V163" s="225">
        <v>0</v>
      </c>
      <c r="W163" s="225">
        <v>0</v>
      </c>
      <c r="X163" s="257"/>
      <c r="Y163" s="225">
        <v>0</v>
      </c>
      <c r="Z163" s="225">
        <v>0</v>
      </c>
      <c r="AA163" s="257"/>
      <c r="AB163" s="225">
        <v>0</v>
      </c>
      <c r="AC163" s="225">
        <v>0</v>
      </c>
      <c r="AD163" s="257"/>
      <c r="AE163" s="225">
        <v>0</v>
      </c>
      <c r="AF163" s="225">
        <v>0</v>
      </c>
      <c r="AG163" s="257"/>
      <c r="AH163" s="225">
        <v>0</v>
      </c>
      <c r="AI163" s="225">
        <v>0</v>
      </c>
      <c r="AJ163" s="257"/>
      <c r="AK163" s="225">
        <v>0</v>
      </c>
      <c r="AL163" s="225">
        <v>0</v>
      </c>
      <c r="AM163" s="257"/>
      <c r="AN163" s="225">
        <v>0</v>
      </c>
      <c r="AO163" s="225">
        <v>0</v>
      </c>
      <c r="AP163" s="225"/>
      <c r="AQ163" s="257"/>
      <c r="AR163" s="225">
        <v>0</v>
      </c>
      <c r="AS163" s="225">
        <v>0</v>
      </c>
      <c r="AT163" s="257"/>
      <c r="AU163" s="225">
        <v>0</v>
      </c>
      <c r="AV163" s="225">
        <v>0</v>
      </c>
      <c r="AW163" s="257"/>
      <c r="AX163" s="225">
        <v>0</v>
      </c>
      <c r="AY163" s="225">
        <v>0</v>
      </c>
      <c r="AZ163" s="257"/>
      <c r="BA163" s="225">
        <v>0</v>
      </c>
      <c r="BB163" s="225">
        <v>0</v>
      </c>
      <c r="BC163" s="257"/>
      <c r="BD163" s="225">
        <v>0</v>
      </c>
      <c r="BE163" s="225">
        <v>0</v>
      </c>
      <c r="BF163" s="257">
        <v>515.13099999999997</v>
      </c>
      <c r="BG163" s="257">
        <v>515.13099999999997</v>
      </c>
      <c r="BH163" s="225">
        <v>0.4292758333333333</v>
      </c>
      <c r="BI163" s="225">
        <v>0.451869298245614</v>
      </c>
      <c r="BJ163" s="257">
        <f t="shared" si="125"/>
        <v>1140</v>
      </c>
      <c r="BK163" s="257">
        <v>515.13099999999997</v>
      </c>
      <c r="BL163" s="225">
        <f t="shared" ref="BL163:BL168" si="149">BK163/$D163</f>
        <v>0.4292758333333333</v>
      </c>
      <c r="BM163" s="225">
        <f t="shared" si="136"/>
        <v>0.451869298245614</v>
      </c>
      <c r="BN163" s="205">
        <f t="shared" si="119"/>
        <v>515.13099999999997</v>
      </c>
      <c r="BO163" s="205"/>
      <c r="BP163" s="227"/>
      <c r="BQ163" s="224">
        <f>BP163/$D163</f>
        <v>0</v>
      </c>
      <c r="BR163" s="227"/>
      <c r="BS163" s="224">
        <f t="shared" ref="BS163:BS168" si="150">BR163/$D163</f>
        <v>0</v>
      </c>
      <c r="BT163" s="227"/>
      <c r="BU163" s="224">
        <f>BT163/$D163</f>
        <v>0</v>
      </c>
      <c r="BV163" s="227">
        <v>400</v>
      </c>
      <c r="BW163" s="224">
        <f>BV163/$D163</f>
        <v>0.33333333333333331</v>
      </c>
      <c r="BX163" s="227">
        <f>BV163</f>
        <v>400</v>
      </c>
      <c r="BY163" s="224">
        <f>BX163/$D163</f>
        <v>0.33333333333333331</v>
      </c>
      <c r="BZ163" s="227">
        <f>BX163</f>
        <v>400</v>
      </c>
      <c r="CA163" s="224">
        <f>BZ163/$D163</f>
        <v>0.33333333333333331</v>
      </c>
      <c r="CB163" s="227">
        <f>BZ163</f>
        <v>400</v>
      </c>
      <c r="CC163" s="224">
        <f t="shared" ref="CC163:CE173" si="151">CB163/$D163</f>
        <v>0.33333333333333331</v>
      </c>
      <c r="CD163" s="227">
        <f>CB163</f>
        <v>400</v>
      </c>
      <c r="CE163" s="224">
        <f t="shared" si="151"/>
        <v>0.33333333333333331</v>
      </c>
      <c r="CF163" s="227">
        <f>CD163</f>
        <v>400</v>
      </c>
      <c r="CG163" s="224">
        <f t="shared" ref="CG163:CI168" si="152">CF163/$D163</f>
        <v>0.33333333333333331</v>
      </c>
      <c r="CH163" s="227">
        <f t="shared" ref="CH163:CH168" si="153">CF163</f>
        <v>400</v>
      </c>
      <c r="CI163" s="224">
        <f t="shared" si="152"/>
        <v>0.33333333333333331</v>
      </c>
      <c r="CJ163" s="227">
        <f>CH163</f>
        <v>400</v>
      </c>
      <c r="CK163" s="224">
        <f t="shared" ref="CK163:CK168" si="154">CJ163/$D163</f>
        <v>0.33333333333333331</v>
      </c>
      <c r="CL163" s="227">
        <v>1900</v>
      </c>
      <c r="CM163" s="224">
        <f t="shared" ref="CM163:CM168" si="155">CL163/$D163</f>
        <v>1.5833333333333333</v>
      </c>
      <c r="CN163" s="227">
        <f>CL163</f>
        <v>1900</v>
      </c>
      <c r="CO163" s="224">
        <f t="shared" ref="CO163:CO168" si="156">CN163/$D163</f>
        <v>1.5833333333333333</v>
      </c>
      <c r="CP163" s="213" t="str">
        <f t="shared" si="138"/>
        <v>Đạt</v>
      </c>
      <c r="CQ163" s="213" t="str">
        <f t="shared" si="139"/>
        <v>Đạt</v>
      </c>
      <c r="CR163" s="192"/>
      <c r="CS163" s="192"/>
      <c r="CT163" s="223"/>
      <c r="CU163" s="163"/>
      <c r="CW163" s="195"/>
      <c r="CX163" s="196"/>
      <c r="CY163" s="196"/>
      <c r="CZ163" s="197"/>
      <c r="DA163" s="196"/>
      <c r="DB163" s="196"/>
      <c r="DC163" s="196"/>
      <c r="DE163" s="199"/>
      <c r="DF163" s="200"/>
      <c r="DG163" s="181"/>
    </row>
    <row r="164" spans="1:111" ht="25.5" outlineLevel="1" x14ac:dyDescent="0.25">
      <c r="A164" s="192">
        <f>MAX(A$155:$B163)+1</f>
        <v>12</v>
      </c>
      <c r="B164" s="222" t="s">
        <v>316</v>
      </c>
      <c r="C164" s="222"/>
      <c r="D164" s="214">
        <f t="shared" si="117"/>
        <v>2000</v>
      </c>
      <c r="E164" s="205"/>
      <c r="F164" s="214">
        <f t="shared" si="146"/>
        <v>2000</v>
      </c>
      <c r="G164" s="257"/>
      <c r="H164" s="257">
        <v>2000</v>
      </c>
      <c r="I164" s="235"/>
      <c r="J164" s="235"/>
      <c r="K164" s="223"/>
      <c r="L164" s="235"/>
      <c r="M164" s="223"/>
      <c r="N164" s="223"/>
      <c r="O164" s="257">
        <f t="shared" si="143"/>
        <v>0</v>
      </c>
      <c r="P164" s="257">
        <v>0</v>
      </c>
      <c r="Q164" s="224">
        <f t="shared" si="124"/>
        <v>0</v>
      </c>
      <c r="R164" s="257"/>
      <c r="S164" s="225">
        <v>0</v>
      </c>
      <c r="T164" s="225">
        <v>0</v>
      </c>
      <c r="U164" s="257"/>
      <c r="V164" s="225">
        <v>0</v>
      </c>
      <c r="W164" s="225">
        <v>0</v>
      </c>
      <c r="X164" s="257"/>
      <c r="Y164" s="225">
        <v>0</v>
      </c>
      <c r="Z164" s="225">
        <v>0</v>
      </c>
      <c r="AA164" s="257"/>
      <c r="AB164" s="225">
        <v>0</v>
      </c>
      <c r="AC164" s="225">
        <v>0</v>
      </c>
      <c r="AD164" s="257"/>
      <c r="AE164" s="225">
        <v>0</v>
      </c>
      <c r="AF164" s="225">
        <v>0</v>
      </c>
      <c r="AG164" s="257"/>
      <c r="AH164" s="225">
        <v>0</v>
      </c>
      <c r="AI164" s="225">
        <v>0</v>
      </c>
      <c r="AJ164" s="257"/>
      <c r="AK164" s="225">
        <v>0</v>
      </c>
      <c r="AL164" s="225">
        <v>0</v>
      </c>
      <c r="AM164" s="257"/>
      <c r="AN164" s="225">
        <v>0</v>
      </c>
      <c r="AO164" s="225">
        <v>0</v>
      </c>
      <c r="AP164" s="225"/>
      <c r="AQ164" s="257"/>
      <c r="AR164" s="225">
        <v>0</v>
      </c>
      <c r="AS164" s="225">
        <v>0</v>
      </c>
      <c r="AT164" s="257"/>
      <c r="AU164" s="225">
        <v>0</v>
      </c>
      <c r="AV164" s="225">
        <v>0</v>
      </c>
      <c r="AW164" s="257"/>
      <c r="AX164" s="225">
        <v>0</v>
      </c>
      <c r="AY164" s="225">
        <v>0</v>
      </c>
      <c r="AZ164" s="257"/>
      <c r="BA164" s="225">
        <v>0</v>
      </c>
      <c r="BB164" s="225">
        <v>0</v>
      </c>
      <c r="BC164" s="257"/>
      <c r="BD164" s="225">
        <v>0</v>
      </c>
      <c r="BE164" s="225">
        <v>0</v>
      </c>
      <c r="BF164" s="257"/>
      <c r="BG164" s="257"/>
      <c r="BH164" s="225">
        <v>0</v>
      </c>
      <c r="BI164" s="225">
        <v>0</v>
      </c>
      <c r="BJ164" s="257">
        <f t="shared" si="125"/>
        <v>1900</v>
      </c>
      <c r="BK164" s="257"/>
      <c r="BL164" s="225">
        <f t="shared" si="149"/>
        <v>0</v>
      </c>
      <c r="BM164" s="225">
        <f t="shared" si="136"/>
        <v>0</v>
      </c>
      <c r="BN164" s="205">
        <f t="shared" si="119"/>
        <v>0</v>
      </c>
      <c r="BO164" s="205"/>
      <c r="BP164" s="227"/>
      <c r="BQ164" s="224">
        <f t="shared" si="137"/>
        <v>0</v>
      </c>
      <c r="BR164" s="227"/>
      <c r="BS164" s="224">
        <f t="shared" si="150"/>
        <v>0</v>
      </c>
      <c r="BT164" s="227"/>
      <c r="BU164" s="224">
        <f t="shared" si="126"/>
        <v>0</v>
      </c>
      <c r="BV164" s="227"/>
      <c r="BW164" s="224">
        <f t="shared" si="128"/>
        <v>0</v>
      </c>
      <c r="BX164" s="227"/>
      <c r="BY164" s="224">
        <f t="shared" si="129"/>
        <v>0</v>
      </c>
      <c r="BZ164" s="227"/>
      <c r="CA164" s="224">
        <f t="shared" si="130"/>
        <v>0</v>
      </c>
      <c r="CB164" s="227"/>
      <c r="CC164" s="224">
        <f t="shared" si="151"/>
        <v>0</v>
      </c>
      <c r="CD164" s="227">
        <v>1000</v>
      </c>
      <c r="CE164" s="224">
        <f t="shared" si="151"/>
        <v>0.5</v>
      </c>
      <c r="CF164" s="227">
        <f>CD164</f>
        <v>1000</v>
      </c>
      <c r="CG164" s="224">
        <f t="shared" si="152"/>
        <v>0.5</v>
      </c>
      <c r="CH164" s="227">
        <f t="shared" si="153"/>
        <v>1000</v>
      </c>
      <c r="CI164" s="224">
        <f t="shared" si="152"/>
        <v>0.5</v>
      </c>
      <c r="CJ164" s="227">
        <f>CH164</f>
        <v>1000</v>
      </c>
      <c r="CK164" s="224">
        <f t="shared" si="154"/>
        <v>0.5</v>
      </c>
      <c r="CL164" s="227">
        <f>CJ164</f>
        <v>1000</v>
      </c>
      <c r="CM164" s="224">
        <f t="shared" si="155"/>
        <v>0.5</v>
      </c>
      <c r="CN164" s="227">
        <v>1900</v>
      </c>
      <c r="CO164" s="224">
        <f t="shared" si="156"/>
        <v>0.95</v>
      </c>
      <c r="CP164" s="213" t="str">
        <f t="shared" si="138"/>
        <v>Không đạt</v>
      </c>
      <c r="CQ164" s="213" t="str">
        <f t="shared" si="139"/>
        <v>Không đạt</v>
      </c>
      <c r="CR164" s="192"/>
      <c r="CS164" s="192"/>
      <c r="CT164" s="223"/>
      <c r="CU164" s="163"/>
      <c r="CW164" s="195"/>
      <c r="CX164" s="196"/>
      <c r="CY164" s="196"/>
      <c r="CZ164" s="197"/>
      <c r="DA164" s="196"/>
      <c r="DB164" s="196"/>
      <c r="DC164" s="196"/>
      <c r="DE164" s="199"/>
      <c r="DF164" s="200"/>
      <c r="DG164" s="181"/>
    </row>
    <row r="165" spans="1:111" ht="25.5" outlineLevel="1" x14ac:dyDescent="0.25">
      <c r="A165" s="192">
        <f>MAX(A$155:$B164)+1</f>
        <v>13</v>
      </c>
      <c r="B165" s="222" t="s">
        <v>317</v>
      </c>
      <c r="C165" s="222"/>
      <c r="D165" s="214">
        <f t="shared" si="117"/>
        <v>11250</v>
      </c>
      <c r="E165" s="205"/>
      <c r="F165" s="214">
        <f t="shared" si="146"/>
        <v>11250</v>
      </c>
      <c r="G165" s="257"/>
      <c r="H165" s="257">
        <f>10000+1250</f>
        <v>11250</v>
      </c>
      <c r="I165" s="235"/>
      <c r="J165" s="235"/>
      <c r="K165" s="223"/>
      <c r="L165" s="235"/>
      <c r="M165" s="223"/>
      <c r="N165" s="223"/>
      <c r="O165" s="257">
        <f t="shared" si="143"/>
        <v>0</v>
      </c>
      <c r="P165" s="257">
        <v>0</v>
      </c>
      <c r="Q165" s="224">
        <f t="shared" si="124"/>
        <v>0</v>
      </c>
      <c r="R165" s="257"/>
      <c r="S165" s="225">
        <v>0</v>
      </c>
      <c r="T165" s="225">
        <v>0</v>
      </c>
      <c r="U165" s="257"/>
      <c r="V165" s="225">
        <v>0</v>
      </c>
      <c r="W165" s="225">
        <v>0</v>
      </c>
      <c r="X165" s="257"/>
      <c r="Y165" s="225">
        <v>0</v>
      </c>
      <c r="Z165" s="225">
        <v>0</v>
      </c>
      <c r="AA165" s="257"/>
      <c r="AB165" s="225">
        <v>0</v>
      </c>
      <c r="AC165" s="225">
        <v>0</v>
      </c>
      <c r="AD165" s="257"/>
      <c r="AE165" s="225">
        <v>0</v>
      </c>
      <c r="AF165" s="225">
        <v>0</v>
      </c>
      <c r="AG165" s="257"/>
      <c r="AH165" s="225">
        <v>0</v>
      </c>
      <c r="AI165" s="225">
        <v>0</v>
      </c>
      <c r="AJ165" s="257"/>
      <c r="AK165" s="225">
        <v>0</v>
      </c>
      <c r="AL165" s="225">
        <v>0</v>
      </c>
      <c r="AM165" s="257"/>
      <c r="AN165" s="225">
        <v>0</v>
      </c>
      <c r="AO165" s="225">
        <v>0</v>
      </c>
      <c r="AP165" s="225"/>
      <c r="AQ165" s="257"/>
      <c r="AR165" s="225">
        <v>0</v>
      </c>
      <c r="AS165" s="225">
        <v>0</v>
      </c>
      <c r="AT165" s="257"/>
      <c r="AU165" s="225">
        <v>0</v>
      </c>
      <c r="AV165" s="225">
        <v>0</v>
      </c>
      <c r="AW165" s="257"/>
      <c r="AX165" s="225">
        <v>0</v>
      </c>
      <c r="AY165" s="225">
        <v>0</v>
      </c>
      <c r="AZ165" s="257"/>
      <c r="BA165" s="225">
        <v>0</v>
      </c>
      <c r="BB165" s="225">
        <v>0</v>
      </c>
      <c r="BC165" s="257">
        <v>364</v>
      </c>
      <c r="BD165" s="225">
        <v>3.6400000000000002E-2</v>
      </c>
      <c r="BE165" s="225">
        <v>3.8315789473684213E-2</v>
      </c>
      <c r="BF165" s="257">
        <v>7163.4110000000001</v>
      </c>
      <c r="BG165" s="257">
        <v>7163.4110000000001</v>
      </c>
      <c r="BH165" s="225">
        <v>0.63674764444444443</v>
      </c>
      <c r="BI165" s="225">
        <v>0.67026067836257308</v>
      </c>
      <c r="BJ165" s="257">
        <f t="shared" si="125"/>
        <v>10687.5</v>
      </c>
      <c r="BK165" s="257">
        <v>7443</v>
      </c>
      <c r="BL165" s="225">
        <f t="shared" si="149"/>
        <v>0.66159999999999997</v>
      </c>
      <c r="BM165" s="225">
        <f t="shared" si="136"/>
        <v>0.69642105263157894</v>
      </c>
      <c r="BN165" s="205">
        <f t="shared" si="119"/>
        <v>7443</v>
      </c>
      <c r="BO165" s="205"/>
      <c r="BP165" s="227"/>
      <c r="BQ165" s="224">
        <f t="shared" si="137"/>
        <v>0</v>
      </c>
      <c r="BR165" s="227"/>
      <c r="BS165" s="224">
        <f t="shared" si="150"/>
        <v>0</v>
      </c>
      <c r="BT165" s="227"/>
      <c r="BU165" s="224">
        <f t="shared" si="126"/>
        <v>0</v>
      </c>
      <c r="BV165" s="227"/>
      <c r="BW165" s="224">
        <f t="shared" si="128"/>
        <v>0</v>
      </c>
      <c r="BX165" s="227"/>
      <c r="BY165" s="224">
        <f t="shared" si="129"/>
        <v>0</v>
      </c>
      <c r="BZ165" s="227">
        <v>4000</v>
      </c>
      <c r="CA165" s="224">
        <f t="shared" si="130"/>
        <v>0.35555555555555557</v>
      </c>
      <c r="CB165" s="227">
        <f>BZ165</f>
        <v>4000</v>
      </c>
      <c r="CC165" s="224">
        <f t="shared" si="151"/>
        <v>0.35555555555555557</v>
      </c>
      <c r="CD165" s="227">
        <v>5500</v>
      </c>
      <c r="CE165" s="224">
        <f t="shared" si="151"/>
        <v>0.48888888888888887</v>
      </c>
      <c r="CF165" s="227">
        <v>7500</v>
      </c>
      <c r="CG165" s="224">
        <f t="shared" si="152"/>
        <v>0.66666666666666663</v>
      </c>
      <c r="CH165" s="227">
        <f t="shared" si="153"/>
        <v>7500</v>
      </c>
      <c r="CI165" s="224">
        <f t="shared" si="152"/>
        <v>0.66666666666666663</v>
      </c>
      <c r="CJ165" s="227">
        <f>CH165</f>
        <v>7500</v>
      </c>
      <c r="CK165" s="224">
        <f t="shared" si="154"/>
        <v>0.66666666666666663</v>
      </c>
      <c r="CL165" s="227">
        <v>9500</v>
      </c>
      <c r="CM165" s="224">
        <f t="shared" si="155"/>
        <v>0.84444444444444444</v>
      </c>
      <c r="CN165" s="227">
        <f>CL165</f>
        <v>9500</v>
      </c>
      <c r="CO165" s="224">
        <f t="shared" si="156"/>
        <v>0.84444444444444444</v>
      </c>
      <c r="CP165" s="213" t="str">
        <f t="shared" si="138"/>
        <v>Đạt</v>
      </c>
      <c r="CQ165" s="213" t="str">
        <f t="shared" si="139"/>
        <v>Đạt</v>
      </c>
      <c r="CR165" s="192"/>
      <c r="CS165" s="192"/>
      <c r="CT165" s="223"/>
      <c r="CU165" s="163"/>
      <c r="CW165" s="195"/>
      <c r="CX165" s="196"/>
      <c r="CY165" s="196"/>
      <c r="CZ165" s="197"/>
      <c r="DA165" s="196"/>
      <c r="DB165" s="196"/>
      <c r="DC165" s="196"/>
      <c r="DE165" s="199"/>
      <c r="DF165" s="200"/>
      <c r="DG165" s="181"/>
    </row>
    <row r="166" spans="1:111" ht="25.5" outlineLevel="1" x14ac:dyDescent="0.25">
      <c r="A166" s="192">
        <f>MAX(A$155:$B165)+1</f>
        <v>14</v>
      </c>
      <c r="B166" s="222" t="s">
        <v>318</v>
      </c>
      <c r="C166" s="222"/>
      <c r="D166" s="214">
        <f t="shared" si="117"/>
        <v>10000</v>
      </c>
      <c r="E166" s="205"/>
      <c r="F166" s="214">
        <f t="shared" si="146"/>
        <v>10000</v>
      </c>
      <c r="G166" s="257"/>
      <c r="H166" s="257">
        <v>10000</v>
      </c>
      <c r="I166" s="235"/>
      <c r="J166" s="235"/>
      <c r="K166" s="223"/>
      <c r="L166" s="235"/>
      <c r="M166" s="223"/>
      <c r="N166" s="223"/>
      <c r="O166" s="257">
        <f t="shared" si="143"/>
        <v>0</v>
      </c>
      <c r="P166" s="257">
        <v>0</v>
      </c>
      <c r="Q166" s="224">
        <f t="shared" si="124"/>
        <v>0</v>
      </c>
      <c r="R166" s="257"/>
      <c r="S166" s="225">
        <v>0</v>
      </c>
      <c r="T166" s="225">
        <v>0</v>
      </c>
      <c r="U166" s="257"/>
      <c r="V166" s="225">
        <v>0</v>
      </c>
      <c r="W166" s="225">
        <v>0</v>
      </c>
      <c r="X166" s="257"/>
      <c r="Y166" s="225">
        <v>0</v>
      </c>
      <c r="Z166" s="225">
        <v>0</v>
      </c>
      <c r="AA166" s="257"/>
      <c r="AB166" s="225">
        <v>0</v>
      </c>
      <c r="AC166" s="225">
        <v>0</v>
      </c>
      <c r="AD166" s="257"/>
      <c r="AE166" s="225">
        <v>0</v>
      </c>
      <c r="AF166" s="225">
        <v>0</v>
      </c>
      <c r="AG166" s="257"/>
      <c r="AH166" s="225">
        <v>0</v>
      </c>
      <c r="AI166" s="225">
        <v>0</v>
      </c>
      <c r="AJ166" s="257"/>
      <c r="AK166" s="225">
        <v>0</v>
      </c>
      <c r="AL166" s="225">
        <v>0</v>
      </c>
      <c r="AM166" s="257"/>
      <c r="AN166" s="225">
        <v>0</v>
      </c>
      <c r="AO166" s="225">
        <v>0</v>
      </c>
      <c r="AP166" s="225"/>
      <c r="AQ166" s="257"/>
      <c r="AR166" s="225">
        <v>0</v>
      </c>
      <c r="AS166" s="225">
        <v>0</v>
      </c>
      <c r="AT166" s="257"/>
      <c r="AU166" s="225">
        <v>0</v>
      </c>
      <c r="AV166" s="225">
        <v>0</v>
      </c>
      <c r="AW166" s="257"/>
      <c r="AX166" s="225">
        <v>0</v>
      </c>
      <c r="AY166" s="225">
        <v>0</v>
      </c>
      <c r="AZ166" s="257"/>
      <c r="BA166" s="225">
        <v>0</v>
      </c>
      <c r="BB166" s="225">
        <v>0</v>
      </c>
      <c r="BC166" s="257"/>
      <c r="BD166" s="225">
        <v>0</v>
      </c>
      <c r="BE166" s="225">
        <v>0</v>
      </c>
      <c r="BF166" s="257"/>
      <c r="BG166" s="257"/>
      <c r="BH166" s="225">
        <v>0</v>
      </c>
      <c r="BI166" s="225">
        <v>0</v>
      </c>
      <c r="BJ166" s="257">
        <f t="shared" si="125"/>
        <v>9500</v>
      </c>
      <c r="BK166" s="257"/>
      <c r="BL166" s="225">
        <f t="shared" si="149"/>
        <v>0</v>
      </c>
      <c r="BM166" s="225">
        <f t="shared" si="136"/>
        <v>0</v>
      </c>
      <c r="BN166" s="205">
        <f t="shared" si="119"/>
        <v>0</v>
      </c>
      <c r="BO166" s="205"/>
      <c r="BP166" s="227"/>
      <c r="BQ166" s="224">
        <f t="shared" si="137"/>
        <v>0</v>
      </c>
      <c r="BR166" s="227"/>
      <c r="BS166" s="224">
        <f t="shared" si="150"/>
        <v>0</v>
      </c>
      <c r="BT166" s="227"/>
      <c r="BU166" s="224">
        <f t="shared" si="126"/>
        <v>0</v>
      </c>
      <c r="BV166" s="227"/>
      <c r="BW166" s="224">
        <f t="shared" si="128"/>
        <v>0</v>
      </c>
      <c r="BX166" s="227"/>
      <c r="BY166" s="224">
        <f t="shared" si="129"/>
        <v>0</v>
      </c>
      <c r="BZ166" s="227">
        <v>1000</v>
      </c>
      <c r="CA166" s="224">
        <f t="shared" si="130"/>
        <v>0.1</v>
      </c>
      <c r="CB166" s="227">
        <f>BZ166</f>
        <v>1000</v>
      </c>
      <c r="CC166" s="224">
        <f t="shared" si="151"/>
        <v>0.1</v>
      </c>
      <c r="CD166" s="227">
        <f>CB166</f>
        <v>1000</v>
      </c>
      <c r="CE166" s="224">
        <f t="shared" si="151"/>
        <v>0.1</v>
      </c>
      <c r="CF166" s="227">
        <v>4000</v>
      </c>
      <c r="CG166" s="224">
        <f t="shared" si="152"/>
        <v>0.4</v>
      </c>
      <c r="CH166" s="227">
        <f t="shared" si="153"/>
        <v>4000</v>
      </c>
      <c r="CI166" s="224">
        <f t="shared" si="152"/>
        <v>0.4</v>
      </c>
      <c r="CJ166" s="227">
        <v>6000</v>
      </c>
      <c r="CK166" s="224">
        <f t="shared" si="154"/>
        <v>0.6</v>
      </c>
      <c r="CL166" s="227">
        <f>CJ166</f>
        <v>6000</v>
      </c>
      <c r="CM166" s="224">
        <f t="shared" si="155"/>
        <v>0.6</v>
      </c>
      <c r="CN166" s="227">
        <v>9500</v>
      </c>
      <c r="CO166" s="224">
        <f t="shared" si="156"/>
        <v>0.95</v>
      </c>
      <c r="CP166" s="213" t="str">
        <f t="shared" si="138"/>
        <v>Không đạt</v>
      </c>
      <c r="CQ166" s="213" t="str">
        <f t="shared" si="139"/>
        <v>Không đạt</v>
      </c>
      <c r="CR166" s="192"/>
      <c r="CS166" s="192"/>
      <c r="CT166" s="223"/>
      <c r="CU166" s="163"/>
      <c r="CW166" s="195"/>
      <c r="CX166" s="196"/>
      <c r="CY166" s="196"/>
      <c r="CZ166" s="197"/>
      <c r="DA166" s="196"/>
      <c r="DB166" s="196"/>
      <c r="DC166" s="196"/>
      <c r="DE166" s="199"/>
      <c r="DF166" s="200"/>
      <c r="DG166" s="181"/>
    </row>
    <row r="167" spans="1:111" ht="25.5" outlineLevel="1" x14ac:dyDescent="0.25">
      <c r="A167" s="192">
        <f>MAX(A$155:$B166)+1</f>
        <v>15</v>
      </c>
      <c r="B167" s="222" t="s">
        <v>319</v>
      </c>
      <c r="C167" s="222"/>
      <c r="D167" s="214">
        <f t="shared" si="117"/>
        <v>200</v>
      </c>
      <c r="E167" s="205"/>
      <c r="F167" s="214">
        <f t="shared" si="146"/>
        <v>200</v>
      </c>
      <c r="G167" s="257"/>
      <c r="H167" s="257">
        <v>200</v>
      </c>
      <c r="I167" s="235"/>
      <c r="J167" s="235"/>
      <c r="K167" s="223"/>
      <c r="L167" s="235"/>
      <c r="M167" s="223"/>
      <c r="N167" s="223"/>
      <c r="O167" s="257">
        <f t="shared" si="143"/>
        <v>0</v>
      </c>
      <c r="P167" s="257">
        <v>0</v>
      </c>
      <c r="Q167" s="224">
        <f t="shared" si="124"/>
        <v>0</v>
      </c>
      <c r="R167" s="257"/>
      <c r="S167" s="225">
        <v>0</v>
      </c>
      <c r="T167" s="225">
        <v>0</v>
      </c>
      <c r="U167" s="257"/>
      <c r="V167" s="225">
        <v>0</v>
      </c>
      <c r="W167" s="225">
        <v>0</v>
      </c>
      <c r="X167" s="257"/>
      <c r="Y167" s="225">
        <v>0</v>
      </c>
      <c r="Z167" s="225">
        <v>0</v>
      </c>
      <c r="AA167" s="257"/>
      <c r="AB167" s="225">
        <v>0</v>
      </c>
      <c r="AC167" s="225">
        <v>0</v>
      </c>
      <c r="AD167" s="257"/>
      <c r="AE167" s="225">
        <v>0</v>
      </c>
      <c r="AF167" s="225">
        <v>0</v>
      </c>
      <c r="AG167" s="257"/>
      <c r="AH167" s="225">
        <v>0</v>
      </c>
      <c r="AI167" s="225">
        <v>0</v>
      </c>
      <c r="AJ167" s="257"/>
      <c r="AK167" s="225">
        <v>0</v>
      </c>
      <c r="AL167" s="225">
        <v>0</v>
      </c>
      <c r="AM167" s="257"/>
      <c r="AN167" s="225">
        <v>0</v>
      </c>
      <c r="AO167" s="225">
        <v>0</v>
      </c>
      <c r="AP167" s="225"/>
      <c r="AQ167" s="257"/>
      <c r="AR167" s="225">
        <v>0</v>
      </c>
      <c r="AS167" s="225">
        <v>0</v>
      </c>
      <c r="AT167" s="257"/>
      <c r="AU167" s="225">
        <v>0</v>
      </c>
      <c r="AV167" s="225">
        <v>0</v>
      </c>
      <c r="AW167" s="257"/>
      <c r="AX167" s="225">
        <v>0</v>
      </c>
      <c r="AY167" s="225">
        <v>0</v>
      </c>
      <c r="AZ167" s="257"/>
      <c r="BA167" s="225">
        <v>0</v>
      </c>
      <c r="BB167" s="225">
        <v>0</v>
      </c>
      <c r="BC167" s="257"/>
      <c r="BD167" s="225">
        <v>0</v>
      </c>
      <c r="BE167" s="225">
        <v>0</v>
      </c>
      <c r="BF167" s="257"/>
      <c r="BG167" s="257"/>
      <c r="BH167" s="225">
        <v>0</v>
      </c>
      <c r="BI167" s="225">
        <v>0</v>
      </c>
      <c r="BJ167" s="257">
        <f t="shared" si="125"/>
        <v>190</v>
      </c>
      <c r="BK167" s="257"/>
      <c r="BL167" s="225">
        <f t="shared" si="149"/>
        <v>0</v>
      </c>
      <c r="BM167" s="225">
        <f t="shared" si="136"/>
        <v>0</v>
      </c>
      <c r="BN167" s="205">
        <f t="shared" si="119"/>
        <v>0</v>
      </c>
      <c r="BO167" s="205"/>
      <c r="BP167" s="227"/>
      <c r="BQ167" s="224">
        <f t="shared" si="137"/>
        <v>0</v>
      </c>
      <c r="BR167" s="227"/>
      <c r="BS167" s="224">
        <f t="shared" si="150"/>
        <v>0</v>
      </c>
      <c r="BT167" s="227"/>
      <c r="BU167" s="224">
        <f t="shared" si="126"/>
        <v>0</v>
      </c>
      <c r="BV167" s="227"/>
      <c r="BW167" s="224">
        <f t="shared" si="128"/>
        <v>0</v>
      </c>
      <c r="BX167" s="227"/>
      <c r="BY167" s="224">
        <f t="shared" si="129"/>
        <v>0</v>
      </c>
      <c r="BZ167" s="227"/>
      <c r="CA167" s="224">
        <f t="shared" si="130"/>
        <v>0</v>
      </c>
      <c r="CB167" s="227"/>
      <c r="CC167" s="224">
        <f t="shared" si="151"/>
        <v>0</v>
      </c>
      <c r="CD167" s="227"/>
      <c r="CE167" s="224">
        <f t="shared" si="151"/>
        <v>0</v>
      </c>
      <c r="CF167" s="227">
        <v>190</v>
      </c>
      <c r="CG167" s="224">
        <f t="shared" si="152"/>
        <v>0.95</v>
      </c>
      <c r="CH167" s="227">
        <f t="shared" si="153"/>
        <v>190</v>
      </c>
      <c r="CI167" s="224">
        <f t="shared" si="152"/>
        <v>0.95</v>
      </c>
      <c r="CJ167" s="227">
        <f>CH167</f>
        <v>190</v>
      </c>
      <c r="CK167" s="224">
        <f t="shared" si="154"/>
        <v>0.95</v>
      </c>
      <c r="CL167" s="227">
        <f>CJ167</f>
        <v>190</v>
      </c>
      <c r="CM167" s="224">
        <f t="shared" si="155"/>
        <v>0.95</v>
      </c>
      <c r="CN167" s="227">
        <f>CL167</f>
        <v>190</v>
      </c>
      <c r="CO167" s="224">
        <f t="shared" si="156"/>
        <v>0.95</v>
      </c>
      <c r="CP167" s="213" t="str">
        <f t="shared" si="138"/>
        <v>Không đạt</v>
      </c>
      <c r="CQ167" s="213" t="str">
        <f t="shared" si="139"/>
        <v>Không đạt</v>
      </c>
      <c r="CR167" s="192"/>
      <c r="CS167" s="192"/>
      <c r="CT167" s="223"/>
      <c r="CU167" s="163"/>
      <c r="CW167" s="195"/>
      <c r="CX167" s="196"/>
      <c r="CY167" s="196"/>
      <c r="CZ167" s="197"/>
      <c r="DA167" s="196"/>
      <c r="DB167" s="196"/>
      <c r="DC167" s="196"/>
      <c r="DE167" s="199"/>
      <c r="DF167" s="200"/>
      <c r="DG167" s="181"/>
    </row>
    <row r="168" spans="1:111" ht="38.25" outlineLevel="1" x14ac:dyDescent="0.25">
      <c r="A168" s="192">
        <f>MAX(A$155:$B167)+1</f>
        <v>16</v>
      </c>
      <c r="B168" s="222" t="s">
        <v>320</v>
      </c>
      <c r="C168" s="222"/>
      <c r="D168" s="214">
        <f t="shared" si="117"/>
        <v>5000</v>
      </c>
      <c r="E168" s="205"/>
      <c r="F168" s="214">
        <f t="shared" si="146"/>
        <v>5000</v>
      </c>
      <c r="G168" s="257"/>
      <c r="H168" s="257">
        <v>5000</v>
      </c>
      <c r="I168" s="235"/>
      <c r="J168" s="235"/>
      <c r="K168" s="223"/>
      <c r="L168" s="235"/>
      <c r="M168" s="223"/>
      <c r="N168" s="223"/>
      <c r="O168" s="257">
        <f t="shared" si="143"/>
        <v>0</v>
      </c>
      <c r="P168" s="257">
        <v>0</v>
      </c>
      <c r="Q168" s="224">
        <f t="shared" si="124"/>
        <v>0</v>
      </c>
      <c r="R168" s="257"/>
      <c r="S168" s="225">
        <v>0</v>
      </c>
      <c r="T168" s="225">
        <v>0</v>
      </c>
      <c r="U168" s="257"/>
      <c r="V168" s="225">
        <v>0</v>
      </c>
      <c r="W168" s="225">
        <v>0</v>
      </c>
      <c r="X168" s="257"/>
      <c r="Y168" s="225">
        <v>0</v>
      </c>
      <c r="Z168" s="225">
        <v>0</v>
      </c>
      <c r="AA168" s="257"/>
      <c r="AB168" s="225">
        <v>0</v>
      </c>
      <c r="AC168" s="225">
        <v>0</v>
      </c>
      <c r="AD168" s="257"/>
      <c r="AE168" s="225">
        <v>0</v>
      </c>
      <c r="AF168" s="225">
        <v>0</v>
      </c>
      <c r="AG168" s="257"/>
      <c r="AH168" s="225">
        <v>0</v>
      </c>
      <c r="AI168" s="225">
        <v>0</v>
      </c>
      <c r="AJ168" s="250"/>
      <c r="AK168" s="225">
        <v>0</v>
      </c>
      <c r="AL168" s="225">
        <v>0</v>
      </c>
      <c r="AM168" s="257"/>
      <c r="AN168" s="225">
        <v>0</v>
      </c>
      <c r="AO168" s="225">
        <v>0</v>
      </c>
      <c r="AP168" s="225"/>
      <c r="AQ168" s="257"/>
      <c r="AR168" s="225">
        <v>0</v>
      </c>
      <c r="AS168" s="225">
        <v>0</v>
      </c>
      <c r="AT168" s="257"/>
      <c r="AU168" s="225">
        <v>0</v>
      </c>
      <c r="AV168" s="225">
        <v>0</v>
      </c>
      <c r="AW168" s="257"/>
      <c r="AX168" s="225">
        <v>0</v>
      </c>
      <c r="AY168" s="225">
        <v>0</v>
      </c>
      <c r="AZ168" s="257"/>
      <c r="BA168" s="225">
        <v>0</v>
      </c>
      <c r="BB168" s="225">
        <v>0</v>
      </c>
      <c r="BC168" s="257"/>
      <c r="BD168" s="225">
        <v>0</v>
      </c>
      <c r="BE168" s="225">
        <v>0</v>
      </c>
      <c r="BF168" s="257">
        <v>234.34299999999999</v>
      </c>
      <c r="BG168" s="257">
        <v>234.34299999999999</v>
      </c>
      <c r="BH168" s="225">
        <v>4.6868599999999996E-2</v>
      </c>
      <c r="BI168" s="225">
        <v>4.9335368421052628E-2</v>
      </c>
      <c r="BJ168" s="257">
        <f t="shared" si="125"/>
        <v>4750</v>
      </c>
      <c r="BK168" s="257">
        <v>234.34299999999999</v>
      </c>
      <c r="BL168" s="225">
        <f t="shared" si="149"/>
        <v>4.6868599999999996E-2</v>
      </c>
      <c r="BM168" s="225">
        <f t="shared" si="136"/>
        <v>4.9335368421052628E-2</v>
      </c>
      <c r="BN168" s="205">
        <f t="shared" si="119"/>
        <v>234.34299999999999</v>
      </c>
      <c r="BO168" s="205"/>
      <c r="BP168" s="227"/>
      <c r="BQ168" s="224">
        <f t="shared" si="137"/>
        <v>0</v>
      </c>
      <c r="BR168" s="227"/>
      <c r="BS168" s="224">
        <f t="shared" si="150"/>
        <v>0</v>
      </c>
      <c r="BT168" s="227"/>
      <c r="BU168" s="224">
        <f t="shared" si="126"/>
        <v>0</v>
      </c>
      <c r="BV168" s="227">
        <v>700</v>
      </c>
      <c r="BW168" s="224">
        <f t="shared" si="128"/>
        <v>0.14000000000000001</v>
      </c>
      <c r="BX168" s="227">
        <f>BV168</f>
        <v>700</v>
      </c>
      <c r="BY168" s="224">
        <f t="shared" si="129"/>
        <v>0.14000000000000001</v>
      </c>
      <c r="BZ168" s="227">
        <f>BX168</f>
        <v>700</v>
      </c>
      <c r="CA168" s="224">
        <f t="shared" si="130"/>
        <v>0.14000000000000001</v>
      </c>
      <c r="CB168" s="227">
        <f>BZ168</f>
        <v>700</v>
      </c>
      <c r="CC168" s="224">
        <f t="shared" si="151"/>
        <v>0.14000000000000001</v>
      </c>
      <c r="CD168" s="227">
        <v>2700</v>
      </c>
      <c r="CE168" s="224">
        <f t="shared" si="151"/>
        <v>0.54</v>
      </c>
      <c r="CF168" s="227">
        <f>CD168</f>
        <v>2700</v>
      </c>
      <c r="CG168" s="224">
        <f t="shared" si="152"/>
        <v>0.54</v>
      </c>
      <c r="CH168" s="227">
        <f t="shared" si="153"/>
        <v>2700</v>
      </c>
      <c r="CI168" s="224">
        <f t="shared" si="152"/>
        <v>0.54</v>
      </c>
      <c r="CJ168" s="227">
        <f>CH168</f>
        <v>2700</v>
      </c>
      <c r="CK168" s="224">
        <f t="shared" si="154"/>
        <v>0.54</v>
      </c>
      <c r="CL168" s="227">
        <f>CJ168</f>
        <v>2700</v>
      </c>
      <c r="CM168" s="224">
        <f t="shared" si="155"/>
        <v>0.54</v>
      </c>
      <c r="CN168" s="227">
        <v>4750</v>
      </c>
      <c r="CO168" s="224">
        <f t="shared" si="156"/>
        <v>0.95</v>
      </c>
      <c r="CP168" s="213" t="str">
        <f t="shared" si="138"/>
        <v>Không đạt</v>
      </c>
      <c r="CQ168" s="213" t="str">
        <f t="shared" si="139"/>
        <v>Không đạt</v>
      </c>
      <c r="CR168" s="192"/>
      <c r="CS168" s="192"/>
      <c r="CT168" s="223"/>
      <c r="CU168" s="163"/>
      <c r="CW168" s="195"/>
      <c r="CX168" s="196"/>
      <c r="CY168" s="196"/>
      <c r="CZ168" s="197"/>
      <c r="DA168" s="196"/>
      <c r="DB168" s="196"/>
      <c r="DC168" s="196"/>
      <c r="DE168" s="199"/>
      <c r="DF168" s="200"/>
      <c r="DG168" s="181"/>
    </row>
    <row r="169" spans="1:111" outlineLevel="1" x14ac:dyDescent="0.25">
      <c r="A169" s="192"/>
      <c r="B169" s="261" t="s">
        <v>228</v>
      </c>
      <c r="C169" s="240"/>
      <c r="D169" s="214">
        <f t="shared" si="117"/>
        <v>0</v>
      </c>
      <c r="E169" s="205"/>
      <c r="F169" s="214">
        <f t="shared" si="146"/>
        <v>0</v>
      </c>
      <c r="G169" s="250"/>
      <c r="H169" s="250"/>
      <c r="I169" s="235"/>
      <c r="J169" s="235"/>
      <c r="K169" s="223"/>
      <c r="L169" s="235"/>
      <c r="M169" s="223"/>
      <c r="N169" s="223"/>
      <c r="O169" s="250">
        <f t="shared" si="143"/>
        <v>0</v>
      </c>
      <c r="P169" s="250">
        <v>0</v>
      </c>
      <c r="Q169" s="224" t="e">
        <f t="shared" si="124"/>
        <v>#DIV/0!</v>
      </c>
      <c r="R169" s="250"/>
      <c r="S169" s="225"/>
      <c r="T169" s="225" t="e">
        <v>#DIV/0!</v>
      </c>
      <c r="U169" s="250"/>
      <c r="V169" s="225"/>
      <c r="W169" s="225" t="e">
        <v>#DIV/0!</v>
      </c>
      <c r="X169" s="250"/>
      <c r="Y169" s="225"/>
      <c r="Z169" s="225" t="e">
        <v>#DIV/0!</v>
      </c>
      <c r="AA169" s="250"/>
      <c r="AB169" s="225"/>
      <c r="AC169" s="225" t="e">
        <v>#DIV/0!</v>
      </c>
      <c r="AD169" s="250"/>
      <c r="AE169" s="225"/>
      <c r="AF169" s="225" t="e">
        <v>#DIV/0!</v>
      </c>
      <c r="AG169" s="250"/>
      <c r="AH169" s="225"/>
      <c r="AI169" s="225" t="e">
        <v>#DIV/0!</v>
      </c>
      <c r="AJ169" s="257"/>
      <c r="AK169" s="225"/>
      <c r="AL169" s="225" t="e">
        <v>#DIV/0!</v>
      </c>
      <c r="AM169" s="250"/>
      <c r="AN169" s="225"/>
      <c r="AO169" s="225" t="e">
        <v>#DIV/0!</v>
      </c>
      <c r="AP169" s="225"/>
      <c r="AQ169" s="250"/>
      <c r="AR169" s="225"/>
      <c r="AS169" s="225" t="e">
        <v>#DIV/0!</v>
      </c>
      <c r="AT169" s="250"/>
      <c r="AU169" s="225"/>
      <c r="AV169" s="225" t="e">
        <v>#DIV/0!</v>
      </c>
      <c r="AW169" s="250"/>
      <c r="AX169" s="225"/>
      <c r="AY169" s="225" t="e">
        <v>#DIV/0!</v>
      </c>
      <c r="AZ169" s="250"/>
      <c r="BA169" s="225"/>
      <c r="BB169" s="225"/>
      <c r="BC169" s="250"/>
      <c r="BD169" s="225"/>
      <c r="BE169" s="225"/>
      <c r="BF169" s="250"/>
      <c r="BG169" s="250"/>
      <c r="BH169" s="225"/>
      <c r="BI169" s="225"/>
      <c r="BJ169" s="250">
        <f t="shared" si="125"/>
        <v>0</v>
      </c>
      <c r="BK169" s="250"/>
      <c r="BL169" s="225"/>
      <c r="BM169" s="225"/>
      <c r="BN169" s="205">
        <f t="shared" si="119"/>
        <v>0</v>
      </c>
      <c r="BO169" s="205"/>
      <c r="BP169" s="227"/>
      <c r="BQ169" s="224"/>
      <c r="BR169" s="227"/>
      <c r="BS169" s="224"/>
      <c r="BT169" s="227"/>
      <c r="BU169" s="224"/>
      <c r="BV169" s="227"/>
      <c r="BW169" s="224"/>
      <c r="BX169" s="227"/>
      <c r="BY169" s="224"/>
      <c r="BZ169" s="227"/>
      <c r="CA169" s="224"/>
      <c r="CB169" s="227"/>
      <c r="CC169" s="224"/>
      <c r="CD169" s="227"/>
      <c r="CE169" s="224"/>
      <c r="CF169" s="227"/>
      <c r="CG169" s="224"/>
      <c r="CH169" s="227"/>
      <c r="CI169" s="224"/>
      <c r="CJ169" s="227"/>
      <c r="CK169" s="224"/>
      <c r="CL169" s="227"/>
      <c r="CM169" s="224"/>
      <c r="CN169" s="227"/>
      <c r="CO169" s="224"/>
      <c r="CP169" s="213" t="str">
        <f t="shared" si="138"/>
        <v>Không đạt</v>
      </c>
      <c r="CQ169" s="213" t="str">
        <f t="shared" si="139"/>
        <v>Không đạt</v>
      </c>
      <c r="CR169" s="192"/>
      <c r="CS169" s="192"/>
      <c r="CT169" s="223"/>
      <c r="CU169" s="163"/>
      <c r="CW169" s="195"/>
      <c r="CX169" s="196"/>
      <c r="CY169" s="196"/>
      <c r="CZ169" s="197"/>
      <c r="DA169" s="196"/>
      <c r="DB169" s="196"/>
      <c r="DC169" s="196"/>
      <c r="DE169" s="199"/>
      <c r="DF169" s="200"/>
      <c r="DG169" s="181"/>
    </row>
    <row r="170" spans="1:111" ht="25.5" outlineLevel="1" x14ac:dyDescent="0.25">
      <c r="A170" s="192">
        <f>MAX(A$155:$B169)+1</f>
        <v>17</v>
      </c>
      <c r="B170" s="222" t="s">
        <v>321</v>
      </c>
      <c r="C170" s="222"/>
      <c r="D170" s="214">
        <f t="shared" si="117"/>
        <v>9000</v>
      </c>
      <c r="E170" s="205"/>
      <c r="F170" s="214">
        <f t="shared" si="146"/>
        <v>9000</v>
      </c>
      <c r="G170" s="257"/>
      <c r="H170" s="257">
        <f>14000-5000</f>
        <v>9000</v>
      </c>
      <c r="I170" s="235"/>
      <c r="J170" s="235"/>
      <c r="K170" s="223"/>
      <c r="L170" s="235"/>
      <c r="M170" s="223"/>
      <c r="N170" s="223"/>
      <c r="O170" s="257">
        <f t="shared" si="143"/>
        <v>0</v>
      </c>
      <c r="P170" s="257">
        <v>0</v>
      </c>
      <c r="Q170" s="224">
        <f t="shared" si="124"/>
        <v>0</v>
      </c>
      <c r="R170" s="257"/>
      <c r="S170" s="225">
        <v>0</v>
      </c>
      <c r="T170" s="225">
        <v>0</v>
      </c>
      <c r="U170" s="257"/>
      <c r="V170" s="225">
        <v>0</v>
      </c>
      <c r="W170" s="225">
        <v>0</v>
      </c>
      <c r="X170" s="257"/>
      <c r="Y170" s="225">
        <v>0</v>
      </c>
      <c r="Z170" s="225">
        <v>0</v>
      </c>
      <c r="AA170" s="257"/>
      <c r="AB170" s="225">
        <v>0</v>
      </c>
      <c r="AC170" s="225">
        <v>0</v>
      </c>
      <c r="AD170" s="257"/>
      <c r="AE170" s="225">
        <v>0</v>
      </c>
      <c r="AF170" s="225">
        <v>0</v>
      </c>
      <c r="AG170" s="257"/>
      <c r="AH170" s="225">
        <v>0</v>
      </c>
      <c r="AI170" s="225">
        <v>0</v>
      </c>
      <c r="AJ170" s="257"/>
      <c r="AK170" s="225">
        <v>0</v>
      </c>
      <c r="AL170" s="225">
        <v>0</v>
      </c>
      <c r="AM170" s="257"/>
      <c r="AN170" s="225">
        <v>0</v>
      </c>
      <c r="AO170" s="225">
        <v>0</v>
      </c>
      <c r="AP170" s="225"/>
      <c r="AQ170" s="257"/>
      <c r="AR170" s="225">
        <v>0</v>
      </c>
      <c r="AS170" s="225">
        <v>0</v>
      </c>
      <c r="AT170" s="257"/>
      <c r="AU170" s="225">
        <v>0</v>
      </c>
      <c r="AV170" s="225">
        <v>0</v>
      </c>
      <c r="AW170" s="257"/>
      <c r="AX170" s="225">
        <v>0</v>
      </c>
      <c r="AY170" s="225">
        <v>0</v>
      </c>
      <c r="AZ170" s="257"/>
      <c r="BA170" s="225">
        <v>0</v>
      </c>
      <c r="BB170" s="225">
        <v>0</v>
      </c>
      <c r="BC170" s="257"/>
      <c r="BD170" s="225">
        <v>0</v>
      </c>
      <c r="BE170" s="225">
        <v>0</v>
      </c>
      <c r="BF170" s="257"/>
      <c r="BG170" s="257"/>
      <c r="BH170" s="225">
        <v>0</v>
      </c>
      <c r="BI170" s="225">
        <v>0</v>
      </c>
      <c r="BJ170" s="257">
        <f t="shared" si="125"/>
        <v>8550</v>
      </c>
      <c r="BK170" s="257"/>
      <c r="BL170" s="225">
        <f>BK170/$D170</f>
        <v>0</v>
      </c>
      <c r="BM170" s="225">
        <f t="shared" si="136"/>
        <v>0</v>
      </c>
      <c r="BN170" s="205">
        <f t="shared" si="119"/>
        <v>0</v>
      </c>
      <c r="BO170" s="205"/>
      <c r="BP170" s="227"/>
      <c r="BQ170" s="224">
        <f t="shared" si="137"/>
        <v>0</v>
      </c>
      <c r="BR170" s="227"/>
      <c r="BS170" s="224">
        <f>BR170/$D170</f>
        <v>0</v>
      </c>
      <c r="BT170" s="227"/>
      <c r="BU170" s="224">
        <f t="shared" si="126"/>
        <v>0</v>
      </c>
      <c r="BV170" s="227"/>
      <c r="BW170" s="224">
        <f t="shared" si="128"/>
        <v>0</v>
      </c>
      <c r="BX170" s="227"/>
      <c r="BY170" s="224">
        <f t="shared" si="129"/>
        <v>0</v>
      </c>
      <c r="BZ170" s="227">
        <v>2000</v>
      </c>
      <c r="CA170" s="224">
        <f t="shared" si="130"/>
        <v>0.22222222222222221</v>
      </c>
      <c r="CB170" s="227">
        <f>BZ170</f>
        <v>2000</v>
      </c>
      <c r="CC170" s="224">
        <f t="shared" si="151"/>
        <v>0.22222222222222221</v>
      </c>
      <c r="CD170" s="227">
        <v>4000</v>
      </c>
      <c r="CE170" s="224">
        <f t="shared" si="151"/>
        <v>0.44444444444444442</v>
      </c>
      <c r="CF170" s="227">
        <f>CD170</f>
        <v>4000</v>
      </c>
      <c r="CG170" s="224">
        <f t="shared" ref="CG170:CI173" si="157">CF170/$D170</f>
        <v>0.44444444444444442</v>
      </c>
      <c r="CH170" s="227">
        <v>6000</v>
      </c>
      <c r="CI170" s="224">
        <f t="shared" si="157"/>
        <v>0.66666666666666663</v>
      </c>
      <c r="CJ170" s="227">
        <v>9000</v>
      </c>
      <c r="CK170" s="224">
        <f>CJ170/$D170</f>
        <v>1</v>
      </c>
      <c r="CL170" s="227">
        <v>13300</v>
      </c>
      <c r="CM170" s="224">
        <f>CL170/$D170</f>
        <v>1.4777777777777779</v>
      </c>
      <c r="CN170" s="227">
        <f>CL170</f>
        <v>13300</v>
      </c>
      <c r="CO170" s="224">
        <f>CN170/$D170</f>
        <v>1.4777777777777779</v>
      </c>
      <c r="CP170" s="213" t="str">
        <f t="shared" si="138"/>
        <v>Không đạt</v>
      </c>
      <c r="CQ170" s="213" t="str">
        <f t="shared" si="139"/>
        <v>Không đạt</v>
      </c>
      <c r="CR170" s="192"/>
      <c r="CS170" s="192"/>
      <c r="CT170" s="223"/>
      <c r="CU170" s="163"/>
      <c r="CW170" s="195"/>
      <c r="CX170" s="196"/>
      <c r="CY170" s="196"/>
      <c r="CZ170" s="197"/>
      <c r="DA170" s="196"/>
      <c r="DB170" s="196"/>
      <c r="DC170" s="196"/>
      <c r="DE170" s="199"/>
      <c r="DF170" s="200"/>
      <c r="DG170" s="181"/>
    </row>
    <row r="171" spans="1:111" ht="25.5" outlineLevel="1" x14ac:dyDescent="0.25">
      <c r="A171" s="192">
        <f>MAX(A$155:$B170)+1</f>
        <v>18</v>
      </c>
      <c r="B171" s="222" t="s">
        <v>322</v>
      </c>
      <c r="C171" s="222"/>
      <c r="D171" s="214">
        <f t="shared" si="117"/>
        <v>14000</v>
      </c>
      <c r="E171" s="205"/>
      <c r="F171" s="214">
        <f t="shared" si="146"/>
        <v>14000</v>
      </c>
      <c r="G171" s="257"/>
      <c r="H171" s="257">
        <f>10000+4000</f>
        <v>14000</v>
      </c>
      <c r="I171" s="235"/>
      <c r="J171" s="235"/>
      <c r="K171" s="223"/>
      <c r="L171" s="235"/>
      <c r="M171" s="223"/>
      <c r="N171" s="223"/>
      <c r="O171" s="257">
        <f t="shared" si="143"/>
        <v>0</v>
      </c>
      <c r="P171" s="257">
        <v>0</v>
      </c>
      <c r="Q171" s="224">
        <f t="shared" si="124"/>
        <v>0</v>
      </c>
      <c r="R171" s="257"/>
      <c r="S171" s="225">
        <v>0</v>
      </c>
      <c r="T171" s="225">
        <v>0</v>
      </c>
      <c r="U171" s="257"/>
      <c r="V171" s="225">
        <v>0</v>
      </c>
      <c r="W171" s="225">
        <v>0</v>
      </c>
      <c r="X171" s="257"/>
      <c r="Y171" s="225">
        <v>0</v>
      </c>
      <c r="Z171" s="225">
        <v>0</v>
      </c>
      <c r="AA171" s="257"/>
      <c r="AB171" s="225">
        <v>0</v>
      </c>
      <c r="AC171" s="225">
        <v>0</v>
      </c>
      <c r="AD171" s="257"/>
      <c r="AE171" s="225">
        <v>0</v>
      </c>
      <c r="AF171" s="225">
        <v>0</v>
      </c>
      <c r="AG171" s="257"/>
      <c r="AH171" s="225">
        <v>0</v>
      </c>
      <c r="AI171" s="225">
        <v>0</v>
      </c>
      <c r="AJ171" s="257"/>
      <c r="AK171" s="225">
        <v>0</v>
      </c>
      <c r="AL171" s="225">
        <v>0</v>
      </c>
      <c r="AM171" s="257"/>
      <c r="AN171" s="225">
        <v>0</v>
      </c>
      <c r="AO171" s="225">
        <v>0</v>
      </c>
      <c r="AP171" s="225"/>
      <c r="AQ171" s="257"/>
      <c r="AR171" s="225">
        <v>0</v>
      </c>
      <c r="AS171" s="225">
        <v>0</v>
      </c>
      <c r="AT171" s="257"/>
      <c r="AU171" s="225">
        <v>0</v>
      </c>
      <c r="AV171" s="225">
        <v>0</v>
      </c>
      <c r="AW171" s="257"/>
      <c r="AX171" s="225">
        <v>0</v>
      </c>
      <c r="AY171" s="225">
        <v>0</v>
      </c>
      <c r="AZ171" s="257"/>
      <c r="BA171" s="225">
        <v>0</v>
      </c>
      <c r="BB171" s="225">
        <v>0</v>
      </c>
      <c r="BC171" s="257"/>
      <c r="BD171" s="225">
        <v>0</v>
      </c>
      <c r="BE171" s="225">
        <v>0</v>
      </c>
      <c r="BF171" s="257">
        <v>2021.1770000000001</v>
      </c>
      <c r="BG171" s="257">
        <v>2021.1770000000001</v>
      </c>
      <c r="BH171" s="225">
        <v>0.14436978571428571</v>
      </c>
      <c r="BI171" s="225">
        <v>0.15196819548872181</v>
      </c>
      <c r="BJ171" s="257">
        <f t="shared" si="125"/>
        <v>13300</v>
      </c>
      <c r="BK171" s="257">
        <v>2021.1770000000001</v>
      </c>
      <c r="BL171" s="225">
        <f>BK171/$D171</f>
        <v>0.14436978571428571</v>
      </c>
      <c r="BM171" s="225">
        <f t="shared" si="136"/>
        <v>0.15196819548872181</v>
      </c>
      <c r="BN171" s="205">
        <f t="shared" si="119"/>
        <v>2021.1770000000001</v>
      </c>
      <c r="BO171" s="205"/>
      <c r="BP171" s="227"/>
      <c r="BQ171" s="224">
        <f t="shared" si="137"/>
        <v>0</v>
      </c>
      <c r="BR171" s="227"/>
      <c r="BS171" s="224">
        <f>BR171/$D171</f>
        <v>0</v>
      </c>
      <c r="BT171" s="227"/>
      <c r="BU171" s="224">
        <f t="shared" si="126"/>
        <v>0</v>
      </c>
      <c r="BV171" s="227">
        <v>5000</v>
      </c>
      <c r="BW171" s="224">
        <f t="shared" si="128"/>
        <v>0.35714285714285715</v>
      </c>
      <c r="BX171" s="227">
        <f>BV171</f>
        <v>5000</v>
      </c>
      <c r="BY171" s="224">
        <f t="shared" si="129"/>
        <v>0.35714285714285715</v>
      </c>
      <c r="BZ171" s="227">
        <v>7000</v>
      </c>
      <c r="CA171" s="224">
        <f t="shared" si="130"/>
        <v>0.5</v>
      </c>
      <c r="CB171" s="227">
        <f>BZ171</f>
        <v>7000</v>
      </c>
      <c r="CC171" s="224">
        <f t="shared" si="151"/>
        <v>0.5</v>
      </c>
      <c r="CD171" s="227">
        <f>CB171</f>
        <v>7000</v>
      </c>
      <c r="CE171" s="224">
        <f t="shared" si="151"/>
        <v>0.5</v>
      </c>
      <c r="CF171" s="227">
        <f>CD171</f>
        <v>7000</v>
      </c>
      <c r="CG171" s="224">
        <f t="shared" si="157"/>
        <v>0.5</v>
      </c>
      <c r="CH171" s="227">
        <v>9500</v>
      </c>
      <c r="CI171" s="224">
        <f t="shared" si="157"/>
        <v>0.6785714285714286</v>
      </c>
      <c r="CJ171" s="227">
        <f>CH171</f>
        <v>9500</v>
      </c>
      <c r="CK171" s="224">
        <f>CJ171/$D171</f>
        <v>0.6785714285714286</v>
      </c>
      <c r="CL171" s="227">
        <f>CJ171</f>
        <v>9500</v>
      </c>
      <c r="CM171" s="224">
        <f>CL171/$D171</f>
        <v>0.6785714285714286</v>
      </c>
      <c r="CN171" s="227">
        <f>CL171</f>
        <v>9500</v>
      </c>
      <c r="CO171" s="224">
        <f>CN171/$D171</f>
        <v>0.6785714285714286</v>
      </c>
      <c r="CP171" s="213" t="str">
        <f t="shared" si="138"/>
        <v>Không đạt</v>
      </c>
      <c r="CQ171" s="213" t="str">
        <f t="shared" si="139"/>
        <v>Không đạt</v>
      </c>
      <c r="CR171" s="192"/>
      <c r="CS171" s="192"/>
      <c r="CT171" s="223"/>
      <c r="CU171" s="163"/>
      <c r="CW171" s="195"/>
      <c r="CX171" s="196"/>
      <c r="CY171" s="196"/>
      <c r="CZ171" s="197"/>
      <c r="DA171" s="196"/>
      <c r="DB171" s="196"/>
      <c r="DC171" s="196"/>
      <c r="DE171" s="199"/>
      <c r="DF171" s="200"/>
      <c r="DG171" s="181"/>
    </row>
    <row r="172" spans="1:111" ht="25.5" outlineLevel="1" x14ac:dyDescent="0.25">
      <c r="A172" s="192">
        <f>MAX(A$155:$B171)+1</f>
        <v>19</v>
      </c>
      <c r="B172" s="222" t="s">
        <v>323</v>
      </c>
      <c r="C172" s="222">
        <v>7838339</v>
      </c>
      <c r="D172" s="214">
        <f t="shared" si="117"/>
        <v>9500</v>
      </c>
      <c r="E172" s="205"/>
      <c r="F172" s="214">
        <f t="shared" si="146"/>
        <v>9500</v>
      </c>
      <c r="G172" s="257"/>
      <c r="H172" s="257">
        <f>10000-500</f>
        <v>9500</v>
      </c>
      <c r="I172" s="235">
        <v>2755</v>
      </c>
      <c r="J172" s="257">
        <v>2754.1440000000002</v>
      </c>
      <c r="K172" s="223"/>
      <c r="L172" s="235"/>
      <c r="M172" s="223"/>
      <c r="N172" s="223"/>
      <c r="O172" s="257">
        <f t="shared" si="143"/>
        <v>2755</v>
      </c>
      <c r="P172" s="257">
        <v>305.858</v>
      </c>
      <c r="Q172" s="224">
        <f t="shared" si="124"/>
        <v>3.2195578947368422E-2</v>
      </c>
      <c r="R172" s="257">
        <v>305.858</v>
      </c>
      <c r="S172" s="225">
        <v>3.05858E-2</v>
      </c>
      <c r="T172" s="225">
        <v>3.2195578947368422E-2</v>
      </c>
      <c r="U172" s="257">
        <v>305.858</v>
      </c>
      <c r="V172" s="225">
        <v>3.05858E-2</v>
      </c>
      <c r="W172" s="225">
        <v>3.2195578947368422E-2</v>
      </c>
      <c r="X172" s="257">
        <v>305.858</v>
      </c>
      <c r="Y172" s="225">
        <v>3.05858E-2</v>
      </c>
      <c r="Z172" s="225">
        <v>3.2195578947368422E-2</v>
      </c>
      <c r="AA172" s="257">
        <v>305.858</v>
      </c>
      <c r="AB172" s="225">
        <v>3.05858E-2</v>
      </c>
      <c r="AC172" s="225">
        <v>3.2195578947368422E-2</v>
      </c>
      <c r="AD172" s="257">
        <v>305.858</v>
      </c>
      <c r="AE172" s="225">
        <v>3.05858E-2</v>
      </c>
      <c r="AF172" s="225">
        <v>3.2195578947368422E-2</v>
      </c>
      <c r="AG172" s="257">
        <v>305.858</v>
      </c>
      <c r="AH172" s="225">
        <v>3.05858E-2</v>
      </c>
      <c r="AI172" s="225">
        <v>3.2195578947368422E-2</v>
      </c>
      <c r="AJ172" s="257">
        <v>305.858</v>
      </c>
      <c r="AK172" s="225">
        <v>3.05858E-2</v>
      </c>
      <c r="AL172" s="225">
        <v>3.2195578947368422E-2</v>
      </c>
      <c r="AM172" s="257">
        <v>2754.1440000000002</v>
      </c>
      <c r="AN172" s="225">
        <v>0.2754144</v>
      </c>
      <c r="AO172" s="225">
        <v>0.28990989473684214</v>
      </c>
      <c r="AP172" s="225"/>
      <c r="AQ172" s="257">
        <v>2754.1440000000002</v>
      </c>
      <c r="AR172" s="225">
        <v>0.2754144</v>
      </c>
      <c r="AS172" s="225">
        <v>0.28990989473684214</v>
      </c>
      <c r="AT172" s="257">
        <v>2754.1440000000002</v>
      </c>
      <c r="AU172" s="225">
        <v>0.2754144</v>
      </c>
      <c r="AV172" s="225">
        <v>0.28990989473684214</v>
      </c>
      <c r="AW172" s="257">
        <v>2754.1440000000002</v>
      </c>
      <c r="AX172" s="225">
        <v>0.2754144</v>
      </c>
      <c r="AY172" s="225">
        <v>0.28990989473684214</v>
      </c>
      <c r="AZ172" s="257">
        <v>2754.1440000000002</v>
      </c>
      <c r="BA172" s="225">
        <v>0.2754144</v>
      </c>
      <c r="BB172" s="225">
        <v>0.28990989473684214</v>
      </c>
      <c r="BC172" s="257">
        <v>2754.1440000000002</v>
      </c>
      <c r="BD172" s="225">
        <v>0.2754144</v>
      </c>
      <c r="BE172" s="225">
        <v>0.28990989473684214</v>
      </c>
      <c r="BF172" s="257">
        <v>4350.6270000000004</v>
      </c>
      <c r="BG172" s="257">
        <v>4350.6270000000004</v>
      </c>
      <c r="BH172" s="225">
        <v>0.45796073684210531</v>
      </c>
      <c r="BI172" s="225">
        <v>0.48206393351800558</v>
      </c>
      <c r="BJ172" s="257">
        <f t="shared" si="125"/>
        <v>9025</v>
      </c>
      <c r="BK172" s="257">
        <v>4350.6270000000004</v>
      </c>
      <c r="BL172" s="225">
        <f>BK172/$D172</f>
        <v>0.45796073684210531</v>
      </c>
      <c r="BM172" s="225">
        <f t="shared" si="136"/>
        <v>0.48206393351800558</v>
      </c>
      <c r="BN172" s="205">
        <f t="shared" si="119"/>
        <v>4044.7690000000002</v>
      </c>
      <c r="BO172" s="205"/>
      <c r="BP172" s="227">
        <v>306</v>
      </c>
      <c r="BQ172" s="224">
        <f t="shared" si="137"/>
        <v>3.2210526315789474E-2</v>
      </c>
      <c r="BR172" s="227">
        <f>BP172</f>
        <v>306</v>
      </c>
      <c r="BS172" s="224">
        <f>BR172/$D172</f>
        <v>3.2210526315789474E-2</v>
      </c>
      <c r="BT172" s="227">
        <f>BR172</f>
        <v>306</v>
      </c>
      <c r="BU172" s="224">
        <f t="shared" si="126"/>
        <v>3.2210526315789474E-2</v>
      </c>
      <c r="BV172" s="227">
        <f>BT172</f>
        <v>306</v>
      </c>
      <c r="BW172" s="224">
        <f t="shared" si="128"/>
        <v>3.2210526315789474E-2</v>
      </c>
      <c r="BX172" s="227">
        <f>4000+BP172</f>
        <v>4306</v>
      </c>
      <c r="BY172" s="224">
        <f t="shared" si="129"/>
        <v>0.45326315789473687</v>
      </c>
      <c r="BZ172" s="227">
        <f>BX172</f>
        <v>4306</v>
      </c>
      <c r="CA172" s="224">
        <f t="shared" si="130"/>
        <v>0.45326315789473687</v>
      </c>
      <c r="CB172" s="227">
        <f>BZ172</f>
        <v>4306</v>
      </c>
      <c r="CC172" s="224">
        <f t="shared" si="151"/>
        <v>0.45326315789473687</v>
      </c>
      <c r="CD172" s="227">
        <f>CB172</f>
        <v>4306</v>
      </c>
      <c r="CE172" s="224">
        <f t="shared" si="151"/>
        <v>0.45326315789473687</v>
      </c>
      <c r="CF172" s="227">
        <f>4000+CD172</f>
        <v>8306</v>
      </c>
      <c r="CG172" s="224">
        <f t="shared" si="157"/>
        <v>0.87431578947368416</v>
      </c>
      <c r="CH172" s="227">
        <f>CF172</f>
        <v>8306</v>
      </c>
      <c r="CI172" s="224">
        <f t="shared" si="157"/>
        <v>0.87431578947368416</v>
      </c>
      <c r="CJ172" s="227">
        <f>CH172</f>
        <v>8306</v>
      </c>
      <c r="CK172" s="224">
        <f>CJ172/$D172</f>
        <v>0.87431578947368416</v>
      </c>
      <c r="CL172" s="227">
        <f>1500+CJ172-306</f>
        <v>9500</v>
      </c>
      <c r="CM172" s="224">
        <f>CL172/$D172</f>
        <v>1</v>
      </c>
      <c r="CN172" s="227">
        <f>CL172</f>
        <v>9500</v>
      </c>
      <c r="CO172" s="224">
        <f>CN172/$D172</f>
        <v>1</v>
      </c>
      <c r="CP172" s="213" t="str">
        <f t="shared" si="138"/>
        <v>Đạt</v>
      </c>
      <c r="CQ172" s="213" t="str">
        <f t="shared" si="139"/>
        <v>Đạt</v>
      </c>
      <c r="CR172" s="192"/>
      <c r="CS172" s="192"/>
      <c r="CT172" s="223"/>
      <c r="CU172" s="163"/>
      <c r="CW172" s="195"/>
      <c r="CX172" s="196"/>
      <c r="CY172" s="196"/>
      <c r="CZ172" s="197"/>
      <c r="DA172" s="196"/>
      <c r="DB172" s="196"/>
      <c r="DC172" s="196"/>
      <c r="DE172" s="199"/>
      <c r="DF172" s="200"/>
      <c r="DG172" s="181"/>
    </row>
    <row r="173" spans="1:111" ht="25.5" outlineLevel="1" x14ac:dyDescent="0.25">
      <c r="A173" s="192">
        <f>MAX(A$155:$B172)+1</f>
        <v>20</v>
      </c>
      <c r="B173" s="222" t="s">
        <v>324</v>
      </c>
      <c r="C173" s="222"/>
      <c r="D173" s="214">
        <f t="shared" si="117"/>
        <v>250</v>
      </c>
      <c r="E173" s="205"/>
      <c r="F173" s="214">
        <f t="shared" si="146"/>
        <v>250</v>
      </c>
      <c r="G173" s="257"/>
      <c r="H173" s="257">
        <f>3000-2750</f>
        <v>250</v>
      </c>
      <c r="I173" s="235"/>
      <c r="J173" s="257"/>
      <c r="K173" s="223"/>
      <c r="L173" s="235"/>
      <c r="M173" s="223"/>
      <c r="N173" s="223"/>
      <c r="O173" s="257">
        <f t="shared" si="143"/>
        <v>0</v>
      </c>
      <c r="P173" s="257">
        <v>0</v>
      </c>
      <c r="Q173" s="224">
        <f t="shared" si="124"/>
        <v>0</v>
      </c>
      <c r="R173" s="257"/>
      <c r="S173" s="225">
        <v>0</v>
      </c>
      <c r="T173" s="225">
        <v>0</v>
      </c>
      <c r="U173" s="257"/>
      <c r="V173" s="225">
        <v>0</v>
      </c>
      <c r="W173" s="225">
        <v>0</v>
      </c>
      <c r="X173" s="257"/>
      <c r="Y173" s="225">
        <v>0</v>
      </c>
      <c r="Z173" s="225">
        <v>0</v>
      </c>
      <c r="AA173" s="257"/>
      <c r="AB173" s="225">
        <v>0</v>
      </c>
      <c r="AC173" s="225">
        <v>0</v>
      </c>
      <c r="AD173" s="257"/>
      <c r="AE173" s="225">
        <v>0</v>
      </c>
      <c r="AF173" s="225">
        <v>0</v>
      </c>
      <c r="AG173" s="257"/>
      <c r="AH173" s="225">
        <v>0</v>
      </c>
      <c r="AI173" s="225">
        <v>0</v>
      </c>
      <c r="AJ173" s="250"/>
      <c r="AK173" s="225">
        <v>0</v>
      </c>
      <c r="AL173" s="225">
        <v>0</v>
      </c>
      <c r="AM173" s="257"/>
      <c r="AN173" s="225">
        <v>0</v>
      </c>
      <c r="AO173" s="225">
        <v>0</v>
      </c>
      <c r="AP173" s="225"/>
      <c r="AQ173" s="257"/>
      <c r="AR173" s="225">
        <v>0</v>
      </c>
      <c r="AS173" s="225">
        <v>0</v>
      </c>
      <c r="AT173" s="257"/>
      <c r="AU173" s="225">
        <v>0</v>
      </c>
      <c r="AV173" s="225">
        <v>0</v>
      </c>
      <c r="AW173" s="257"/>
      <c r="AX173" s="225">
        <v>0</v>
      </c>
      <c r="AY173" s="225">
        <v>0</v>
      </c>
      <c r="AZ173" s="257"/>
      <c r="BA173" s="225">
        <v>0</v>
      </c>
      <c r="BB173" s="225">
        <v>0</v>
      </c>
      <c r="BC173" s="257"/>
      <c r="BD173" s="225">
        <v>0</v>
      </c>
      <c r="BE173" s="225">
        <v>0</v>
      </c>
      <c r="BF173" s="257"/>
      <c r="BG173" s="257"/>
      <c r="BH173" s="225">
        <v>0</v>
      </c>
      <c r="BI173" s="225">
        <v>0</v>
      </c>
      <c r="BJ173" s="257">
        <f t="shared" si="125"/>
        <v>237.5</v>
      </c>
      <c r="BK173" s="257"/>
      <c r="BL173" s="225">
        <f>BK173/$D173</f>
        <v>0</v>
      </c>
      <c r="BM173" s="225">
        <f t="shared" si="136"/>
        <v>0</v>
      </c>
      <c r="BN173" s="205">
        <f t="shared" si="119"/>
        <v>0</v>
      </c>
      <c r="BO173" s="205"/>
      <c r="BP173" s="227"/>
      <c r="BQ173" s="224">
        <f t="shared" si="137"/>
        <v>0</v>
      </c>
      <c r="BR173" s="227"/>
      <c r="BS173" s="224">
        <f>BR173/$D173</f>
        <v>0</v>
      </c>
      <c r="BT173" s="227"/>
      <c r="BU173" s="224">
        <f t="shared" si="126"/>
        <v>0</v>
      </c>
      <c r="BV173" s="227"/>
      <c r="BW173" s="224">
        <f t="shared" si="128"/>
        <v>0</v>
      </c>
      <c r="BX173" s="227"/>
      <c r="BY173" s="224">
        <f t="shared" si="129"/>
        <v>0</v>
      </c>
      <c r="BZ173" s="227"/>
      <c r="CA173" s="224">
        <f t="shared" si="130"/>
        <v>0</v>
      </c>
      <c r="CB173" s="227"/>
      <c r="CC173" s="224">
        <f t="shared" si="151"/>
        <v>0</v>
      </c>
      <c r="CD173" s="227"/>
      <c r="CE173" s="224">
        <f t="shared" si="151"/>
        <v>0</v>
      </c>
      <c r="CF173" s="227"/>
      <c r="CG173" s="224">
        <f t="shared" si="157"/>
        <v>0</v>
      </c>
      <c r="CH173" s="227"/>
      <c r="CI173" s="224">
        <f t="shared" si="157"/>
        <v>0</v>
      </c>
      <c r="CJ173" s="227"/>
      <c r="CK173" s="224">
        <f>CJ173/$D173</f>
        <v>0</v>
      </c>
      <c r="CL173" s="227">
        <v>2850</v>
      </c>
      <c r="CM173" s="224">
        <f>CL173/$D173</f>
        <v>11.4</v>
      </c>
      <c r="CN173" s="227">
        <f>CL173</f>
        <v>2850</v>
      </c>
      <c r="CO173" s="224">
        <f>CN173/$D173</f>
        <v>11.4</v>
      </c>
      <c r="CP173" s="213" t="str">
        <f t="shared" si="138"/>
        <v>Không đạt</v>
      </c>
      <c r="CQ173" s="213" t="str">
        <f t="shared" si="139"/>
        <v>Không đạt</v>
      </c>
      <c r="CR173" s="192"/>
      <c r="CS173" s="192"/>
      <c r="CT173" s="223"/>
      <c r="CU173" s="163"/>
      <c r="CW173" s="195"/>
      <c r="CX173" s="196"/>
      <c r="CY173" s="196"/>
      <c r="CZ173" s="197"/>
      <c r="DA173" s="196"/>
      <c r="DB173" s="196"/>
      <c r="DC173" s="196"/>
      <c r="DE173" s="199"/>
      <c r="DF173" s="200"/>
      <c r="DG173" s="181"/>
    </row>
    <row r="174" spans="1:111" outlineLevel="1" x14ac:dyDescent="0.25">
      <c r="A174" s="192"/>
      <c r="B174" s="261" t="s">
        <v>219</v>
      </c>
      <c r="C174" s="240"/>
      <c r="D174" s="214">
        <f t="shared" si="117"/>
        <v>0</v>
      </c>
      <c r="E174" s="205"/>
      <c r="F174" s="214">
        <f t="shared" si="146"/>
        <v>0</v>
      </c>
      <c r="G174" s="250"/>
      <c r="H174" s="250"/>
      <c r="I174" s="235"/>
      <c r="J174" s="250"/>
      <c r="K174" s="223"/>
      <c r="L174" s="235"/>
      <c r="M174" s="223"/>
      <c r="N174" s="223"/>
      <c r="O174" s="250">
        <f t="shared" si="143"/>
        <v>0</v>
      </c>
      <c r="P174" s="250">
        <v>0</v>
      </c>
      <c r="Q174" s="224" t="e">
        <f t="shared" si="124"/>
        <v>#DIV/0!</v>
      </c>
      <c r="R174" s="250"/>
      <c r="S174" s="225"/>
      <c r="T174" s="225" t="e">
        <v>#DIV/0!</v>
      </c>
      <c r="U174" s="250"/>
      <c r="V174" s="225"/>
      <c r="W174" s="225" t="e">
        <v>#DIV/0!</v>
      </c>
      <c r="X174" s="250"/>
      <c r="Y174" s="225"/>
      <c r="Z174" s="225" t="e">
        <v>#DIV/0!</v>
      </c>
      <c r="AA174" s="250"/>
      <c r="AB174" s="225"/>
      <c r="AC174" s="225" t="e">
        <v>#DIV/0!</v>
      </c>
      <c r="AD174" s="250"/>
      <c r="AE174" s="225"/>
      <c r="AF174" s="225" t="e">
        <v>#DIV/0!</v>
      </c>
      <c r="AG174" s="250"/>
      <c r="AH174" s="225"/>
      <c r="AI174" s="225" t="e">
        <v>#DIV/0!</v>
      </c>
      <c r="AJ174" s="257"/>
      <c r="AK174" s="225"/>
      <c r="AL174" s="225" t="e">
        <v>#DIV/0!</v>
      </c>
      <c r="AM174" s="250"/>
      <c r="AN174" s="225"/>
      <c r="AO174" s="225" t="e">
        <v>#DIV/0!</v>
      </c>
      <c r="AP174" s="225"/>
      <c r="AQ174" s="250"/>
      <c r="AR174" s="225"/>
      <c r="AS174" s="225" t="e">
        <v>#DIV/0!</v>
      </c>
      <c r="AT174" s="250"/>
      <c r="AU174" s="225"/>
      <c r="AV174" s="225" t="e">
        <v>#DIV/0!</v>
      </c>
      <c r="AW174" s="250"/>
      <c r="AX174" s="225"/>
      <c r="AY174" s="225" t="e">
        <v>#DIV/0!</v>
      </c>
      <c r="AZ174" s="250"/>
      <c r="BA174" s="225"/>
      <c r="BB174" s="225"/>
      <c r="BC174" s="250"/>
      <c r="BD174" s="225"/>
      <c r="BE174" s="225"/>
      <c r="BF174" s="250"/>
      <c r="BG174" s="250"/>
      <c r="BH174" s="225"/>
      <c r="BI174" s="225"/>
      <c r="BJ174" s="250">
        <f t="shared" si="125"/>
        <v>0</v>
      </c>
      <c r="BK174" s="250"/>
      <c r="BL174" s="225"/>
      <c r="BM174" s="225"/>
      <c r="BN174" s="205">
        <f t="shared" si="119"/>
        <v>0</v>
      </c>
      <c r="BO174" s="205"/>
      <c r="BP174" s="227"/>
      <c r="BQ174" s="224"/>
      <c r="BR174" s="227"/>
      <c r="BS174" s="224"/>
      <c r="BT174" s="227"/>
      <c r="BU174" s="224"/>
      <c r="BV174" s="227"/>
      <c r="BW174" s="224"/>
      <c r="BX174" s="227"/>
      <c r="BY174" s="224"/>
      <c r="BZ174" s="227"/>
      <c r="CA174" s="224"/>
      <c r="CB174" s="227"/>
      <c r="CC174" s="224"/>
      <c r="CD174" s="227"/>
      <c r="CE174" s="224"/>
      <c r="CF174" s="227"/>
      <c r="CG174" s="224"/>
      <c r="CH174" s="227"/>
      <c r="CI174" s="224"/>
      <c r="CJ174" s="227"/>
      <c r="CK174" s="224"/>
      <c r="CL174" s="227"/>
      <c r="CM174" s="224"/>
      <c r="CN174" s="227"/>
      <c r="CO174" s="224"/>
      <c r="CP174" s="213" t="str">
        <f t="shared" si="138"/>
        <v>Không đạt</v>
      </c>
      <c r="CQ174" s="213" t="str">
        <f t="shared" si="139"/>
        <v>Không đạt</v>
      </c>
      <c r="CR174" s="192"/>
      <c r="CS174" s="192"/>
      <c r="CT174" s="223"/>
      <c r="CU174" s="163"/>
      <c r="CW174" s="195"/>
      <c r="CX174" s="196"/>
      <c r="CY174" s="196"/>
      <c r="CZ174" s="197"/>
      <c r="DA174" s="196"/>
      <c r="DB174" s="196"/>
      <c r="DC174" s="196"/>
      <c r="DE174" s="199"/>
      <c r="DF174" s="200"/>
      <c r="DG174" s="181"/>
    </row>
    <row r="175" spans="1:111" outlineLevel="1" x14ac:dyDescent="0.25">
      <c r="A175" s="192">
        <f>MAX(A$155:$B174)+1</f>
        <v>21</v>
      </c>
      <c r="B175" s="222" t="s">
        <v>325</v>
      </c>
      <c r="C175" s="222">
        <v>8031704</v>
      </c>
      <c r="D175" s="214">
        <f t="shared" si="117"/>
        <v>10000</v>
      </c>
      <c r="E175" s="205"/>
      <c r="F175" s="214">
        <f t="shared" si="146"/>
        <v>10000</v>
      </c>
      <c r="G175" s="257"/>
      <c r="H175" s="257">
        <v>10000</v>
      </c>
      <c r="I175" s="235">
        <v>1000</v>
      </c>
      <c r="J175" s="257">
        <v>1000</v>
      </c>
      <c r="K175" s="223"/>
      <c r="L175" s="235"/>
      <c r="M175" s="223"/>
      <c r="N175" s="223"/>
      <c r="O175" s="257">
        <f t="shared" si="143"/>
        <v>1000</v>
      </c>
      <c r="P175" s="257">
        <v>0</v>
      </c>
      <c r="Q175" s="224">
        <f t="shared" si="124"/>
        <v>0</v>
      </c>
      <c r="R175" s="257"/>
      <c r="S175" s="225">
        <v>0</v>
      </c>
      <c r="T175" s="225">
        <v>0</v>
      </c>
      <c r="U175" s="257"/>
      <c r="V175" s="225">
        <v>0</v>
      </c>
      <c r="W175" s="225">
        <v>0</v>
      </c>
      <c r="X175" s="257"/>
      <c r="Y175" s="225">
        <v>0</v>
      </c>
      <c r="Z175" s="225">
        <v>0</v>
      </c>
      <c r="AA175" s="257"/>
      <c r="AB175" s="225">
        <v>0</v>
      </c>
      <c r="AC175" s="225">
        <v>0</v>
      </c>
      <c r="AD175" s="257"/>
      <c r="AE175" s="225">
        <v>0</v>
      </c>
      <c r="AF175" s="225">
        <v>0</v>
      </c>
      <c r="AG175" s="257">
        <v>799.97299999999996</v>
      </c>
      <c r="AH175" s="225">
        <v>7.9997299999999993E-2</v>
      </c>
      <c r="AI175" s="225">
        <v>8.420768421052631E-2</v>
      </c>
      <c r="AJ175" s="257">
        <v>799.97299999999996</v>
      </c>
      <c r="AK175" s="225">
        <v>7.9997299999999993E-2</v>
      </c>
      <c r="AL175" s="225">
        <v>8.420768421052631E-2</v>
      </c>
      <c r="AM175" s="257">
        <v>799.97299999999996</v>
      </c>
      <c r="AN175" s="225">
        <v>7.9997299999999993E-2</v>
      </c>
      <c r="AO175" s="225">
        <v>8.420768421052631E-2</v>
      </c>
      <c r="AP175" s="225"/>
      <c r="AQ175" s="257">
        <v>1000</v>
      </c>
      <c r="AR175" s="225">
        <v>0.1</v>
      </c>
      <c r="AS175" s="225">
        <v>0.10526315789473684</v>
      </c>
      <c r="AT175" s="257">
        <v>1000</v>
      </c>
      <c r="AU175" s="225">
        <v>0.1</v>
      </c>
      <c r="AV175" s="225">
        <v>0.10526315789473684</v>
      </c>
      <c r="AW175" s="257">
        <v>1000</v>
      </c>
      <c r="AX175" s="225">
        <v>0.1</v>
      </c>
      <c r="AY175" s="225">
        <v>0.10526315789473684</v>
      </c>
      <c r="AZ175" s="257">
        <v>1000</v>
      </c>
      <c r="BA175" s="225">
        <v>0.1</v>
      </c>
      <c r="BB175" s="225">
        <v>0.10526315789473684</v>
      </c>
      <c r="BC175" s="257">
        <v>1000</v>
      </c>
      <c r="BD175" s="225">
        <v>0.1</v>
      </c>
      <c r="BE175" s="225">
        <v>0.10526315789473684</v>
      </c>
      <c r="BF175" s="257">
        <v>2807.2170000000001</v>
      </c>
      <c r="BG175" s="257">
        <v>2807.2170000000001</v>
      </c>
      <c r="BH175" s="225">
        <v>0.28072170000000002</v>
      </c>
      <c r="BI175" s="225">
        <v>0.29549652631578949</v>
      </c>
      <c r="BJ175" s="257">
        <f t="shared" si="125"/>
        <v>9500</v>
      </c>
      <c r="BK175" s="257">
        <v>2807.2170000000001</v>
      </c>
      <c r="BL175" s="225">
        <f>BK175/$D175</f>
        <v>0.28072170000000002</v>
      </c>
      <c r="BM175" s="225">
        <f t="shared" si="136"/>
        <v>0.29549652631578949</v>
      </c>
      <c r="BN175" s="205">
        <f t="shared" si="119"/>
        <v>2807.2170000000001</v>
      </c>
      <c r="BO175" s="205"/>
      <c r="BP175" s="227"/>
      <c r="BQ175" s="224">
        <f>BP175/$D175</f>
        <v>0</v>
      </c>
      <c r="BR175" s="227"/>
      <c r="BS175" s="224">
        <f>BR175/$D175</f>
        <v>0</v>
      </c>
      <c r="BT175" s="227">
        <v>2200</v>
      </c>
      <c r="BU175" s="224">
        <f>BT175/$D175</f>
        <v>0.22</v>
      </c>
      <c r="BV175" s="227">
        <f>1900+BT175</f>
        <v>4100</v>
      </c>
      <c r="BW175" s="224">
        <f>BV175/$D175</f>
        <v>0.41</v>
      </c>
      <c r="BX175" s="227">
        <f>BV175</f>
        <v>4100</v>
      </c>
      <c r="BY175" s="224">
        <f>BX175/$D175</f>
        <v>0.41</v>
      </c>
      <c r="BZ175" s="227">
        <f>BX175</f>
        <v>4100</v>
      </c>
      <c r="CA175" s="224">
        <f>BZ175/$D175</f>
        <v>0.41</v>
      </c>
      <c r="CB175" s="227">
        <v>9500</v>
      </c>
      <c r="CC175" s="224">
        <f t="shared" ref="CC175:CE176" si="158">CB175/$D175</f>
        <v>0.95</v>
      </c>
      <c r="CD175" s="227">
        <f>CB175</f>
        <v>9500</v>
      </c>
      <c r="CE175" s="224">
        <f t="shared" si="158"/>
        <v>0.95</v>
      </c>
      <c r="CF175" s="227">
        <f>CD175</f>
        <v>9500</v>
      </c>
      <c r="CG175" s="224">
        <f t="shared" ref="CG175:CI176" si="159">CF175/$D175</f>
        <v>0.95</v>
      </c>
      <c r="CH175" s="227">
        <f>CF175</f>
        <v>9500</v>
      </c>
      <c r="CI175" s="224">
        <f t="shared" si="159"/>
        <v>0.95</v>
      </c>
      <c r="CJ175" s="227">
        <f>CH175</f>
        <v>9500</v>
      </c>
      <c r="CK175" s="224">
        <f>CJ175/$D175</f>
        <v>0.95</v>
      </c>
      <c r="CL175" s="227">
        <f>CJ175</f>
        <v>9500</v>
      </c>
      <c r="CM175" s="224">
        <f>CL175/$D175</f>
        <v>0.95</v>
      </c>
      <c r="CN175" s="227">
        <f>CL175</f>
        <v>9500</v>
      </c>
      <c r="CO175" s="224">
        <f>CN175/$D175</f>
        <v>0.95</v>
      </c>
      <c r="CP175" s="213" t="str">
        <f t="shared" si="138"/>
        <v>Không đạt</v>
      </c>
      <c r="CQ175" s="213" t="str">
        <f t="shared" si="139"/>
        <v>Không đạt</v>
      </c>
      <c r="CR175" s="192"/>
      <c r="CS175" s="192"/>
      <c r="CT175" s="223"/>
      <c r="CU175" s="163"/>
      <c r="CW175" s="195"/>
      <c r="CX175" s="196"/>
      <c r="CY175" s="196"/>
      <c r="CZ175" s="197"/>
      <c r="DA175" s="196"/>
      <c r="DB175" s="196"/>
      <c r="DC175" s="196"/>
      <c r="DE175" s="199"/>
      <c r="DF175" s="200"/>
      <c r="DG175" s="181"/>
    </row>
    <row r="176" spans="1:111" outlineLevel="1" x14ac:dyDescent="0.25">
      <c r="A176" s="192">
        <f>MAX(A$155:$B175)+1</f>
        <v>22</v>
      </c>
      <c r="B176" s="222" t="s">
        <v>326</v>
      </c>
      <c r="C176" s="222"/>
      <c r="D176" s="214">
        <f t="shared" si="117"/>
        <v>10000</v>
      </c>
      <c r="E176" s="205"/>
      <c r="F176" s="214">
        <f t="shared" si="146"/>
        <v>10000</v>
      </c>
      <c r="G176" s="257"/>
      <c r="H176" s="257">
        <v>10000</v>
      </c>
      <c r="I176" s="235"/>
      <c r="J176" s="235"/>
      <c r="K176" s="223"/>
      <c r="L176" s="235"/>
      <c r="M176" s="223"/>
      <c r="N176" s="223"/>
      <c r="O176" s="257">
        <f t="shared" si="143"/>
        <v>0</v>
      </c>
      <c r="P176" s="257">
        <v>0</v>
      </c>
      <c r="Q176" s="224">
        <f t="shared" si="124"/>
        <v>0</v>
      </c>
      <c r="R176" s="257"/>
      <c r="S176" s="225">
        <v>0</v>
      </c>
      <c r="T176" s="225">
        <v>0</v>
      </c>
      <c r="U176" s="257"/>
      <c r="V176" s="225">
        <v>0</v>
      </c>
      <c r="W176" s="225">
        <v>0</v>
      </c>
      <c r="X176" s="257"/>
      <c r="Y176" s="225">
        <v>0</v>
      </c>
      <c r="Z176" s="225">
        <v>0</v>
      </c>
      <c r="AA176" s="257"/>
      <c r="AB176" s="225">
        <v>0</v>
      </c>
      <c r="AC176" s="225">
        <v>0</v>
      </c>
      <c r="AD176" s="257"/>
      <c r="AE176" s="225">
        <v>0</v>
      </c>
      <c r="AF176" s="225">
        <v>0</v>
      </c>
      <c r="AG176" s="257"/>
      <c r="AH176" s="225">
        <v>0</v>
      </c>
      <c r="AI176" s="225">
        <v>0</v>
      </c>
      <c r="AJ176" s="250"/>
      <c r="AK176" s="225">
        <v>0</v>
      </c>
      <c r="AL176" s="225">
        <v>0</v>
      </c>
      <c r="AM176" s="257"/>
      <c r="AN176" s="225">
        <v>0</v>
      </c>
      <c r="AO176" s="225">
        <v>0</v>
      </c>
      <c r="AP176" s="225"/>
      <c r="AQ176" s="257"/>
      <c r="AR176" s="225">
        <v>0</v>
      </c>
      <c r="AS176" s="225">
        <v>0</v>
      </c>
      <c r="AT176" s="257"/>
      <c r="AU176" s="225">
        <v>0</v>
      </c>
      <c r="AV176" s="225">
        <v>0</v>
      </c>
      <c r="AW176" s="257"/>
      <c r="AX176" s="225">
        <v>0</v>
      </c>
      <c r="AY176" s="225">
        <v>0</v>
      </c>
      <c r="AZ176" s="257"/>
      <c r="BA176" s="225">
        <v>0</v>
      </c>
      <c r="BB176" s="225">
        <v>0</v>
      </c>
      <c r="BC176" s="257"/>
      <c r="BD176" s="225">
        <v>0</v>
      </c>
      <c r="BE176" s="225">
        <v>0</v>
      </c>
      <c r="BF176" s="257">
        <v>121.851</v>
      </c>
      <c r="BG176" s="257">
        <v>121.851</v>
      </c>
      <c r="BH176" s="225">
        <v>1.2185099999999999E-2</v>
      </c>
      <c r="BI176" s="225">
        <v>1.2826421052631579E-2</v>
      </c>
      <c r="BJ176" s="257">
        <f t="shared" si="125"/>
        <v>9500</v>
      </c>
      <c r="BK176" s="257">
        <v>121.851</v>
      </c>
      <c r="BL176" s="225">
        <f>BK176/$D176</f>
        <v>1.2185099999999999E-2</v>
      </c>
      <c r="BM176" s="225">
        <f t="shared" si="136"/>
        <v>1.2826421052631579E-2</v>
      </c>
      <c r="BN176" s="205">
        <f t="shared" si="119"/>
        <v>121.851</v>
      </c>
      <c r="BO176" s="205"/>
      <c r="BP176" s="227"/>
      <c r="BQ176" s="224">
        <f>BP176/$D176</f>
        <v>0</v>
      </c>
      <c r="BR176" s="227"/>
      <c r="BS176" s="224">
        <f>BR176/$D176</f>
        <v>0</v>
      </c>
      <c r="BT176" s="227"/>
      <c r="BU176" s="224">
        <f>BT176/$D176</f>
        <v>0</v>
      </c>
      <c r="BV176" s="227"/>
      <c r="BW176" s="224">
        <f>BV176/$D176</f>
        <v>0</v>
      </c>
      <c r="BX176" s="227"/>
      <c r="BY176" s="224">
        <f>BX176/$D176</f>
        <v>0</v>
      </c>
      <c r="BZ176" s="227">
        <v>7300</v>
      </c>
      <c r="CA176" s="224">
        <f>BZ176/$D176</f>
        <v>0.73</v>
      </c>
      <c r="CB176" s="227">
        <f>BZ176</f>
        <v>7300</v>
      </c>
      <c r="CC176" s="224">
        <f t="shared" si="158"/>
        <v>0.73</v>
      </c>
      <c r="CD176" s="227">
        <f>CB176</f>
        <v>7300</v>
      </c>
      <c r="CE176" s="224">
        <f t="shared" si="158"/>
        <v>0.73</v>
      </c>
      <c r="CF176" s="227">
        <f>CD176</f>
        <v>7300</v>
      </c>
      <c r="CG176" s="224">
        <f t="shared" si="159"/>
        <v>0.73</v>
      </c>
      <c r="CH176" s="227">
        <v>9500</v>
      </c>
      <c r="CI176" s="224">
        <f t="shared" si="159"/>
        <v>0.95</v>
      </c>
      <c r="CJ176" s="227">
        <f>CH176</f>
        <v>9500</v>
      </c>
      <c r="CK176" s="224">
        <f>CJ176/$D176</f>
        <v>0.95</v>
      </c>
      <c r="CL176" s="227">
        <f>CJ176</f>
        <v>9500</v>
      </c>
      <c r="CM176" s="224">
        <f>CL176/$D176</f>
        <v>0.95</v>
      </c>
      <c r="CN176" s="227">
        <f>CL176</f>
        <v>9500</v>
      </c>
      <c r="CO176" s="224">
        <f>CN176/$D176</f>
        <v>0.95</v>
      </c>
      <c r="CP176" s="213" t="str">
        <f t="shared" si="138"/>
        <v>Không đạt</v>
      </c>
      <c r="CQ176" s="213" t="str">
        <f t="shared" si="139"/>
        <v>Không đạt</v>
      </c>
      <c r="CR176" s="192"/>
      <c r="CS176" s="192"/>
      <c r="CT176" s="223"/>
      <c r="CU176" s="163"/>
      <c r="CW176" s="195"/>
      <c r="CX176" s="196"/>
      <c r="CY176" s="196"/>
      <c r="CZ176" s="197"/>
      <c r="DA176" s="196"/>
      <c r="DB176" s="196"/>
      <c r="DC176" s="196"/>
      <c r="DE176" s="199"/>
      <c r="DF176" s="200"/>
      <c r="DG176" s="181"/>
    </row>
    <row r="177" spans="1:111" outlineLevel="1" x14ac:dyDescent="0.25">
      <c r="A177" s="192"/>
      <c r="B177" s="261" t="s">
        <v>200</v>
      </c>
      <c r="C177" s="240"/>
      <c r="D177" s="214">
        <f t="shared" si="117"/>
        <v>0</v>
      </c>
      <c r="E177" s="205"/>
      <c r="F177" s="214">
        <f t="shared" si="146"/>
        <v>0</v>
      </c>
      <c r="G177" s="250"/>
      <c r="H177" s="250"/>
      <c r="I177" s="235"/>
      <c r="J177" s="235"/>
      <c r="K177" s="223"/>
      <c r="L177" s="235"/>
      <c r="M177" s="223"/>
      <c r="N177" s="223"/>
      <c r="O177" s="250">
        <f t="shared" si="143"/>
        <v>0</v>
      </c>
      <c r="P177" s="250">
        <v>0</v>
      </c>
      <c r="Q177" s="224" t="e">
        <f t="shared" si="124"/>
        <v>#DIV/0!</v>
      </c>
      <c r="R177" s="250"/>
      <c r="S177" s="225"/>
      <c r="T177" s="225" t="e">
        <v>#DIV/0!</v>
      </c>
      <c r="U177" s="250"/>
      <c r="V177" s="225"/>
      <c r="W177" s="225" t="e">
        <v>#DIV/0!</v>
      </c>
      <c r="X177" s="250"/>
      <c r="Y177" s="225"/>
      <c r="Z177" s="225" t="e">
        <v>#DIV/0!</v>
      </c>
      <c r="AA177" s="250"/>
      <c r="AB177" s="225"/>
      <c r="AC177" s="225" t="e">
        <v>#DIV/0!</v>
      </c>
      <c r="AD177" s="250"/>
      <c r="AE177" s="225"/>
      <c r="AF177" s="225" t="e">
        <v>#DIV/0!</v>
      </c>
      <c r="AG177" s="250"/>
      <c r="AH177" s="225"/>
      <c r="AI177" s="225" t="e">
        <v>#DIV/0!</v>
      </c>
      <c r="AJ177" s="257"/>
      <c r="AK177" s="225"/>
      <c r="AL177" s="225" t="e">
        <v>#DIV/0!</v>
      </c>
      <c r="AM177" s="250"/>
      <c r="AN177" s="225"/>
      <c r="AO177" s="225" t="e">
        <v>#DIV/0!</v>
      </c>
      <c r="AP177" s="225"/>
      <c r="AQ177" s="250"/>
      <c r="AR177" s="225"/>
      <c r="AS177" s="225" t="e">
        <v>#DIV/0!</v>
      </c>
      <c r="AT177" s="250"/>
      <c r="AU177" s="225"/>
      <c r="AV177" s="225" t="e">
        <v>#DIV/0!</v>
      </c>
      <c r="AW177" s="250"/>
      <c r="AX177" s="225"/>
      <c r="AY177" s="225" t="e">
        <v>#DIV/0!</v>
      </c>
      <c r="AZ177" s="250"/>
      <c r="BA177" s="225"/>
      <c r="BB177" s="225"/>
      <c r="BC177" s="250"/>
      <c r="BD177" s="225"/>
      <c r="BE177" s="225"/>
      <c r="BF177" s="250"/>
      <c r="BG177" s="250"/>
      <c r="BH177" s="225"/>
      <c r="BI177" s="225"/>
      <c r="BJ177" s="250">
        <f t="shared" si="125"/>
        <v>0</v>
      </c>
      <c r="BK177" s="250"/>
      <c r="BL177" s="225"/>
      <c r="BM177" s="225"/>
      <c r="BN177" s="205">
        <f t="shared" si="119"/>
        <v>0</v>
      </c>
      <c r="BO177" s="205"/>
      <c r="BP177" s="227"/>
      <c r="BQ177" s="224"/>
      <c r="BR177" s="227"/>
      <c r="BS177" s="224"/>
      <c r="BT177" s="227"/>
      <c r="BU177" s="224"/>
      <c r="BV177" s="227"/>
      <c r="BW177" s="224"/>
      <c r="BX177" s="227"/>
      <c r="BY177" s="224"/>
      <c r="BZ177" s="227"/>
      <c r="CA177" s="224"/>
      <c r="CB177" s="227"/>
      <c r="CC177" s="224"/>
      <c r="CD177" s="227"/>
      <c r="CE177" s="224"/>
      <c r="CF177" s="227"/>
      <c r="CG177" s="224"/>
      <c r="CH177" s="227"/>
      <c r="CI177" s="224"/>
      <c r="CJ177" s="227"/>
      <c r="CK177" s="224"/>
      <c r="CL177" s="227"/>
      <c r="CM177" s="224"/>
      <c r="CN177" s="227"/>
      <c r="CO177" s="224"/>
      <c r="CP177" s="213" t="str">
        <f t="shared" si="138"/>
        <v>Không đạt</v>
      </c>
      <c r="CQ177" s="213" t="str">
        <f t="shared" si="139"/>
        <v>Không đạt</v>
      </c>
      <c r="CR177" s="192"/>
      <c r="CS177" s="192"/>
      <c r="CT177" s="223"/>
      <c r="CU177" s="163"/>
      <c r="CW177" s="195"/>
      <c r="CX177" s="196"/>
      <c r="CY177" s="196"/>
      <c r="CZ177" s="197"/>
      <c r="DA177" s="196"/>
      <c r="DB177" s="196"/>
      <c r="DC177" s="196"/>
      <c r="DE177" s="199"/>
      <c r="DF177" s="200"/>
      <c r="DG177" s="181"/>
    </row>
    <row r="178" spans="1:111" ht="25.5" outlineLevel="1" x14ac:dyDescent="0.25">
      <c r="A178" s="192">
        <f>MAX(A$155:$B177)+1</f>
        <v>23</v>
      </c>
      <c r="B178" s="222" t="s">
        <v>327</v>
      </c>
      <c r="C178" s="222"/>
      <c r="D178" s="214">
        <f t="shared" si="117"/>
        <v>4000</v>
      </c>
      <c r="E178" s="205"/>
      <c r="F178" s="214">
        <f t="shared" si="146"/>
        <v>4000</v>
      </c>
      <c r="G178" s="257"/>
      <c r="H178" s="257">
        <v>4000</v>
      </c>
      <c r="I178" s="235"/>
      <c r="J178" s="235"/>
      <c r="K178" s="223"/>
      <c r="L178" s="235"/>
      <c r="M178" s="223"/>
      <c r="N178" s="223"/>
      <c r="O178" s="257">
        <f t="shared" si="143"/>
        <v>0</v>
      </c>
      <c r="P178" s="257">
        <v>0</v>
      </c>
      <c r="Q178" s="224">
        <f t="shared" si="124"/>
        <v>0</v>
      </c>
      <c r="R178" s="257"/>
      <c r="S178" s="225">
        <v>0</v>
      </c>
      <c r="T178" s="225">
        <v>0</v>
      </c>
      <c r="U178" s="257"/>
      <c r="V178" s="225">
        <v>0</v>
      </c>
      <c r="W178" s="225">
        <v>0</v>
      </c>
      <c r="X178" s="257"/>
      <c r="Y178" s="225">
        <v>0</v>
      </c>
      <c r="Z178" s="225">
        <v>0</v>
      </c>
      <c r="AA178" s="257"/>
      <c r="AB178" s="225">
        <v>0</v>
      </c>
      <c r="AC178" s="225">
        <v>0</v>
      </c>
      <c r="AD178" s="257"/>
      <c r="AE178" s="225">
        <v>0</v>
      </c>
      <c r="AF178" s="225">
        <v>0</v>
      </c>
      <c r="AG178" s="257"/>
      <c r="AH178" s="225">
        <v>0</v>
      </c>
      <c r="AI178" s="225">
        <v>0</v>
      </c>
      <c r="AJ178" s="250"/>
      <c r="AK178" s="225">
        <v>0</v>
      </c>
      <c r="AL178" s="225">
        <v>0</v>
      </c>
      <c r="AM178" s="257"/>
      <c r="AN178" s="225">
        <v>0</v>
      </c>
      <c r="AO178" s="225">
        <v>0</v>
      </c>
      <c r="AP178" s="225"/>
      <c r="AQ178" s="257"/>
      <c r="AR178" s="225">
        <v>0</v>
      </c>
      <c r="AS178" s="225">
        <v>0</v>
      </c>
      <c r="AT178" s="257"/>
      <c r="AU178" s="225">
        <v>0</v>
      </c>
      <c r="AV178" s="225">
        <v>0</v>
      </c>
      <c r="AW178" s="257"/>
      <c r="AX178" s="225">
        <v>0</v>
      </c>
      <c r="AY178" s="225">
        <v>0</v>
      </c>
      <c r="AZ178" s="257"/>
      <c r="BA178" s="225">
        <v>0</v>
      </c>
      <c r="BB178" s="225">
        <v>0</v>
      </c>
      <c r="BC178" s="257"/>
      <c r="BD178" s="225">
        <v>0</v>
      </c>
      <c r="BE178" s="225">
        <v>0</v>
      </c>
      <c r="BF178" s="257"/>
      <c r="BG178" s="257"/>
      <c r="BH178" s="225">
        <v>0</v>
      </c>
      <c r="BI178" s="225">
        <v>0</v>
      </c>
      <c r="BJ178" s="257">
        <f t="shared" si="125"/>
        <v>3800</v>
      </c>
      <c r="BK178" s="257"/>
      <c r="BL178" s="225">
        <f>BK178/$D178</f>
        <v>0</v>
      </c>
      <c r="BM178" s="225">
        <f t="shared" si="136"/>
        <v>0</v>
      </c>
      <c r="BN178" s="205">
        <f t="shared" si="119"/>
        <v>0</v>
      </c>
      <c r="BO178" s="205"/>
      <c r="BP178" s="227"/>
      <c r="BQ178" s="224">
        <f>BP178/$D178</f>
        <v>0</v>
      </c>
      <c r="BR178" s="227"/>
      <c r="BS178" s="224">
        <f>BR178/$D178</f>
        <v>0</v>
      </c>
      <c r="BT178" s="227"/>
      <c r="BU178" s="224">
        <f>BT178/$D178</f>
        <v>0</v>
      </c>
      <c r="BV178" s="227"/>
      <c r="BW178" s="224">
        <f>BV178/$D178</f>
        <v>0</v>
      </c>
      <c r="BX178" s="227"/>
      <c r="BY178" s="224">
        <f>BX178/$D178</f>
        <v>0</v>
      </c>
      <c r="BZ178" s="227"/>
      <c r="CA178" s="224">
        <f>BZ178/$D178</f>
        <v>0</v>
      </c>
      <c r="CB178" s="227"/>
      <c r="CC178" s="224">
        <f>CB178/$D178</f>
        <v>0</v>
      </c>
      <c r="CD178" s="227"/>
      <c r="CE178" s="224">
        <f>CD178/$D178</f>
        <v>0</v>
      </c>
      <c r="CF178" s="227">
        <v>1000</v>
      </c>
      <c r="CG178" s="224">
        <f>CF178/$D178</f>
        <v>0.25</v>
      </c>
      <c r="CH178" s="227">
        <f>CF178</f>
        <v>1000</v>
      </c>
      <c r="CI178" s="224">
        <f>CH178/$D178</f>
        <v>0.25</v>
      </c>
      <c r="CJ178" s="227">
        <f>CH178</f>
        <v>1000</v>
      </c>
      <c r="CK178" s="224">
        <f>CJ178/$D178</f>
        <v>0.25</v>
      </c>
      <c r="CL178" s="227">
        <v>3000</v>
      </c>
      <c r="CM178" s="224">
        <f>CL178/$D178</f>
        <v>0.75</v>
      </c>
      <c r="CN178" s="227">
        <v>3800</v>
      </c>
      <c r="CO178" s="224">
        <f>CN178/$D178</f>
        <v>0.95</v>
      </c>
      <c r="CP178" s="213" t="str">
        <f t="shared" si="138"/>
        <v>Không đạt</v>
      </c>
      <c r="CQ178" s="213" t="str">
        <f t="shared" si="139"/>
        <v>Không đạt</v>
      </c>
      <c r="CR178" s="192"/>
      <c r="CS178" s="192"/>
      <c r="CT178" s="223"/>
      <c r="CU178" s="163"/>
      <c r="CW178" s="195"/>
      <c r="CX178" s="196"/>
      <c r="CY178" s="196"/>
      <c r="CZ178" s="197"/>
      <c r="DA178" s="196"/>
      <c r="DB178" s="196"/>
      <c r="DC178" s="196"/>
      <c r="DE178" s="199"/>
      <c r="DF178" s="200"/>
      <c r="DG178" s="181"/>
    </row>
    <row r="179" spans="1:111" outlineLevel="1" x14ac:dyDescent="0.25">
      <c r="A179" s="192"/>
      <c r="B179" s="261" t="s">
        <v>197</v>
      </c>
      <c r="C179" s="240"/>
      <c r="D179" s="214">
        <f t="shared" si="117"/>
        <v>0</v>
      </c>
      <c r="E179" s="205"/>
      <c r="F179" s="214">
        <f t="shared" si="146"/>
        <v>0</v>
      </c>
      <c r="G179" s="250"/>
      <c r="H179" s="250"/>
      <c r="I179" s="235"/>
      <c r="J179" s="235"/>
      <c r="K179" s="223"/>
      <c r="L179" s="235"/>
      <c r="M179" s="223"/>
      <c r="N179" s="223"/>
      <c r="O179" s="250">
        <f t="shared" si="143"/>
        <v>0</v>
      </c>
      <c r="P179" s="250">
        <v>0</v>
      </c>
      <c r="Q179" s="224" t="e">
        <f t="shared" si="124"/>
        <v>#DIV/0!</v>
      </c>
      <c r="R179" s="250"/>
      <c r="S179" s="225"/>
      <c r="T179" s="225" t="e">
        <v>#DIV/0!</v>
      </c>
      <c r="U179" s="250"/>
      <c r="V179" s="225"/>
      <c r="W179" s="225" t="e">
        <v>#DIV/0!</v>
      </c>
      <c r="X179" s="250"/>
      <c r="Y179" s="225"/>
      <c r="Z179" s="225" t="e">
        <v>#DIV/0!</v>
      </c>
      <c r="AA179" s="250"/>
      <c r="AB179" s="225"/>
      <c r="AC179" s="225" t="e">
        <v>#DIV/0!</v>
      </c>
      <c r="AD179" s="250"/>
      <c r="AE179" s="225"/>
      <c r="AF179" s="225" t="e">
        <v>#DIV/0!</v>
      </c>
      <c r="AG179" s="250"/>
      <c r="AH179" s="225"/>
      <c r="AI179" s="225" t="e">
        <v>#DIV/0!</v>
      </c>
      <c r="AJ179" s="257"/>
      <c r="AK179" s="225"/>
      <c r="AL179" s="225" t="e">
        <v>#DIV/0!</v>
      </c>
      <c r="AM179" s="250"/>
      <c r="AN179" s="225"/>
      <c r="AO179" s="225" t="e">
        <v>#DIV/0!</v>
      </c>
      <c r="AP179" s="225"/>
      <c r="AQ179" s="250"/>
      <c r="AR179" s="225"/>
      <c r="AS179" s="225" t="e">
        <v>#DIV/0!</v>
      </c>
      <c r="AT179" s="250"/>
      <c r="AU179" s="225"/>
      <c r="AV179" s="225" t="e">
        <v>#DIV/0!</v>
      </c>
      <c r="AW179" s="250"/>
      <c r="AX179" s="225"/>
      <c r="AY179" s="225" t="e">
        <v>#DIV/0!</v>
      </c>
      <c r="AZ179" s="250"/>
      <c r="BA179" s="225"/>
      <c r="BB179" s="225"/>
      <c r="BC179" s="250"/>
      <c r="BD179" s="225"/>
      <c r="BE179" s="225"/>
      <c r="BF179" s="250"/>
      <c r="BG179" s="250"/>
      <c r="BH179" s="225"/>
      <c r="BI179" s="225"/>
      <c r="BJ179" s="250">
        <f t="shared" si="125"/>
        <v>0</v>
      </c>
      <c r="BK179" s="250"/>
      <c r="BL179" s="225"/>
      <c r="BM179" s="225"/>
      <c r="BN179" s="205">
        <f t="shared" si="119"/>
        <v>0</v>
      </c>
      <c r="BO179" s="205"/>
      <c r="BP179" s="227"/>
      <c r="BQ179" s="224"/>
      <c r="BR179" s="227"/>
      <c r="BS179" s="224"/>
      <c r="BT179" s="227"/>
      <c r="BU179" s="224"/>
      <c r="BV179" s="227"/>
      <c r="BW179" s="224"/>
      <c r="BX179" s="227"/>
      <c r="BY179" s="224"/>
      <c r="BZ179" s="227"/>
      <c r="CA179" s="224"/>
      <c r="CB179" s="227"/>
      <c r="CC179" s="224"/>
      <c r="CD179" s="227"/>
      <c r="CE179" s="224"/>
      <c r="CF179" s="227"/>
      <c r="CG179" s="224"/>
      <c r="CH179" s="227"/>
      <c r="CI179" s="224"/>
      <c r="CJ179" s="227"/>
      <c r="CK179" s="224"/>
      <c r="CL179" s="227"/>
      <c r="CM179" s="224"/>
      <c r="CN179" s="227"/>
      <c r="CO179" s="224"/>
      <c r="CP179" s="213" t="str">
        <f t="shared" si="138"/>
        <v>Không đạt</v>
      </c>
      <c r="CQ179" s="213" t="str">
        <f t="shared" si="139"/>
        <v>Không đạt</v>
      </c>
      <c r="CR179" s="192"/>
      <c r="CS179" s="192"/>
      <c r="CT179" s="223"/>
      <c r="CU179" s="163"/>
      <c r="CW179" s="195"/>
      <c r="CX179" s="196"/>
      <c r="CY179" s="196"/>
      <c r="CZ179" s="197"/>
      <c r="DA179" s="196"/>
      <c r="DB179" s="196"/>
      <c r="DC179" s="196"/>
      <c r="DE179" s="199"/>
      <c r="DF179" s="200"/>
      <c r="DG179" s="181"/>
    </row>
    <row r="180" spans="1:111" ht="38.25" outlineLevel="1" x14ac:dyDescent="0.25">
      <c r="A180" s="192">
        <f>MAX(A$155:$B179)+1</f>
        <v>24</v>
      </c>
      <c r="B180" s="222" t="s">
        <v>328</v>
      </c>
      <c r="C180" s="222">
        <v>7712046</v>
      </c>
      <c r="D180" s="214">
        <f t="shared" si="117"/>
        <v>500</v>
      </c>
      <c r="E180" s="205"/>
      <c r="F180" s="214">
        <f t="shared" si="146"/>
        <v>500</v>
      </c>
      <c r="G180" s="257"/>
      <c r="H180" s="257">
        <v>500</v>
      </c>
      <c r="I180" s="235">
        <v>475</v>
      </c>
      <c r="J180" s="257">
        <v>475</v>
      </c>
      <c r="K180" s="223"/>
      <c r="L180" s="235"/>
      <c r="M180" s="223"/>
      <c r="N180" s="223"/>
      <c r="O180" s="257">
        <f t="shared" si="143"/>
        <v>475</v>
      </c>
      <c r="P180" s="257">
        <v>475</v>
      </c>
      <c r="Q180" s="224">
        <f t="shared" si="124"/>
        <v>0.95</v>
      </c>
      <c r="R180" s="257">
        <v>475</v>
      </c>
      <c r="S180" s="225">
        <v>0.95</v>
      </c>
      <c r="T180" s="225">
        <v>1</v>
      </c>
      <c r="U180" s="257">
        <v>475</v>
      </c>
      <c r="V180" s="225">
        <v>0.95</v>
      </c>
      <c r="W180" s="225">
        <v>1</v>
      </c>
      <c r="X180" s="257">
        <v>475</v>
      </c>
      <c r="Y180" s="225">
        <v>0.95</v>
      </c>
      <c r="Z180" s="225">
        <v>1</v>
      </c>
      <c r="AA180" s="257">
        <v>475</v>
      </c>
      <c r="AB180" s="225">
        <v>0.95</v>
      </c>
      <c r="AC180" s="225">
        <v>1</v>
      </c>
      <c r="AD180" s="257">
        <v>475</v>
      </c>
      <c r="AE180" s="225">
        <v>0.95</v>
      </c>
      <c r="AF180" s="225">
        <v>1</v>
      </c>
      <c r="AG180" s="257">
        <v>475</v>
      </c>
      <c r="AH180" s="225">
        <v>0.95</v>
      </c>
      <c r="AI180" s="225">
        <v>1</v>
      </c>
      <c r="AJ180" s="257">
        <v>475</v>
      </c>
      <c r="AK180" s="225">
        <v>0.95</v>
      </c>
      <c r="AL180" s="225">
        <v>1</v>
      </c>
      <c r="AM180" s="257">
        <v>475</v>
      </c>
      <c r="AN180" s="225">
        <v>0.95</v>
      </c>
      <c r="AO180" s="225">
        <v>1</v>
      </c>
      <c r="AP180" s="225"/>
      <c r="AQ180" s="257">
        <v>475</v>
      </c>
      <c r="AR180" s="225">
        <v>0.95</v>
      </c>
      <c r="AS180" s="225">
        <v>1</v>
      </c>
      <c r="AT180" s="257">
        <v>475</v>
      </c>
      <c r="AU180" s="225">
        <v>0.95</v>
      </c>
      <c r="AV180" s="225">
        <v>1</v>
      </c>
      <c r="AW180" s="257">
        <v>475</v>
      </c>
      <c r="AX180" s="225">
        <v>0.95</v>
      </c>
      <c r="AY180" s="225">
        <v>1</v>
      </c>
      <c r="AZ180" s="257">
        <v>475</v>
      </c>
      <c r="BA180" s="225">
        <v>0.95</v>
      </c>
      <c r="BB180" s="225">
        <v>1</v>
      </c>
      <c r="BC180" s="257">
        <v>475</v>
      </c>
      <c r="BD180" s="225">
        <v>0.95</v>
      </c>
      <c r="BE180" s="225">
        <v>1</v>
      </c>
      <c r="BF180" s="257">
        <v>475</v>
      </c>
      <c r="BG180" s="257">
        <v>475</v>
      </c>
      <c r="BH180" s="225">
        <v>0.95</v>
      </c>
      <c r="BI180" s="225">
        <v>1</v>
      </c>
      <c r="BJ180" s="257">
        <f t="shared" si="125"/>
        <v>475</v>
      </c>
      <c r="BK180" s="257">
        <v>475</v>
      </c>
      <c r="BL180" s="225">
        <f>BK180/$D180</f>
        <v>0.95</v>
      </c>
      <c r="BM180" s="225">
        <f t="shared" si="136"/>
        <v>1</v>
      </c>
      <c r="BN180" s="205">
        <f t="shared" si="119"/>
        <v>0</v>
      </c>
      <c r="BO180" s="205"/>
      <c r="BP180" s="227"/>
      <c r="BQ180" s="224">
        <f>BP180/$D180</f>
        <v>0</v>
      </c>
      <c r="BR180" s="227"/>
      <c r="BS180" s="224">
        <f>BR180/$D180</f>
        <v>0</v>
      </c>
      <c r="BT180" s="227"/>
      <c r="BU180" s="224">
        <f>BT180/$D180</f>
        <v>0</v>
      </c>
      <c r="BV180" s="227"/>
      <c r="BW180" s="224">
        <f>BV180/$D180</f>
        <v>0</v>
      </c>
      <c r="BX180" s="227"/>
      <c r="BY180" s="224">
        <f>BX180/$D180</f>
        <v>0</v>
      </c>
      <c r="BZ180" s="227"/>
      <c r="CA180" s="224">
        <f>BZ180/$D180</f>
        <v>0</v>
      </c>
      <c r="CB180" s="227"/>
      <c r="CC180" s="224">
        <f t="shared" ref="CC180:CE181" si="160">CB180/$D180</f>
        <v>0</v>
      </c>
      <c r="CD180" s="227"/>
      <c r="CE180" s="224">
        <f t="shared" si="160"/>
        <v>0</v>
      </c>
      <c r="CF180" s="227"/>
      <c r="CG180" s="224">
        <f t="shared" ref="CG180:CI181" si="161">CF180/$D180</f>
        <v>0</v>
      </c>
      <c r="CH180" s="227"/>
      <c r="CI180" s="224">
        <f t="shared" si="161"/>
        <v>0</v>
      </c>
      <c r="CJ180" s="227"/>
      <c r="CK180" s="224">
        <f>CJ180/$D180</f>
        <v>0</v>
      </c>
      <c r="CL180" s="227">
        <v>300</v>
      </c>
      <c r="CM180" s="224">
        <f>CL180/$D180</f>
        <v>0.6</v>
      </c>
      <c r="CN180" s="227">
        <v>475</v>
      </c>
      <c r="CO180" s="224">
        <f>CN180/$D180</f>
        <v>0.95</v>
      </c>
      <c r="CP180" s="213" t="str">
        <f t="shared" si="138"/>
        <v>Đạt</v>
      </c>
      <c r="CQ180" s="213" t="str">
        <f t="shared" si="139"/>
        <v>Đạt</v>
      </c>
      <c r="CR180" s="192"/>
      <c r="CS180" s="192"/>
      <c r="CT180" s="223"/>
      <c r="CU180" s="163"/>
      <c r="CW180" s="195"/>
      <c r="CX180" s="196"/>
      <c r="CY180" s="196"/>
      <c r="CZ180" s="197"/>
      <c r="DA180" s="196"/>
      <c r="DB180" s="196"/>
      <c r="DC180" s="196"/>
      <c r="DE180" s="199"/>
      <c r="DF180" s="200"/>
      <c r="DG180" s="181"/>
    </row>
    <row r="181" spans="1:111" outlineLevel="1" x14ac:dyDescent="0.25">
      <c r="A181" s="192">
        <f>MAX(A$155:$B180)+1</f>
        <v>25</v>
      </c>
      <c r="B181" s="222" t="s">
        <v>329</v>
      </c>
      <c r="C181" s="222"/>
      <c r="D181" s="214">
        <f t="shared" si="117"/>
        <v>2500</v>
      </c>
      <c r="E181" s="205"/>
      <c r="F181" s="214">
        <f t="shared" si="146"/>
        <v>2500</v>
      </c>
      <c r="G181" s="257"/>
      <c r="H181" s="257">
        <v>2500</v>
      </c>
      <c r="I181" s="235"/>
      <c r="J181" s="235"/>
      <c r="K181" s="223"/>
      <c r="L181" s="235"/>
      <c r="M181" s="223"/>
      <c r="N181" s="223"/>
      <c r="O181" s="257">
        <f t="shared" si="143"/>
        <v>0</v>
      </c>
      <c r="P181" s="257">
        <v>0</v>
      </c>
      <c r="Q181" s="224">
        <f t="shared" si="124"/>
        <v>0</v>
      </c>
      <c r="R181" s="257"/>
      <c r="S181" s="225">
        <v>0</v>
      </c>
      <c r="T181" s="225">
        <v>0</v>
      </c>
      <c r="U181" s="257"/>
      <c r="V181" s="225">
        <v>0</v>
      </c>
      <c r="W181" s="225">
        <v>0</v>
      </c>
      <c r="X181" s="257"/>
      <c r="Y181" s="225">
        <v>0</v>
      </c>
      <c r="Z181" s="225">
        <v>0</v>
      </c>
      <c r="AA181" s="257"/>
      <c r="AB181" s="225">
        <v>0</v>
      </c>
      <c r="AC181" s="225">
        <v>0</v>
      </c>
      <c r="AD181" s="257"/>
      <c r="AE181" s="225">
        <v>0</v>
      </c>
      <c r="AF181" s="225">
        <v>0</v>
      </c>
      <c r="AG181" s="257"/>
      <c r="AH181" s="225">
        <v>0</v>
      </c>
      <c r="AI181" s="225">
        <v>0</v>
      </c>
      <c r="AJ181" s="250"/>
      <c r="AK181" s="225">
        <v>0</v>
      </c>
      <c r="AL181" s="225">
        <v>0</v>
      </c>
      <c r="AM181" s="257"/>
      <c r="AN181" s="225">
        <v>0</v>
      </c>
      <c r="AO181" s="225">
        <v>0</v>
      </c>
      <c r="AP181" s="225"/>
      <c r="AQ181" s="257"/>
      <c r="AR181" s="225">
        <v>0</v>
      </c>
      <c r="AS181" s="225">
        <v>0</v>
      </c>
      <c r="AT181" s="257"/>
      <c r="AU181" s="225">
        <v>0</v>
      </c>
      <c r="AV181" s="225">
        <v>0</v>
      </c>
      <c r="AW181" s="257"/>
      <c r="AX181" s="225">
        <v>0</v>
      </c>
      <c r="AY181" s="225">
        <v>0</v>
      </c>
      <c r="AZ181" s="257"/>
      <c r="BA181" s="225">
        <v>0</v>
      </c>
      <c r="BB181" s="225">
        <v>0</v>
      </c>
      <c r="BC181" s="257"/>
      <c r="BD181" s="225">
        <v>0</v>
      </c>
      <c r="BE181" s="225">
        <v>0</v>
      </c>
      <c r="BF181" s="257"/>
      <c r="BG181" s="257"/>
      <c r="BH181" s="225">
        <v>0</v>
      </c>
      <c r="BI181" s="225">
        <v>0</v>
      </c>
      <c r="BJ181" s="257">
        <f t="shared" si="125"/>
        <v>2375</v>
      </c>
      <c r="BK181" s="257"/>
      <c r="BL181" s="225">
        <f>BK181/$D181</f>
        <v>0</v>
      </c>
      <c r="BM181" s="225">
        <f t="shared" si="136"/>
        <v>0</v>
      </c>
      <c r="BN181" s="205">
        <f t="shared" si="119"/>
        <v>0</v>
      </c>
      <c r="BO181" s="205"/>
      <c r="BP181" s="227"/>
      <c r="BQ181" s="224">
        <f>BP181/$D181</f>
        <v>0</v>
      </c>
      <c r="BR181" s="227"/>
      <c r="BS181" s="224">
        <f>BR181/$D181</f>
        <v>0</v>
      </c>
      <c r="BT181" s="227"/>
      <c r="BU181" s="224">
        <f>BT181/$D181</f>
        <v>0</v>
      </c>
      <c r="BV181" s="227"/>
      <c r="BW181" s="224">
        <f>BV181/$D181</f>
        <v>0</v>
      </c>
      <c r="BX181" s="227"/>
      <c r="BY181" s="224">
        <f>BX181/$D181</f>
        <v>0</v>
      </c>
      <c r="BZ181" s="227"/>
      <c r="CA181" s="224">
        <f>BZ181/$D181</f>
        <v>0</v>
      </c>
      <c r="CB181" s="227"/>
      <c r="CC181" s="224">
        <f t="shared" si="160"/>
        <v>0</v>
      </c>
      <c r="CD181" s="227"/>
      <c r="CE181" s="224">
        <f t="shared" si="160"/>
        <v>0</v>
      </c>
      <c r="CF181" s="227"/>
      <c r="CG181" s="224">
        <f t="shared" si="161"/>
        <v>0</v>
      </c>
      <c r="CH181" s="227"/>
      <c r="CI181" s="224">
        <f t="shared" si="161"/>
        <v>0</v>
      </c>
      <c r="CJ181" s="227"/>
      <c r="CK181" s="224">
        <f>CJ181/$D181</f>
        <v>0</v>
      </c>
      <c r="CL181" s="227">
        <v>1000</v>
      </c>
      <c r="CM181" s="224">
        <f>CL181/$D181</f>
        <v>0.4</v>
      </c>
      <c r="CN181" s="227">
        <v>2375</v>
      </c>
      <c r="CO181" s="224">
        <f>CN181/$D181</f>
        <v>0.95</v>
      </c>
      <c r="CP181" s="213" t="str">
        <f t="shared" si="138"/>
        <v>Không đạt</v>
      </c>
      <c r="CQ181" s="213" t="str">
        <f t="shared" si="139"/>
        <v>Không đạt</v>
      </c>
      <c r="CR181" s="192"/>
      <c r="CS181" s="192"/>
      <c r="CT181" s="223"/>
      <c r="CU181" s="163"/>
      <c r="CW181" s="195"/>
      <c r="CX181" s="196"/>
      <c r="CY181" s="196"/>
      <c r="CZ181" s="197"/>
      <c r="DA181" s="196"/>
      <c r="DB181" s="196"/>
      <c r="DC181" s="196"/>
      <c r="DE181" s="199"/>
      <c r="DF181" s="200"/>
      <c r="DG181" s="181"/>
    </row>
    <row r="182" spans="1:111" outlineLevel="1" x14ac:dyDescent="0.25">
      <c r="A182" s="192"/>
      <c r="B182" s="261" t="s">
        <v>245</v>
      </c>
      <c r="C182" s="240"/>
      <c r="D182" s="214">
        <f t="shared" si="117"/>
        <v>0</v>
      </c>
      <c r="E182" s="205"/>
      <c r="F182" s="214">
        <f t="shared" si="146"/>
        <v>0</v>
      </c>
      <c r="G182" s="250"/>
      <c r="H182" s="250"/>
      <c r="I182" s="235"/>
      <c r="J182" s="235"/>
      <c r="K182" s="223"/>
      <c r="L182" s="235"/>
      <c r="M182" s="223"/>
      <c r="N182" s="223"/>
      <c r="O182" s="250">
        <f t="shared" si="143"/>
        <v>0</v>
      </c>
      <c r="P182" s="250">
        <v>0</v>
      </c>
      <c r="Q182" s="224" t="e">
        <f t="shared" si="124"/>
        <v>#DIV/0!</v>
      </c>
      <c r="R182" s="250"/>
      <c r="S182" s="225"/>
      <c r="T182" s="225" t="e">
        <v>#DIV/0!</v>
      </c>
      <c r="U182" s="250"/>
      <c r="V182" s="225"/>
      <c r="W182" s="225" t="e">
        <v>#DIV/0!</v>
      </c>
      <c r="X182" s="250"/>
      <c r="Y182" s="225"/>
      <c r="Z182" s="225" t="e">
        <v>#DIV/0!</v>
      </c>
      <c r="AA182" s="250"/>
      <c r="AB182" s="225"/>
      <c r="AC182" s="225" t="e">
        <v>#DIV/0!</v>
      </c>
      <c r="AD182" s="250"/>
      <c r="AE182" s="225"/>
      <c r="AF182" s="225" t="e">
        <v>#DIV/0!</v>
      </c>
      <c r="AG182" s="250"/>
      <c r="AH182" s="225"/>
      <c r="AI182" s="225" t="e">
        <v>#DIV/0!</v>
      </c>
      <c r="AJ182" s="257"/>
      <c r="AK182" s="225"/>
      <c r="AL182" s="225" t="e">
        <v>#DIV/0!</v>
      </c>
      <c r="AM182" s="250"/>
      <c r="AN182" s="225"/>
      <c r="AO182" s="225" t="e">
        <v>#DIV/0!</v>
      </c>
      <c r="AP182" s="225"/>
      <c r="AQ182" s="250"/>
      <c r="AR182" s="225"/>
      <c r="AS182" s="225" t="e">
        <v>#DIV/0!</v>
      </c>
      <c r="AT182" s="250"/>
      <c r="AU182" s="225"/>
      <c r="AV182" s="225" t="e">
        <v>#DIV/0!</v>
      </c>
      <c r="AW182" s="250"/>
      <c r="AX182" s="225"/>
      <c r="AY182" s="225" t="e">
        <v>#DIV/0!</v>
      </c>
      <c r="AZ182" s="250"/>
      <c r="BA182" s="225"/>
      <c r="BB182" s="225" t="e">
        <v>#DIV/0!</v>
      </c>
      <c r="BC182" s="250"/>
      <c r="BD182" s="225"/>
      <c r="BE182" s="225" t="e">
        <v>#DIV/0!</v>
      </c>
      <c r="BF182" s="250"/>
      <c r="BG182" s="250"/>
      <c r="BH182" s="225"/>
      <c r="BI182" s="225" t="e">
        <v>#DIV/0!</v>
      </c>
      <c r="BJ182" s="250">
        <f t="shared" si="125"/>
        <v>0</v>
      </c>
      <c r="BK182" s="250"/>
      <c r="BL182" s="225"/>
      <c r="BM182" s="225" t="e">
        <f t="shared" si="136"/>
        <v>#DIV/0!</v>
      </c>
      <c r="BN182" s="205">
        <f t="shared" si="119"/>
        <v>0</v>
      </c>
      <c r="BO182" s="205"/>
      <c r="BP182" s="227"/>
      <c r="BQ182" s="224"/>
      <c r="BR182" s="227"/>
      <c r="BS182" s="224"/>
      <c r="BT182" s="227"/>
      <c r="BU182" s="224"/>
      <c r="BV182" s="227"/>
      <c r="BW182" s="224"/>
      <c r="BX182" s="227"/>
      <c r="BY182" s="224"/>
      <c r="BZ182" s="227"/>
      <c r="CA182" s="224"/>
      <c r="CB182" s="227"/>
      <c r="CC182" s="224"/>
      <c r="CD182" s="227"/>
      <c r="CE182" s="224"/>
      <c r="CF182" s="227"/>
      <c r="CG182" s="224"/>
      <c r="CH182" s="227"/>
      <c r="CI182" s="224"/>
      <c r="CJ182" s="227"/>
      <c r="CK182" s="224"/>
      <c r="CL182" s="227"/>
      <c r="CM182" s="224"/>
      <c r="CN182" s="227"/>
      <c r="CO182" s="224"/>
      <c r="CP182" s="213" t="e">
        <f t="shared" si="138"/>
        <v>#DIV/0!</v>
      </c>
      <c r="CQ182" s="213" t="e">
        <f t="shared" si="139"/>
        <v>#DIV/0!</v>
      </c>
      <c r="CR182" s="192"/>
      <c r="CS182" s="192"/>
      <c r="CT182" s="223"/>
      <c r="CU182" s="163"/>
      <c r="CW182" s="195"/>
      <c r="CX182" s="196"/>
      <c r="CY182" s="196"/>
      <c r="CZ182" s="197"/>
      <c r="DA182" s="196"/>
      <c r="DB182" s="196"/>
      <c r="DC182" s="196"/>
      <c r="DE182" s="199"/>
      <c r="DF182" s="200"/>
      <c r="DG182" s="181"/>
    </row>
    <row r="183" spans="1:111" ht="25.5" outlineLevel="1" x14ac:dyDescent="0.25">
      <c r="A183" s="192">
        <f>MAX(A$155:$B182)+1</f>
        <v>26</v>
      </c>
      <c r="B183" s="222" t="s">
        <v>330</v>
      </c>
      <c r="C183" s="222"/>
      <c r="D183" s="214">
        <f t="shared" si="117"/>
        <v>400</v>
      </c>
      <c r="E183" s="205"/>
      <c r="F183" s="214">
        <f t="shared" si="146"/>
        <v>400</v>
      </c>
      <c r="G183" s="257"/>
      <c r="H183" s="257">
        <f>500-100</f>
        <v>400</v>
      </c>
      <c r="I183" s="235"/>
      <c r="J183" s="235"/>
      <c r="K183" s="223"/>
      <c r="L183" s="235"/>
      <c r="M183" s="223"/>
      <c r="N183" s="223"/>
      <c r="O183" s="257">
        <f t="shared" si="143"/>
        <v>0</v>
      </c>
      <c r="P183" s="257">
        <v>0</v>
      </c>
      <c r="Q183" s="224">
        <f t="shared" si="124"/>
        <v>0</v>
      </c>
      <c r="R183" s="257"/>
      <c r="S183" s="225">
        <v>0</v>
      </c>
      <c r="T183" s="225">
        <v>0</v>
      </c>
      <c r="U183" s="257"/>
      <c r="V183" s="225">
        <v>0</v>
      </c>
      <c r="W183" s="225">
        <v>0</v>
      </c>
      <c r="X183" s="257"/>
      <c r="Y183" s="225">
        <v>0</v>
      </c>
      <c r="Z183" s="225">
        <v>0</v>
      </c>
      <c r="AA183" s="257"/>
      <c r="AB183" s="225">
        <v>0</v>
      </c>
      <c r="AC183" s="225">
        <v>0</v>
      </c>
      <c r="AD183" s="257"/>
      <c r="AE183" s="225">
        <v>0</v>
      </c>
      <c r="AF183" s="225">
        <v>0</v>
      </c>
      <c r="AG183" s="257"/>
      <c r="AH183" s="225">
        <v>0</v>
      </c>
      <c r="AI183" s="225">
        <v>0</v>
      </c>
      <c r="AJ183" s="257"/>
      <c r="AK183" s="225">
        <v>0</v>
      </c>
      <c r="AL183" s="225">
        <v>0</v>
      </c>
      <c r="AM183" s="257"/>
      <c r="AN183" s="225">
        <v>0</v>
      </c>
      <c r="AO183" s="225">
        <v>0</v>
      </c>
      <c r="AP183" s="225"/>
      <c r="AQ183" s="257"/>
      <c r="AR183" s="225">
        <v>0</v>
      </c>
      <c r="AS183" s="225">
        <v>0</v>
      </c>
      <c r="AT183" s="257"/>
      <c r="AU183" s="225">
        <v>0</v>
      </c>
      <c r="AV183" s="225">
        <v>0</v>
      </c>
      <c r="AW183" s="257"/>
      <c r="AX183" s="225">
        <v>0</v>
      </c>
      <c r="AY183" s="225">
        <v>0</v>
      </c>
      <c r="AZ183" s="257"/>
      <c r="BA183" s="225">
        <v>0</v>
      </c>
      <c r="BB183" s="225">
        <v>0</v>
      </c>
      <c r="BC183" s="257"/>
      <c r="BD183" s="225">
        <v>0</v>
      </c>
      <c r="BE183" s="225">
        <v>0</v>
      </c>
      <c r="BF183" s="257"/>
      <c r="BG183" s="257"/>
      <c r="BH183" s="225">
        <v>0</v>
      </c>
      <c r="BI183" s="225">
        <v>0</v>
      </c>
      <c r="BJ183" s="257">
        <f t="shared" si="125"/>
        <v>380</v>
      </c>
      <c r="BK183" s="257"/>
      <c r="BL183" s="225">
        <f t="shared" ref="BL183:BL188" si="162">BK183/$D183</f>
        <v>0</v>
      </c>
      <c r="BM183" s="225">
        <f t="shared" si="136"/>
        <v>0</v>
      </c>
      <c r="BN183" s="205">
        <f t="shared" si="119"/>
        <v>0</v>
      </c>
      <c r="BO183" s="205"/>
      <c r="BP183" s="227"/>
      <c r="BQ183" s="224">
        <f>BP183/$D183</f>
        <v>0</v>
      </c>
      <c r="BR183" s="227"/>
      <c r="BS183" s="224">
        <f t="shared" ref="BS183:BS188" si="163">BR183/$D183</f>
        <v>0</v>
      </c>
      <c r="BT183" s="227"/>
      <c r="BU183" s="224">
        <f>BT183/$D183</f>
        <v>0</v>
      </c>
      <c r="BV183" s="227">
        <f>H183*0.95</f>
        <v>380</v>
      </c>
      <c r="BW183" s="224">
        <f>BV183/$D183</f>
        <v>0.95</v>
      </c>
      <c r="BX183" s="227">
        <f>BV183</f>
        <v>380</v>
      </c>
      <c r="BY183" s="224">
        <f>BX183/$D183</f>
        <v>0.95</v>
      </c>
      <c r="BZ183" s="227">
        <f>BX183</f>
        <v>380</v>
      </c>
      <c r="CA183" s="224">
        <f>BZ183/$D183</f>
        <v>0.95</v>
      </c>
      <c r="CB183" s="227">
        <f>BZ183</f>
        <v>380</v>
      </c>
      <c r="CC183" s="224">
        <f t="shared" ref="CC183:CE188" si="164">CB183/$D183</f>
        <v>0.95</v>
      </c>
      <c r="CD183" s="227">
        <f>CB183</f>
        <v>380</v>
      </c>
      <c r="CE183" s="224">
        <f t="shared" si="164"/>
        <v>0.95</v>
      </c>
      <c r="CF183" s="227">
        <f>CD183</f>
        <v>380</v>
      </c>
      <c r="CG183" s="224">
        <f t="shared" ref="CG183:CI188" si="165">CF183/$D183</f>
        <v>0.95</v>
      </c>
      <c r="CH183" s="227">
        <f>CF183</f>
        <v>380</v>
      </c>
      <c r="CI183" s="224">
        <f t="shared" si="165"/>
        <v>0.95</v>
      </c>
      <c r="CJ183" s="227">
        <f>CH183</f>
        <v>380</v>
      </c>
      <c r="CK183" s="224">
        <f t="shared" ref="CK183:CK188" si="166">CJ183/$D183</f>
        <v>0.95</v>
      </c>
      <c r="CL183" s="227">
        <f>CJ183</f>
        <v>380</v>
      </c>
      <c r="CM183" s="224">
        <f t="shared" ref="CM183:CM188" si="167">CL183/$D183</f>
        <v>0.95</v>
      </c>
      <c r="CN183" s="227">
        <f>CL183</f>
        <v>380</v>
      </c>
      <c r="CO183" s="224">
        <f t="shared" ref="CO183:CO188" si="168">CN183/$D183</f>
        <v>0.95</v>
      </c>
      <c r="CP183" s="213" t="str">
        <f t="shared" si="138"/>
        <v>Không đạt</v>
      </c>
      <c r="CQ183" s="213" t="str">
        <f t="shared" si="139"/>
        <v>Không đạt</v>
      </c>
      <c r="CR183" s="192"/>
      <c r="CS183" s="192"/>
      <c r="CT183" s="223"/>
      <c r="CU183" s="163"/>
      <c r="CW183" s="195"/>
      <c r="CX183" s="196"/>
      <c r="CY183" s="196"/>
      <c r="CZ183" s="197"/>
      <c r="DA183" s="196"/>
      <c r="DB183" s="196"/>
      <c r="DC183" s="196"/>
      <c r="DE183" s="199"/>
      <c r="DF183" s="200"/>
      <c r="DG183" s="181"/>
    </row>
    <row r="184" spans="1:111" ht="25.5" outlineLevel="1" x14ac:dyDescent="0.25">
      <c r="A184" s="192">
        <f>MAX(A$155:$B183)+1</f>
        <v>27</v>
      </c>
      <c r="B184" s="222" t="s">
        <v>331</v>
      </c>
      <c r="C184" s="222"/>
      <c r="D184" s="214">
        <f t="shared" si="117"/>
        <v>500</v>
      </c>
      <c r="E184" s="205"/>
      <c r="F184" s="214">
        <f t="shared" si="146"/>
        <v>500</v>
      </c>
      <c r="G184" s="257"/>
      <c r="H184" s="257">
        <v>500</v>
      </c>
      <c r="I184" s="235"/>
      <c r="J184" s="235"/>
      <c r="K184" s="223"/>
      <c r="L184" s="235"/>
      <c r="M184" s="223"/>
      <c r="N184" s="223"/>
      <c r="O184" s="257">
        <f t="shared" si="143"/>
        <v>0</v>
      </c>
      <c r="P184" s="257">
        <v>0</v>
      </c>
      <c r="Q184" s="224">
        <f t="shared" si="124"/>
        <v>0</v>
      </c>
      <c r="R184" s="257"/>
      <c r="S184" s="225">
        <v>0</v>
      </c>
      <c r="T184" s="225">
        <v>0</v>
      </c>
      <c r="U184" s="257"/>
      <c r="V184" s="225">
        <v>0</v>
      </c>
      <c r="W184" s="225">
        <v>0</v>
      </c>
      <c r="X184" s="257"/>
      <c r="Y184" s="225">
        <v>0</v>
      </c>
      <c r="Z184" s="225">
        <v>0</v>
      </c>
      <c r="AA184" s="257"/>
      <c r="AB184" s="225">
        <v>0</v>
      </c>
      <c r="AC184" s="225">
        <v>0</v>
      </c>
      <c r="AD184" s="257"/>
      <c r="AE184" s="225">
        <v>0</v>
      </c>
      <c r="AF184" s="225">
        <v>0</v>
      </c>
      <c r="AG184" s="257"/>
      <c r="AH184" s="225">
        <v>0</v>
      </c>
      <c r="AI184" s="225">
        <v>0</v>
      </c>
      <c r="AJ184" s="257"/>
      <c r="AK184" s="225">
        <v>0</v>
      </c>
      <c r="AL184" s="225">
        <v>0</v>
      </c>
      <c r="AM184" s="257"/>
      <c r="AN184" s="225">
        <v>0</v>
      </c>
      <c r="AO184" s="225">
        <v>0</v>
      </c>
      <c r="AP184" s="225"/>
      <c r="AQ184" s="257"/>
      <c r="AR184" s="225">
        <v>0</v>
      </c>
      <c r="AS184" s="225">
        <v>0</v>
      </c>
      <c r="AT184" s="257"/>
      <c r="AU184" s="225">
        <v>0</v>
      </c>
      <c r="AV184" s="225">
        <v>0</v>
      </c>
      <c r="AW184" s="257"/>
      <c r="AX184" s="225">
        <v>0</v>
      </c>
      <c r="AY184" s="225">
        <v>0</v>
      </c>
      <c r="AZ184" s="257"/>
      <c r="BA184" s="225">
        <v>0</v>
      </c>
      <c r="BB184" s="225">
        <v>0</v>
      </c>
      <c r="BC184" s="257"/>
      <c r="BD184" s="225">
        <v>0</v>
      </c>
      <c r="BE184" s="225">
        <v>0</v>
      </c>
      <c r="BF184" s="257"/>
      <c r="BG184" s="257"/>
      <c r="BH184" s="225">
        <v>0</v>
      </c>
      <c r="BI184" s="225">
        <v>0</v>
      </c>
      <c r="BJ184" s="257">
        <f t="shared" si="125"/>
        <v>475</v>
      </c>
      <c r="BK184" s="257"/>
      <c r="BL184" s="225">
        <f t="shared" si="162"/>
        <v>0</v>
      </c>
      <c r="BM184" s="225">
        <f t="shared" si="136"/>
        <v>0</v>
      </c>
      <c r="BN184" s="205">
        <f t="shared" si="119"/>
        <v>0</v>
      </c>
      <c r="BO184" s="205"/>
      <c r="BP184" s="227"/>
      <c r="BQ184" s="224">
        <f>BP184/$D184</f>
        <v>0</v>
      </c>
      <c r="BR184" s="227"/>
      <c r="BS184" s="224">
        <f t="shared" si="163"/>
        <v>0</v>
      </c>
      <c r="BT184" s="227"/>
      <c r="BU184" s="224">
        <f>BT184/$D184</f>
        <v>0</v>
      </c>
      <c r="BV184" s="227"/>
      <c r="BW184" s="224">
        <f>BV184/$D184</f>
        <v>0</v>
      </c>
      <c r="BX184" s="227"/>
      <c r="BY184" s="224">
        <f>BX184/$D184</f>
        <v>0</v>
      </c>
      <c r="BZ184" s="227">
        <f>F184*0.95</f>
        <v>475</v>
      </c>
      <c r="CA184" s="224">
        <f>BZ184/$D184</f>
        <v>0.95</v>
      </c>
      <c r="CB184" s="227">
        <f>BZ184</f>
        <v>475</v>
      </c>
      <c r="CC184" s="224">
        <f t="shared" si="164"/>
        <v>0.95</v>
      </c>
      <c r="CD184" s="227">
        <f>CB184</f>
        <v>475</v>
      </c>
      <c r="CE184" s="224">
        <f t="shared" si="164"/>
        <v>0.95</v>
      </c>
      <c r="CF184" s="227">
        <f>CD184</f>
        <v>475</v>
      </c>
      <c r="CG184" s="224">
        <f t="shared" si="165"/>
        <v>0.95</v>
      </c>
      <c r="CH184" s="227">
        <f>CF184</f>
        <v>475</v>
      </c>
      <c r="CI184" s="224">
        <f t="shared" si="165"/>
        <v>0.95</v>
      </c>
      <c r="CJ184" s="227">
        <f>CH184</f>
        <v>475</v>
      </c>
      <c r="CK184" s="224">
        <f t="shared" si="166"/>
        <v>0.95</v>
      </c>
      <c r="CL184" s="227">
        <f>CJ184</f>
        <v>475</v>
      </c>
      <c r="CM184" s="224">
        <f t="shared" si="167"/>
        <v>0.95</v>
      </c>
      <c r="CN184" s="227">
        <f>CL184</f>
        <v>475</v>
      </c>
      <c r="CO184" s="224">
        <f t="shared" si="168"/>
        <v>0.95</v>
      </c>
      <c r="CP184" s="213" t="str">
        <f t="shared" si="138"/>
        <v>Không đạt</v>
      </c>
      <c r="CQ184" s="213" t="str">
        <f t="shared" si="139"/>
        <v>Không đạt</v>
      </c>
      <c r="CR184" s="192"/>
      <c r="CS184" s="192"/>
      <c r="CT184" s="223"/>
      <c r="CU184" s="163"/>
      <c r="CW184" s="195"/>
      <c r="CX184" s="196"/>
      <c r="CY184" s="196"/>
      <c r="CZ184" s="197"/>
      <c r="DA184" s="196"/>
      <c r="DB184" s="196"/>
      <c r="DC184" s="196"/>
      <c r="DE184" s="199"/>
      <c r="DF184" s="200"/>
      <c r="DG184" s="181"/>
    </row>
    <row r="185" spans="1:111" ht="25.5" outlineLevel="1" x14ac:dyDescent="0.25">
      <c r="A185" s="192">
        <f>MAX(A$155:$B184)+1</f>
        <v>28</v>
      </c>
      <c r="B185" s="222" t="s">
        <v>332</v>
      </c>
      <c r="C185" s="222"/>
      <c r="D185" s="214">
        <f t="shared" si="117"/>
        <v>400</v>
      </c>
      <c r="E185" s="205"/>
      <c r="F185" s="214">
        <f t="shared" si="146"/>
        <v>400</v>
      </c>
      <c r="G185" s="257"/>
      <c r="H185" s="257">
        <f>500-100</f>
        <v>400</v>
      </c>
      <c r="I185" s="235"/>
      <c r="J185" s="235"/>
      <c r="K185" s="223"/>
      <c r="L185" s="235"/>
      <c r="M185" s="223"/>
      <c r="N185" s="223"/>
      <c r="O185" s="257">
        <f t="shared" si="143"/>
        <v>0</v>
      </c>
      <c r="P185" s="257">
        <v>0</v>
      </c>
      <c r="Q185" s="224">
        <f t="shared" si="124"/>
        <v>0</v>
      </c>
      <c r="R185" s="257"/>
      <c r="S185" s="225">
        <v>0</v>
      </c>
      <c r="T185" s="225">
        <v>0</v>
      </c>
      <c r="U185" s="257"/>
      <c r="V185" s="225">
        <v>0</v>
      </c>
      <c r="W185" s="225">
        <v>0</v>
      </c>
      <c r="X185" s="257"/>
      <c r="Y185" s="225">
        <v>0</v>
      </c>
      <c r="Z185" s="225">
        <v>0</v>
      </c>
      <c r="AA185" s="257"/>
      <c r="AB185" s="225">
        <v>0</v>
      </c>
      <c r="AC185" s="225">
        <v>0</v>
      </c>
      <c r="AD185" s="257"/>
      <c r="AE185" s="225">
        <v>0</v>
      </c>
      <c r="AF185" s="225">
        <v>0</v>
      </c>
      <c r="AG185" s="257"/>
      <c r="AH185" s="225">
        <v>0</v>
      </c>
      <c r="AI185" s="225">
        <v>0</v>
      </c>
      <c r="AJ185" s="257"/>
      <c r="AK185" s="225">
        <v>0</v>
      </c>
      <c r="AL185" s="225">
        <v>0</v>
      </c>
      <c r="AM185" s="257"/>
      <c r="AN185" s="225">
        <v>0</v>
      </c>
      <c r="AO185" s="225">
        <v>0</v>
      </c>
      <c r="AP185" s="225"/>
      <c r="AQ185" s="257"/>
      <c r="AR185" s="225">
        <v>0</v>
      </c>
      <c r="AS185" s="225">
        <v>0</v>
      </c>
      <c r="AT185" s="257"/>
      <c r="AU185" s="225">
        <v>0</v>
      </c>
      <c r="AV185" s="225">
        <v>0</v>
      </c>
      <c r="AW185" s="257"/>
      <c r="AX185" s="225">
        <v>0</v>
      </c>
      <c r="AY185" s="225">
        <v>0</v>
      </c>
      <c r="AZ185" s="257"/>
      <c r="BA185" s="225">
        <v>0</v>
      </c>
      <c r="BB185" s="225">
        <v>0</v>
      </c>
      <c r="BC185" s="257"/>
      <c r="BD185" s="225">
        <v>0</v>
      </c>
      <c r="BE185" s="225">
        <v>0</v>
      </c>
      <c r="BF185" s="257"/>
      <c r="BG185" s="257"/>
      <c r="BH185" s="225">
        <v>0</v>
      </c>
      <c r="BI185" s="225">
        <v>0</v>
      </c>
      <c r="BJ185" s="257">
        <f t="shared" si="125"/>
        <v>380</v>
      </c>
      <c r="BK185" s="257"/>
      <c r="BL185" s="225">
        <f t="shared" si="162"/>
        <v>0</v>
      </c>
      <c r="BM185" s="225">
        <f t="shared" si="136"/>
        <v>0</v>
      </c>
      <c r="BN185" s="205">
        <f t="shared" si="119"/>
        <v>0</v>
      </c>
      <c r="BO185" s="205"/>
      <c r="BP185" s="227"/>
      <c r="BQ185" s="224">
        <f>BP185/$D185</f>
        <v>0</v>
      </c>
      <c r="BR185" s="227"/>
      <c r="BS185" s="224">
        <f t="shared" si="163"/>
        <v>0</v>
      </c>
      <c r="BT185" s="227"/>
      <c r="BU185" s="224">
        <f>BT185/$D185</f>
        <v>0</v>
      </c>
      <c r="BV185" s="227"/>
      <c r="BW185" s="224">
        <f>BV185/$D185</f>
        <v>0</v>
      </c>
      <c r="BX185" s="227">
        <v>350</v>
      </c>
      <c r="BY185" s="224">
        <f>BX185/$D185</f>
        <v>0.875</v>
      </c>
      <c r="BZ185" s="227">
        <f>BX185</f>
        <v>350</v>
      </c>
      <c r="CA185" s="224">
        <f>BZ185/$D185</f>
        <v>0.875</v>
      </c>
      <c r="CB185" s="227">
        <f>BZ185</f>
        <v>350</v>
      </c>
      <c r="CC185" s="224">
        <f t="shared" si="164"/>
        <v>0.875</v>
      </c>
      <c r="CD185" s="227">
        <f>CB185</f>
        <v>350</v>
      </c>
      <c r="CE185" s="224">
        <f t="shared" si="164"/>
        <v>0.875</v>
      </c>
      <c r="CF185" s="227">
        <f>CD185</f>
        <v>350</v>
      </c>
      <c r="CG185" s="224">
        <f t="shared" si="165"/>
        <v>0.875</v>
      </c>
      <c r="CH185" s="227">
        <f>CF185</f>
        <v>350</v>
      </c>
      <c r="CI185" s="224">
        <f t="shared" si="165"/>
        <v>0.875</v>
      </c>
      <c r="CJ185" s="227">
        <f>CH185</f>
        <v>350</v>
      </c>
      <c r="CK185" s="224">
        <f t="shared" si="166"/>
        <v>0.875</v>
      </c>
      <c r="CL185" s="227">
        <v>475</v>
      </c>
      <c r="CM185" s="224">
        <f t="shared" si="167"/>
        <v>1.1875</v>
      </c>
      <c r="CN185" s="227">
        <f>CL185</f>
        <v>475</v>
      </c>
      <c r="CO185" s="224">
        <f t="shared" si="168"/>
        <v>1.1875</v>
      </c>
      <c r="CP185" s="213" t="str">
        <f t="shared" si="138"/>
        <v>Không đạt</v>
      </c>
      <c r="CQ185" s="213" t="str">
        <f t="shared" si="139"/>
        <v>Không đạt</v>
      </c>
      <c r="CR185" s="192"/>
      <c r="CS185" s="192"/>
      <c r="CT185" s="223"/>
      <c r="CU185" s="163"/>
      <c r="CW185" s="195"/>
      <c r="CX185" s="196"/>
      <c r="CY185" s="196"/>
      <c r="CZ185" s="197"/>
      <c r="DA185" s="196"/>
      <c r="DB185" s="196"/>
      <c r="DC185" s="196"/>
      <c r="DE185" s="199"/>
      <c r="DF185" s="200"/>
      <c r="DG185" s="181"/>
    </row>
    <row r="186" spans="1:111" outlineLevel="1" x14ac:dyDescent="0.25">
      <c r="A186" s="192">
        <f>MAX(A$155:$B185)+1</f>
        <v>29</v>
      </c>
      <c r="B186" s="222" t="s">
        <v>333</v>
      </c>
      <c r="C186" s="222">
        <v>7986486</v>
      </c>
      <c r="D186" s="214">
        <f t="shared" si="117"/>
        <v>4000</v>
      </c>
      <c r="E186" s="205"/>
      <c r="F186" s="214">
        <f t="shared" si="146"/>
        <v>4000</v>
      </c>
      <c r="G186" s="257"/>
      <c r="H186" s="257">
        <f>2000+2000</f>
        <v>4000</v>
      </c>
      <c r="I186" s="235">
        <v>1897</v>
      </c>
      <c r="J186" s="257">
        <v>1896.404</v>
      </c>
      <c r="K186" s="223"/>
      <c r="L186" s="235"/>
      <c r="M186" s="223"/>
      <c r="N186" s="223"/>
      <c r="O186" s="257">
        <f t="shared" si="143"/>
        <v>1897</v>
      </c>
      <c r="P186" s="257">
        <v>299.45699999999999</v>
      </c>
      <c r="Q186" s="224">
        <f t="shared" si="124"/>
        <v>7.4864249999999993E-2</v>
      </c>
      <c r="R186" s="257">
        <v>613.85071000000005</v>
      </c>
      <c r="S186" s="225">
        <v>0.30692535500000001</v>
      </c>
      <c r="T186" s="225">
        <v>0.3230793210526316</v>
      </c>
      <c r="U186" s="257">
        <v>613.85071000000005</v>
      </c>
      <c r="V186" s="225">
        <v>0.30692535500000001</v>
      </c>
      <c r="W186" s="225">
        <v>0.3230793210526316</v>
      </c>
      <c r="X186" s="257">
        <v>613.85071000000005</v>
      </c>
      <c r="Y186" s="225">
        <v>0.30692535500000001</v>
      </c>
      <c r="Z186" s="225">
        <v>0.3230793210526316</v>
      </c>
      <c r="AA186" s="257">
        <v>613.85071000000005</v>
      </c>
      <c r="AB186" s="225">
        <v>0.30692535500000001</v>
      </c>
      <c r="AC186" s="225">
        <v>0.3230793210526316</v>
      </c>
      <c r="AD186" s="257">
        <v>613.85071000000005</v>
      </c>
      <c r="AE186" s="225">
        <v>0.30692535500000001</v>
      </c>
      <c r="AF186" s="225">
        <v>0.3230793210526316</v>
      </c>
      <c r="AG186" s="257">
        <v>1329.8507099999999</v>
      </c>
      <c r="AH186" s="225">
        <v>0.66492535499999994</v>
      </c>
      <c r="AI186" s="225">
        <v>0.69992142631578946</v>
      </c>
      <c r="AJ186" s="257">
        <v>1329.8507099999999</v>
      </c>
      <c r="AK186" s="225">
        <v>0.66492535499999994</v>
      </c>
      <c r="AL186" s="225">
        <v>0.69992142631578946</v>
      </c>
      <c r="AM186" s="257">
        <v>1896.404</v>
      </c>
      <c r="AN186" s="225">
        <v>0.94820199999999999</v>
      </c>
      <c r="AO186" s="225">
        <v>0.99810736842105263</v>
      </c>
      <c r="AP186" s="225"/>
      <c r="AQ186" s="257">
        <v>1896.404</v>
      </c>
      <c r="AR186" s="225">
        <v>0.94820199999999999</v>
      </c>
      <c r="AS186" s="225">
        <v>0.99810736842105263</v>
      </c>
      <c r="AT186" s="257">
        <v>1896.404</v>
      </c>
      <c r="AU186" s="225">
        <v>0.94820199999999999</v>
      </c>
      <c r="AV186" s="225">
        <v>0.99810736842105263</v>
      </c>
      <c r="AW186" s="257">
        <v>1896.404</v>
      </c>
      <c r="AX186" s="225">
        <v>0.94820199999999999</v>
      </c>
      <c r="AY186" s="225">
        <v>0.99810736842105263</v>
      </c>
      <c r="AZ186" s="257">
        <v>1896.404</v>
      </c>
      <c r="BA186" s="225">
        <v>0.94820199999999999</v>
      </c>
      <c r="BB186" s="225">
        <v>0.99810736842105263</v>
      </c>
      <c r="BC186" s="257">
        <v>1896.404</v>
      </c>
      <c r="BD186" s="225">
        <v>0.94820199999999999</v>
      </c>
      <c r="BE186" s="225">
        <v>0.99810736842105263</v>
      </c>
      <c r="BF186" s="257">
        <v>1896.404</v>
      </c>
      <c r="BG186" s="257">
        <v>1896.404</v>
      </c>
      <c r="BH186" s="225">
        <v>0.47410099999999999</v>
      </c>
      <c r="BI186" s="225">
        <v>0.49905368421052632</v>
      </c>
      <c r="BJ186" s="257">
        <f t="shared" si="125"/>
        <v>3800</v>
      </c>
      <c r="BK186" s="257">
        <v>1896.404</v>
      </c>
      <c r="BL186" s="225">
        <f t="shared" si="162"/>
        <v>0.47410099999999999</v>
      </c>
      <c r="BM186" s="225">
        <f t="shared" si="136"/>
        <v>0.49905368421052632</v>
      </c>
      <c r="BN186" s="205">
        <f t="shared" si="119"/>
        <v>1282.5532899999998</v>
      </c>
      <c r="BO186" s="205"/>
      <c r="BP186" s="227">
        <v>1610</v>
      </c>
      <c r="BQ186" s="224">
        <f>BP186/$D186</f>
        <v>0.40250000000000002</v>
      </c>
      <c r="BR186" s="227">
        <f>BP186</f>
        <v>1610</v>
      </c>
      <c r="BS186" s="224">
        <f t="shared" si="163"/>
        <v>0.40250000000000002</v>
      </c>
      <c r="BT186" s="227">
        <f>BR186</f>
        <v>1610</v>
      </c>
      <c r="BU186" s="224">
        <f>BT186/$D186</f>
        <v>0.40250000000000002</v>
      </c>
      <c r="BV186" s="227">
        <f>BT186</f>
        <v>1610</v>
      </c>
      <c r="BW186" s="224">
        <f>BV186/$D186</f>
        <v>0.40250000000000002</v>
      </c>
      <c r="BX186" s="227">
        <f>BV186</f>
        <v>1610</v>
      </c>
      <c r="BY186" s="224">
        <f>BX186/$D186</f>
        <v>0.40250000000000002</v>
      </c>
      <c r="BZ186" s="227">
        <f>BX186</f>
        <v>1610</v>
      </c>
      <c r="CA186" s="224">
        <f>BZ186/$D186</f>
        <v>0.40250000000000002</v>
      </c>
      <c r="CB186" s="227">
        <f>BZ186</f>
        <v>1610</v>
      </c>
      <c r="CC186" s="224">
        <f t="shared" si="164"/>
        <v>0.40250000000000002</v>
      </c>
      <c r="CD186" s="227">
        <f>CB186</f>
        <v>1610</v>
      </c>
      <c r="CE186" s="224">
        <f t="shared" si="164"/>
        <v>0.40250000000000002</v>
      </c>
      <c r="CF186" s="227">
        <f>CD186</f>
        <v>1610</v>
      </c>
      <c r="CG186" s="224">
        <f t="shared" si="165"/>
        <v>0.40250000000000002</v>
      </c>
      <c r="CH186" s="227">
        <f>CF186</f>
        <v>1610</v>
      </c>
      <c r="CI186" s="224">
        <f t="shared" si="165"/>
        <v>0.40250000000000002</v>
      </c>
      <c r="CJ186" s="227">
        <f>CH186</f>
        <v>1610</v>
      </c>
      <c r="CK186" s="224">
        <f t="shared" si="166"/>
        <v>0.40250000000000002</v>
      </c>
      <c r="CL186" s="227">
        <v>1900</v>
      </c>
      <c r="CM186" s="224">
        <f t="shared" si="167"/>
        <v>0.47499999999999998</v>
      </c>
      <c r="CN186" s="227">
        <f>CL186</f>
        <v>1900</v>
      </c>
      <c r="CO186" s="224">
        <f t="shared" si="168"/>
        <v>0.47499999999999998</v>
      </c>
      <c r="CP186" s="213" t="str">
        <f t="shared" si="138"/>
        <v>Đạt</v>
      </c>
      <c r="CQ186" s="213" t="str">
        <f t="shared" si="139"/>
        <v>Đạt</v>
      </c>
      <c r="CR186" s="192"/>
      <c r="CS186" s="192"/>
      <c r="CT186" s="223"/>
      <c r="CU186" s="163"/>
      <c r="CW186" s="195"/>
      <c r="CX186" s="196"/>
      <c r="CY186" s="196"/>
      <c r="CZ186" s="197"/>
      <c r="DA186" s="196"/>
      <c r="DB186" s="196"/>
      <c r="DC186" s="196"/>
      <c r="DE186" s="199"/>
      <c r="DF186" s="200"/>
      <c r="DG186" s="181"/>
    </row>
    <row r="187" spans="1:111" outlineLevel="1" x14ac:dyDescent="0.25">
      <c r="A187" s="192">
        <f>MAX(A$155:$B186)+1</f>
        <v>30</v>
      </c>
      <c r="B187" s="222" t="s">
        <v>334</v>
      </c>
      <c r="C187" s="222">
        <v>7986488</v>
      </c>
      <c r="D187" s="214">
        <f t="shared" si="117"/>
        <v>4000</v>
      </c>
      <c r="E187" s="205"/>
      <c r="F187" s="214">
        <f t="shared" si="146"/>
        <v>4000</v>
      </c>
      <c r="G187" s="257"/>
      <c r="H187" s="257">
        <f>2000+2000</f>
        <v>4000</v>
      </c>
      <c r="I187" s="235">
        <v>288</v>
      </c>
      <c r="J187" s="257">
        <v>288</v>
      </c>
      <c r="K187" s="223"/>
      <c r="L187" s="235"/>
      <c r="M187" s="223"/>
      <c r="N187" s="223"/>
      <c r="O187" s="257">
        <f t="shared" si="143"/>
        <v>288</v>
      </c>
      <c r="P187" s="257">
        <v>0</v>
      </c>
      <c r="Q187" s="224">
        <f t="shared" si="124"/>
        <v>0</v>
      </c>
      <c r="R187" s="257">
        <v>75.653000000000006</v>
      </c>
      <c r="S187" s="225">
        <v>3.7826500000000006E-2</v>
      </c>
      <c r="T187" s="225">
        <v>3.9817368421052636E-2</v>
      </c>
      <c r="U187" s="257">
        <v>288</v>
      </c>
      <c r="V187" s="225">
        <v>0.14399999999999999</v>
      </c>
      <c r="W187" s="225">
        <v>0.15157894736842106</v>
      </c>
      <c r="X187" s="257">
        <v>288</v>
      </c>
      <c r="Y187" s="225">
        <v>0.14399999999999999</v>
      </c>
      <c r="Z187" s="225">
        <v>0.15157894736842106</v>
      </c>
      <c r="AA187" s="257">
        <v>288</v>
      </c>
      <c r="AB187" s="225">
        <v>0.14399999999999999</v>
      </c>
      <c r="AC187" s="225">
        <v>0.15157894736842106</v>
      </c>
      <c r="AD187" s="257">
        <v>288</v>
      </c>
      <c r="AE187" s="225">
        <v>0.14399999999999999</v>
      </c>
      <c r="AF187" s="225">
        <v>0.15157894736842106</v>
      </c>
      <c r="AG187" s="257">
        <v>288</v>
      </c>
      <c r="AH187" s="225">
        <v>0.14399999999999999</v>
      </c>
      <c r="AI187" s="225">
        <v>0.15157894736842106</v>
      </c>
      <c r="AJ187" s="188">
        <v>288</v>
      </c>
      <c r="AK187" s="225">
        <v>0.14399999999999999</v>
      </c>
      <c r="AL187" s="225">
        <v>0.15157894736842106</v>
      </c>
      <c r="AM187" s="257">
        <v>288</v>
      </c>
      <c r="AN187" s="225">
        <v>0.14399999999999999</v>
      </c>
      <c r="AO187" s="225">
        <v>0.15157894736842106</v>
      </c>
      <c r="AP187" s="225"/>
      <c r="AQ187" s="257">
        <v>288</v>
      </c>
      <c r="AR187" s="225">
        <v>0.14399999999999999</v>
      </c>
      <c r="AS187" s="225">
        <v>0.15157894736842106</v>
      </c>
      <c r="AT187" s="257">
        <v>288</v>
      </c>
      <c r="AU187" s="225">
        <v>0.14399999999999999</v>
      </c>
      <c r="AV187" s="225">
        <v>0.15157894736842106</v>
      </c>
      <c r="AW187" s="257">
        <v>288</v>
      </c>
      <c r="AX187" s="225">
        <v>0.14399999999999999</v>
      </c>
      <c r="AY187" s="225">
        <v>0.15157894736842106</v>
      </c>
      <c r="AZ187" s="257">
        <v>288</v>
      </c>
      <c r="BA187" s="225">
        <v>0.14399999999999999</v>
      </c>
      <c r="BB187" s="225">
        <v>0.15157894736842106</v>
      </c>
      <c r="BC187" s="257">
        <v>288</v>
      </c>
      <c r="BD187" s="225">
        <v>0.14399999999999999</v>
      </c>
      <c r="BE187" s="225">
        <v>0.15157894736842106</v>
      </c>
      <c r="BF187" s="257">
        <v>964.65300000000002</v>
      </c>
      <c r="BG187" s="257">
        <v>964.65300000000002</v>
      </c>
      <c r="BH187" s="225">
        <v>0.24116325</v>
      </c>
      <c r="BI187" s="225">
        <v>0.25385605263157895</v>
      </c>
      <c r="BJ187" s="257">
        <f t="shared" si="125"/>
        <v>3800</v>
      </c>
      <c r="BK187" s="257">
        <v>964.65300000000002</v>
      </c>
      <c r="BL187" s="225">
        <f t="shared" si="162"/>
        <v>0.24116325</v>
      </c>
      <c r="BM187" s="225">
        <f t="shared" si="136"/>
        <v>0.25385605263157895</v>
      </c>
      <c r="BN187" s="205">
        <f t="shared" si="119"/>
        <v>676.65300000000002</v>
      </c>
      <c r="BO187" s="205"/>
      <c r="BP187" s="227">
        <v>330</v>
      </c>
      <c r="BQ187" s="224">
        <f>BP187/$D187</f>
        <v>8.2500000000000004E-2</v>
      </c>
      <c r="BR187" s="227">
        <v>330</v>
      </c>
      <c r="BS187" s="224">
        <f t="shared" si="163"/>
        <v>8.2500000000000004E-2</v>
      </c>
      <c r="BT187" s="227">
        <v>1900</v>
      </c>
      <c r="BU187" s="224">
        <f>BT187/$D187</f>
        <v>0.47499999999999998</v>
      </c>
      <c r="BV187" s="227">
        <f>BT187</f>
        <v>1900</v>
      </c>
      <c r="BW187" s="224">
        <f>BV187/$D187</f>
        <v>0.47499999999999998</v>
      </c>
      <c r="BX187" s="227">
        <f>BV187</f>
        <v>1900</v>
      </c>
      <c r="BY187" s="224">
        <f>BX187/$D187</f>
        <v>0.47499999999999998</v>
      </c>
      <c r="BZ187" s="227">
        <f>BX187</f>
        <v>1900</v>
      </c>
      <c r="CA187" s="224">
        <f>BZ187/$D187</f>
        <v>0.47499999999999998</v>
      </c>
      <c r="CB187" s="227">
        <f>BZ187</f>
        <v>1900</v>
      </c>
      <c r="CC187" s="224">
        <f t="shared" si="164"/>
        <v>0.47499999999999998</v>
      </c>
      <c r="CD187" s="227">
        <f>CB187</f>
        <v>1900</v>
      </c>
      <c r="CE187" s="224">
        <f t="shared" si="164"/>
        <v>0.47499999999999998</v>
      </c>
      <c r="CF187" s="227">
        <f>CD187</f>
        <v>1900</v>
      </c>
      <c r="CG187" s="224">
        <f t="shared" si="165"/>
        <v>0.47499999999999998</v>
      </c>
      <c r="CH187" s="227">
        <f>CF187</f>
        <v>1900</v>
      </c>
      <c r="CI187" s="224">
        <f t="shared" si="165"/>
        <v>0.47499999999999998</v>
      </c>
      <c r="CJ187" s="227">
        <f>CH187</f>
        <v>1900</v>
      </c>
      <c r="CK187" s="224">
        <f t="shared" si="166"/>
        <v>0.47499999999999998</v>
      </c>
      <c r="CL187" s="227">
        <f>CJ187</f>
        <v>1900</v>
      </c>
      <c r="CM187" s="224">
        <f t="shared" si="167"/>
        <v>0.47499999999999998</v>
      </c>
      <c r="CN187" s="227">
        <f>CL187</f>
        <v>1900</v>
      </c>
      <c r="CO187" s="224">
        <f t="shared" si="168"/>
        <v>0.47499999999999998</v>
      </c>
      <c r="CP187" s="213" t="str">
        <f t="shared" si="138"/>
        <v>Không đạt</v>
      </c>
      <c r="CQ187" s="213" t="str">
        <f t="shared" si="139"/>
        <v>Không đạt</v>
      </c>
      <c r="CR187" s="192"/>
      <c r="CS187" s="192"/>
      <c r="CT187" s="223"/>
      <c r="CU187" s="163"/>
      <c r="CW187" s="195"/>
      <c r="CX187" s="196"/>
      <c r="CY187" s="196"/>
      <c r="CZ187" s="197"/>
      <c r="DA187" s="196"/>
      <c r="DB187" s="196"/>
      <c r="DC187" s="196"/>
      <c r="DE187" s="199"/>
      <c r="DF187" s="200"/>
      <c r="DG187" s="181"/>
    </row>
    <row r="188" spans="1:111" outlineLevel="1" x14ac:dyDescent="0.25">
      <c r="A188" s="256" t="s">
        <v>34</v>
      </c>
      <c r="B188" s="210" t="s">
        <v>335</v>
      </c>
      <c r="C188" s="210"/>
      <c r="D188" s="214">
        <f t="shared" ref="D188:L188" si="169">SUM(D189:D198)</f>
        <v>47000</v>
      </c>
      <c r="E188" s="214">
        <f t="shared" si="169"/>
        <v>0</v>
      </c>
      <c r="F188" s="214">
        <f t="shared" si="169"/>
        <v>47000</v>
      </c>
      <c r="G188" s="214">
        <f t="shared" si="169"/>
        <v>10000</v>
      </c>
      <c r="H188" s="214">
        <f t="shared" si="169"/>
        <v>37000</v>
      </c>
      <c r="I188" s="214">
        <f t="shared" si="169"/>
        <v>1344</v>
      </c>
      <c r="J188" s="214"/>
      <c r="K188" s="214">
        <f t="shared" si="169"/>
        <v>0</v>
      </c>
      <c r="L188" s="214">
        <f t="shared" si="169"/>
        <v>0</v>
      </c>
      <c r="M188" s="223"/>
      <c r="N188" s="223"/>
      <c r="O188" s="214">
        <f t="shared" si="143"/>
        <v>11344</v>
      </c>
      <c r="P188" s="214">
        <f>SUM(P189:P198)</f>
        <v>10584.202748</v>
      </c>
      <c r="Q188" s="186">
        <f t="shared" si="124"/>
        <v>0.22519580314893617</v>
      </c>
      <c r="R188" s="188">
        <v>10588.764735000001</v>
      </c>
      <c r="S188" s="185">
        <v>0.22292136284210529</v>
      </c>
      <c r="T188" s="185">
        <v>0.23465406614958451</v>
      </c>
      <c r="U188" s="188">
        <v>10733.608</v>
      </c>
      <c r="V188" s="185">
        <v>0.22597069473684211</v>
      </c>
      <c r="W188" s="185">
        <v>0.23786388919667589</v>
      </c>
      <c r="X188" s="188">
        <v>10733.608</v>
      </c>
      <c r="Y188" s="185">
        <v>0.22597069473684211</v>
      </c>
      <c r="Z188" s="185">
        <v>0.23786388919667589</v>
      </c>
      <c r="AA188" s="188">
        <v>10733.608</v>
      </c>
      <c r="AB188" s="185">
        <v>0.22597069473684211</v>
      </c>
      <c r="AC188" s="185">
        <v>0.23786388919667589</v>
      </c>
      <c r="AD188" s="188">
        <v>10833.608</v>
      </c>
      <c r="AE188" s="185">
        <v>0.22807595789473684</v>
      </c>
      <c r="AF188" s="185">
        <v>0.24007995567867035</v>
      </c>
      <c r="AG188" s="188">
        <v>10835.463</v>
      </c>
      <c r="AH188" s="185">
        <v>0.22811501052631578</v>
      </c>
      <c r="AI188" s="185">
        <v>0.24012106371191136</v>
      </c>
      <c r="AJ188" s="262">
        <v>10835.463</v>
      </c>
      <c r="AK188" s="185">
        <v>0.22811501052631578</v>
      </c>
      <c r="AL188" s="185">
        <v>0.24012106371191136</v>
      </c>
      <c r="AM188" s="188">
        <v>10835.463</v>
      </c>
      <c r="AN188" s="185">
        <v>0.22811501052631578</v>
      </c>
      <c r="AO188" s="185">
        <v>0.24012106371191136</v>
      </c>
      <c r="AP188" s="185"/>
      <c r="AQ188" s="188">
        <v>10843.608</v>
      </c>
      <c r="AR188" s="185">
        <v>0.22828648421052633</v>
      </c>
      <c r="AS188" s="185">
        <v>0.24030156232686981</v>
      </c>
      <c r="AT188" s="188">
        <v>10843.608</v>
      </c>
      <c r="AU188" s="185">
        <v>0.22828648421052633</v>
      </c>
      <c r="AV188" s="185">
        <v>0.24030156232686981</v>
      </c>
      <c r="AW188" s="188">
        <v>10843.608</v>
      </c>
      <c r="AX188" s="185">
        <v>0.22828648421052633</v>
      </c>
      <c r="AY188" s="185">
        <v>0.24030156232686981</v>
      </c>
      <c r="AZ188" s="188">
        <v>10843.608</v>
      </c>
      <c r="BA188" s="185">
        <v>0.22828648421052633</v>
      </c>
      <c r="BB188" s="185">
        <v>0.24030156232686981</v>
      </c>
      <c r="BC188" s="188">
        <v>10843.608</v>
      </c>
      <c r="BD188" s="185">
        <v>0.22828648421052633</v>
      </c>
      <c r="BE188" s="185">
        <v>0.24030156232686981</v>
      </c>
      <c r="BF188" s="188"/>
      <c r="BG188" s="188">
        <v>12260.093000000001</v>
      </c>
      <c r="BH188" s="185">
        <v>0.26085304255319153</v>
      </c>
      <c r="BI188" s="185">
        <v>0.27458215005599107</v>
      </c>
      <c r="BJ188" s="188">
        <f t="shared" si="125"/>
        <v>44650</v>
      </c>
      <c r="BK188" s="188">
        <f>SUM(BK189:BK198)</f>
        <v>12260.093000000001</v>
      </c>
      <c r="BL188" s="185">
        <f t="shared" si="162"/>
        <v>0.26085304255319153</v>
      </c>
      <c r="BM188" s="185">
        <f t="shared" si="136"/>
        <v>0.27458215005599107</v>
      </c>
      <c r="BN188" s="205">
        <f t="shared" si="119"/>
        <v>1426.4850000000006</v>
      </c>
      <c r="BO188" s="205"/>
      <c r="BP188" s="189">
        <f>SUM(BP189:BP198)</f>
        <v>0</v>
      </c>
      <c r="BQ188" s="186">
        <f t="shared" si="137"/>
        <v>0</v>
      </c>
      <c r="BR188" s="189">
        <f>SUM(BR189:BR198)</f>
        <v>0</v>
      </c>
      <c r="BS188" s="186">
        <f t="shared" si="163"/>
        <v>0</v>
      </c>
      <c r="BT188" s="189">
        <f>SUM(BT189:BT198)</f>
        <v>7000</v>
      </c>
      <c r="BU188" s="186">
        <f t="shared" si="126"/>
        <v>0.14893617021276595</v>
      </c>
      <c r="BV188" s="189">
        <f>SUM(BV189:BV198)</f>
        <v>7500</v>
      </c>
      <c r="BW188" s="186">
        <f t="shared" si="128"/>
        <v>0.15957446808510639</v>
      </c>
      <c r="BX188" s="189">
        <f>SUM(BX189:BX198)</f>
        <v>11500</v>
      </c>
      <c r="BY188" s="186">
        <f t="shared" si="129"/>
        <v>0.24468085106382978</v>
      </c>
      <c r="BZ188" s="189">
        <f>SUM(BZ189:BZ198)</f>
        <v>23438</v>
      </c>
      <c r="CA188" s="186">
        <f t="shared" si="130"/>
        <v>0.49868085106382981</v>
      </c>
      <c r="CB188" s="189">
        <f>SUM(CB189:CB198)</f>
        <v>31675</v>
      </c>
      <c r="CC188" s="186">
        <f t="shared" si="164"/>
        <v>0.67393617021276597</v>
      </c>
      <c r="CD188" s="189">
        <f>SUM(CD189:CD198)</f>
        <v>35925</v>
      </c>
      <c r="CE188" s="186">
        <f t="shared" si="164"/>
        <v>0.76436170212765953</v>
      </c>
      <c r="CF188" s="189">
        <f>SUM(CF189:CF198)</f>
        <v>43125</v>
      </c>
      <c r="CG188" s="186">
        <f t="shared" si="165"/>
        <v>0.91755319148936165</v>
      </c>
      <c r="CH188" s="189">
        <f>SUM(CH189:CH198)</f>
        <v>45125</v>
      </c>
      <c r="CI188" s="186">
        <f t="shared" si="165"/>
        <v>0.96010638297872342</v>
      </c>
      <c r="CJ188" s="189">
        <f>SUM(CJ189:CJ198)</f>
        <v>46375</v>
      </c>
      <c r="CK188" s="186">
        <f t="shared" si="166"/>
        <v>0.98670212765957444</v>
      </c>
      <c r="CL188" s="189">
        <f>SUM(CL189:CL198)</f>
        <v>46375</v>
      </c>
      <c r="CM188" s="186">
        <f t="shared" si="167"/>
        <v>0.98670212765957444</v>
      </c>
      <c r="CN188" s="189">
        <f>SUM(CN189:CN198)</f>
        <v>47025</v>
      </c>
      <c r="CO188" s="186">
        <f t="shared" si="168"/>
        <v>1.0005319148936169</v>
      </c>
      <c r="CP188" s="213" t="str">
        <f t="shared" si="138"/>
        <v>Không đạt</v>
      </c>
      <c r="CQ188" s="213" t="str">
        <f t="shared" si="139"/>
        <v>Không đạt</v>
      </c>
      <c r="CR188" s="192"/>
      <c r="CS188" s="192"/>
      <c r="CT188" s="223"/>
      <c r="CU188" s="163"/>
      <c r="CW188" s="195"/>
      <c r="CX188" s="196"/>
      <c r="CY188" s="196"/>
      <c r="CZ188" s="197"/>
      <c r="DA188" s="196"/>
      <c r="DB188" s="196"/>
      <c r="DC188" s="196"/>
      <c r="DE188" s="199"/>
      <c r="DF188" s="200"/>
      <c r="DG188" s="181"/>
    </row>
    <row r="189" spans="1:111" outlineLevel="1" x14ac:dyDescent="0.25">
      <c r="A189" s="192"/>
      <c r="B189" s="240" t="s">
        <v>254</v>
      </c>
      <c r="C189" s="240"/>
      <c r="D189" s="214">
        <f t="shared" si="117"/>
        <v>0</v>
      </c>
      <c r="E189" s="205"/>
      <c r="F189" s="214">
        <f t="shared" ref="F189:F198" si="170">G189+H189+K189+M189</f>
        <v>0</v>
      </c>
      <c r="G189" s="262"/>
      <c r="H189" s="262"/>
      <c r="I189" s="235"/>
      <c r="J189" s="235"/>
      <c r="K189" s="223"/>
      <c r="L189" s="235"/>
      <c r="M189" s="223"/>
      <c r="N189" s="223"/>
      <c r="O189" s="262">
        <f t="shared" si="143"/>
        <v>0</v>
      </c>
      <c r="P189" s="262">
        <v>0</v>
      </c>
      <c r="Q189" s="224" t="e">
        <f t="shared" si="124"/>
        <v>#DIV/0!</v>
      </c>
      <c r="R189" s="262"/>
      <c r="S189" s="225"/>
      <c r="T189" s="225" t="e">
        <v>#DIV/0!</v>
      </c>
      <c r="U189" s="262"/>
      <c r="V189" s="225"/>
      <c r="W189" s="225" t="e">
        <v>#DIV/0!</v>
      </c>
      <c r="X189" s="262"/>
      <c r="Y189" s="225"/>
      <c r="Z189" s="225" t="e">
        <v>#DIV/0!</v>
      </c>
      <c r="AA189" s="262"/>
      <c r="AB189" s="225"/>
      <c r="AC189" s="225" t="e">
        <v>#DIV/0!</v>
      </c>
      <c r="AD189" s="262"/>
      <c r="AE189" s="225"/>
      <c r="AF189" s="225" t="e">
        <v>#DIV/0!</v>
      </c>
      <c r="AG189" s="262"/>
      <c r="AH189" s="225"/>
      <c r="AI189" s="225" t="e">
        <v>#DIV/0!</v>
      </c>
      <c r="AJ189" s="257"/>
      <c r="AK189" s="225"/>
      <c r="AL189" s="225" t="e">
        <v>#DIV/0!</v>
      </c>
      <c r="AM189" s="262"/>
      <c r="AN189" s="225"/>
      <c r="AO189" s="225" t="e">
        <v>#DIV/0!</v>
      </c>
      <c r="AP189" s="225"/>
      <c r="AQ189" s="262"/>
      <c r="AR189" s="225"/>
      <c r="AS189" s="225" t="e">
        <v>#DIV/0!</v>
      </c>
      <c r="AT189" s="262"/>
      <c r="AU189" s="225"/>
      <c r="AV189" s="225" t="e">
        <v>#DIV/0!</v>
      </c>
      <c r="AW189" s="262"/>
      <c r="AX189" s="225"/>
      <c r="AY189" s="225" t="e">
        <v>#DIV/0!</v>
      </c>
      <c r="AZ189" s="262"/>
      <c r="BA189" s="225"/>
      <c r="BB189" s="225"/>
      <c r="BC189" s="262"/>
      <c r="BD189" s="225"/>
      <c r="BE189" s="225"/>
      <c r="BF189" s="262"/>
      <c r="BG189" s="262"/>
      <c r="BH189" s="225"/>
      <c r="BI189" s="225"/>
      <c r="BJ189" s="262">
        <f t="shared" si="125"/>
        <v>0</v>
      </c>
      <c r="BK189" s="262"/>
      <c r="BL189" s="225"/>
      <c r="BM189" s="225"/>
      <c r="BN189" s="205">
        <f t="shared" si="119"/>
        <v>0</v>
      </c>
      <c r="BO189" s="205"/>
      <c r="BP189" s="227"/>
      <c r="BQ189" s="224"/>
      <c r="BR189" s="227"/>
      <c r="BS189" s="224"/>
      <c r="BT189" s="227"/>
      <c r="BU189" s="224"/>
      <c r="BV189" s="227"/>
      <c r="BW189" s="224"/>
      <c r="BX189" s="227"/>
      <c r="BY189" s="224"/>
      <c r="BZ189" s="227"/>
      <c r="CA189" s="224"/>
      <c r="CB189" s="227"/>
      <c r="CC189" s="224"/>
      <c r="CD189" s="227"/>
      <c r="CE189" s="224"/>
      <c r="CF189" s="227"/>
      <c r="CG189" s="224"/>
      <c r="CH189" s="227"/>
      <c r="CI189" s="224"/>
      <c r="CJ189" s="227"/>
      <c r="CK189" s="224"/>
      <c r="CL189" s="227"/>
      <c r="CM189" s="224"/>
      <c r="CN189" s="227"/>
      <c r="CO189" s="224"/>
      <c r="CP189" s="213" t="str">
        <f t="shared" si="138"/>
        <v>Không đạt</v>
      </c>
      <c r="CQ189" s="213" t="str">
        <f t="shared" si="139"/>
        <v>Không đạt</v>
      </c>
      <c r="CR189" s="192"/>
      <c r="CS189" s="192"/>
      <c r="CT189" s="223"/>
      <c r="CU189" s="163"/>
      <c r="CW189" s="195"/>
      <c r="CX189" s="196"/>
      <c r="CY189" s="196"/>
      <c r="CZ189" s="197"/>
      <c r="DA189" s="196"/>
      <c r="DB189" s="196"/>
      <c r="DC189" s="196"/>
      <c r="DE189" s="199"/>
      <c r="DF189" s="200"/>
      <c r="DG189" s="181"/>
    </row>
    <row r="190" spans="1:111" outlineLevel="1" x14ac:dyDescent="0.25">
      <c r="A190" s="192">
        <f>MAX(A$186:$B189)+1</f>
        <v>31</v>
      </c>
      <c r="B190" s="222" t="s">
        <v>336</v>
      </c>
      <c r="C190" s="222"/>
      <c r="D190" s="214">
        <f>E190+F190</f>
        <v>7000</v>
      </c>
      <c r="E190" s="205"/>
      <c r="F190" s="214">
        <f>G190+H190+K190+M190</f>
        <v>7000</v>
      </c>
      <c r="G190" s="257"/>
      <c r="H190" s="257">
        <v>7000</v>
      </c>
      <c r="I190" s="235"/>
      <c r="J190" s="235"/>
      <c r="K190" s="223"/>
      <c r="L190" s="235"/>
      <c r="M190" s="223"/>
      <c r="N190" s="223"/>
      <c r="O190" s="257">
        <f>G190+I190+L190+N190</f>
        <v>0</v>
      </c>
      <c r="P190" s="257">
        <v>0</v>
      </c>
      <c r="Q190" s="224">
        <f>P190/$D190</f>
        <v>0</v>
      </c>
      <c r="R190" s="257"/>
      <c r="S190" s="225">
        <v>0</v>
      </c>
      <c r="T190" s="225">
        <v>0</v>
      </c>
      <c r="U190" s="257"/>
      <c r="V190" s="225">
        <v>0</v>
      </c>
      <c r="W190" s="225">
        <v>0</v>
      </c>
      <c r="X190" s="257"/>
      <c r="Y190" s="225">
        <v>0</v>
      </c>
      <c r="Z190" s="225">
        <v>0</v>
      </c>
      <c r="AA190" s="257"/>
      <c r="AB190" s="225">
        <v>0</v>
      </c>
      <c r="AC190" s="225">
        <v>0</v>
      </c>
      <c r="AD190" s="257"/>
      <c r="AE190" s="225">
        <v>0</v>
      </c>
      <c r="AF190" s="225">
        <v>0</v>
      </c>
      <c r="AG190" s="257"/>
      <c r="AH190" s="225">
        <v>0</v>
      </c>
      <c r="AI190" s="225">
        <v>0</v>
      </c>
      <c r="AJ190" s="257"/>
      <c r="AK190" s="225">
        <v>0</v>
      </c>
      <c r="AL190" s="225">
        <v>0</v>
      </c>
      <c r="AM190" s="257"/>
      <c r="AN190" s="225">
        <v>0</v>
      </c>
      <c r="AO190" s="225">
        <v>0</v>
      </c>
      <c r="AP190" s="225"/>
      <c r="AQ190" s="257"/>
      <c r="AR190" s="225">
        <v>0</v>
      </c>
      <c r="AS190" s="225">
        <v>0</v>
      </c>
      <c r="AT190" s="257"/>
      <c r="AU190" s="225">
        <v>0</v>
      </c>
      <c r="AV190" s="225">
        <v>0</v>
      </c>
      <c r="AW190" s="257"/>
      <c r="AX190" s="225">
        <v>0</v>
      </c>
      <c r="AY190" s="225">
        <v>0</v>
      </c>
      <c r="AZ190" s="257"/>
      <c r="BA190" s="225">
        <v>0</v>
      </c>
      <c r="BB190" s="225">
        <v>0</v>
      </c>
      <c r="BC190" s="257"/>
      <c r="BD190" s="225">
        <v>0</v>
      </c>
      <c r="BE190" s="225">
        <v>0</v>
      </c>
      <c r="BF190" s="257"/>
      <c r="BG190" s="257"/>
      <c r="BH190" s="225">
        <v>0</v>
      </c>
      <c r="BI190" s="225">
        <v>0</v>
      </c>
      <c r="BJ190" s="257">
        <f t="shared" si="125"/>
        <v>6650</v>
      </c>
      <c r="BK190" s="257"/>
      <c r="BL190" s="225">
        <f>BK190/$D190</f>
        <v>0</v>
      </c>
      <c r="BM190" s="225">
        <f>BK190/(E190+0.95*F190)</f>
        <v>0</v>
      </c>
      <c r="BN190" s="205">
        <f t="shared" si="119"/>
        <v>0</v>
      </c>
      <c r="BO190" s="205"/>
      <c r="BP190" s="227"/>
      <c r="BQ190" s="224">
        <f>BP190/$D190</f>
        <v>0</v>
      </c>
      <c r="BR190" s="227"/>
      <c r="BS190" s="224">
        <f>BR190/$D190</f>
        <v>0</v>
      </c>
      <c r="BT190" s="227"/>
      <c r="BU190" s="224">
        <f>BT190/$D190</f>
        <v>0</v>
      </c>
      <c r="BV190" s="227"/>
      <c r="BW190" s="224">
        <f>BV190/$D190</f>
        <v>0</v>
      </c>
      <c r="BX190" s="227">
        <v>1500</v>
      </c>
      <c r="BY190" s="224">
        <f>BX190/$D190</f>
        <v>0.21428571428571427</v>
      </c>
      <c r="BZ190" s="227">
        <v>1500</v>
      </c>
      <c r="CA190" s="224">
        <f>BZ190/$D190</f>
        <v>0.21428571428571427</v>
      </c>
      <c r="CB190" s="227">
        <v>4000</v>
      </c>
      <c r="CC190" s="224">
        <f>CB190/$D190</f>
        <v>0.5714285714285714</v>
      </c>
      <c r="CD190" s="227">
        <v>5000</v>
      </c>
      <c r="CE190" s="224">
        <f>CD190/$D190</f>
        <v>0.7142857142857143</v>
      </c>
      <c r="CF190" s="227">
        <f>CD190</f>
        <v>5000</v>
      </c>
      <c r="CG190" s="224">
        <f>CF190/$D190</f>
        <v>0.7142857142857143</v>
      </c>
      <c r="CH190" s="227">
        <v>6000</v>
      </c>
      <c r="CI190" s="224">
        <f>CH190/$D190</f>
        <v>0.8571428571428571</v>
      </c>
      <c r="CJ190" s="227">
        <f>CH190</f>
        <v>6000</v>
      </c>
      <c r="CK190" s="224">
        <f>CJ190/$D190</f>
        <v>0.8571428571428571</v>
      </c>
      <c r="CL190" s="227">
        <v>6000</v>
      </c>
      <c r="CM190" s="224">
        <f>CL190/$D190</f>
        <v>0.8571428571428571</v>
      </c>
      <c r="CN190" s="227">
        <f>F190*0.95</f>
        <v>6650</v>
      </c>
      <c r="CO190" s="224">
        <f>CN190/$D190</f>
        <v>0.95</v>
      </c>
      <c r="CP190" s="213" t="str">
        <f t="shared" si="138"/>
        <v>Không đạt</v>
      </c>
      <c r="CQ190" s="213" t="str">
        <f t="shared" si="139"/>
        <v>Không đạt</v>
      </c>
      <c r="CR190" s="192"/>
      <c r="CS190" s="192"/>
      <c r="CT190" s="223"/>
      <c r="CU190" s="163"/>
      <c r="CW190" s="195"/>
      <c r="CX190" s="196"/>
      <c r="CY190" s="196"/>
      <c r="CZ190" s="197"/>
      <c r="DA190" s="196"/>
      <c r="DB190" s="196"/>
      <c r="DC190" s="196"/>
      <c r="DE190" s="199"/>
      <c r="DF190" s="200"/>
      <c r="DG190" s="181"/>
    </row>
    <row r="191" spans="1:111" ht="38.25" outlineLevel="1" x14ac:dyDescent="0.25">
      <c r="A191" s="192">
        <f>MAX(A$186:$B190)+1</f>
        <v>32</v>
      </c>
      <c r="B191" s="222" t="s">
        <v>337</v>
      </c>
      <c r="C191" s="222">
        <v>7975831</v>
      </c>
      <c r="D191" s="214">
        <f>E191+F191</f>
        <v>11500</v>
      </c>
      <c r="E191" s="205"/>
      <c r="F191" s="214">
        <f>G191+H191+K191+M191</f>
        <v>11500</v>
      </c>
      <c r="G191" s="257"/>
      <c r="H191" s="257">
        <f>10000+1500</f>
        <v>11500</v>
      </c>
      <c r="I191" s="235">
        <v>110</v>
      </c>
      <c r="J191" s="257">
        <v>110</v>
      </c>
      <c r="K191" s="223"/>
      <c r="L191" s="235"/>
      <c r="M191" s="223"/>
      <c r="N191" s="223"/>
      <c r="O191" s="257">
        <f>G191+I191+L191+N191</f>
        <v>110</v>
      </c>
      <c r="P191" s="257">
        <v>0</v>
      </c>
      <c r="Q191" s="224">
        <f>P191/$D191</f>
        <v>0</v>
      </c>
      <c r="R191" s="257"/>
      <c r="S191" s="225">
        <v>0</v>
      </c>
      <c r="T191" s="225">
        <v>0</v>
      </c>
      <c r="U191" s="257"/>
      <c r="V191" s="225">
        <v>0</v>
      </c>
      <c r="W191" s="225">
        <v>0</v>
      </c>
      <c r="X191" s="257"/>
      <c r="Y191" s="225">
        <v>0</v>
      </c>
      <c r="Z191" s="225">
        <v>0</v>
      </c>
      <c r="AA191" s="257"/>
      <c r="AB191" s="225">
        <v>0</v>
      </c>
      <c r="AC191" s="225">
        <v>0</v>
      </c>
      <c r="AD191" s="257">
        <v>100</v>
      </c>
      <c r="AE191" s="225">
        <v>0.01</v>
      </c>
      <c r="AF191" s="225">
        <v>1.0526315789473684E-2</v>
      </c>
      <c r="AG191" s="257">
        <v>101.855</v>
      </c>
      <c r="AH191" s="225">
        <v>1.01855E-2</v>
      </c>
      <c r="AI191" s="225">
        <v>1.0721578947368422E-2</v>
      </c>
      <c r="AJ191" s="257">
        <v>101.855</v>
      </c>
      <c r="AK191" s="225">
        <v>1.01855E-2</v>
      </c>
      <c r="AL191" s="225">
        <v>1.0721578947368422E-2</v>
      </c>
      <c r="AM191" s="257">
        <v>101.855</v>
      </c>
      <c r="AN191" s="225">
        <v>1.01855E-2</v>
      </c>
      <c r="AO191" s="225">
        <v>1.0721578947368422E-2</v>
      </c>
      <c r="AP191" s="225"/>
      <c r="AQ191" s="257">
        <v>110</v>
      </c>
      <c r="AR191" s="225">
        <v>1.0999999999999999E-2</v>
      </c>
      <c r="AS191" s="225">
        <v>1.1578947368421053E-2</v>
      </c>
      <c r="AT191" s="257">
        <v>110</v>
      </c>
      <c r="AU191" s="225">
        <v>1.0999999999999999E-2</v>
      </c>
      <c r="AV191" s="225">
        <v>1.1578947368421053E-2</v>
      </c>
      <c r="AW191" s="257">
        <v>110</v>
      </c>
      <c r="AX191" s="225">
        <v>1.0999999999999999E-2</v>
      </c>
      <c r="AY191" s="225">
        <v>1.1578947368421053E-2</v>
      </c>
      <c r="AZ191" s="257">
        <v>110</v>
      </c>
      <c r="BA191" s="225">
        <v>1.0999999999999999E-2</v>
      </c>
      <c r="BB191" s="225">
        <v>1.1578947368421053E-2</v>
      </c>
      <c r="BC191" s="257">
        <v>110</v>
      </c>
      <c r="BD191" s="225">
        <v>1.0999999999999999E-2</v>
      </c>
      <c r="BE191" s="225">
        <v>1.1578947368421053E-2</v>
      </c>
      <c r="BF191" s="257">
        <v>818.36599999999999</v>
      </c>
      <c r="BG191" s="257">
        <v>818.36599999999999</v>
      </c>
      <c r="BH191" s="225">
        <v>7.1162260869565216E-2</v>
      </c>
      <c r="BI191" s="225">
        <v>7.4907643020594966E-2</v>
      </c>
      <c r="BJ191" s="257">
        <f t="shared" si="125"/>
        <v>10925</v>
      </c>
      <c r="BK191" s="257">
        <v>818.36599999999999</v>
      </c>
      <c r="BL191" s="225">
        <f>BK191/$D191</f>
        <v>7.1162260869565216E-2</v>
      </c>
      <c r="BM191" s="225">
        <f>BK191/(E191+0.95*F191)</f>
        <v>7.4907643020594966E-2</v>
      </c>
      <c r="BN191" s="205">
        <f t="shared" si="119"/>
        <v>718.36599999999999</v>
      </c>
      <c r="BO191" s="205"/>
      <c r="BP191" s="227"/>
      <c r="BQ191" s="224">
        <f>BP191/$D191</f>
        <v>0</v>
      </c>
      <c r="BR191" s="227"/>
      <c r="BS191" s="224">
        <f>BR191/$D191</f>
        <v>0</v>
      </c>
      <c r="BT191" s="227"/>
      <c r="BU191" s="224">
        <f>BT191/$D191</f>
        <v>0</v>
      </c>
      <c r="BV191" s="227"/>
      <c r="BW191" s="224">
        <f>BV191/$D191</f>
        <v>0</v>
      </c>
      <c r="BX191" s="227"/>
      <c r="BY191" s="224">
        <f>BX191/$D191</f>
        <v>0</v>
      </c>
      <c r="BZ191" s="227"/>
      <c r="CA191" s="224">
        <f>BZ191/$D191</f>
        <v>0</v>
      </c>
      <c r="CB191" s="227">
        <v>3000</v>
      </c>
      <c r="CC191" s="224">
        <f>CB191/$D191</f>
        <v>0.2608695652173913</v>
      </c>
      <c r="CD191" s="227">
        <v>6000</v>
      </c>
      <c r="CE191" s="224">
        <f>CD191/$D191</f>
        <v>0.52173913043478259</v>
      </c>
      <c r="CF191" s="227">
        <v>9500</v>
      </c>
      <c r="CG191" s="224">
        <f>CF191/$D191</f>
        <v>0.82608695652173914</v>
      </c>
      <c r="CH191" s="227">
        <f>CF191</f>
        <v>9500</v>
      </c>
      <c r="CI191" s="224">
        <f>CH191/$D191</f>
        <v>0.82608695652173914</v>
      </c>
      <c r="CJ191" s="227">
        <f>CH191</f>
        <v>9500</v>
      </c>
      <c r="CK191" s="224">
        <f>CJ191/$D191</f>
        <v>0.82608695652173914</v>
      </c>
      <c r="CL191" s="227">
        <f>CJ191</f>
        <v>9500</v>
      </c>
      <c r="CM191" s="224">
        <f>CL191/$D191</f>
        <v>0.82608695652173914</v>
      </c>
      <c r="CN191" s="227">
        <f>CL191</f>
        <v>9500</v>
      </c>
      <c r="CO191" s="224">
        <f>CN191/$D191</f>
        <v>0.82608695652173914</v>
      </c>
      <c r="CP191" s="213" t="str">
        <f t="shared" si="138"/>
        <v>Không đạt</v>
      </c>
      <c r="CQ191" s="213" t="str">
        <f t="shared" si="139"/>
        <v>Không đạt</v>
      </c>
      <c r="CR191" s="192"/>
      <c r="CS191" s="192"/>
      <c r="CT191" s="223"/>
      <c r="CU191" s="163"/>
      <c r="CW191" s="195"/>
      <c r="CX191" s="196"/>
      <c r="CY191" s="196"/>
      <c r="CZ191" s="197"/>
      <c r="DA191" s="196"/>
      <c r="DB191" s="196"/>
      <c r="DC191" s="196"/>
      <c r="DE191" s="199"/>
      <c r="DF191" s="200"/>
      <c r="DG191" s="181"/>
    </row>
    <row r="192" spans="1:111" outlineLevel="1" x14ac:dyDescent="0.25">
      <c r="A192" s="192">
        <f>MAX(A$186:$B191)+1</f>
        <v>33</v>
      </c>
      <c r="B192" s="222" t="s">
        <v>338</v>
      </c>
      <c r="C192" s="222">
        <v>7975827</v>
      </c>
      <c r="D192" s="214">
        <f>E192+F192</f>
        <v>10000</v>
      </c>
      <c r="E192" s="205"/>
      <c r="F192" s="214">
        <f>G192+H192+K192+M192</f>
        <v>10000</v>
      </c>
      <c r="G192" s="257"/>
      <c r="H192" s="257">
        <v>10000</v>
      </c>
      <c r="I192" s="235">
        <v>1234</v>
      </c>
      <c r="J192" s="257">
        <v>1233.6079999999999</v>
      </c>
      <c r="K192" s="223"/>
      <c r="L192" s="235"/>
      <c r="M192" s="223"/>
      <c r="N192" s="223"/>
      <c r="O192" s="257">
        <f>G192+I192+L192+N192</f>
        <v>1234</v>
      </c>
      <c r="P192" s="257">
        <v>1233.6079999999999</v>
      </c>
      <c r="Q192" s="224">
        <f>P192/$D192</f>
        <v>0.12336079999999999</v>
      </c>
      <c r="R192" s="257">
        <v>1233.6079999999999</v>
      </c>
      <c r="S192" s="225">
        <v>0.12336079999999999</v>
      </c>
      <c r="T192" s="225">
        <v>0.12985347368421052</v>
      </c>
      <c r="U192" s="257">
        <v>1233.6079999999999</v>
      </c>
      <c r="V192" s="225">
        <v>0.12336079999999999</v>
      </c>
      <c r="W192" s="225">
        <v>0.12985347368421052</v>
      </c>
      <c r="X192" s="257">
        <v>1233.6079999999999</v>
      </c>
      <c r="Y192" s="225">
        <v>0.12336079999999999</v>
      </c>
      <c r="Z192" s="225">
        <v>0.12985347368421052</v>
      </c>
      <c r="AA192" s="257">
        <v>1233.6079999999999</v>
      </c>
      <c r="AB192" s="225">
        <v>0.12336079999999999</v>
      </c>
      <c r="AC192" s="225">
        <v>0.12985347368421052</v>
      </c>
      <c r="AD192" s="257">
        <v>1233.6079999999999</v>
      </c>
      <c r="AE192" s="225">
        <v>0.12336079999999999</v>
      </c>
      <c r="AF192" s="225">
        <v>0.12985347368421052</v>
      </c>
      <c r="AG192" s="257">
        <v>1233.6079999999999</v>
      </c>
      <c r="AH192" s="225">
        <v>0.12336079999999999</v>
      </c>
      <c r="AI192" s="225">
        <v>0.12985347368421052</v>
      </c>
      <c r="AJ192" s="257">
        <v>1233.6079999999999</v>
      </c>
      <c r="AK192" s="225">
        <v>0.12336079999999999</v>
      </c>
      <c r="AL192" s="225">
        <v>0.12985347368421052</v>
      </c>
      <c r="AM192" s="257">
        <v>1233.6079999999999</v>
      </c>
      <c r="AN192" s="225">
        <v>0.12336079999999999</v>
      </c>
      <c r="AO192" s="225">
        <v>0.12985347368421052</v>
      </c>
      <c r="AP192" s="225"/>
      <c r="AQ192" s="257">
        <v>1233.6079999999999</v>
      </c>
      <c r="AR192" s="225">
        <v>0.12336079999999999</v>
      </c>
      <c r="AS192" s="225">
        <v>0.12985347368421052</v>
      </c>
      <c r="AT192" s="257">
        <v>1233.6079999999999</v>
      </c>
      <c r="AU192" s="225">
        <v>0.12336079999999999</v>
      </c>
      <c r="AV192" s="225">
        <v>0.12985347368421052</v>
      </c>
      <c r="AW192" s="257">
        <v>1233.6079999999999</v>
      </c>
      <c r="AX192" s="225">
        <v>0.12336079999999999</v>
      </c>
      <c r="AY192" s="225">
        <v>0.12985347368421052</v>
      </c>
      <c r="AZ192" s="257">
        <v>1233.6079999999999</v>
      </c>
      <c r="BA192" s="225">
        <v>0.12336079999999999</v>
      </c>
      <c r="BB192" s="225">
        <v>0.12985347368421052</v>
      </c>
      <c r="BC192" s="257">
        <v>1233.6079999999999</v>
      </c>
      <c r="BD192" s="225">
        <v>0.12336079999999999</v>
      </c>
      <c r="BE192" s="225">
        <v>0.12985347368421052</v>
      </c>
      <c r="BF192" s="257">
        <v>1941.7269999999999</v>
      </c>
      <c r="BG192" s="257">
        <v>1941.7269999999999</v>
      </c>
      <c r="BH192" s="225">
        <v>0.19417269999999998</v>
      </c>
      <c r="BI192" s="225">
        <v>0.20439231578947367</v>
      </c>
      <c r="BJ192" s="257">
        <f t="shared" si="125"/>
        <v>9500</v>
      </c>
      <c r="BK192" s="257">
        <v>1941.7269999999999</v>
      </c>
      <c r="BL192" s="225">
        <f>BK192/$D192</f>
        <v>0.19417269999999998</v>
      </c>
      <c r="BM192" s="225">
        <f>BK192/(E192+0.95*F192)</f>
        <v>0.20439231578947367</v>
      </c>
      <c r="BN192" s="205">
        <f t="shared" si="119"/>
        <v>708.11899999999991</v>
      </c>
      <c r="BO192" s="205"/>
      <c r="BP192" s="227"/>
      <c r="BQ192" s="224">
        <f>BP192/$D192</f>
        <v>0</v>
      </c>
      <c r="BR192" s="227"/>
      <c r="BS192" s="224">
        <f>BR192/$D192</f>
        <v>0</v>
      </c>
      <c r="BT192" s="227">
        <v>7000</v>
      </c>
      <c r="BU192" s="224">
        <f>BT192/$D192</f>
        <v>0.7</v>
      </c>
      <c r="BV192" s="227">
        <f>BT192</f>
        <v>7000</v>
      </c>
      <c r="BW192" s="224">
        <f>BV192/$D192</f>
        <v>0.7</v>
      </c>
      <c r="BX192" s="227">
        <f>BV192</f>
        <v>7000</v>
      </c>
      <c r="BY192" s="224">
        <f>BX192/$D192</f>
        <v>0.7</v>
      </c>
      <c r="BZ192" s="227">
        <f>BX192</f>
        <v>7000</v>
      </c>
      <c r="CA192" s="224">
        <f>BZ192/$D192</f>
        <v>0.7</v>
      </c>
      <c r="CB192" s="227">
        <f>BZ192+2000</f>
        <v>9000</v>
      </c>
      <c r="CC192" s="224">
        <f>CB192/$D192</f>
        <v>0.9</v>
      </c>
      <c r="CD192" s="227">
        <f>CB192</f>
        <v>9000</v>
      </c>
      <c r="CE192" s="224">
        <f>CD192/$D192</f>
        <v>0.9</v>
      </c>
      <c r="CF192" s="227">
        <f>CD192</f>
        <v>9000</v>
      </c>
      <c r="CG192" s="224">
        <f>CF192/$D192</f>
        <v>0.9</v>
      </c>
      <c r="CH192" s="227">
        <f>CF192</f>
        <v>9000</v>
      </c>
      <c r="CI192" s="224">
        <f>CH192/$D192</f>
        <v>0.9</v>
      </c>
      <c r="CJ192" s="227">
        <v>9500</v>
      </c>
      <c r="CK192" s="224">
        <f>CJ192/$D192</f>
        <v>0.95</v>
      </c>
      <c r="CL192" s="227">
        <f>CJ192</f>
        <v>9500</v>
      </c>
      <c r="CM192" s="224">
        <f>CL192/$D192</f>
        <v>0.95</v>
      </c>
      <c r="CN192" s="227">
        <f>CL192</f>
        <v>9500</v>
      </c>
      <c r="CO192" s="224">
        <f>CN192/$D192</f>
        <v>0.95</v>
      </c>
      <c r="CP192" s="213" t="str">
        <f t="shared" si="138"/>
        <v>Không đạt</v>
      </c>
      <c r="CQ192" s="213" t="str">
        <f t="shared" si="139"/>
        <v>Không đạt</v>
      </c>
      <c r="CR192" s="192"/>
      <c r="CS192" s="192"/>
      <c r="CT192" s="223"/>
      <c r="CU192" s="163"/>
      <c r="CW192" s="195"/>
      <c r="CX192" s="196"/>
      <c r="CY192" s="196"/>
      <c r="CZ192" s="197"/>
      <c r="DA192" s="196"/>
      <c r="DB192" s="196"/>
      <c r="DC192" s="196"/>
      <c r="DE192" s="199"/>
      <c r="DF192" s="200"/>
      <c r="DG192" s="181"/>
    </row>
    <row r="193" spans="1:111" ht="25.5" outlineLevel="1" x14ac:dyDescent="0.25">
      <c r="A193" s="192">
        <f>MAX(A$186:$B192)+1</f>
        <v>34</v>
      </c>
      <c r="B193" s="222" t="s">
        <v>339</v>
      </c>
      <c r="C193" s="222"/>
      <c r="D193" s="214">
        <f>E193+F193</f>
        <v>500</v>
      </c>
      <c r="E193" s="205"/>
      <c r="F193" s="214">
        <f>G193+H193+K193+M193</f>
        <v>500</v>
      </c>
      <c r="G193" s="257"/>
      <c r="H193" s="257">
        <v>500</v>
      </c>
      <c r="I193" s="235"/>
      <c r="J193" s="235"/>
      <c r="K193" s="223"/>
      <c r="L193" s="235"/>
      <c r="M193" s="223"/>
      <c r="N193" s="223"/>
      <c r="O193" s="257">
        <f>G193+I193+L193+N193</f>
        <v>0</v>
      </c>
      <c r="P193" s="257">
        <v>0</v>
      </c>
      <c r="Q193" s="224">
        <f>P193/$D193</f>
        <v>0</v>
      </c>
      <c r="R193" s="257"/>
      <c r="S193" s="225">
        <v>0</v>
      </c>
      <c r="T193" s="225">
        <v>0</v>
      </c>
      <c r="U193" s="257"/>
      <c r="V193" s="225">
        <v>0</v>
      </c>
      <c r="W193" s="225">
        <v>0</v>
      </c>
      <c r="X193" s="257"/>
      <c r="Y193" s="225">
        <v>0</v>
      </c>
      <c r="Z193" s="225">
        <v>0</v>
      </c>
      <c r="AA193" s="257"/>
      <c r="AB193" s="225">
        <v>0</v>
      </c>
      <c r="AC193" s="225">
        <v>0</v>
      </c>
      <c r="AD193" s="257"/>
      <c r="AE193" s="225">
        <v>0</v>
      </c>
      <c r="AF193" s="225">
        <v>0</v>
      </c>
      <c r="AG193" s="257"/>
      <c r="AH193" s="225">
        <v>0</v>
      </c>
      <c r="AI193" s="225">
        <v>0</v>
      </c>
      <c r="AJ193" s="262"/>
      <c r="AK193" s="225">
        <v>0</v>
      </c>
      <c r="AL193" s="225">
        <v>0</v>
      </c>
      <c r="AM193" s="257"/>
      <c r="AN193" s="225">
        <v>0</v>
      </c>
      <c r="AO193" s="225">
        <v>0</v>
      </c>
      <c r="AP193" s="225"/>
      <c r="AQ193" s="257"/>
      <c r="AR193" s="225">
        <v>0</v>
      </c>
      <c r="AS193" s="225">
        <v>0</v>
      </c>
      <c r="AT193" s="257"/>
      <c r="AU193" s="225">
        <v>0</v>
      </c>
      <c r="AV193" s="225">
        <v>0</v>
      </c>
      <c r="AW193" s="257"/>
      <c r="AX193" s="225">
        <v>0</v>
      </c>
      <c r="AY193" s="225">
        <v>0</v>
      </c>
      <c r="AZ193" s="257"/>
      <c r="BA193" s="225">
        <v>0</v>
      </c>
      <c r="BB193" s="225">
        <v>0</v>
      </c>
      <c r="BC193" s="257"/>
      <c r="BD193" s="225">
        <v>0</v>
      </c>
      <c r="BE193" s="225">
        <v>0</v>
      </c>
      <c r="BF193" s="257"/>
      <c r="BG193" s="257"/>
      <c r="BH193" s="225">
        <v>0</v>
      </c>
      <c r="BI193" s="225">
        <v>0</v>
      </c>
      <c r="BJ193" s="257">
        <f t="shared" si="125"/>
        <v>475</v>
      </c>
      <c r="BK193" s="257"/>
      <c r="BL193" s="225">
        <f>BK193/$D193</f>
        <v>0</v>
      </c>
      <c r="BM193" s="225">
        <f>BK193/(E193+0.95*F193)</f>
        <v>0</v>
      </c>
      <c r="BN193" s="205">
        <f t="shared" si="119"/>
        <v>0</v>
      </c>
      <c r="BO193" s="205"/>
      <c r="BP193" s="227"/>
      <c r="BQ193" s="224">
        <f>BP193/$D193</f>
        <v>0</v>
      </c>
      <c r="BR193" s="227"/>
      <c r="BS193" s="224">
        <f>BR193/$D193</f>
        <v>0</v>
      </c>
      <c r="BT193" s="227"/>
      <c r="BU193" s="224">
        <f>BT193/$D193</f>
        <v>0</v>
      </c>
      <c r="BV193" s="227"/>
      <c r="BW193" s="224">
        <f>BV193/$D193</f>
        <v>0</v>
      </c>
      <c r="BX193" s="227"/>
      <c r="BY193" s="224">
        <f>BX193/$D193</f>
        <v>0</v>
      </c>
      <c r="BZ193" s="227">
        <v>238</v>
      </c>
      <c r="CA193" s="224">
        <f>BZ193/$D193</f>
        <v>0.47599999999999998</v>
      </c>
      <c r="CB193" s="227">
        <f>500*0.95</f>
        <v>475</v>
      </c>
      <c r="CC193" s="224">
        <f>CB193/$D193</f>
        <v>0.95</v>
      </c>
      <c r="CD193" s="227">
        <f>500*0.95</f>
        <v>475</v>
      </c>
      <c r="CE193" s="224">
        <f>CD193/$D193</f>
        <v>0.95</v>
      </c>
      <c r="CF193" s="227">
        <f>500*0.95</f>
        <v>475</v>
      </c>
      <c r="CG193" s="224">
        <f>CF193/$D193</f>
        <v>0.95</v>
      </c>
      <c r="CH193" s="227">
        <f>500*0.95</f>
        <v>475</v>
      </c>
      <c r="CI193" s="224">
        <f>CH193/$D193</f>
        <v>0.95</v>
      </c>
      <c r="CJ193" s="227">
        <f>500*0.95</f>
        <v>475</v>
      </c>
      <c r="CK193" s="224">
        <f>CJ193/$D193</f>
        <v>0.95</v>
      </c>
      <c r="CL193" s="227">
        <f>500*0.95</f>
        <v>475</v>
      </c>
      <c r="CM193" s="224">
        <f>CL193/$D193</f>
        <v>0.95</v>
      </c>
      <c r="CN193" s="227">
        <f>500*0.95</f>
        <v>475</v>
      </c>
      <c r="CO193" s="224">
        <f>CN193/$D193</f>
        <v>0.95</v>
      </c>
      <c r="CP193" s="213" t="str">
        <f t="shared" si="138"/>
        <v>Không đạt</v>
      </c>
      <c r="CQ193" s="213" t="str">
        <f t="shared" si="139"/>
        <v>Không đạt</v>
      </c>
      <c r="CR193" s="192"/>
      <c r="CS193" s="192"/>
      <c r="CT193" s="223"/>
      <c r="CU193" s="163"/>
      <c r="CW193" s="195"/>
      <c r="CX193" s="196"/>
      <c r="CY193" s="196"/>
      <c r="CZ193" s="197"/>
      <c r="DA193" s="196"/>
      <c r="DB193" s="196"/>
      <c r="DC193" s="196"/>
      <c r="DE193" s="199"/>
      <c r="DF193" s="200"/>
      <c r="DG193" s="181"/>
    </row>
    <row r="194" spans="1:111" outlineLevel="1" x14ac:dyDescent="0.25">
      <c r="A194" s="192">
        <f>MAX(A$186:$B193)+1</f>
        <v>35</v>
      </c>
      <c r="B194" s="240" t="s">
        <v>200</v>
      </c>
      <c r="C194" s="240"/>
      <c r="D194" s="214">
        <f t="shared" si="117"/>
        <v>0</v>
      </c>
      <c r="E194" s="205"/>
      <c r="F194" s="214">
        <f t="shared" si="170"/>
        <v>0</v>
      </c>
      <c r="G194" s="262"/>
      <c r="H194" s="262"/>
      <c r="I194" s="235"/>
      <c r="J194" s="235"/>
      <c r="K194" s="223"/>
      <c r="L194" s="235"/>
      <c r="M194" s="223"/>
      <c r="N194" s="223"/>
      <c r="O194" s="262">
        <f t="shared" si="143"/>
        <v>0</v>
      </c>
      <c r="P194" s="262">
        <v>0</v>
      </c>
      <c r="Q194" s="224" t="e">
        <f t="shared" si="124"/>
        <v>#DIV/0!</v>
      </c>
      <c r="R194" s="262"/>
      <c r="S194" s="225"/>
      <c r="T194" s="225" t="e">
        <v>#DIV/0!</v>
      </c>
      <c r="U194" s="262"/>
      <c r="V194" s="225"/>
      <c r="W194" s="225" t="e">
        <v>#DIV/0!</v>
      </c>
      <c r="X194" s="262"/>
      <c r="Y194" s="225"/>
      <c r="Z194" s="225" t="e">
        <v>#DIV/0!</v>
      </c>
      <c r="AA194" s="262"/>
      <c r="AB194" s="225"/>
      <c r="AC194" s="225" t="e">
        <v>#DIV/0!</v>
      </c>
      <c r="AD194" s="262"/>
      <c r="AE194" s="225"/>
      <c r="AF194" s="225" t="e">
        <v>#DIV/0!</v>
      </c>
      <c r="AG194" s="262"/>
      <c r="AH194" s="225"/>
      <c r="AI194" s="225" t="e">
        <v>#DIV/0!</v>
      </c>
      <c r="AJ194" s="257"/>
      <c r="AK194" s="225"/>
      <c r="AL194" s="225" t="e">
        <v>#DIV/0!</v>
      </c>
      <c r="AM194" s="262"/>
      <c r="AN194" s="225"/>
      <c r="AO194" s="225" t="e">
        <v>#DIV/0!</v>
      </c>
      <c r="AP194" s="225"/>
      <c r="AQ194" s="262"/>
      <c r="AR194" s="225"/>
      <c r="AS194" s="225" t="e">
        <v>#DIV/0!</v>
      </c>
      <c r="AT194" s="262"/>
      <c r="AU194" s="225"/>
      <c r="AV194" s="225" t="e">
        <v>#DIV/0!</v>
      </c>
      <c r="AW194" s="262"/>
      <c r="AX194" s="225"/>
      <c r="AY194" s="225" t="e">
        <v>#DIV/0!</v>
      </c>
      <c r="AZ194" s="262"/>
      <c r="BA194" s="225"/>
      <c r="BB194" s="225"/>
      <c r="BC194" s="262"/>
      <c r="BD194" s="225"/>
      <c r="BE194" s="225"/>
      <c r="BF194" s="262"/>
      <c r="BG194" s="262"/>
      <c r="BH194" s="225"/>
      <c r="BI194" s="225"/>
      <c r="BJ194" s="262">
        <f t="shared" si="125"/>
        <v>0</v>
      </c>
      <c r="BK194" s="262"/>
      <c r="BL194" s="225"/>
      <c r="BM194" s="225"/>
      <c r="BN194" s="205">
        <f t="shared" si="119"/>
        <v>0</v>
      </c>
      <c r="BO194" s="205"/>
      <c r="BP194" s="227"/>
      <c r="BQ194" s="224"/>
      <c r="BR194" s="227"/>
      <c r="BS194" s="224"/>
      <c r="BT194" s="227"/>
      <c r="BU194" s="224"/>
      <c r="BV194" s="227"/>
      <c r="BW194" s="224"/>
      <c r="BX194" s="227"/>
      <c r="BY194" s="224"/>
      <c r="BZ194" s="227"/>
      <c r="CA194" s="224"/>
      <c r="CB194" s="227"/>
      <c r="CC194" s="224"/>
      <c r="CD194" s="227"/>
      <c r="CE194" s="224"/>
      <c r="CF194" s="227"/>
      <c r="CG194" s="224"/>
      <c r="CH194" s="227"/>
      <c r="CI194" s="224"/>
      <c r="CJ194" s="227"/>
      <c r="CK194" s="224"/>
      <c r="CL194" s="227"/>
      <c r="CM194" s="224"/>
      <c r="CN194" s="227"/>
      <c r="CO194" s="224"/>
      <c r="CP194" s="213" t="str">
        <f t="shared" si="138"/>
        <v>Không đạt</v>
      </c>
      <c r="CQ194" s="213" t="str">
        <f t="shared" si="139"/>
        <v>Không đạt</v>
      </c>
      <c r="CR194" s="192"/>
      <c r="CS194" s="192"/>
      <c r="CT194" s="223"/>
      <c r="CU194" s="163"/>
      <c r="CW194" s="195"/>
      <c r="CX194" s="196"/>
      <c r="CY194" s="196"/>
      <c r="CZ194" s="197"/>
      <c r="DA194" s="196"/>
      <c r="DB194" s="196"/>
      <c r="DC194" s="196"/>
      <c r="DE194" s="199"/>
      <c r="DF194" s="200"/>
      <c r="DG194" s="181"/>
    </row>
    <row r="195" spans="1:111" ht="25.5" outlineLevel="1" x14ac:dyDescent="0.25">
      <c r="A195" s="192">
        <f>MAX(A$186:$B194)+1</f>
        <v>36</v>
      </c>
      <c r="B195" s="222" t="s">
        <v>340</v>
      </c>
      <c r="C195" s="222">
        <v>8096717</v>
      </c>
      <c r="D195" s="214">
        <f t="shared" si="117"/>
        <v>10000</v>
      </c>
      <c r="E195" s="205"/>
      <c r="F195" s="214">
        <f t="shared" si="170"/>
        <v>10000</v>
      </c>
      <c r="G195" s="257">
        <v>10000</v>
      </c>
      <c r="H195" s="257"/>
      <c r="I195" s="235"/>
      <c r="J195" s="235"/>
      <c r="K195" s="223"/>
      <c r="L195" s="235"/>
      <c r="M195" s="223"/>
      <c r="N195" s="223"/>
      <c r="O195" s="257">
        <f t="shared" si="143"/>
        <v>10000</v>
      </c>
      <c r="P195" s="257">
        <v>9350.5947479999995</v>
      </c>
      <c r="Q195" s="224">
        <f t="shared" si="124"/>
        <v>0.93505947479999996</v>
      </c>
      <c r="R195" s="257">
        <v>9355.1567350000005</v>
      </c>
      <c r="S195" s="225">
        <v>0.93551567350000009</v>
      </c>
      <c r="T195" s="225">
        <v>0.9847533405263158</v>
      </c>
      <c r="U195" s="257">
        <v>9500</v>
      </c>
      <c r="V195" s="225">
        <v>0.95</v>
      </c>
      <c r="W195" s="225">
        <v>1</v>
      </c>
      <c r="X195" s="257">
        <v>9500</v>
      </c>
      <c r="Y195" s="225">
        <v>0.95</v>
      </c>
      <c r="Z195" s="225">
        <v>1</v>
      </c>
      <c r="AA195" s="257">
        <v>9500</v>
      </c>
      <c r="AB195" s="225">
        <v>0.95</v>
      </c>
      <c r="AC195" s="225">
        <v>1</v>
      </c>
      <c r="AD195" s="257">
        <v>9500</v>
      </c>
      <c r="AE195" s="225">
        <v>0.95</v>
      </c>
      <c r="AF195" s="225">
        <v>1</v>
      </c>
      <c r="AG195" s="257">
        <v>9500</v>
      </c>
      <c r="AH195" s="225">
        <v>0.95</v>
      </c>
      <c r="AI195" s="225">
        <v>1</v>
      </c>
      <c r="AJ195" s="262">
        <v>9500</v>
      </c>
      <c r="AK195" s="225">
        <v>0.95</v>
      </c>
      <c r="AL195" s="225">
        <v>1</v>
      </c>
      <c r="AM195" s="257">
        <v>9500</v>
      </c>
      <c r="AN195" s="225">
        <v>0.95</v>
      </c>
      <c r="AO195" s="225">
        <v>1</v>
      </c>
      <c r="AP195" s="225"/>
      <c r="AQ195" s="257">
        <v>9500</v>
      </c>
      <c r="AR195" s="225">
        <v>0.95</v>
      </c>
      <c r="AS195" s="225">
        <v>1</v>
      </c>
      <c r="AT195" s="257">
        <v>9500</v>
      </c>
      <c r="AU195" s="225">
        <v>0.95</v>
      </c>
      <c r="AV195" s="225">
        <v>1</v>
      </c>
      <c r="AW195" s="257">
        <v>9500</v>
      </c>
      <c r="AX195" s="225">
        <v>0.95</v>
      </c>
      <c r="AY195" s="225">
        <v>1</v>
      </c>
      <c r="AZ195" s="257">
        <v>9500</v>
      </c>
      <c r="BA195" s="225">
        <v>0.95</v>
      </c>
      <c r="BB195" s="225">
        <v>1</v>
      </c>
      <c r="BC195" s="257">
        <v>9500</v>
      </c>
      <c r="BD195" s="225">
        <v>0.95</v>
      </c>
      <c r="BE195" s="225">
        <v>1</v>
      </c>
      <c r="BF195" s="257"/>
      <c r="BG195" s="257">
        <v>9500</v>
      </c>
      <c r="BH195" s="225">
        <v>0.95</v>
      </c>
      <c r="BI195" s="225">
        <v>1</v>
      </c>
      <c r="BJ195" s="257">
        <f t="shared" si="125"/>
        <v>9500</v>
      </c>
      <c r="BK195" s="257">
        <v>9500</v>
      </c>
      <c r="BL195" s="225">
        <f>BK195/$D195</f>
        <v>0.95</v>
      </c>
      <c r="BM195" s="225">
        <f t="shared" si="136"/>
        <v>1</v>
      </c>
      <c r="BN195" s="205">
        <f t="shared" si="119"/>
        <v>0</v>
      </c>
      <c r="BO195" s="205"/>
      <c r="BP195" s="227"/>
      <c r="BQ195" s="224">
        <f>BP195/$D195</f>
        <v>0</v>
      </c>
      <c r="BR195" s="227"/>
      <c r="BS195" s="224">
        <f>BR195/$D195</f>
        <v>0</v>
      </c>
      <c r="BT195" s="227">
        <v>0</v>
      </c>
      <c r="BU195" s="224">
        <f>BT195/$D195</f>
        <v>0</v>
      </c>
      <c r="BV195" s="227"/>
      <c r="BW195" s="224">
        <f>BV195/$D195</f>
        <v>0</v>
      </c>
      <c r="BX195" s="227">
        <v>2000</v>
      </c>
      <c r="BY195" s="224">
        <f>BX195/$D195</f>
        <v>0.2</v>
      </c>
      <c r="BZ195" s="227">
        <v>9500</v>
      </c>
      <c r="CA195" s="224">
        <f>BZ195/$D195</f>
        <v>0.95</v>
      </c>
      <c r="CB195" s="227">
        <f>BZ195</f>
        <v>9500</v>
      </c>
      <c r="CC195" s="224">
        <f>CB195/$D195</f>
        <v>0.95</v>
      </c>
      <c r="CD195" s="227">
        <f>CB195</f>
        <v>9500</v>
      </c>
      <c r="CE195" s="224">
        <f>CD195/$D195</f>
        <v>0.95</v>
      </c>
      <c r="CF195" s="227">
        <f>CD195</f>
        <v>9500</v>
      </c>
      <c r="CG195" s="224">
        <f>CF195/$D195</f>
        <v>0.95</v>
      </c>
      <c r="CH195" s="227">
        <f>CF195</f>
        <v>9500</v>
      </c>
      <c r="CI195" s="224">
        <f>CH195/$D195</f>
        <v>0.95</v>
      </c>
      <c r="CJ195" s="227">
        <f>CH195</f>
        <v>9500</v>
      </c>
      <c r="CK195" s="224">
        <f>CJ195/$D195</f>
        <v>0.95</v>
      </c>
      <c r="CL195" s="227">
        <f>CJ195</f>
        <v>9500</v>
      </c>
      <c r="CM195" s="224">
        <f>CL195/$D195</f>
        <v>0.95</v>
      </c>
      <c r="CN195" s="227">
        <f>CL195</f>
        <v>9500</v>
      </c>
      <c r="CO195" s="224">
        <f>CN195/$D195</f>
        <v>0.95</v>
      </c>
      <c r="CP195" s="213" t="str">
        <f t="shared" si="138"/>
        <v>Đạt</v>
      </c>
      <c r="CQ195" s="213" t="str">
        <f t="shared" si="139"/>
        <v>Đạt</v>
      </c>
      <c r="CR195" s="192"/>
      <c r="CS195" s="192"/>
      <c r="CT195" s="223"/>
      <c r="CU195" s="163"/>
      <c r="CW195" s="195"/>
      <c r="CX195" s="196"/>
      <c r="CY195" s="196"/>
      <c r="CZ195" s="197"/>
      <c r="DA195" s="196"/>
      <c r="DB195" s="196"/>
      <c r="DC195" s="196"/>
      <c r="DE195" s="199"/>
      <c r="DF195" s="200"/>
      <c r="DG195" s="181"/>
    </row>
    <row r="196" spans="1:111" outlineLevel="1" x14ac:dyDescent="0.25">
      <c r="A196" s="192"/>
      <c r="B196" s="240" t="s">
        <v>245</v>
      </c>
      <c r="C196" s="240"/>
      <c r="D196" s="214">
        <f t="shared" si="117"/>
        <v>0</v>
      </c>
      <c r="E196" s="205"/>
      <c r="F196" s="214">
        <f t="shared" si="170"/>
        <v>0</v>
      </c>
      <c r="G196" s="262"/>
      <c r="H196" s="262"/>
      <c r="I196" s="235"/>
      <c r="J196" s="235"/>
      <c r="K196" s="223"/>
      <c r="L196" s="235"/>
      <c r="M196" s="223"/>
      <c r="N196" s="223"/>
      <c r="O196" s="262">
        <f t="shared" si="143"/>
        <v>0</v>
      </c>
      <c r="P196" s="262">
        <v>0</v>
      </c>
      <c r="Q196" s="224" t="e">
        <f t="shared" si="124"/>
        <v>#DIV/0!</v>
      </c>
      <c r="R196" s="262"/>
      <c r="S196" s="225"/>
      <c r="T196" s="225" t="e">
        <v>#DIV/0!</v>
      </c>
      <c r="U196" s="262"/>
      <c r="V196" s="225"/>
      <c r="W196" s="225" t="e">
        <v>#DIV/0!</v>
      </c>
      <c r="X196" s="262"/>
      <c r="Y196" s="225"/>
      <c r="Z196" s="225" t="e">
        <v>#DIV/0!</v>
      </c>
      <c r="AA196" s="262"/>
      <c r="AB196" s="225"/>
      <c r="AC196" s="225" t="e">
        <v>#DIV/0!</v>
      </c>
      <c r="AD196" s="262"/>
      <c r="AE196" s="225"/>
      <c r="AF196" s="225" t="e">
        <v>#DIV/0!</v>
      </c>
      <c r="AG196" s="262"/>
      <c r="AH196" s="225"/>
      <c r="AI196" s="225" t="e">
        <v>#DIV/0!</v>
      </c>
      <c r="AJ196" s="257"/>
      <c r="AK196" s="225"/>
      <c r="AL196" s="225" t="e">
        <v>#DIV/0!</v>
      </c>
      <c r="AM196" s="262"/>
      <c r="AN196" s="225"/>
      <c r="AO196" s="225" t="e">
        <v>#DIV/0!</v>
      </c>
      <c r="AP196" s="225"/>
      <c r="AQ196" s="262"/>
      <c r="AR196" s="225"/>
      <c r="AS196" s="225" t="e">
        <v>#DIV/0!</v>
      </c>
      <c r="AT196" s="262"/>
      <c r="AU196" s="225"/>
      <c r="AV196" s="225" t="e">
        <v>#DIV/0!</v>
      </c>
      <c r="AW196" s="262"/>
      <c r="AX196" s="225"/>
      <c r="AY196" s="225" t="e">
        <v>#DIV/0!</v>
      </c>
      <c r="AZ196" s="262"/>
      <c r="BA196" s="225"/>
      <c r="BB196" s="225"/>
      <c r="BC196" s="262"/>
      <c r="BD196" s="225"/>
      <c r="BE196" s="225"/>
      <c r="BF196" s="262"/>
      <c r="BG196" s="262"/>
      <c r="BH196" s="225"/>
      <c r="BI196" s="225"/>
      <c r="BJ196" s="262">
        <f t="shared" si="125"/>
        <v>0</v>
      </c>
      <c r="BK196" s="262"/>
      <c r="BL196" s="225"/>
      <c r="BM196" s="225"/>
      <c r="BN196" s="205">
        <f t="shared" si="119"/>
        <v>0</v>
      </c>
      <c r="BO196" s="205"/>
      <c r="BP196" s="227"/>
      <c r="BQ196" s="224"/>
      <c r="BR196" s="227"/>
      <c r="BS196" s="224"/>
      <c r="BT196" s="227"/>
      <c r="BU196" s="224"/>
      <c r="BV196" s="227"/>
      <c r="BW196" s="224"/>
      <c r="BX196" s="227"/>
      <c r="BY196" s="224"/>
      <c r="BZ196" s="227"/>
      <c r="CA196" s="224"/>
      <c r="CB196" s="227"/>
      <c r="CC196" s="224"/>
      <c r="CD196" s="227"/>
      <c r="CE196" s="224"/>
      <c r="CF196" s="227"/>
      <c r="CG196" s="224"/>
      <c r="CH196" s="227"/>
      <c r="CI196" s="224"/>
      <c r="CJ196" s="227"/>
      <c r="CK196" s="224"/>
      <c r="CL196" s="227"/>
      <c r="CM196" s="224"/>
      <c r="CN196" s="227"/>
      <c r="CO196" s="224"/>
      <c r="CP196" s="213" t="str">
        <f t="shared" si="138"/>
        <v>Không đạt</v>
      </c>
      <c r="CQ196" s="213" t="str">
        <f t="shared" si="139"/>
        <v>Không đạt</v>
      </c>
      <c r="CR196" s="192"/>
      <c r="CS196" s="192"/>
      <c r="CT196" s="223"/>
      <c r="CU196" s="163"/>
      <c r="CW196" s="195"/>
      <c r="CX196" s="196"/>
      <c r="CY196" s="196"/>
      <c r="CZ196" s="197"/>
      <c r="DA196" s="196"/>
      <c r="DB196" s="196"/>
      <c r="DC196" s="196"/>
      <c r="DE196" s="199"/>
      <c r="DF196" s="200"/>
      <c r="DG196" s="181"/>
    </row>
    <row r="197" spans="1:111" ht="25.15" customHeight="1" outlineLevel="1" x14ac:dyDescent="0.25">
      <c r="A197" s="192">
        <f>MAX(A$186:$B196)+1</f>
        <v>37</v>
      </c>
      <c r="B197" s="222" t="s">
        <v>341</v>
      </c>
      <c r="C197" s="222"/>
      <c r="D197" s="214">
        <f t="shared" si="117"/>
        <v>5000</v>
      </c>
      <c r="E197" s="205"/>
      <c r="F197" s="214">
        <f t="shared" si="170"/>
        <v>5000</v>
      </c>
      <c r="G197" s="257"/>
      <c r="H197" s="257">
        <f>3000+2000</f>
        <v>5000</v>
      </c>
      <c r="I197" s="235"/>
      <c r="J197" s="235"/>
      <c r="K197" s="223"/>
      <c r="L197" s="235"/>
      <c r="M197" s="223"/>
      <c r="N197" s="223"/>
      <c r="O197" s="257">
        <f t="shared" si="143"/>
        <v>0</v>
      </c>
      <c r="P197" s="257">
        <v>0</v>
      </c>
      <c r="Q197" s="224">
        <f t="shared" si="124"/>
        <v>0</v>
      </c>
      <c r="R197" s="257"/>
      <c r="S197" s="225">
        <v>0</v>
      </c>
      <c r="T197" s="225">
        <v>0</v>
      </c>
      <c r="U197" s="257"/>
      <c r="V197" s="225">
        <v>0</v>
      </c>
      <c r="W197" s="225">
        <v>0</v>
      </c>
      <c r="X197" s="257"/>
      <c r="Y197" s="225">
        <v>0</v>
      </c>
      <c r="Z197" s="225">
        <v>0</v>
      </c>
      <c r="AA197" s="257"/>
      <c r="AB197" s="225">
        <v>0</v>
      </c>
      <c r="AC197" s="225">
        <v>0</v>
      </c>
      <c r="AD197" s="257"/>
      <c r="AE197" s="225">
        <v>0</v>
      </c>
      <c r="AF197" s="225">
        <v>0</v>
      </c>
      <c r="AG197" s="257"/>
      <c r="AH197" s="225">
        <v>0</v>
      </c>
      <c r="AI197" s="225">
        <v>0</v>
      </c>
      <c r="AJ197" s="257"/>
      <c r="AK197" s="225">
        <v>0</v>
      </c>
      <c r="AL197" s="225">
        <v>0</v>
      </c>
      <c r="AM197" s="257"/>
      <c r="AN197" s="225">
        <v>0</v>
      </c>
      <c r="AO197" s="225">
        <v>0</v>
      </c>
      <c r="AP197" s="225"/>
      <c r="AQ197" s="257"/>
      <c r="AR197" s="225">
        <v>0</v>
      </c>
      <c r="AS197" s="225">
        <v>0</v>
      </c>
      <c r="AT197" s="257"/>
      <c r="AU197" s="225">
        <v>0</v>
      </c>
      <c r="AV197" s="225">
        <v>0</v>
      </c>
      <c r="AW197" s="257"/>
      <c r="AX197" s="225">
        <v>0</v>
      </c>
      <c r="AY197" s="225">
        <v>0</v>
      </c>
      <c r="AZ197" s="257"/>
      <c r="BA197" s="225">
        <v>0</v>
      </c>
      <c r="BB197" s="225">
        <v>0</v>
      </c>
      <c r="BC197" s="257"/>
      <c r="BD197" s="225">
        <v>0</v>
      </c>
      <c r="BE197" s="225">
        <v>0</v>
      </c>
      <c r="BF197" s="257"/>
      <c r="BG197" s="257"/>
      <c r="BH197" s="225">
        <v>0</v>
      </c>
      <c r="BI197" s="225">
        <v>0</v>
      </c>
      <c r="BJ197" s="257">
        <f t="shared" si="125"/>
        <v>4750</v>
      </c>
      <c r="BK197" s="257"/>
      <c r="BL197" s="225">
        <f t="shared" ref="BL197:BL220" si="171">BK197/$D197</f>
        <v>0</v>
      </c>
      <c r="BM197" s="225">
        <f t="shared" si="136"/>
        <v>0</v>
      </c>
      <c r="BN197" s="205">
        <f t="shared" si="119"/>
        <v>0</v>
      </c>
      <c r="BO197" s="205"/>
      <c r="BP197" s="227"/>
      <c r="BQ197" s="224">
        <f>BP197/$D197</f>
        <v>0</v>
      </c>
      <c r="BR197" s="227"/>
      <c r="BS197" s="224">
        <f t="shared" ref="BS197:BT220" si="172">BR197/$D197</f>
        <v>0</v>
      </c>
      <c r="BT197" s="227"/>
      <c r="BU197" s="224">
        <f t="shared" ref="BU197:BV220" si="173">BT197/$D197</f>
        <v>0</v>
      </c>
      <c r="BV197" s="227">
        <f>H197*0.1</f>
        <v>500</v>
      </c>
      <c r="BW197" s="224">
        <f t="shared" ref="BW197:BX220" si="174">BV197/$D197</f>
        <v>0.1</v>
      </c>
      <c r="BX197" s="227">
        <f>F197*0.2</f>
        <v>1000</v>
      </c>
      <c r="BY197" s="224">
        <f t="shared" ref="BY197:BZ220" si="175">BX197/$D197</f>
        <v>0.2</v>
      </c>
      <c r="BZ197" s="227">
        <f>F197*0.4</f>
        <v>2000</v>
      </c>
      <c r="CA197" s="224">
        <f t="shared" ref="CA197:CB220" si="176">BZ197/$D197</f>
        <v>0.4</v>
      </c>
      <c r="CB197" s="227">
        <f>F197*0.5</f>
        <v>2500</v>
      </c>
      <c r="CC197" s="224">
        <f t="shared" ref="CC197:CE212" si="177">CB197/$D197</f>
        <v>0.5</v>
      </c>
      <c r="CD197" s="227">
        <f>F197*0.55</f>
        <v>2750</v>
      </c>
      <c r="CE197" s="224">
        <f t="shared" si="177"/>
        <v>0.55000000000000004</v>
      </c>
      <c r="CF197" s="227">
        <f>F197*0.6</f>
        <v>3000</v>
      </c>
      <c r="CG197" s="224">
        <f t="shared" ref="CG197:CI212" si="178">CF197/$D197</f>
        <v>0.6</v>
      </c>
      <c r="CH197" s="227">
        <f>F197*0.8</f>
        <v>4000</v>
      </c>
      <c r="CI197" s="224">
        <f t="shared" si="178"/>
        <v>0.8</v>
      </c>
      <c r="CJ197" s="227">
        <f>F197*0.95</f>
        <v>4750</v>
      </c>
      <c r="CK197" s="224">
        <f t="shared" ref="CK197:CL220" si="179">CJ197/$D197</f>
        <v>0.95</v>
      </c>
      <c r="CL197" s="227">
        <f>CJ197</f>
        <v>4750</v>
      </c>
      <c r="CM197" s="224">
        <f t="shared" ref="CM197:CN220" si="180">CL197/$D197</f>
        <v>0.95</v>
      </c>
      <c r="CN197" s="227">
        <f>CL197</f>
        <v>4750</v>
      </c>
      <c r="CO197" s="224">
        <f t="shared" ref="CO197:CO220" si="181">CN197/$D197</f>
        <v>0.95</v>
      </c>
      <c r="CP197" s="213" t="str">
        <f t="shared" si="138"/>
        <v>Không đạt</v>
      </c>
      <c r="CQ197" s="213" t="str">
        <f t="shared" si="139"/>
        <v>Không đạt</v>
      </c>
      <c r="CR197" s="192"/>
      <c r="CS197" s="192"/>
      <c r="CT197" s="223"/>
      <c r="CU197" s="163"/>
      <c r="CW197" s="195"/>
      <c r="CX197" s="196"/>
      <c r="CY197" s="196"/>
      <c r="CZ197" s="197"/>
      <c r="DA197" s="196"/>
      <c r="DB197" s="196"/>
      <c r="DC197" s="196"/>
      <c r="DE197" s="199"/>
      <c r="DF197" s="200"/>
      <c r="DG197" s="181"/>
    </row>
    <row r="198" spans="1:111" ht="25.5" outlineLevel="1" x14ac:dyDescent="0.25">
      <c r="A198" s="192">
        <f>MAX(A$186:$B197)+1</f>
        <v>38</v>
      </c>
      <c r="B198" s="222" t="s">
        <v>342</v>
      </c>
      <c r="C198" s="222"/>
      <c r="D198" s="214">
        <f t="shared" si="117"/>
        <v>3000</v>
      </c>
      <c r="E198" s="205"/>
      <c r="F198" s="214">
        <f t="shared" si="170"/>
        <v>3000</v>
      </c>
      <c r="G198" s="257"/>
      <c r="H198" s="257">
        <f>7000-4000</f>
        <v>3000</v>
      </c>
      <c r="I198" s="235"/>
      <c r="J198" s="235"/>
      <c r="K198" s="223"/>
      <c r="L198" s="235"/>
      <c r="M198" s="223"/>
      <c r="N198" s="223"/>
      <c r="O198" s="257">
        <f t="shared" si="143"/>
        <v>0</v>
      </c>
      <c r="P198" s="257">
        <v>0</v>
      </c>
      <c r="Q198" s="224">
        <f t="shared" si="124"/>
        <v>0</v>
      </c>
      <c r="R198" s="257"/>
      <c r="S198" s="225">
        <v>0</v>
      </c>
      <c r="T198" s="225">
        <v>0</v>
      </c>
      <c r="U198" s="257"/>
      <c r="V198" s="225">
        <v>0</v>
      </c>
      <c r="W198" s="225">
        <v>0</v>
      </c>
      <c r="X198" s="257"/>
      <c r="Y198" s="225">
        <v>0</v>
      </c>
      <c r="Z198" s="225">
        <v>0</v>
      </c>
      <c r="AA198" s="257"/>
      <c r="AB198" s="225">
        <v>0</v>
      </c>
      <c r="AC198" s="225">
        <v>0</v>
      </c>
      <c r="AD198" s="257"/>
      <c r="AE198" s="225">
        <v>0</v>
      </c>
      <c r="AF198" s="225">
        <v>0</v>
      </c>
      <c r="AG198" s="257"/>
      <c r="AH198" s="225">
        <v>0</v>
      </c>
      <c r="AI198" s="225">
        <v>0</v>
      </c>
      <c r="AJ198" s="205"/>
      <c r="AK198" s="225">
        <v>0</v>
      </c>
      <c r="AL198" s="225">
        <v>0</v>
      </c>
      <c r="AM198" s="257"/>
      <c r="AN198" s="225">
        <v>0</v>
      </c>
      <c r="AO198" s="225">
        <v>0</v>
      </c>
      <c r="AP198" s="225"/>
      <c r="AQ198" s="257"/>
      <c r="AR198" s="225">
        <v>0</v>
      </c>
      <c r="AS198" s="225">
        <v>0</v>
      </c>
      <c r="AT198" s="257"/>
      <c r="AU198" s="225">
        <v>0</v>
      </c>
      <c r="AV198" s="225">
        <v>0</v>
      </c>
      <c r="AW198" s="257"/>
      <c r="AX198" s="225">
        <v>0</v>
      </c>
      <c r="AY198" s="225">
        <v>0</v>
      </c>
      <c r="AZ198" s="257"/>
      <c r="BA198" s="225">
        <v>0</v>
      </c>
      <c r="BB198" s="225">
        <v>0</v>
      </c>
      <c r="BC198" s="257"/>
      <c r="BD198" s="225">
        <v>0</v>
      </c>
      <c r="BE198" s="225">
        <v>0</v>
      </c>
      <c r="BF198" s="257"/>
      <c r="BG198" s="257"/>
      <c r="BH198" s="225">
        <v>0</v>
      </c>
      <c r="BI198" s="225">
        <v>0</v>
      </c>
      <c r="BJ198" s="257">
        <f t="shared" si="125"/>
        <v>2850</v>
      </c>
      <c r="BK198" s="257"/>
      <c r="BL198" s="225">
        <f t="shared" si="171"/>
        <v>0</v>
      </c>
      <c r="BM198" s="225">
        <f t="shared" si="136"/>
        <v>0</v>
      </c>
      <c r="BN198" s="205">
        <f t="shared" si="119"/>
        <v>0</v>
      </c>
      <c r="BO198" s="205"/>
      <c r="BP198" s="227"/>
      <c r="BQ198" s="224">
        <f>BP198/$D198</f>
        <v>0</v>
      </c>
      <c r="BR198" s="227"/>
      <c r="BS198" s="224">
        <f t="shared" si="172"/>
        <v>0</v>
      </c>
      <c r="BT198" s="227"/>
      <c r="BU198" s="224">
        <f t="shared" si="173"/>
        <v>0</v>
      </c>
      <c r="BV198" s="227"/>
      <c r="BW198" s="224">
        <f t="shared" si="174"/>
        <v>0</v>
      </c>
      <c r="BX198" s="227"/>
      <c r="BY198" s="224">
        <f t="shared" si="175"/>
        <v>0</v>
      </c>
      <c r="BZ198" s="227">
        <v>3200</v>
      </c>
      <c r="CA198" s="224">
        <f t="shared" si="176"/>
        <v>1.0666666666666667</v>
      </c>
      <c r="CB198" s="227">
        <f>BZ198</f>
        <v>3200</v>
      </c>
      <c r="CC198" s="224">
        <f t="shared" si="177"/>
        <v>1.0666666666666667</v>
      </c>
      <c r="CD198" s="227">
        <f>CB198</f>
        <v>3200</v>
      </c>
      <c r="CE198" s="224">
        <f t="shared" si="177"/>
        <v>1.0666666666666667</v>
      </c>
      <c r="CF198" s="227">
        <v>6650</v>
      </c>
      <c r="CG198" s="224">
        <f t="shared" si="178"/>
        <v>2.2166666666666668</v>
      </c>
      <c r="CH198" s="227">
        <f>CF198</f>
        <v>6650</v>
      </c>
      <c r="CI198" s="224">
        <f t="shared" si="178"/>
        <v>2.2166666666666668</v>
      </c>
      <c r="CJ198" s="227">
        <f>CH198</f>
        <v>6650</v>
      </c>
      <c r="CK198" s="224">
        <f t="shared" si="179"/>
        <v>2.2166666666666668</v>
      </c>
      <c r="CL198" s="227">
        <f>CJ198</f>
        <v>6650</v>
      </c>
      <c r="CM198" s="224">
        <f t="shared" si="180"/>
        <v>2.2166666666666668</v>
      </c>
      <c r="CN198" s="227">
        <f>CL198</f>
        <v>6650</v>
      </c>
      <c r="CO198" s="224">
        <f t="shared" si="181"/>
        <v>2.2166666666666668</v>
      </c>
      <c r="CP198" s="213" t="str">
        <f t="shared" si="138"/>
        <v>Không đạt</v>
      </c>
      <c r="CQ198" s="213" t="str">
        <f t="shared" si="139"/>
        <v>Không đạt</v>
      </c>
      <c r="CR198" s="192"/>
      <c r="CS198" s="192"/>
      <c r="CT198" s="223"/>
      <c r="CU198" s="163"/>
      <c r="CW198" s="195"/>
      <c r="CX198" s="196"/>
      <c r="CY198" s="196"/>
      <c r="CZ198" s="197"/>
      <c r="DA198" s="196"/>
      <c r="DB198" s="196"/>
      <c r="DC198" s="196"/>
      <c r="DE198" s="199"/>
      <c r="DF198" s="200"/>
      <c r="DG198" s="181"/>
    </row>
    <row r="199" spans="1:111" s="233" customFormat="1" ht="18" customHeight="1" x14ac:dyDescent="0.25">
      <c r="A199" s="191">
        <v>7</v>
      </c>
      <c r="B199" s="210" t="s">
        <v>343</v>
      </c>
      <c r="C199" s="210"/>
      <c r="D199" s="205">
        <f t="shared" ref="D199:I199" si="182">D200</f>
        <v>26500</v>
      </c>
      <c r="E199" s="205">
        <f t="shared" si="182"/>
        <v>0</v>
      </c>
      <c r="F199" s="205">
        <f t="shared" si="182"/>
        <v>26500</v>
      </c>
      <c r="G199" s="205">
        <f t="shared" si="182"/>
        <v>21000</v>
      </c>
      <c r="H199" s="205">
        <f t="shared" si="182"/>
        <v>5500</v>
      </c>
      <c r="I199" s="205">
        <f t="shared" si="182"/>
        <v>0</v>
      </c>
      <c r="J199" s="205"/>
      <c r="K199" s="205">
        <f>K200</f>
        <v>0</v>
      </c>
      <c r="L199" s="205">
        <f>L200</f>
        <v>0</v>
      </c>
      <c r="M199" s="231"/>
      <c r="N199" s="231"/>
      <c r="O199" s="205">
        <f t="shared" si="143"/>
        <v>21000</v>
      </c>
      <c r="P199" s="205">
        <v>18515</v>
      </c>
      <c r="Q199" s="186">
        <f t="shared" si="124"/>
        <v>0.69867924528301883</v>
      </c>
      <c r="R199" s="205">
        <v>19950</v>
      </c>
      <c r="S199" s="185">
        <v>0.75283018867924534</v>
      </c>
      <c r="T199" s="185">
        <v>0.79245283018867929</v>
      </c>
      <c r="U199" s="205">
        <v>19950</v>
      </c>
      <c r="V199" s="185">
        <v>0.75283018867924534</v>
      </c>
      <c r="W199" s="185">
        <v>0.79245283018867929</v>
      </c>
      <c r="X199" s="205">
        <v>19950</v>
      </c>
      <c r="Y199" s="185">
        <v>0.75283018867924534</v>
      </c>
      <c r="Z199" s="185">
        <v>0.79245283018867929</v>
      </c>
      <c r="AA199" s="205">
        <v>19950</v>
      </c>
      <c r="AB199" s="185">
        <v>0.75283018867924534</v>
      </c>
      <c r="AC199" s="185">
        <v>0.79245283018867929</v>
      </c>
      <c r="AD199" s="205">
        <v>19950</v>
      </c>
      <c r="AE199" s="185">
        <v>0.75283018867924534</v>
      </c>
      <c r="AF199" s="185">
        <v>0.79245283018867929</v>
      </c>
      <c r="AG199" s="205">
        <v>19950</v>
      </c>
      <c r="AH199" s="185">
        <v>0.75283018867924534</v>
      </c>
      <c r="AI199" s="185">
        <v>0.79245283018867929</v>
      </c>
      <c r="AJ199" s="189">
        <v>19950</v>
      </c>
      <c r="AK199" s="185">
        <v>0.75283018867924534</v>
      </c>
      <c r="AL199" s="185">
        <v>0.79245283018867929</v>
      </c>
      <c r="AM199" s="205">
        <v>19950</v>
      </c>
      <c r="AN199" s="185">
        <v>0.75283018867924534</v>
      </c>
      <c r="AO199" s="185">
        <v>0.79245283018867929</v>
      </c>
      <c r="AP199" s="185"/>
      <c r="AQ199" s="205">
        <v>19950</v>
      </c>
      <c r="AR199" s="185">
        <v>0.75283018867924534</v>
      </c>
      <c r="AS199" s="185">
        <v>0.79245283018867929</v>
      </c>
      <c r="AT199" s="205">
        <v>19950</v>
      </c>
      <c r="AU199" s="185">
        <v>0.75283018867924534</v>
      </c>
      <c r="AV199" s="185">
        <v>0.79245283018867929</v>
      </c>
      <c r="AW199" s="185"/>
      <c r="AX199" s="185"/>
      <c r="AY199" s="185"/>
      <c r="AZ199" s="205"/>
      <c r="BA199" s="185"/>
      <c r="BB199" s="185"/>
      <c r="BC199" s="205">
        <v>19950</v>
      </c>
      <c r="BD199" s="185">
        <v>0.75283018867924534</v>
      </c>
      <c r="BE199" s="185">
        <v>0.79245283018867929</v>
      </c>
      <c r="BF199" s="205"/>
      <c r="BG199" s="205">
        <v>19950</v>
      </c>
      <c r="BH199" s="185">
        <v>0.75283018867924534</v>
      </c>
      <c r="BI199" s="185">
        <v>0.79245283018867929</v>
      </c>
      <c r="BJ199" s="205">
        <f t="shared" si="125"/>
        <v>25175</v>
      </c>
      <c r="BK199" s="205">
        <f>BK200</f>
        <v>19950</v>
      </c>
      <c r="BL199" s="185">
        <f t="shared" si="171"/>
        <v>0.75283018867924534</v>
      </c>
      <c r="BM199" s="185">
        <f t="shared" si="136"/>
        <v>0.79245283018867929</v>
      </c>
      <c r="BN199" s="205">
        <f t="shared" ref="BN199:BN266" si="183">BK199-AD199</f>
        <v>0</v>
      </c>
      <c r="BO199" s="205"/>
      <c r="BP199" s="189">
        <f>BP200</f>
        <v>107</v>
      </c>
      <c r="BQ199" s="186">
        <f t="shared" si="137"/>
        <v>4.0377358490566034E-3</v>
      </c>
      <c r="BR199" s="189">
        <f>BR200</f>
        <v>3614</v>
      </c>
      <c r="BS199" s="186">
        <f t="shared" si="172"/>
        <v>0.13637735849056604</v>
      </c>
      <c r="BT199" s="189">
        <f>BT200</f>
        <v>10591</v>
      </c>
      <c r="BU199" s="186">
        <f t="shared" si="173"/>
        <v>0.39966037735849058</v>
      </c>
      <c r="BV199" s="189">
        <f>BV200</f>
        <v>14791</v>
      </c>
      <c r="BW199" s="186">
        <f t="shared" si="174"/>
        <v>0.5581509433962264</v>
      </c>
      <c r="BX199" s="189">
        <f>BX200</f>
        <v>15381</v>
      </c>
      <c r="BY199" s="186">
        <f t="shared" si="175"/>
        <v>0.58041509433962268</v>
      </c>
      <c r="BZ199" s="189">
        <f>BZ200</f>
        <v>15971</v>
      </c>
      <c r="CA199" s="186">
        <f t="shared" si="176"/>
        <v>0.60267924528301886</v>
      </c>
      <c r="CB199" s="189">
        <f>CB200</f>
        <v>19561</v>
      </c>
      <c r="CC199" s="186">
        <f t="shared" si="177"/>
        <v>0.73815094339622644</v>
      </c>
      <c r="CD199" s="189">
        <f>CD200</f>
        <v>20151</v>
      </c>
      <c r="CE199" s="186">
        <f t="shared" si="177"/>
        <v>0.76041509433962262</v>
      </c>
      <c r="CF199" s="189">
        <f>CF200</f>
        <v>24302</v>
      </c>
      <c r="CG199" s="186">
        <f t="shared" si="178"/>
        <v>0.91705660377358489</v>
      </c>
      <c r="CH199" s="189">
        <f>CH200</f>
        <v>24652</v>
      </c>
      <c r="CI199" s="186">
        <f t="shared" si="178"/>
        <v>0.93026415094339621</v>
      </c>
      <c r="CJ199" s="189">
        <f>CJ200</f>
        <v>25002</v>
      </c>
      <c r="CK199" s="186">
        <f t="shared" si="179"/>
        <v>0.94347169811320752</v>
      </c>
      <c r="CL199" s="189">
        <f>CL200</f>
        <v>25175</v>
      </c>
      <c r="CM199" s="186">
        <f t="shared" si="180"/>
        <v>0.95</v>
      </c>
      <c r="CN199" s="189">
        <f>CN200</f>
        <v>25175</v>
      </c>
      <c r="CO199" s="186">
        <f t="shared" si="181"/>
        <v>0.95</v>
      </c>
      <c r="CP199" s="213" t="str">
        <f t="shared" si="138"/>
        <v>Đạt</v>
      </c>
      <c r="CQ199" s="213" t="str">
        <f t="shared" si="139"/>
        <v>Đạt</v>
      </c>
      <c r="CR199" s="213"/>
      <c r="CS199" s="213"/>
      <c r="CT199" s="213"/>
      <c r="CU199" s="163"/>
      <c r="CV199" s="232"/>
      <c r="CW199" s="195"/>
      <c r="CX199" s="196"/>
      <c r="CY199" s="196"/>
      <c r="CZ199" s="197"/>
      <c r="DA199" s="196"/>
      <c r="DB199" s="196"/>
      <c r="DC199" s="196"/>
      <c r="DE199" s="199"/>
      <c r="DF199" s="200"/>
      <c r="DG199" s="181"/>
    </row>
    <row r="200" spans="1:111" s="255" customFormat="1" outlineLevel="1" x14ac:dyDescent="0.25">
      <c r="A200" s="191" t="s">
        <v>29</v>
      </c>
      <c r="B200" s="210" t="s">
        <v>157</v>
      </c>
      <c r="C200" s="210"/>
      <c r="D200" s="189">
        <f t="shared" ref="D200:I200" si="184">SUM(D201:D204)</f>
        <v>26500</v>
      </c>
      <c r="E200" s="189">
        <f t="shared" si="184"/>
        <v>0</v>
      </c>
      <c r="F200" s="189">
        <f t="shared" si="184"/>
        <v>26500</v>
      </c>
      <c r="G200" s="189">
        <f t="shared" si="184"/>
        <v>21000</v>
      </c>
      <c r="H200" s="189">
        <f t="shared" si="184"/>
        <v>5500</v>
      </c>
      <c r="I200" s="188">
        <f t="shared" si="184"/>
        <v>0</v>
      </c>
      <c r="J200" s="188"/>
      <c r="K200" s="189">
        <f>SUM(K201:K204)</f>
        <v>0</v>
      </c>
      <c r="L200" s="188">
        <f>SUM(L201:L204)</f>
        <v>0</v>
      </c>
      <c r="M200" s="231"/>
      <c r="N200" s="231"/>
      <c r="O200" s="188">
        <f t="shared" si="143"/>
        <v>21000</v>
      </c>
      <c r="P200" s="188">
        <v>27078.295252</v>
      </c>
      <c r="Q200" s="186">
        <f t="shared" si="124"/>
        <v>1.0218224623396226</v>
      </c>
      <c r="R200" s="189">
        <v>19950</v>
      </c>
      <c r="S200" s="185">
        <v>0.75283018867924534</v>
      </c>
      <c r="T200" s="185">
        <v>0.79245283018867929</v>
      </c>
      <c r="U200" s="189">
        <v>19950</v>
      </c>
      <c r="V200" s="185">
        <v>0.75283018867924534</v>
      </c>
      <c r="W200" s="185">
        <v>0.79245283018867929</v>
      </c>
      <c r="X200" s="189">
        <v>19950</v>
      </c>
      <c r="Y200" s="185">
        <v>0.75283018867924534</v>
      </c>
      <c r="Z200" s="185">
        <v>0.79245283018867929</v>
      </c>
      <c r="AA200" s="189">
        <v>19950</v>
      </c>
      <c r="AB200" s="185">
        <v>0.75283018867924534</v>
      </c>
      <c r="AC200" s="185">
        <v>0.79245283018867929</v>
      </c>
      <c r="AD200" s="189">
        <v>19950</v>
      </c>
      <c r="AE200" s="185">
        <v>0.75283018867924534</v>
      </c>
      <c r="AF200" s="185">
        <v>0.79245283018867929</v>
      </c>
      <c r="AG200" s="189">
        <v>19950</v>
      </c>
      <c r="AH200" s="185">
        <v>0.75283018867924534</v>
      </c>
      <c r="AI200" s="185">
        <v>0.79245283018867929</v>
      </c>
      <c r="AJ200" s="257">
        <v>19950</v>
      </c>
      <c r="AK200" s="185">
        <v>0.75283018867924534</v>
      </c>
      <c r="AL200" s="185">
        <v>0.79245283018867929</v>
      </c>
      <c r="AM200" s="189">
        <v>19950</v>
      </c>
      <c r="AN200" s="185">
        <v>0.75283018867924534</v>
      </c>
      <c r="AO200" s="185">
        <v>0.79245283018867929</v>
      </c>
      <c r="AP200" s="185"/>
      <c r="AQ200" s="189">
        <v>19950</v>
      </c>
      <c r="AR200" s="185">
        <v>0.75283018867924534</v>
      </c>
      <c r="AS200" s="185">
        <v>0.79245283018867929</v>
      </c>
      <c r="AT200" s="189">
        <v>19950</v>
      </c>
      <c r="AU200" s="185">
        <v>0.75283018867924534</v>
      </c>
      <c r="AV200" s="185">
        <v>0.79245283018867929</v>
      </c>
      <c r="AW200" s="185"/>
      <c r="AX200" s="185"/>
      <c r="AY200" s="185"/>
      <c r="AZ200" s="189"/>
      <c r="BA200" s="185"/>
      <c r="BB200" s="185"/>
      <c r="BC200" s="189">
        <v>19950</v>
      </c>
      <c r="BD200" s="185">
        <v>0.75283018867924534</v>
      </c>
      <c r="BE200" s="185">
        <v>0.79245283018867929</v>
      </c>
      <c r="BF200" s="189"/>
      <c r="BG200" s="189">
        <v>19950</v>
      </c>
      <c r="BH200" s="185">
        <v>0.75283018867924534</v>
      </c>
      <c r="BI200" s="185">
        <v>0.79245283018867929</v>
      </c>
      <c r="BJ200" s="189">
        <f t="shared" si="125"/>
        <v>25175</v>
      </c>
      <c r="BK200" s="189">
        <f>SUM(BK201:BK204)</f>
        <v>19950</v>
      </c>
      <c r="BL200" s="185">
        <f t="shared" si="171"/>
        <v>0.75283018867924534</v>
      </c>
      <c r="BM200" s="185">
        <f t="shared" si="136"/>
        <v>0.79245283018867929</v>
      </c>
      <c r="BN200" s="205">
        <f t="shared" si="183"/>
        <v>0</v>
      </c>
      <c r="BO200" s="205"/>
      <c r="BP200" s="189">
        <f>SUM(BP201:BP204)</f>
        <v>107</v>
      </c>
      <c r="BQ200" s="186">
        <f t="shared" si="137"/>
        <v>4.0377358490566034E-3</v>
      </c>
      <c r="BR200" s="189">
        <f>SUM(BR201:BR204)</f>
        <v>3614</v>
      </c>
      <c r="BS200" s="186">
        <f t="shared" si="172"/>
        <v>0.13637735849056604</v>
      </c>
      <c r="BT200" s="189">
        <f>SUM(BT201:BT204)</f>
        <v>10591</v>
      </c>
      <c r="BU200" s="186">
        <f t="shared" si="173"/>
        <v>0.39966037735849058</v>
      </c>
      <c r="BV200" s="189">
        <f>SUM(BV201:BV204)</f>
        <v>14791</v>
      </c>
      <c r="BW200" s="186">
        <f t="shared" si="174"/>
        <v>0.5581509433962264</v>
      </c>
      <c r="BX200" s="189">
        <f>SUM(BX201:BX204)</f>
        <v>15381</v>
      </c>
      <c r="BY200" s="186">
        <f t="shared" si="175"/>
        <v>0.58041509433962268</v>
      </c>
      <c r="BZ200" s="189">
        <f>SUM(BZ201:BZ204)</f>
        <v>15971</v>
      </c>
      <c r="CA200" s="186">
        <f t="shared" si="176"/>
        <v>0.60267924528301886</v>
      </c>
      <c r="CB200" s="189">
        <f>SUM(CB201:CB204)</f>
        <v>19561</v>
      </c>
      <c r="CC200" s="186">
        <f t="shared" si="177"/>
        <v>0.73815094339622644</v>
      </c>
      <c r="CD200" s="189">
        <f>SUM(CD201:CD204)</f>
        <v>20151</v>
      </c>
      <c r="CE200" s="186">
        <f t="shared" si="177"/>
        <v>0.76041509433962262</v>
      </c>
      <c r="CF200" s="189">
        <f>SUM(CF201:CF204)</f>
        <v>24302</v>
      </c>
      <c r="CG200" s="186">
        <f t="shared" si="178"/>
        <v>0.91705660377358489</v>
      </c>
      <c r="CH200" s="189">
        <f>SUM(CH201:CH204)</f>
        <v>24652</v>
      </c>
      <c r="CI200" s="186">
        <f t="shared" si="178"/>
        <v>0.93026415094339621</v>
      </c>
      <c r="CJ200" s="189">
        <f>SUM(CJ201:CJ204)</f>
        <v>25002</v>
      </c>
      <c r="CK200" s="186">
        <f t="shared" si="179"/>
        <v>0.94347169811320752</v>
      </c>
      <c r="CL200" s="189">
        <f>SUM(CL201:CL204)</f>
        <v>25175</v>
      </c>
      <c r="CM200" s="186">
        <f t="shared" si="180"/>
        <v>0.95</v>
      </c>
      <c r="CN200" s="189">
        <f>SUM(CN201:CN204)</f>
        <v>25175</v>
      </c>
      <c r="CO200" s="186">
        <f t="shared" si="181"/>
        <v>0.95</v>
      </c>
      <c r="CP200" s="213" t="str">
        <f t="shared" si="138"/>
        <v>Đạt</v>
      </c>
      <c r="CQ200" s="213" t="str">
        <f t="shared" si="139"/>
        <v>Đạt</v>
      </c>
      <c r="CR200" s="213"/>
      <c r="CS200" s="213"/>
      <c r="CT200" s="231"/>
      <c r="CU200" s="163"/>
      <c r="CV200" s="252"/>
      <c r="CW200" s="253"/>
      <c r="CX200" s="196"/>
      <c r="CY200" s="196"/>
      <c r="CZ200" s="197"/>
      <c r="DA200" s="196"/>
      <c r="DB200" s="196"/>
      <c r="DC200" s="196"/>
      <c r="DE200" s="199"/>
      <c r="DF200" s="200"/>
      <c r="DG200" s="181"/>
    </row>
    <row r="201" spans="1:111" outlineLevel="1" x14ac:dyDescent="0.25">
      <c r="A201" s="192">
        <v>1</v>
      </c>
      <c r="B201" s="247" t="s">
        <v>344</v>
      </c>
      <c r="C201" s="248">
        <v>7004686</v>
      </c>
      <c r="D201" s="214">
        <f>E201+F201</f>
        <v>10000</v>
      </c>
      <c r="E201" s="205"/>
      <c r="F201" s="214">
        <f>G201+H201+K201+M201</f>
        <v>10000</v>
      </c>
      <c r="G201" s="257">
        <v>4500</v>
      </c>
      <c r="H201" s="257">
        <v>5500</v>
      </c>
      <c r="I201" s="235"/>
      <c r="J201" s="235"/>
      <c r="K201" s="223"/>
      <c r="L201" s="235"/>
      <c r="M201" s="223"/>
      <c r="N201" s="223"/>
      <c r="O201" s="257">
        <f t="shared" si="143"/>
        <v>4500</v>
      </c>
      <c r="P201" s="257">
        <v>4500</v>
      </c>
      <c r="Q201" s="224">
        <f t="shared" si="124"/>
        <v>0.45</v>
      </c>
      <c r="R201" s="257">
        <v>4275</v>
      </c>
      <c r="S201" s="225">
        <v>0.42749999999999999</v>
      </c>
      <c r="T201" s="225">
        <v>0.45</v>
      </c>
      <c r="U201" s="257">
        <v>4275</v>
      </c>
      <c r="V201" s="225">
        <v>0.42749999999999999</v>
      </c>
      <c r="W201" s="225">
        <v>0.45</v>
      </c>
      <c r="X201" s="257">
        <v>4275</v>
      </c>
      <c r="Y201" s="225">
        <v>0.42749999999999999</v>
      </c>
      <c r="Z201" s="225">
        <v>0.45</v>
      </c>
      <c r="AA201" s="257">
        <v>4275</v>
      </c>
      <c r="AB201" s="225">
        <v>0.42749999999999999</v>
      </c>
      <c r="AC201" s="225">
        <v>0.45</v>
      </c>
      <c r="AD201" s="257">
        <v>4275</v>
      </c>
      <c r="AE201" s="225">
        <v>0.42749999999999999</v>
      </c>
      <c r="AF201" s="225">
        <v>0.45</v>
      </c>
      <c r="AG201" s="257">
        <v>4275</v>
      </c>
      <c r="AH201" s="225">
        <v>0.42749999999999999</v>
      </c>
      <c r="AI201" s="225">
        <v>0.45</v>
      </c>
      <c r="AJ201" s="257">
        <v>4275</v>
      </c>
      <c r="AK201" s="225">
        <v>0.42749999999999999</v>
      </c>
      <c r="AL201" s="225">
        <v>0.45</v>
      </c>
      <c r="AM201" s="257">
        <v>4275</v>
      </c>
      <c r="AN201" s="225">
        <v>0.42749999999999999</v>
      </c>
      <c r="AO201" s="225">
        <v>0.45</v>
      </c>
      <c r="AP201" s="225"/>
      <c r="AQ201" s="257">
        <v>4275</v>
      </c>
      <c r="AR201" s="225">
        <v>0.42749999999999999</v>
      </c>
      <c r="AS201" s="225">
        <v>0.45</v>
      </c>
      <c r="AT201" s="257">
        <v>4275</v>
      </c>
      <c r="AU201" s="225">
        <v>0.42749999999999999</v>
      </c>
      <c r="AV201" s="225">
        <v>0.45</v>
      </c>
      <c r="AW201" s="225"/>
      <c r="AX201" s="225"/>
      <c r="AY201" s="225"/>
      <c r="AZ201" s="257"/>
      <c r="BA201" s="225"/>
      <c r="BB201" s="225"/>
      <c r="BC201" s="257">
        <v>4275</v>
      </c>
      <c r="BD201" s="225">
        <v>0.42749999999999999</v>
      </c>
      <c r="BE201" s="225">
        <v>0.45</v>
      </c>
      <c r="BF201" s="257"/>
      <c r="BG201" s="257">
        <v>4275</v>
      </c>
      <c r="BH201" s="225">
        <v>0.42749999999999999</v>
      </c>
      <c r="BI201" s="225">
        <v>0.45</v>
      </c>
      <c r="BJ201" s="257">
        <f t="shared" si="125"/>
        <v>9500</v>
      </c>
      <c r="BK201" s="257">
        <v>4275</v>
      </c>
      <c r="BL201" s="225">
        <f t="shared" si="171"/>
        <v>0.42749999999999999</v>
      </c>
      <c r="BM201" s="225">
        <f t="shared" si="136"/>
        <v>0.45</v>
      </c>
      <c r="BN201" s="205">
        <f t="shared" si="183"/>
        <v>0</v>
      </c>
      <c r="BO201" s="205"/>
      <c r="BP201" s="227">
        <v>0</v>
      </c>
      <c r="BQ201" s="224">
        <f t="shared" si="137"/>
        <v>0</v>
      </c>
      <c r="BR201" s="227">
        <v>1500</v>
      </c>
      <c r="BS201" s="224">
        <f t="shared" si="172"/>
        <v>0.15</v>
      </c>
      <c r="BT201" s="227">
        <v>1500</v>
      </c>
      <c r="BU201" s="224">
        <f t="shared" si="173"/>
        <v>0.15</v>
      </c>
      <c r="BV201" s="227">
        <v>4000</v>
      </c>
      <c r="BW201" s="224">
        <f t="shared" si="174"/>
        <v>0.4</v>
      </c>
      <c r="BX201" s="227">
        <v>4000</v>
      </c>
      <c r="BY201" s="224">
        <f t="shared" si="175"/>
        <v>0.4</v>
      </c>
      <c r="BZ201" s="227">
        <v>4000</v>
      </c>
      <c r="CA201" s="224">
        <f t="shared" si="176"/>
        <v>0.4</v>
      </c>
      <c r="CB201" s="227">
        <v>7000</v>
      </c>
      <c r="CC201" s="224">
        <f t="shared" si="177"/>
        <v>0.7</v>
      </c>
      <c r="CD201" s="227">
        <v>7000</v>
      </c>
      <c r="CE201" s="224">
        <f t="shared" si="177"/>
        <v>0.7</v>
      </c>
      <c r="CF201" s="227">
        <v>9500</v>
      </c>
      <c r="CG201" s="224">
        <f t="shared" si="178"/>
        <v>0.95</v>
      </c>
      <c r="CH201" s="227">
        <v>9500</v>
      </c>
      <c r="CI201" s="224">
        <f t="shared" si="178"/>
        <v>0.95</v>
      </c>
      <c r="CJ201" s="227">
        <v>9500</v>
      </c>
      <c r="CK201" s="224">
        <f t="shared" si="179"/>
        <v>0.95</v>
      </c>
      <c r="CL201" s="227">
        <v>9500</v>
      </c>
      <c r="CM201" s="224">
        <f t="shared" si="180"/>
        <v>0.95</v>
      </c>
      <c r="CN201" s="227">
        <v>9500</v>
      </c>
      <c r="CO201" s="224">
        <f t="shared" si="181"/>
        <v>0.95</v>
      </c>
      <c r="CP201" s="213" t="str">
        <f t="shared" si="138"/>
        <v>Đạt</v>
      </c>
      <c r="CQ201" s="213" t="str">
        <f t="shared" si="139"/>
        <v>Đạt</v>
      </c>
      <c r="CR201" s="192"/>
      <c r="CS201" s="192"/>
      <c r="CT201" s="223"/>
      <c r="CU201" s="163"/>
      <c r="CW201" s="195"/>
      <c r="CX201" s="196"/>
      <c r="CY201" s="196"/>
      <c r="CZ201" s="197"/>
      <c r="DA201" s="196"/>
      <c r="DB201" s="196"/>
      <c r="DC201" s="196"/>
      <c r="DE201" s="199"/>
      <c r="DF201" s="200"/>
      <c r="DG201" s="181"/>
    </row>
    <row r="202" spans="1:111" ht="31.9" customHeight="1" outlineLevel="1" x14ac:dyDescent="0.25">
      <c r="A202" s="192">
        <f>MAX(A$201:$B201)+1</f>
        <v>2</v>
      </c>
      <c r="B202" s="247" t="s">
        <v>345</v>
      </c>
      <c r="C202" s="248">
        <v>7004686</v>
      </c>
      <c r="D202" s="214">
        <f>E202+F202</f>
        <v>4500</v>
      </c>
      <c r="E202" s="205"/>
      <c r="F202" s="214">
        <f>G202+H202+K202+M202</f>
        <v>4500</v>
      </c>
      <c r="G202" s="257">
        <v>4500</v>
      </c>
      <c r="H202" s="257"/>
      <c r="I202" s="235"/>
      <c r="J202" s="235"/>
      <c r="K202" s="223"/>
      <c r="L202" s="235"/>
      <c r="M202" s="223"/>
      <c r="N202" s="223"/>
      <c r="O202" s="257">
        <f t="shared" si="143"/>
        <v>4500</v>
      </c>
      <c r="P202" s="257">
        <v>4275</v>
      </c>
      <c r="Q202" s="224">
        <f t="shared" si="124"/>
        <v>0.95</v>
      </c>
      <c r="R202" s="257">
        <v>4275</v>
      </c>
      <c r="S202" s="225">
        <v>0.95</v>
      </c>
      <c r="T202" s="225">
        <v>1</v>
      </c>
      <c r="U202" s="257">
        <v>4275</v>
      </c>
      <c r="V202" s="225">
        <v>0.95</v>
      </c>
      <c r="W202" s="225">
        <v>1</v>
      </c>
      <c r="X202" s="257">
        <v>4275</v>
      </c>
      <c r="Y202" s="225">
        <v>0.95</v>
      </c>
      <c r="Z202" s="225">
        <v>1</v>
      </c>
      <c r="AA202" s="257">
        <v>4275</v>
      </c>
      <c r="AB202" s="225">
        <v>0.95</v>
      </c>
      <c r="AC202" s="225">
        <v>1</v>
      </c>
      <c r="AD202" s="257">
        <v>4275</v>
      </c>
      <c r="AE202" s="225">
        <v>0.95</v>
      </c>
      <c r="AF202" s="225">
        <v>1</v>
      </c>
      <c r="AG202" s="257">
        <v>4275</v>
      </c>
      <c r="AH202" s="225">
        <v>0.95</v>
      </c>
      <c r="AI202" s="225">
        <v>1</v>
      </c>
      <c r="AJ202" s="257">
        <v>4275</v>
      </c>
      <c r="AK202" s="225">
        <v>0.95</v>
      </c>
      <c r="AL202" s="225">
        <v>1</v>
      </c>
      <c r="AM202" s="257">
        <v>4275</v>
      </c>
      <c r="AN202" s="225">
        <v>0.95</v>
      </c>
      <c r="AO202" s="225">
        <v>1</v>
      </c>
      <c r="AP202" s="225"/>
      <c r="AQ202" s="257">
        <v>4275</v>
      </c>
      <c r="AR202" s="225">
        <v>0.95</v>
      </c>
      <c r="AS202" s="225">
        <v>1</v>
      </c>
      <c r="AT202" s="257">
        <v>4275</v>
      </c>
      <c r="AU202" s="225">
        <v>0.95</v>
      </c>
      <c r="AV202" s="225">
        <v>1</v>
      </c>
      <c r="AW202" s="225"/>
      <c r="AX202" s="225"/>
      <c r="AY202" s="225"/>
      <c r="AZ202" s="225"/>
      <c r="BA202" s="225"/>
      <c r="BB202" s="225"/>
      <c r="BC202" s="257">
        <v>4275</v>
      </c>
      <c r="BD202" s="225">
        <v>0.95</v>
      </c>
      <c r="BE202" s="225">
        <v>1</v>
      </c>
      <c r="BF202" s="257"/>
      <c r="BG202" s="257">
        <v>4275</v>
      </c>
      <c r="BH202" s="225">
        <v>0.95</v>
      </c>
      <c r="BI202" s="225">
        <v>1</v>
      </c>
      <c r="BJ202" s="257">
        <f t="shared" si="125"/>
        <v>4275</v>
      </c>
      <c r="BK202" s="257">
        <v>4275</v>
      </c>
      <c r="BL202" s="225">
        <f t="shared" si="171"/>
        <v>0.95</v>
      </c>
      <c r="BM202" s="225">
        <f t="shared" si="136"/>
        <v>1</v>
      </c>
      <c r="BN202" s="205">
        <f t="shared" si="183"/>
        <v>0</v>
      </c>
      <c r="BO202" s="205"/>
      <c r="BP202" s="227">
        <v>107</v>
      </c>
      <c r="BQ202" s="224">
        <f t="shared" si="137"/>
        <v>2.3777777777777776E-2</v>
      </c>
      <c r="BR202" s="227">
        <v>214</v>
      </c>
      <c r="BS202" s="224">
        <f t="shared" si="172"/>
        <v>4.7555555555555552E-2</v>
      </c>
      <c r="BT202" s="227">
        <v>1191</v>
      </c>
      <c r="BU202" s="224">
        <f t="shared" si="173"/>
        <v>0.26466666666666666</v>
      </c>
      <c r="BV202" s="227">
        <v>2391</v>
      </c>
      <c r="BW202" s="224">
        <f t="shared" si="174"/>
        <v>0.53133333333333332</v>
      </c>
      <c r="BX202" s="227">
        <v>2481</v>
      </c>
      <c r="BY202" s="224">
        <f t="shared" si="175"/>
        <v>0.55133333333333334</v>
      </c>
      <c r="BZ202" s="227">
        <v>2571</v>
      </c>
      <c r="CA202" s="224">
        <f t="shared" si="176"/>
        <v>0.57133333333333336</v>
      </c>
      <c r="CB202" s="227">
        <v>2661</v>
      </c>
      <c r="CC202" s="224">
        <f t="shared" si="177"/>
        <v>0.59133333333333338</v>
      </c>
      <c r="CD202" s="227">
        <v>2751</v>
      </c>
      <c r="CE202" s="224">
        <f t="shared" si="177"/>
        <v>0.61133333333333328</v>
      </c>
      <c r="CF202" s="227">
        <v>3902</v>
      </c>
      <c r="CG202" s="224">
        <f t="shared" si="178"/>
        <v>0.86711111111111117</v>
      </c>
      <c r="CH202" s="227">
        <v>4002</v>
      </c>
      <c r="CI202" s="224">
        <f t="shared" si="178"/>
        <v>0.88933333333333331</v>
      </c>
      <c r="CJ202" s="227">
        <v>4102</v>
      </c>
      <c r="CK202" s="224">
        <f t="shared" si="179"/>
        <v>0.91155555555555556</v>
      </c>
      <c r="CL202" s="227">
        <f>G202*0.95</f>
        <v>4275</v>
      </c>
      <c r="CM202" s="224">
        <f t="shared" si="180"/>
        <v>0.95</v>
      </c>
      <c r="CN202" s="227">
        <v>4275</v>
      </c>
      <c r="CO202" s="224">
        <f t="shared" si="181"/>
        <v>0.95</v>
      </c>
      <c r="CP202" s="213" t="str">
        <f t="shared" si="138"/>
        <v>Đạt</v>
      </c>
      <c r="CQ202" s="213" t="str">
        <f t="shared" si="139"/>
        <v>Đạt</v>
      </c>
      <c r="CR202" s="192"/>
      <c r="CS202" s="192"/>
      <c r="CT202" s="223"/>
      <c r="CU202" s="163"/>
      <c r="CW202" s="195"/>
      <c r="CX202" s="196"/>
      <c r="CY202" s="196"/>
      <c r="CZ202" s="197"/>
      <c r="DA202" s="196"/>
      <c r="DB202" s="196"/>
      <c r="DC202" s="196"/>
      <c r="DE202" s="199"/>
      <c r="DF202" s="200"/>
      <c r="DG202" s="181"/>
    </row>
    <row r="203" spans="1:111" outlineLevel="1" x14ac:dyDescent="0.25">
      <c r="A203" s="192">
        <f>MAX(A$201:$B202)+1</f>
        <v>3</v>
      </c>
      <c r="B203" s="247" t="s">
        <v>346</v>
      </c>
      <c r="C203" s="248">
        <v>7004686</v>
      </c>
      <c r="D203" s="214">
        <f>E203+F203</f>
        <v>2000</v>
      </c>
      <c r="E203" s="205"/>
      <c r="F203" s="214">
        <f>G203+H203+K203+M203</f>
        <v>2000</v>
      </c>
      <c r="G203" s="257">
        <v>2000</v>
      </c>
      <c r="H203" s="257"/>
      <c r="I203" s="235"/>
      <c r="J203" s="235"/>
      <c r="K203" s="223"/>
      <c r="L203" s="235"/>
      <c r="M203" s="223"/>
      <c r="N203" s="223"/>
      <c r="O203" s="257">
        <f t="shared" si="143"/>
        <v>2000</v>
      </c>
      <c r="P203" s="257">
        <v>2000</v>
      </c>
      <c r="Q203" s="224">
        <f t="shared" si="124"/>
        <v>1</v>
      </c>
      <c r="R203" s="257">
        <v>1900</v>
      </c>
      <c r="S203" s="225">
        <v>0.95</v>
      </c>
      <c r="T203" s="225">
        <v>1</v>
      </c>
      <c r="U203" s="257">
        <v>1900</v>
      </c>
      <c r="V203" s="225">
        <v>0.95</v>
      </c>
      <c r="W203" s="225">
        <v>1</v>
      </c>
      <c r="X203" s="257">
        <v>1900</v>
      </c>
      <c r="Y203" s="225">
        <v>0.95</v>
      </c>
      <c r="Z203" s="225">
        <v>1</v>
      </c>
      <c r="AA203" s="257">
        <v>1900</v>
      </c>
      <c r="AB203" s="225">
        <v>0.95</v>
      </c>
      <c r="AC203" s="225">
        <v>1</v>
      </c>
      <c r="AD203" s="257">
        <v>1900</v>
      </c>
      <c r="AE203" s="225">
        <v>0.95</v>
      </c>
      <c r="AF203" s="225">
        <v>1</v>
      </c>
      <c r="AG203" s="257">
        <v>1900</v>
      </c>
      <c r="AH203" s="225">
        <v>0.95</v>
      </c>
      <c r="AI203" s="225">
        <v>1</v>
      </c>
      <c r="AJ203" s="257">
        <v>1900</v>
      </c>
      <c r="AK203" s="225">
        <v>0.95</v>
      </c>
      <c r="AL203" s="225">
        <v>1</v>
      </c>
      <c r="AM203" s="257">
        <v>1900</v>
      </c>
      <c r="AN203" s="225">
        <v>0.95</v>
      </c>
      <c r="AO203" s="225">
        <v>1</v>
      </c>
      <c r="AP203" s="225"/>
      <c r="AQ203" s="257">
        <v>1900</v>
      </c>
      <c r="AR203" s="225">
        <v>0.95</v>
      </c>
      <c r="AS203" s="225">
        <v>1</v>
      </c>
      <c r="AT203" s="257">
        <v>1900</v>
      </c>
      <c r="AU203" s="225">
        <v>0.95</v>
      </c>
      <c r="AV203" s="225">
        <v>1</v>
      </c>
      <c r="AW203" s="225"/>
      <c r="AX203" s="225"/>
      <c r="AY203" s="225"/>
      <c r="AZ203" s="225"/>
      <c r="BA203" s="225"/>
      <c r="BB203" s="225"/>
      <c r="BC203" s="257">
        <v>1900</v>
      </c>
      <c r="BD203" s="225">
        <v>0.95</v>
      </c>
      <c r="BE203" s="225">
        <v>1</v>
      </c>
      <c r="BF203" s="257"/>
      <c r="BG203" s="257">
        <v>1900</v>
      </c>
      <c r="BH203" s="225">
        <v>0.95</v>
      </c>
      <c r="BI203" s="225">
        <v>1</v>
      </c>
      <c r="BJ203" s="257">
        <f t="shared" si="125"/>
        <v>1900</v>
      </c>
      <c r="BK203" s="257">
        <v>1900</v>
      </c>
      <c r="BL203" s="225">
        <f t="shared" si="171"/>
        <v>0.95</v>
      </c>
      <c r="BM203" s="225">
        <f t="shared" si="136"/>
        <v>1</v>
      </c>
      <c r="BN203" s="205">
        <f t="shared" si="183"/>
        <v>0</v>
      </c>
      <c r="BO203" s="205"/>
      <c r="BP203" s="227">
        <v>0</v>
      </c>
      <c r="BQ203" s="224">
        <f t="shared" si="137"/>
        <v>0</v>
      </c>
      <c r="BR203" s="227">
        <f>G203*0.95</f>
        <v>1900</v>
      </c>
      <c r="BS203" s="224">
        <f t="shared" si="172"/>
        <v>0.95</v>
      </c>
      <c r="BT203" s="227">
        <v>1900</v>
      </c>
      <c r="BU203" s="224">
        <f t="shared" si="173"/>
        <v>0.95</v>
      </c>
      <c r="BV203" s="227">
        <v>1900</v>
      </c>
      <c r="BW203" s="224">
        <f t="shared" si="174"/>
        <v>0.95</v>
      </c>
      <c r="BX203" s="227">
        <v>1900</v>
      </c>
      <c r="BY203" s="224">
        <f t="shared" si="175"/>
        <v>0.95</v>
      </c>
      <c r="BZ203" s="227">
        <v>1900</v>
      </c>
      <c r="CA203" s="224">
        <f t="shared" si="176"/>
        <v>0.95</v>
      </c>
      <c r="CB203" s="227">
        <v>1900</v>
      </c>
      <c r="CC203" s="224">
        <f t="shared" si="177"/>
        <v>0.95</v>
      </c>
      <c r="CD203" s="227">
        <v>1900</v>
      </c>
      <c r="CE203" s="224">
        <f t="shared" si="177"/>
        <v>0.95</v>
      </c>
      <c r="CF203" s="227">
        <v>1900</v>
      </c>
      <c r="CG203" s="224">
        <f t="shared" si="178"/>
        <v>0.95</v>
      </c>
      <c r="CH203" s="227">
        <v>1900</v>
      </c>
      <c r="CI203" s="224">
        <f t="shared" si="178"/>
        <v>0.95</v>
      </c>
      <c r="CJ203" s="227">
        <v>1900</v>
      </c>
      <c r="CK203" s="224">
        <f t="shared" si="179"/>
        <v>0.95</v>
      </c>
      <c r="CL203" s="227">
        <v>1900</v>
      </c>
      <c r="CM203" s="224">
        <f t="shared" si="180"/>
        <v>0.95</v>
      </c>
      <c r="CN203" s="227">
        <v>1900</v>
      </c>
      <c r="CO203" s="224">
        <f t="shared" si="181"/>
        <v>0.95</v>
      </c>
      <c r="CP203" s="213" t="str">
        <f t="shared" si="138"/>
        <v>Đạt</v>
      </c>
      <c r="CQ203" s="213" t="str">
        <f t="shared" si="139"/>
        <v>Đạt</v>
      </c>
      <c r="CR203" s="192"/>
      <c r="CS203" s="192"/>
      <c r="CT203" s="223"/>
      <c r="CU203" s="163"/>
      <c r="CW203" s="195"/>
      <c r="CX203" s="196"/>
      <c r="CY203" s="196"/>
      <c r="CZ203" s="197"/>
      <c r="DA203" s="196"/>
      <c r="DB203" s="196"/>
      <c r="DC203" s="196"/>
      <c r="DE203" s="199"/>
      <c r="DF203" s="200"/>
      <c r="DG203" s="181"/>
    </row>
    <row r="204" spans="1:111" ht="25.5" outlineLevel="1" x14ac:dyDescent="0.25">
      <c r="A204" s="192">
        <f>MAX(A$201:$B203)+1</f>
        <v>4</v>
      </c>
      <c r="B204" s="247" t="s">
        <v>347</v>
      </c>
      <c r="C204" s="248">
        <v>7004686</v>
      </c>
      <c r="D204" s="214">
        <f>E204+F204</f>
        <v>10000</v>
      </c>
      <c r="E204" s="205"/>
      <c r="F204" s="214">
        <f>G204+H204+K204+M204</f>
        <v>10000</v>
      </c>
      <c r="G204" s="257">
        <v>10000</v>
      </c>
      <c r="H204" s="257"/>
      <c r="I204" s="235"/>
      <c r="J204" s="235"/>
      <c r="K204" s="223"/>
      <c r="L204" s="235"/>
      <c r="M204" s="223"/>
      <c r="N204" s="223"/>
      <c r="O204" s="257">
        <f t="shared" si="143"/>
        <v>10000</v>
      </c>
      <c r="P204" s="257">
        <v>7740</v>
      </c>
      <c r="Q204" s="224">
        <f t="shared" si="124"/>
        <v>0.77400000000000002</v>
      </c>
      <c r="R204" s="257">
        <v>9500</v>
      </c>
      <c r="S204" s="225">
        <v>0.95</v>
      </c>
      <c r="T204" s="225">
        <v>1</v>
      </c>
      <c r="U204" s="257">
        <v>9500</v>
      </c>
      <c r="V204" s="225">
        <v>0.95</v>
      </c>
      <c r="W204" s="225">
        <v>1</v>
      </c>
      <c r="X204" s="257">
        <v>9500</v>
      </c>
      <c r="Y204" s="225">
        <v>0.95</v>
      </c>
      <c r="Z204" s="225">
        <v>1</v>
      </c>
      <c r="AA204" s="257">
        <v>9500</v>
      </c>
      <c r="AB204" s="225">
        <v>0.95</v>
      </c>
      <c r="AC204" s="225">
        <v>1</v>
      </c>
      <c r="AD204" s="257">
        <v>9500</v>
      </c>
      <c r="AE204" s="225">
        <v>0.95</v>
      </c>
      <c r="AF204" s="225">
        <v>1</v>
      </c>
      <c r="AG204" s="257">
        <v>9500</v>
      </c>
      <c r="AH204" s="225">
        <v>0.95</v>
      </c>
      <c r="AI204" s="225">
        <v>1</v>
      </c>
      <c r="AJ204" s="205">
        <v>9500</v>
      </c>
      <c r="AK204" s="225">
        <v>0.95</v>
      </c>
      <c r="AL204" s="225">
        <v>1</v>
      </c>
      <c r="AM204" s="257">
        <v>9500</v>
      </c>
      <c r="AN204" s="225">
        <v>0.95</v>
      </c>
      <c r="AO204" s="225">
        <v>1</v>
      </c>
      <c r="AP204" s="225"/>
      <c r="AQ204" s="257">
        <v>9500</v>
      </c>
      <c r="AR204" s="225">
        <v>0.95</v>
      </c>
      <c r="AS204" s="225">
        <v>1</v>
      </c>
      <c r="AT204" s="257">
        <v>9500</v>
      </c>
      <c r="AU204" s="225">
        <v>0.95</v>
      </c>
      <c r="AV204" s="225">
        <v>1</v>
      </c>
      <c r="AW204" s="225"/>
      <c r="AX204" s="225"/>
      <c r="AY204" s="225"/>
      <c r="AZ204" s="225"/>
      <c r="BA204" s="225"/>
      <c r="BB204" s="225"/>
      <c r="BC204" s="257">
        <v>9500</v>
      </c>
      <c r="BD204" s="225">
        <v>0.95</v>
      </c>
      <c r="BE204" s="225">
        <v>1</v>
      </c>
      <c r="BF204" s="257"/>
      <c r="BG204" s="257">
        <v>9500</v>
      </c>
      <c r="BH204" s="225">
        <v>0.95</v>
      </c>
      <c r="BI204" s="225">
        <v>1</v>
      </c>
      <c r="BJ204" s="257">
        <f t="shared" si="125"/>
        <v>9500</v>
      </c>
      <c r="BK204" s="257">
        <v>9500</v>
      </c>
      <c r="BL204" s="225">
        <f t="shared" si="171"/>
        <v>0.95</v>
      </c>
      <c r="BM204" s="225">
        <f t="shared" si="136"/>
        <v>1</v>
      </c>
      <c r="BN204" s="205">
        <f t="shared" si="183"/>
        <v>0</v>
      </c>
      <c r="BO204" s="205"/>
      <c r="BP204" s="227">
        <v>0</v>
      </c>
      <c r="BQ204" s="224">
        <f t="shared" si="137"/>
        <v>0</v>
      </c>
      <c r="BR204" s="227">
        <v>0</v>
      </c>
      <c r="BS204" s="224">
        <f t="shared" si="172"/>
        <v>0</v>
      </c>
      <c r="BT204" s="227">
        <v>6000</v>
      </c>
      <c r="BU204" s="224">
        <f t="shared" si="173"/>
        <v>0.6</v>
      </c>
      <c r="BV204" s="227">
        <v>6500</v>
      </c>
      <c r="BW204" s="224">
        <f t="shared" si="174"/>
        <v>0.65</v>
      </c>
      <c r="BX204" s="227">
        <v>7000</v>
      </c>
      <c r="BY204" s="224">
        <f t="shared" si="175"/>
        <v>0.7</v>
      </c>
      <c r="BZ204" s="227">
        <v>7500</v>
      </c>
      <c r="CA204" s="224">
        <f t="shared" si="176"/>
        <v>0.75</v>
      </c>
      <c r="CB204" s="227">
        <v>8000</v>
      </c>
      <c r="CC204" s="224">
        <f t="shared" si="177"/>
        <v>0.8</v>
      </c>
      <c r="CD204" s="227">
        <v>8500</v>
      </c>
      <c r="CE204" s="224">
        <f t="shared" si="177"/>
        <v>0.85</v>
      </c>
      <c r="CF204" s="227">
        <v>9000</v>
      </c>
      <c r="CG204" s="224">
        <f t="shared" si="178"/>
        <v>0.9</v>
      </c>
      <c r="CH204" s="227">
        <v>9250</v>
      </c>
      <c r="CI204" s="224">
        <f t="shared" si="178"/>
        <v>0.92500000000000004</v>
      </c>
      <c r="CJ204" s="227">
        <v>9500</v>
      </c>
      <c r="CK204" s="224">
        <f t="shared" si="179"/>
        <v>0.95</v>
      </c>
      <c r="CL204" s="227">
        <v>9500</v>
      </c>
      <c r="CM204" s="224">
        <f t="shared" si="180"/>
        <v>0.95</v>
      </c>
      <c r="CN204" s="227">
        <v>9500</v>
      </c>
      <c r="CO204" s="224">
        <f t="shared" si="181"/>
        <v>0.95</v>
      </c>
      <c r="CP204" s="213" t="str">
        <f t="shared" si="138"/>
        <v>Đạt</v>
      </c>
      <c r="CQ204" s="213" t="str">
        <f t="shared" si="139"/>
        <v>Đạt</v>
      </c>
      <c r="CR204" s="192"/>
      <c r="CS204" s="192"/>
      <c r="CT204" s="223"/>
      <c r="CU204" s="163"/>
      <c r="CW204" s="195"/>
      <c r="CX204" s="196"/>
      <c r="CY204" s="196"/>
      <c r="CZ204" s="197"/>
      <c r="DA204" s="196"/>
      <c r="DB204" s="196"/>
      <c r="DC204" s="196"/>
      <c r="DE204" s="199"/>
      <c r="DF204" s="200"/>
      <c r="DG204" s="181"/>
    </row>
    <row r="205" spans="1:111" s="233" customFormat="1" ht="18" customHeight="1" x14ac:dyDescent="0.25">
      <c r="A205" s="191">
        <v>8</v>
      </c>
      <c r="B205" s="210" t="s">
        <v>348</v>
      </c>
      <c r="C205" s="210"/>
      <c r="D205" s="205">
        <f t="shared" ref="D205:I206" si="185">D206</f>
        <v>150000</v>
      </c>
      <c r="E205" s="205">
        <f t="shared" si="185"/>
        <v>0</v>
      </c>
      <c r="F205" s="205">
        <f t="shared" si="185"/>
        <v>150000</v>
      </c>
      <c r="G205" s="205">
        <f t="shared" si="185"/>
        <v>80000</v>
      </c>
      <c r="H205" s="205">
        <f t="shared" si="185"/>
        <v>70000</v>
      </c>
      <c r="I205" s="205">
        <f t="shared" si="185"/>
        <v>0</v>
      </c>
      <c r="J205" s="205"/>
      <c r="K205" s="205">
        <f>K206</f>
        <v>0</v>
      </c>
      <c r="L205" s="205">
        <f>L206</f>
        <v>0</v>
      </c>
      <c r="M205" s="231"/>
      <c r="N205" s="231"/>
      <c r="O205" s="205">
        <f t="shared" si="143"/>
        <v>80000</v>
      </c>
      <c r="P205" s="205">
        <v>1444</v>
      </c>
      <c r="Q205" s="186">
        <f t="shared" si="124"/>
        <v>9.6266666666666671E-3</v>
      </c>
      <c r="R205" s="205">
        <v>1444</v>
      </c>
      <c r="S205" s="185">
        <v>9.6266666666666671E-3</v>
      </c>
      <c r="T205" s="185">
        <v>1.0133333333333333E-2</v>
      </c>
      <c r="U205" s="205">
        <v>1444.167211</v>
      </c>
      <c r="V205" s="185">
        <v>9.6277814066666658E-3</v>
      </c>
      <c r="W205" s="185">
        <v>1.0134506743859649E-2</v>
      </c>
      <c r="X205" s="205">
        <v>1444.167211</v>
      </c>
      <c r="Y205" s="185">
        <v>9.6277814066666658E-3</v>
      </c>
      <c r="Z205" s="185">
        <v>1.0134506743859649E-2</v>
      </c>
      <c r="AA205" s="205">
        <v>1444.167211</v>
      </c>
      <c r="AB205" s="185">
        <v>9.6277814066666658E-3</v>
      </c>
      <c r="AC205" s="185">
        <v>1.0134506743859649E-2</v>
      </c>
      <c r="AD205" s="205">
        <v>2104.827601</v>
      </c>
      <c r="AE205" s="185">
        <v>1.4032184006666667E-2</v>
      </c>
      <c r="AF205" s="185">
        <v>1.4770720007017544E-2</v>
      </c>
      <c r="AG205" s="205">
        <v>2104.827601</v>
      </c>
      <c r="AH205" s="185">
        <v>1.4032184006666667E-2</v>
      </c>
      <c r="AI205" s="185">
        <v>1.4770720007017544E-2</v>
      </c>
      <c r="AJ205" s="189">
        <v>2104.827601</v>
      </c>
      <c r="AK205" s="185">
        <v>1.4032184006666667E-2</v>
      </c>
      <c r="AL205" s="185">
        <v>1.4770720007017544E-2</v>
      </c>
      <c r="AM205" s="205">
        <v>2124</v>
      </c>
      <c r="AN205" s="185">
        <v>1.4160000000000001E-2</v>
      </c>
      <c r="AO205" s="185">
        <v>1.4905263157894737E-2</v>
      </c>
      <c r="AP205" s="185"/>
      <c r="AQ205" s="205">
        <v>2124</v>
      </c>
      <c r="AR205" s="185">
        <v>1.4160000000000001E-2</v>
      </c>
      <c r="AS205" s="185">
        <v>1.4905263157894737E-2</v>
      </c>
      <c r="AT205" s="205">
        <v>2124</v>
      </c>
      <c r="AU205" s="185">
        <v>1.4160000000000001E-2</v>
      </c>
      <c r="AV205" s="185">
        <v>1.4905263157894737E-2</v>
      </c>
      <c r="AW205" s="185"/>
      <c r="AX205" s="185"/>
      <c r="AY205" s="185"/>
      <c r="AZ205" s="185"/>
      <c r="BA205" s="185"/>
      <c r="BB205" s="185"/>
      <c r="BC205" s="205">
        <v>2124</v>
      </c>
      <c r="BD205" s="185">
        <v>1.4160000000000001E-2</v>
      </c>
      <c r="BE205" s="185">
        <v>1.4905263157894737E-2</v>
      </c>
      <c r="BF205" s="205"/>
      <c r="BG205" s="205">
        <v>2759</v>
      </c>
      <c r="BH205" s="185">
        <v>1.8393333333333334E-2</v>
      </c>
      <c r="BI205" s="185">
        <v>1.936140350877193E-2</v>
      </c>
      <c r="BJ205" s="205">
        <f t="shared" si="125"/>
        <v>142500</v>
      </c>
      <c r="BK205" s="205">
        <v>7799</v>
      </c>
      <c r="BL205" s="185">
        <f t="shared" si="171"/>
        <v>5.1993333333333336E-2</v>
      </c>
      <c r="BM205" s="185">
        <f t="shared" si="136"/>
        <v>5.472982456140351E-2</v>
      </c>
      <c r="BN205" s="205">
        <f t="shared" si="183"/>
        <v>5694.172399</v>
      </c>
      <c r="BO205" s="205"/>
      <c r="BP205" s="189">
        <f>BP206</f>
        <v>0</v>
      </c>
      <c r="BQ205" s="186">
        <f t="shared" si="137"/>
        <v>0</v>
      </c>
      <c r="BR205" s="189">
        <f>BR206</f>
        <v>3000</v>
      </c>
      <c r="BS205" s="186">
        <f t="shared" si="172"/>
        <v>0.02</v>
      </c>
      <c r="BT205" s="189">
        <f>BT206</f>
        <v>30000</v>
      </c>
      <c r="BU205" s="186">
        <f t="shared" si="173"/>
        <v>0.2</v>
      </c>
      <c r="BV205" s="189">
        <f t="shared" ref="BV205:CJ206" si="186">BV206</f>
        <v>40000</v>
      </c>
      <c r="BW205" s="186">
        <f t="shared" si="174"/>
        <v>0.26666666666666666</v>
      </c>
      <c r="BX205" s="189">
        <f t="shared" si="186"/>
        <v>45000</v>
      </c>
      <c r="BY205" s="186">
        <f t="shared" si="175"/>
        <v>0.3</v>
      </c>
      <c r="BZ205" s="189">
        <f t="shared" si="186"/>
        <v>60000</v>
      </c>
      <c r="CA205" s="186">
        <f t="shared" si="176"/>
        <v>0.4</v>
      </c>
      <c r="CB205" s="189">
        <f t="shared" si="186"/>
        <v>75000</v>
      </c>
      <c r="CC205" s="186">
        <f t="shared" si="177"/>
        <v>0.5</v>
      </c>
      <c r="CD205" s="189">
        <f t="shared" si="186"/>
        <v>90000</v>
      </c>
      <c r="CE205" s="186">
        <f t="shared" si="177"/>
        <v>0.6</v>
      </c>
      <c r="CF205" s="189">
        <f t="shared" si="186"/>
        <v>105000</v>
      </c>
      <c r="CG205" s="186">
        <f t="shared" si="178"/>
        <v>0.7</v>
      </c>
      <c r="CH205" s="189">
        <f t="shared" si="186"/>
        <v>120000</v>
      </c>
      <c r="CI205" s="186">
        <f t="shared" si="178"/>
        <v>0.8</v>
      </c>
      <c r="CJ205" s="189">
        <f t="shared" si="186"/>
        <v>135000</v>
      </c>
      <c r="CK205" s="186">
        <f t="shared" si="179"/>
        <v>0.9</v>
      </c>
      <c r="CL205" s="189">
        <f t="shared" ref="CL205:CN206" si="187">CL206</f>
        <v>142500</v>
      </c>
      <c r="CM205" s="186">
        <f t="shared" si="180"/>
        <v>0.95</v>
      </c>
      <c r="CN205" s="189">
        <f t="shared" si="187"/>
        <v>142500</v>
      </c>
      <c r="CO205" s="186">
        <f t="shared" si="181"/>
        <v>0.95</v>
      </c>
      <c r="CP205" s="213" t="str">
        <f t="shared" si="138"/>
        <v>Không đạt</v>
      </c>
      <c r="CQ205" s="213" t="str">
        <f t="shared" si="139"/>
        <v>Không đạt</v>
      </c>
      <c r="CR205" s="213"/>
      <c r="CS205" s="213"/>
      <c r="CT205" s="213"/>
      <c r="CU205" s="163"/>
      <c r="CV205" s="232"/>
      <c r="CW205" s="195"/>
      <c r="CX205" s="196"/>
      <c r="CY205" s="196"/>
      <c r="CZ205" s="197"/>
      <c r="DA205" s="196"/>
      <c r="DB205" s="196"/>
      <c r="DC205" s="196"/>
      <c r="DE205" s="199"/>
      <c r="DF205" s="200"/>
      <c r="DG205" s="181"/>
    </row>
    <row r="206" spans="1:111" s="255" customFormat="1" outlineLevel="1" x14ac:dyDescent="0.25">
      <c r="A206" s="191" t="s">
        <v>29</v>
      </c>
      <c r="B206" s="210" t="s">
        <v>157</v>
      </c>
      <c r="C206" s="210"/>
      <c r="D206" s="189">
        <f t="shared" si="185"/>
        <v>150000</v>
      </c>
      <c r="E206" s="189">
        <f t="shared" si="185"/>
        <v>0</v>
      </c>
      <c r="F206" s="189">
        <f t="shared" si="185"/>
        <v>150000</v>
      </c>
      <c r="G206" s="189">
        <f t="shared" si="185"/>
        <v>80000</v>
      </c>
      <c r="H206" s="189">
        <f t="shared" si="185"/>
        <v>70000</v>
      </c>
      <c r="I206" s="214">
        <f t="shared" si="185"/>
        <v>0</v>
      </c>
      <c r="J206" s="214"/>
      <c r="K206" s="189">
        <f>K207</f>
        <v>0</v>
      </c>
      <c r="L206" s="214">
        <f>L207</f>
        <v>0</v>
      </c>
      <c r="M206" s="214">
        <f>M207</f>
        <v>0</v>
      </c>
      <c r="N206" s="214">
        <f>N207</f>
        <v>0</v>
      </c>
      <c r="O206" s="214">
        <f>O207</f>
        <v>80000</v>
      </c>
      <c r="P206" s="214">
        <v>27078.295252</v>
      </c>
      <c r="Q206" s="258">
        <f t="shared" si="124"/>
        <v>0.18052196834666667</v>
      </c>
      <c r="R206" s="189">
        <v>1444</v>
      </c>
      <c r="S206" s="185">
        <v>9.6266666666666671E-3</v>
      </c>
      <c r="T206" s="185">
        <v>1.0133333333333333E-2</v>
      </c>
      <c r="U206" s="189">
        <v>1444.167211</v>
      </c>
      <c r="V206" s="185">
        <v>9.6277814066666658E-3</v>
      </c>
      <c r="W206" s="185">
        <v>1.0134506743859649E-2</v>
      </c>
      <c r="X206" s="189">
        <v>1444.167211</v>
      </c>
      <c r="Y206" s="185">
        <v>9.6277814066666658E-3</v>
      </c>
      <c r="Z206" s="185">
        <v>1.0134506743859649E-2</v>
      </c>
      <c r="AA206" s="189">
        <v>1444.167211</v>
      </c>
      <c r="AB206" s="185">
        <v>9.6277814066666658E-3</v>
      </c>
      <c r="AC206" s="185">
        <v>1.0134506743859649E-2</v>
      </c>
      <c r="AD206" s="189">
        <v>2104.827601</v>
      </c>
      <c r="AE206" s="185">
        <v>1.4032184006666667E-2</v>
      </c>
      <c r="AF206" s="185">
        <v>1.4770720007017544E-2</v>
      </c>
      <c r="AG206" s="189">
        <v>2104.827601</v>
      </c>
      <c r="AH206" s="185">
        <v>1.4032184006666667E-2</v>
      </c>
      <c r="AI206" s="185">
        <v>1.4770720007017544E-2</v>
      </c>
      <c r="AJ206" s="257">
        <v>2104.827601</v>
      </c>
      <c r="AK206" s="185">
        <v>1.4032184006666667E-2</v>
      </c>
      <c r="AL206" s="185">
        <v>1.4770720007017544E-2</v>
      </c>
      <c r="AM206" s="189">
        <v>2124</v>
      </c>
      <c r="AN206" s="185">
        <v>1.4160000000000001E-2</v>
      </c>
      <c r="AO206" s="185">
        <v>1.4905263157894737E-2</v>
      </c>
      <c r="AP206" s="185"/>
      <c r="AQ206" s="189">
        <v>2124</v>
      </c>
      <c r="AR206" s="185">
        <v>1.4160000000000001E-2</v>
      </c>
      <c r="AS206" s="185">
        <v>1.4905263157894737E-2</v>
      </c>
      <c r="AT206" s="189">
        <v>2124</v>
      </c>
      <c r="AU206" s="185">
        <v>1.4160000000000001E-2</v>
      </c>
      <c r="AV206" s="185">
        <v>1.4905263157894737E-2</v>
      </c>
      <c r="AW206" s="185"/>
      <c r="AX206" s="185"/>
      <c r="AY206" s="185"/>
      <c r="AZ206" s="185"/>
      <c r="BA206" s="185"/>
      <c r="BB206" s="185"/>
      <c r="BC206" s="189">
        <v>2124</v>
      </c>
      <c r="BD206" s="185">
        <v>1.4160000000000001E-2</v>
      </c>
      <c r="BE206" s="185">
        <v>1.4905263157894737E-2</v>
      </c>
      <c r="BF206" s="189"/>
      <c r="BG206" s="189">
        <v>2759</v>
      </c>
      <c r="BH206" s="185">
        <v>1.8393333333333334E-2</v>
      </c>
      <c r="BI206" s="185">
        <v>1.936140350877193E-2</v>
      </c>
      <c r="BJ206" s="189">
        <f t="shared" si="125"/>
        <v>142500</v>
      </c>
      <c r="BK206" s="189">
        <f>BK207</f>
        <v>2796.7367669999999</v>
      </c>
      <c r="BL206" s="185">
        <f t="shared" si="171"/>
        <v>1.8644911779999999E-2</v>
      </c>
      <c r="BM206" s="185">
        <f t="shared" si="136"/>
        <v>1.962622292631579E-2</v>
      </c>
      <c r="BN206" s="205">
        <f t="shared" si="183"/>
        <v>691.90916599999991</v>
      </c>
      <c r="BO206" s="205"/>
      <c r="BP206" s="245">
        <f>BP207</f>
        <v>0</v>
      </c>
      <c r="BQ206" s="258">
        <f t="shared" si="137"/>
        <v>0</v>
      </c>
      <c r="BR206" s="245">
        <f>BR207</f>
        <v>3000</v>
      </c>
      <c r="BS206" s="258">
        <f t="shared" si="172"/>
        <v>0.02</v>
      </c>
      <c r="BT206" s="245">
        <f>BT207</f>
        <v>30000</v>
      </c>
      <c r="BU206" s="258">
        <f t="shared" si="173"/>
        <v>0.2</v>
      </c>
      <c r="BV206" s="245">
        <f t="shared" si="186"/>
        <v>40000</v>
      </c>
      <c r="BW206" s="258">
        <f t="shared" si="174"/>
        <v>0.26666666666666666</v>
      </c>
      <c r="BX206" s="245">
        <f t="shared" si="186"/>
        <v>45000</v>
      </c>
      <c r="BY206" s="258">
        <f t="shared" si="175"/>
        <v>0.3</v>
      </c>
      <c r="BZ206" s="245">
        <f t="shared" si="186"/>
        <v>60000</v>
      </c>
      <c r="CA206" s="258">
        <f t="shared" si="176"/>
        <v>0.4</v>
      </c>
      <c r="CB206" s="245">
        <f t="shared" si="186"/>
        <v>75000</v>
      </c>
      <c r="CC206" s="258">
        <f t="shared" si="177"/>
        <v>0.5</v>
      </c>
      <c r="CD206" s="245">
        <f t="shared" si="186"/>
        <v>90000</v>
      </c>
      <c r="CE206" s="258">
        <f t="shared" si="177"/>
        <v>0.6</v>
      </c>
      <c r="CF206" s="245">
        <f t="shared" si="186"/>
        <v>105000</v>
      </c>
      <c r="CG206" s="258">
        <f t="shared" si="178"/>
        <v>0.7</v>
      </c>
      <c r="CH206" s="245">
        <f t="shared" si="186"/>
        <v>120000</v>
      </c>
      <c r="CI206" s="258">
        <f t="shared" si="178"/>
        <v>0.8</v>
      </c>
      <c r="CJ206" s="245">
        <f t="shared" si="186"/>
        <v>135000</v>
      </c>
      <c r="CK206" s="258">
        <f t="shared" si="179"/>
        <v>0.9</v>
      </c>
      <c r="CL206" s="245">
        <f t="shared" si="187"/>
        <v>142500</v>
      </c>
      <c r="CM206" s="258">
        <f t="shared" si="180"/>
        <v>0.95</v>
      </c>
      <c r="CN206" s="245">
        <f t="shared" si="187"/>
        <v>142500</v>
      </c>
      <c r="CO206" s="258">
        <f t="shared" si="181"/>
        <v>0.95</v>
      </c>
      <c r="CP206" s="213" t="str">
        <f t="shared" si="138"/>
        <v>Không đạt</v>
      </c>
      <c r="CQ206" s="213" t="str">
        <f t="shared" si="139"/>
        <v>Không đạt</v>
      </c>
      <c r="CR206" s="213"/>
      <c r="CS206" s="213"/>
      <c r="CT206" s="231"/>
      <c r="CU206" s="163"/>
      <c r="CV206" s="142"/>
      <c r="CW206" s="195"/>
      <c r="CX206" s="196"/>
      <c r="CY206" s="196"/>
      <c r="CZ206" s="197"/>
      <c r="DA206" s="196"/>
      <c r="DB206" s="196"/>
      <c r="DC206" s="196"/>
      <c r="DD206" s="144"/>
      <c r="DE206" s="199"/>
      <c r="DF206" s="200"/>
      <c r="DG206" s="181"/>
    </row>
    <row r="207" spans="1:111" ht="44.45" customHeight="1" outlineLevel="1" x14ac:dyDescent="0.25">
      <c r="A207" s="192">
        <v>1</v>
      </c>
      <c r="B207" s="222" t="s">
        <v>349</v>
      </c>
      <c r="C207" s="248">
        <v>7004692</v>
      </c>
      <c r="D207" s="214">
        <f>E207+F207</f>
        <v>150000</v>
      </c>
      <c r="E207" s="205"/>
      <c r="F207" s="214">
        <f>G207+H207+K207+M207</f>
        <v>150000</v>
      </c>
      <c r="G207" s="257">
        <v>80000</v>
      </c>
      <c r="H207" s="257">
        <v>70000</v>
      </c>
      <c r="I207" s="235"/>
      <c r="J207" s="235"/>
      <c r="K207" s="223"/>
      <c r="L207" s="235"/>
      <c r="M207" s="223"/>
      <c r="N207" s="223"/>
      <c r="O207" s="257">
        <f>G207+I207+L207+N207</f>
        <v>80000</v>
      </c>
      <c r="P207" s="257">
        <v>1444</v>
      </c>
      <c r="Q207" s="224">
        <f t="shared" si="124"/>
        <v>9.6266666666666671E-3</v>
      </c>
      <c r="R207" s="257">
        <v>1444</v>
      </c>
      <c r="S207" s="225">
        <v>9.6266666666666671E-3</v>
      </c>
      <c r="T207" s="225">
        <v>1.0133333333333333E-2</v>
      </c>
      <c r="U207" s="257">
        <v>1444.167211</v>
      </c>
      <c r="V207" s="225">
        <v>9.6277814066666658E-3</v>
      </c>
      <c r="W207" s="225">
        <v>1.0134506743859649E-2</v>
      </c>
      <c r="X207" s="257">
        <v>1444.167211</v>
      </c>
      <c r="Y207" s="225">
        <v>9.6277814066666658E-3</v>
      </c>
      <c r="Z207" s="225">
        <v>1.0134506743859649E-2</v>
      </c>
      <c r="AA207" s="257">
        <v>1444.167211</v>
      </c>
      <c r="AB207" s="225">
        <v>9.6277814066666658E-3</v>
      </c>
      <c r="AC207" s="225">
        <v>1.0134506743859649E-2</v>
      </c>
      <c r="AD207" s="257">
        <v>2104.827601</v>
      </c>
      <c r="AE207" s="225">
        <v>1.4032184006666667E-2</v>
      </c>
      <c r="AF207" s="225">
        <v>1.4770720007017544E-2</v>
      </c>
      <c r="AG207" s="257">
        <v>2104.827601</v>
      </c>
      <c r="AH207" s="225">
        <v>1.4032184006666667E-2</v>
      </c>
      <c r="AI207" s="225">
        <v>1.4770720007017544E-2</v>
      </c>
      <c r="AJ207" s="205">
        <v>2104.827601</v>
      </c>
      <c r="AK207" s="225">
        <v>1.4032184006666667E-2</v>
      </c>
      <c r="AL207" s="225">
        <v>1.4770720007017544E-2</v>
      </c>
      <c r="AM207" s="257">
        <v>2124</v>
      </c>
      <c r="AN207" s="225">
        <v>1.4160000000000001E-2</v>
      </c>
      <c r="AO207" s="225">
        <v>1.4905263157894737E-2</v>
      </c>
      <c r="AP207" s="225"/>
      <c r="AQ207" s="257">
        <v>2124</v>
      </c>
      <c r="AR207" s="225">
        <v>1.4160000000000001E-2</v>
      </c>
      <c r="AS207" s="225">
        <v>1.4905263157894737E-2</v>
      </c>
      <c r="AT207" s="257">
        <v>2124</v>
      </c>
      <c r="AU207" s="225">
        <v>1.4160000000000001E-2</v>
      </c>
      <c r="AV207" s="225">
        <v>1.4905263157894737E-2</v>
      </c>
      <c r="AW207" s="225"/>
      <c r="AX207" s="225"/>
      <c r="AY207" s="225"/>
      <c r="AZ207" s="225"/>
      <c r="BA207" s="225"/>
      <c r="BB207" s="225"/>
      <c r="BC207" s="257">
        <v>2124</v>
      </c>
      <c r="BD207" s="225">
        <v>1.4160000000000001E-2</v>
      </c>
      <c r="BE207" s="225">
        <v>1.4905263157894737E-2</v>
      </c>
      <c r="BF207" s="257"/>
      <c r="BG207" s="257">
        <v>2759</v>
      </c>
      <c r="BH207" s="225">
        <v>1.8393333333333334E-2</v>
      </c>
      <c r="BI207" s="225">
        <v>1.936140350877193E-2</v>
      </c>
      <c r="BJ207" s="257">
        <f t="shared" si="125"/>
        <v>142500</v>
      </c>
      <c r="BK207" s="257">
        <v>2796.7367669999999</v>
      </c>
      <c r="BL207" s="225">
        <f t="shared" si="171"/>
        <v>1.8644911779999999E-2</v>
      </c>
      <c r="BM207" s="225">
        <f t="shared" si="136"/>
        <v>1.962622292631579E-2</v>
      </c>
      <c r="BN207" s="205">
        <f t="shared" si="183"/>
        <v>691.90916599999991</v>
      </c>
      <c r="BO207" s="205"/>
      <c r="BP207" s="227">
        <v>0</v>
      </c>
      <c r="BQ207" s="224">
        <f t="shared" si="137"/>
        <v>0</v>
      </c>
      <c r="BR207" s="227">
        <v>3000</v>
      </c>
      <c r="BS207" s="224">
        <f t="shared" si="172"/>
        <v>0.02</v>
      </c>
      <c r="BT207" s="227">
        <v>30000</v>
      </c>
      <c r="BU207" s="224">
        <f t="shared" si="173"/>
        <v>0.2</v>
      </c>
      <c r="BV207" s="227">
        <v>40000</v>
      </c>
      <c r="BW207" s="224">
        <f t="shared" si="174"/>
        <v>0.26666666666666666</v>
      </c>
      <c r="BX207" s="227">
        <v>45000</v>
      </c>
      <c r="BY207" s="224">
        <f t="shared" si="175"/>
        <v>0.3</v>
      </c>
      <c r="BZ207" s="227">
        <v>60000</v>
      </c>
      <c r="CA207" s="224">
        <f t="shared" si="176"/>
        <v>0.4</v>
      </c>
      <c r="CB207" s="227">
        <v>75000</v>
      </c>
      <c r="CC207" s="224">
        <f t="shared" si="177"/>
        <v>0.5</v>
      </c>
      <c r="CD207" s="227">
        <v>90000</v>
      </c>
      <c r="CE207" s="224">
        <f t="shared" si="177"/>
        <v>0.6</v>
      </c>
      <c r="CF207" s="227">
        <v>105000</v>
      </c>
      <c r="CG207" s="224">
        <f t="shared" si="178"/>
        <v>0.7</v>
      </c>
      <c r="CH207" s="227">
        <v>120000</v>
      </c>
      <c r="CI207" s="224">
        <f t="shared" si="178"/>
        <v>0.8</v>
      </c>
      <c r="CJ207" s="227">
        <v>135000</v>
      </c>
      <c r="CK207" s="224">
        <f t="shared" si="179"/>
        <v>0.9</v>
      </c>
      <c r="CL207" s="227">
        <v>142500</v>
      </c>
      <c r="CM207" s="224">
        <f t="shared" si="180"/>
        <v>0.95</v>
      </c>
      <c r="CN207" s="227">
        <v>142500</v>
      </c>
      <c r="CO207" s="224">
        <f t="shared" si="181"/>
        <v>0.95</v>
      </c>
      <c r="CP207" s="213" t="str">
        <f t="shared" si="138"/>
        <v>Không đạt</v>
      </c>
      <c r="CQ207" s="213" t="str">
        <f t="shared" si="139"/>
        <v>Không đạt</v>
      </c>
      <c r="CR207" s="192"/>
      <c r="CS207" s="192"/>
      <c r="CT207" s="223"/>
      <c r="CU207" s="163"/>
      <c r="CW207" s="195"/>
      <c r="CX207" s="196"/>
      <c r="CY207" s="196"/>
      <c r="CZ207" s="197"/>
      <c r="DA207" s="196"/>
      <c r="DB207" s="196"/>
      <c r="DC207" s="196"/>
      <c r="DE207" s="199"/>
      <c r="DF207" s="200"/>
      <c r="DG207" s="181"/>
    </row>
    <row r="208" spans="1:111" s="233" customFormat="1" ht="18" customHeight="1" x14ac:dyDescent="0.25">
      <c r="A208" s="191">
        <v>9</v>
      </c>
      <c r="B208" s="210" t="s">
        <v>350</v>
      </c>
      <c r="C208" s="210"/>
      <c r="D208" s="205">
        <f t="shared" ref="D208:I208" si="188">D209</f>
        <v>25000</v>
      </c>
      <c r="E208" s="205">
        <f t="shared" si="188"/>
        <v>0</v>
      </c>
      <c r="F208" s="205">
        <f t="shared" si="188"/>
        <v>25000</v>
      </c>
      <c r="G208" s="205">
        <f t="shared" si="188"/>
        <v>20000</v>
      </c>
      <c r="H208" s="205">
        <f t="shared" si="188"/>
        <v>5000</v>
      </c>
      <c r="I208" s="205">
        <f t="shared" si="188"/>
        <v>0</v>
      </c>
      <c r="J208" s="205"/>
      <c r="K208" s="205">
        <f>K209</f>
        <v>0</v>
      </c>
      <c r="L208" s="205">
        <f>L209</f>
        <v>0</v>
      </c>
      <c r="M208" s="231"/>
      <c r="N208" s="231"/>
      <c r="O208" s="205">
        <f>G208+I208+L208+N208</f>
        <v>20000</v>
      </c>
      <c r="P208" s="205">
        <v>0</v>
      </c>
      <c r="Q208" s="186">
        <f t="shared" ref="Q208:Q271" si="189">P208/$D208</f>
        <v>0</v>
      </c>
      <c r="R208" s="205">
        <v>1426.188042</v>
      </c>
      <c r="S208" s="185">
        <v>6.2008175739130436E-2</v>
      </c>
      <c r="T208" s="185">
        <v>6.5271763935926777E-2</v>
      </c>
      <c r="U208" s="205">
        <v>1426.188042</v>
      </c>
      <c r="V208" s="185">
        <v>6.2008175739130436E-2</v>
      </c>
      <c r="W208" s="185">
        <v>6.5271763935926777E-2</v>
      </c>
      <c r="X208" s="205">
        <v>1426.188042</v>
      </c>
      <c r="Y208" s="185">
        <v>6.2008175739130436E-2</v>
      </c>
      <c r="Z208" s="185">
        <v>6.5271763935926777E-2</v>
      </c>
      <c r="AA208" s="205">
        <v>1426.188042</v>
      </c>
      <c r="AB208" s="185">
        <v>6.2008175739130436E-2</v>
      </c>
      <c r="AC208" s="185">
        <v>6.5271763935926777E-2</v>
      </c>
      <c r="AD208" s="205">
        <v>7600</v>
      </c>
      <c r="AE208" s="185">
        <v>0.33043478260869563</v>
      </c>
      <c r="AF208" s="185">
        <v>0.34782608695652173</v>
      </c>
      <c r="AG208" s="205">
        <v>7600</v>
      </c>
      <c r="AH208" s="185">
        <v>0.33043478260869563</v>
      </c>
      <c r="AI208" s="185">
        <v>0.34782608695652173</v>
      </c>
      <c r="AJ208" s="226">
        <v>7600</v>
      </c>
      <c r="AK208" s="185">
        <v>0.33043478260869563</v>
      </c>
      <c r="AL208" s="185">
        <v>0.34782608695652173</v>
      </c>
      <c r="AM208" s="205">
        <v>7600</v>
      </c>
      <c r="AN208" s="185">
        <v>0.33043478260869563</v>
      </c>
      <c r="AO208" s="185">
        <v>0.34782608695652173</v>
      </c>
      <c r="AP208" s="185"/>
      <c r="AQ208" s="205">
        <v>7600</v>
      </c>
      <c r="AR208" s="185">
        <v>0.33043478260869563</v>
      </c>
      <c r="AS208" s="185">
        <v>0.34782608695652173</v>
      </c>
      <c r="AT208" s="205">
        <v>7600</v>
      </c>
      <c r="AU208" s="185">
        <v>0.33043478260869563</v>
      </c>
      <c r="AV208" s="185">
        <v>0.34782608695652173</v>
      </c>
      <c r="AW208" s="185"/>
      <c r="AX208" s="185"/>
      <c r="AY208" s="185"/>
      <c r="AZ208" s="185"/>
      <c r="BA208" s="185"/>
      <c r="BB208" s="185"/>
      <c r="BC208" s="205">
        <v>7600</v>
      </c>
      <c r="BD208" s="185">
        <v>0.33043478260869563</v>
      </c>
      <c r="BE208" s="185">
        <v>0.34782608695652173</v>
      </c>
      <c r="BF208" s="205"/>
      <c r="BG208" s="205">
        <v>17692</v>
      </c>
      <c r="BH208" s="185">
        <v>0.70767999999999998</v>
      </c>
      <c r="BI208" s="185">
        <v>0.74492631578947366</v>
      </c>
      <c r="BJ208" s="205">
        <f t="shared" ref="BJ208:BJ271" si="190">E208+(F208*0.95)</f>
        <v>23750</v>
      </c>
      <c r="BK208" s="205">
        <v>17961.530085999999</v>
      </c>
      <c r="BL208" s="185">
        <f t="shared" si="171"/>
        <v>0.71846120343999997</v>
      </c>
      <c r="BM208" s="185">
        <f t="shared" si="136"/>
        <v>0.75627495098947362</v>
      </c>
      <c r="BN208" s="205">
        <f t="shared" si="183"/>
        <v>10361.530085999999</v>
      </c>
      <c r="BO208" s="205"/>
      <c r="BP208" s="189">
        <f>BP209</f>
        <v>0</v>
      </c>
      <c r="BQ208" s="186">
        <f t="shared" si="137"/>
        <v>0</v>
      </c>
      <c r="BR208" s="189">
        <f>BR209</f>
        <v>1300</v>
      </c>
      <c r="BS208" s="186">
        <f t="shared" si="172"/>
        <v>5.1999999999999998E-2</v>
      </c>
      <c r="BT208" s="189">
        <f>BT209</f>
        <v>1300</v>
      </c>
      <c r="BU208" s="186">
        <f t="shared" si="173"/>
        <v>5.1999999999999998E-2</v>
      </c>
      <c r="BV208" s="189">
        <f t="shared" ref="BV208:CJ208" si="191">BV209</f>
        <v>7800</v>
      </c>
      <c r="BW208" s="186">
        <f t="shared" si="174"/>
        <v>0.312</v>
      </c>
      <c r="BX208" s="189">
        <f t="shared" si="191"/>
        <v>7800</v>
      </c>
      <c r="BY208" s="186">
        <f t="shared" si="175"/>
        <v>0.312</v>
      </c>
      <c r="BZ208" s="189">
        <f t="shared" si="191"/>
        <v>10800</v>
      </c>
      <c r="CA208" s="186">
        <f t="shared" si="176"/>
        <v>0.432</v>
      </c>
      <c r="CB208" s="189">
        <f t="shared" si="191"/>
        <v>10800</v>
      </c>
      <c r="CC208" s="186">
        <f t="shared" si="177"/>
        <v>0.432</v>
      </c>
      <c r="CD208" s="189">
        <f t="shared" si="191"/>
        <v>10800</v>
      </c>
      <c r="CE208" s="186">
        <f t="shared" si="177"/>
        <v>0.432</v>
      </c>
      <c r="CF208" s="189">
        <f t="shared" si="191"/>
        <v>14800</v>
      </c>
      <c r="CG208" s="186">
        <f t="shared" si="178"/>
        <v>0.59199999999999997</v>
      </c>
      <c r="CH208" s="189">
        <f t="shared" si="191"/>
        <v>14800</v>
      </c>
      <c r="CI208" s="186">
        <f t="shared" si="178"/>
        <v>0.59199999999999997</v>
      </c>
      <c r="CJ208" s="189">
        <f t="shared" si="191"/>
        <v>14800</v>
      </c>
      <c r="CK208" s="186">
        <f t="shared" si="179"/>
        <v>0.59199999999999997</v>
      </c>
      <c r="CL208" s="189">
        <f>CL209</f>
        <v>19800</v>
      </c>
      <c r="CM208" s="186">
        <f t="shared" si="180"/>
        <v>0.79200000000000004</v>
      </c>
      <c r="CN208" s="189">
        <f>CN209</f>
        <v>21850</v>
      </c>
      <c r="CO208" s="186">
        <f t="shared" si="181"/>
        <v>0.874</v>
      </c>
      <c r="CP208" s="213" t="str">
        <f t="shared" si="138"/>
        <v>Đạt</v>
      </c>
      <c r="CQ208" s="213" t="str">
        <f t="shared" si="139"/>
        <v>Đạt</v>
      </c>
      <c r="CR208" s="213"/>
      <c r="CS208" s="213"/>
      <c r="CT208" s="213"/>
      <c r="CU208" s="163"/>
      <c r="CV208" s="232"/>
      <c r="CW208" s="195"/>
      <c r="CX208" s="196"/>
      <c r="CY208" s="196"/>
      <c r="CZ208" s="197"/>
      <c r="DA208" s="196"/>
      <c r="DB208" s="196"/>
      <c r="DC208" s="196"/>
      <c r="DE208" s="199"/>
      <c r="DF208" s="200"/>
      <c r="DG208" s="181"/>
    </row>
    <row r="209" spans="1:111" s="255" customFormat="1" outlineLevel="1" x14ac:dyDescent="0.25">
      <c r="A209" s="263" t="s">
        <v>29</v>
      </c>
      <c r="B209" s="264" t="s">
        <v>157</v>
      </c>
      <c r="C209" s="265"/>
      <c r="D209" s="226">
        <f t="shared" ref="D209:I209" si="192">SUM(D210:D211)</f>
        <v>25000</v>
      </c>
      <c r="E209" s="226">
        <f t="shared" si="192"/>
        <v>0</v>
      </c>
      <c r="F209" s="226">
        <f t="shared" si="192"/>
        <v>25000</v>
      </c>
      <c r="G209" s="226">
        <f t="shared" si="192"/>
        <v>20000</v>
      </c>
      <c r="H209" s="226">
        <f t="shared" si="192"/>
        <v>5000</v>
      </c>
      <c r="I209" s="226">
        <f t="shared" si="192"/>
        <v>0</v>
      </c>
      <c r="J209" s="226"/>
      <c r="K209" s="226">
        <f>SUM(K210:K211)</f>
        <v>0</v>
      </c>
      <c r="L209" s="226">
        <f>SUM(L210:L211)</f>
        <v>0</v>
      </c>
      <c r="M209" s="266">
        <f>SUM(M210:M211)</f>
        <v>0</v>
      </c>
      <c r="N209" s="226">
        <f>SUM(N210:N211)</f>
        <v>0</v>
      </c>
      <c r="O209" s="266">
        <f>SUM(O210:O211)</f>
        <v>20000</v>
      </c>
      <c r="P209" s="266">
        <v>27078.295252</v>
      </c>
      <c r="Q209" s="212">
        <f t="shared" si="189"/>
        <v>1.08313181008</v>
      </c>
      <c r="R209" s="226">
        <v>1426.188042</v>
      </c>
      <c r="S209" s="211">
        <v>6.2008175739130436E-2</v>
      </c>
      <c r="T209" s="211">
        <v>6.5271763935926777E-2</v>
      </c>
      <c r="U209" s="226">
        <v>1426.188042</v>
      </c>
      <c r="V209" s="211">
        <v>6.2008175739130436E-2</v>
      </c>
      <c r="W209" s="211">
        <v>6.5271763935926777E-2</v>
      </c>
      <c r="X209" s="226">
        <v>1426.188042</v>
      </c>
      <c r="Y209" s="211">
        <v>6.2008175739130436E-2</v>
      </c>
      <c r="Z209" s="211">
        <v>6.5271763935926777E-2</v>
      </c>
      <c r="AA209" s="226">
        <v>1426.188042</v>
      </c>
      <c r="AB209" s="211">
        <v>6.2008175739130436E-2</v>
      </c>
      <c r="AC209" s="211">
        <v>6.5271763935926777E-2</v>
      </c>
      <c r="AD209" s="226">
        <v>7600</v>
      </c>
      <c r="AE209" s="211">
        <v>0.33043478260869563</v>
      </c>
      <c r="AF209" s="211">
        <v>0.34782608695652173</v>
      </c>
      <c r="AG209" s="226">
        <v>7600</v>
      </c>
      <c r="AH209" s="211">
        <v>0.33043478260869563</v>
      </c>
      <c r="AI209" s="211">
        <v>0.34782608695652173</v>
      </c>
      <c r="AJ209" s="257">
        <v>7600</v>
      </c>
      <c r="AK209" s="211">
        <v>0.33043478260869563</v>
      </c>
      <c r="AL209" s="211">
        <v>0.34782608695652173</v>
      </c>
      <c r="AM209" s="226">
        <v>7600</v>
      </c>
      <c r="AN209" s="211">
        <v>0.33043478260869563</v>
      </c>
      <c r="AO209" s="211">
        <v>0.34782608695652173</v>
      </c>
      <c r="AP209" s="211"/>
      <c r="AQ209" s="226">
        <v>7600</v>
      </c>
      <c r="AR209" s="211">
        <v>0.33043478260869563</v>
      </c>
      <c r="AS209" s="211">
        <v>0.34782608695652173</v>
      </c>
      <c r="AT209" s="226">
        <v>7600</v>
      </c>
      <c r="AU209" s="211">
        <v>0.33043478260869563</v>
      </c>
      <c r="AV209" s="211">
        <v>0.34782608695652173</v>
      </c>
      <c r="AW209" s="211"/>
      <c r="AX209" s="211"/>
      <c r="AY209" s="211"/>
      <c r="AZ209" s="211"/>
      <c r="BA209" s="211"/>
      <c r="BB209" s="211"/>
      <c r="BC209" s="226">
        <v>7600</v>
      </c>
      <c r="BD209" s="211">
        <v>0.33043478260869563</v>
      </c>
      <c r="BE209" s="211">
        <v>0.34782608695652173</v>
      </c>
      <c r="BF209" s="226"/>
      <c r="BG209" s="226">
        <v>17692</v>
      </c>
      <c r="BH209" s="211">
        <v>0.70767999999999998</v>
      </c>
      <c r="BI209" s="211">
        <v>0.74492631578947366</v>
      </c>
      <c r="BJ209" s="226">
        <f t="shared" si="190"/>
        <v>23750</v>
      </c>
      <c r="BK209" s="226">
        <f>SUM(BK210:BK211)</f>
        <v>17961.530085999999</v>
      </c>
      <c r="BL209" s="211">
        <f t="shared" si="171"/>
        <v>0.71846120343999997</v>
      </c>
      <c r="BM209" s="211">
        <f t="shared" si="136"/>
        <v>0.75627495098947362</v>
      </c>
      <c r="BN209" s="205">
        <f t="shared" si="183"/>
        <v>10361.530085999999</v>
      </c>
      <c r="BO209" s="205"/>
      <c r="BP209" s="230">
        <f>SUM(BP210:BP211)</f>
        <v>0</v>
      </c>
      <c r="BQ209" s="212">
        <f t="shared" si="137"/>
        <v>0</v>
      </c>
      <c r="BR209" s="230">
        <f>SUM(BR210:BR211)</f>
        <v>1300</v>
      </c>
      <c r="BS209" s="212">
        <f t="shared" si="172"/>
        <v>5.1999999999999998E-2</v>
      </c>
      <c r="BT209" s="230">
        <f>SUM(BT210:BT211)</f>
        <v>1300</v>
      </c>
      <c r="BU209" s="212">
        <f t="shared" si="173"/>
        <v>5.1999999999999998E-2</v>
      </c>
      <c r="BV209" s="230">
        <f>SUM(BV210:BV211)</f>
        <v>7800</v>
      </c>
      <c r="BW209" s="212">
        <f t="shared" si="174"/>
        <v>0.312</v>
      </c>
      <c r="BX209" s="230">
        <f>SUM(BX210:BX211)</f>
        <v>7800</v>
      </c>
      <c r="BY209" s="212">
        <f t="shared" si="175"/>
        <v>0.312</v>
      </c>
      <c r="BZ209" s="230">
        <f>SUM(BZ210:BZ211)</f>
        <v>10800</v>
      </c>
      <c r="CA209" s="212">
        <f t="shared" si="176"/>
        <v>0.432</v>
      </c>
      <c r="CB209" s="230">
        <f>SUM(CB210:CB211)</f>
        <v>10800</v>
      </c>
      <c r="CC209" s="212">
        <f t="shared" si="177"/>
        <v>0.432</v>
      </c>
      <c r="CD209" s="230">
        <f>SUM(CD210:CD211)</f>
        <v>10800</v>
      </c>
      <c r="CE209" s="212">
        <f t="shared" si="177"/>
        <v>0.432</v>
      </c>
      <c r="CF209" s="230">
        <f>SUM(CF210:CF211)</f>
        <v>14800</v>
      </c>
      <c r="CG209" s="212">
        <f t="shared" si="178"/>
        <v>0.59199999999999997</v>
      </c>
      <c r="CH209" s="230">
        <f>SUM(CH210:CH211)</f>
        <v>14800</v>
      </c>
      <c r="CI209" s="212">
        <f t="shared" si="178"/>
        <v>0.59199999999999997</v>
      </c>
      <c r="CJ209" s="230">
        <f>SUM(CJ210:CJ211)</f>
        <v>14800</v>
      </c>
      <c r="CK209" s="212">
        <f t="shared" si="179"/>
        <v>0.59199999999999997</v>
      </c>
      <c r="CL209" s="230">
        <f>SUM(CL210:CL211)</f>
        <v>19800</v>
      </c>
      <c r="CM209" s="212">
        <f t="shared" si="180"/>
        <v>0.79200000000000004</v>
      </c>
      <c r="CN209" s="230">
        <f>SUM(CN210:CN211)</f>
        <v>21850</v>
      </c>
      <c r="CO209" s="212">
        <f t="shared" si="181"/>
        <v>0.874</v>
      </c>
      <c r="CP209" s="213" t="str">
        <f t="shared" si="138"/>
        <v>Đạt</v>
      </c>
      <c r="CQ209" s="213" t="str">
        <f t="shared" si="139"/>
        <v>Đạt</v>
      </c>
      <c r="CR209" s="213"/>
      <c r="CS209" s="213"/>
      <c r="CT209" s="213"/>
      <c r="CU209" s="163"/>
      <c r="CV209" s="142"/>
      <c r="CW209" s="195"/>
      <c r="CX209" s="196"/>
      <c r="CY209" s="196"/>
      <c r="CZ209" s="197"/>
      <c r="DA209" s="196"/>
      <c r="DB209" s="196"/>
      <c r="DC209" s="196"/>
      <c r="DD209" s="144"/>
      <c r="DE209" s="199"/>
      <c r="DF209" s="200"/>
      <c r="DG209" s="181"/>
    </row>
    <row r="210" spans="1:111" ht="44.45" customHeight="1" outlineLevel="1" x14ac:dyDescent="0.25">
      <c r="A210" s="192">
        <v>1</v>
      </c>
      <c r="B210" s="247" t="s">
        <v>351</v>
      </c>
      <c r="C210" s="248">
        <v>7906859</v>
      </c>
      <c r="D210" s="214">
        <f>E210+F210</f>
        <v>10000</v>
      </c>
      <c r="E210" s="205"/>
      <c r="F210" s="214">
        <f>G210+H210+K210+M210</f>
        <v>10000</v>
      </c>
      <c r="G210" s="257">
        <v>10000</v>
      </c>
      <c r="H210" s="257"/>
      <c r="I210" s="235"/>
      <c r="J210" s="235"/>
      <c r="K210" s="223"/>
      <c r="L210" s="235"/>
      <c r="M210" s="223"/>
      <c r="N210" s="223"/>
      <c r="O210" s="257">
        <f t="shared" ref="O210:O247" si="193">G210+I210+L210+N210</f>
        <v>10000</v>
      </c>
      <c r="P210" s="257">
        <v>0</v>
      </c>
      <c r="Q210" s="224">
        <f t="shared" si="189"/>
        <v>0</v>
      </c>
      <c r="R210" s="257">
        <v>1426.188042</v>
      </c>
      <c r="S210" s="225">
        <v>0.17827350524999999</v>
      </c>
      <c r="T210" s="225">
        <v>0.18765632131578946</v>
      </c>
      <c r="U210" s="257">
        <v>1426.188042</v>
      </c>
      <c r="V210" s="225">
        <v>0.17827350524999999</v>
      </c>
      <c r="W210" s="225">
        <v>0.18765632131578946</v>
      </c>
      <c r="X210" s="257">
        <v>1426.188042</v>
      </c>
      <c r="Y210" s="225">
        <v>0.17827350524999999</v>
      </c>
      <c r="Z210" s="225">
        <v>0.18765632131578946</v>
      </c>
      <c r="AA210" s="257">
        <v>1426.188042</v>
      </c>
      <c r="AB210" s="225">
        <v>0.17827350524999999</v>
      </c>
      <c r="AC210" s="225">
        <v>0.18765632131578946</v>
      </c>
      <c r="AD210" s="257">
        <v>7600</v>
      </c>
      <c r="AE210" s="225">
        <v>0.95</v>
      </c>
      <c r="AF210" s="225">
        <v>1</v>
      </c>
      <c r="AG210" s="257">
        <v>7600</v>
      </c>
      <c r="AH210" s="225">
        <v>0.95</v>
      </c>
      <c r="AI210" s="225">
        <v>1</v>
      </c>
      <c r="AJ210" s="257">
        <v>7600</v>
      </c>
      <c r="AK210" s="225">
        <v>0.95</v>
      </c>
      <c r="AL210" s="225">
        <v>1</v>
      </c>
      <c r="AM210" s="257">
        <v>7600</v>
      </c>
      <c r="AN210" s="225">
        <v>0.95</v>
      </c>
      <c r="AO210" s="225">
        <v>1</v>
      </c>
      <c r="AP210" s="225"/>
      <c r="AQ210" s="257">
        <v>7600</v>
      </c>
      <c r="AR210" s="225">
        <v>0.95</v>
      </c>
      <c r="AS210" s="225">
        <v>1</v>
      </c>
      <c r="AT210" s="257">
        <v>7600</v>
      </c>
      <c r="AU210" s="225">
        <v>0.95</v>
      </c>
      <c r="AV210" s="225">
        <v>1</v>
      </c>
      <c r="AW210" s="225"/>
      <c r="AX210" s="225"/>
      <c r="AY210" s="225"/>
      <c r="AZ210" s="225"/>
      <c r="BA210" s="225"/>
      <c r="BB210" s="225"/>
      <c r="BC210" s="257">
        <v>7600</v>
      </c>
      <c r="BD210" s="225">
        <v>0.95</v>
      </c>
      <c r="BE210" s="225">
        <v>1</v>
      </c>
      <c r="BF210" s="257"/>
      <c r="BG210" s="257">
        <v>7600</v>
      </c>
      <c r="BH210" s="225">
        <v>0.76</v>
      </c>
      <c r="BI210" s="225">
        <v>0.8</v>
      </c>
      <c r="BJ210" s="257">
        <f t="shared" si="190"/>
        <v>9500</v>
      </c>
      <c r="BK210" s="257">
        <v>7869.5300859999998</v>
      </c>
      <c r="BL210" s="225">
        <f t="shared" si="171"/>
        <v>0.78695300859999995</v>
      </c>
      <c r="BM210" s="225">
        <f t="shared" ref="BM210:BM273" si="194">BK210/(E210+0.95*F210)</f>
        <v>0.82837158799999999</v>
      </c>
      <c r="BN210" s="205">
        <f t="shared" si="183"/>
        <v>269.53008599999976</v>
      </c>
      <c r="BO210" s="205"/>
      <c r="BP210" s="227"/>
      <c r="BQ210" s="224">
        <f t="shared" ref="BQ210:BR263" si="195">BP210/$D210</f>
        <v>0</v>
      </c>
      <c r="BR210" s="227">
        <v>1300</v>
      </c>
      <c r="BS210" s="224">
        <f t="shared" si="172"/>
        <v>0.13</v>
      </c>
      <c r="BT210" s="227">
        <v>1300</v>
      </c>
      <c r="BU210" s="224">
        <f t="shared" si="173"/>
        <v>0.13</v>
      </c>
      <c r="BV210" s="227">
        <f>8000*0.95</f>
        <v>7600</v>
      </c>
      <c r="BW210" s="224">
        <f t="shared" si="174"/>
        <v>0.76</v>
      </c>
      <c r="BX210" s="227">
        <v>7600</v>
      </c>
      <c r="BY210" s="224">
        <f t="shared" si="175"/>
        <v>0.76</v>
      </c>
      <c r="BZ210" s="227">
        <v>7600</v>
      </c>
      <c r="CA210" s="224">
        <f t="shared" si="176"/>
        <v>0.76</v>
      </c>
      <c r="CB210" s="227">
        <v>7600</v>
      </c>
      <c r="CC210" s="224">
        <f t="shared" si="177"/>
        <v>0.76</v>
      </c>
      <c r="CD210" s="227">
        <v>7600</v>
      </c>
      <c r="CE210" s="224">
        <f t="shared" si="177"/>
        <v>0.76</v>
      </c>
      <c r="CF210" s="227">
        <v>7600</v>
      </c>
      <c r="CG210" s="224">
        <f t="shared" si="178"/>
        <v>0.76</v>
      </c>
      <c r="CH210" s="227">
        <v>7600</v>
      </c>
      <c r="CI210" s="224">
        <f t="shared" si="178"/>
        <v>0.76</v>
      </c>
      <c r="CJ210" s="227">
        <v>7600</v>
      </c>
      <c r="CK210" s="224">
        <f t="shared" si="179"/>
        <v>0.76</v>
      </c>
      <c r="CL210" s="227">
        <v>7600</v>
      </c>
      <c r="CM210" s="224">
        <f t="shared" si="180"/>
        <v>0.76</v>
      </c>
      <c r="CN210" s="227">
        <v>7600</v>
      </c>
      <c r="CO210" s="224">
        <f t="shared" si="181"/>
        <v>0.76</v>
      </c>
      <c r="CP210" s="213" t="str">
        <f t="shared" ref="CP210:CP273" si="196">IF(BM210&gt;34.7%,"Đạt","Không đạt")</f>
        <v>Đạt</v>
      </c>
      <c r="CQ210" s="213" t="str">
        <f t="shared" ref="CQ210:CQ273" si="197">IF(BM210&gt;43.8%,"Đạt","Không đạt")</f>
        <v>Đạt</v>
      </c>
      <c r="CR210" s="192"/>
      <c r="CS210" s="192"/>
      <c r="CT210" s="223"/>
      <c r="CU210" s="163"/>
      <c r="CW210" s="195"/>
      <c r="CX210" s="196"/>
      <c r="CY210" s="196"/>
      <c r="CZ210" s="197"/>
      <c r="DA210" s="196"/>
      <c r="DB210" s="196"/>
      <c r="DC210" s="196"/>
      <c r="DE210" s="199"/>
      <c r="DF210" s="200"/>
      <c r="DG210" s="181"/>
    </row>
    <row r="211" spans="1:111" ht="71.45" customHeight="1" outlineLevel="1" x14ac:dyDescent="0.25">
      <c r="A211" s="192">
        <f>MAX(A209:A210)+1</f>
        <v>2</v>
      </c>
      <c r="B211" s="222" t="s">
        <v>352</v>
      </c>
      <c r="C211" s="222" t="s">
        <v>353</v>
      </c>
      <c r="D211" s="214">
        <f>E211+F211</f>
        <v>15000</v>
      </c>
      <c r="E211" s="205"/>
      <c r="F211" s="214">
        <f>G211+H211+K211+M211</f>
        <v>15000</v>
      </c>
      <c r="G211" s="257">
        <v>10000</v>
      </c>
      <c r="H211" s="257">
        <v>5000</v>
      </c>
      <c r="I211" s="235"/>
      <c r="J211" s="235"/>
      <c r="K211" s="223"/>
      <c r="L211" s="235"/>
      <c r="M211" s="223"/>
      <c r="N211" s="223"/>
      <c r="O211" s="257">
        <f t="shared" si="193"/>
        <v>10000</v>
      </c>
      <c r="P211" s="257">
        <v>0</v>
      </c>
      <c r="Q211" s="224">
        <f t="shared" si="189"/>
        <v>0</v>
      </c>
      <c r="R211" s="257"/>
      <c r="S211" s="225">
        <v>0</v>
      </c>
      <c r="T211" s="225">
        <v>0</v>
      </c>
      <c r="U211" s="257"/>
      <c r="V211" s="225">
        <v>0</v>
      </c>
      <c r="W211" s="225">
        <v>0</v>
      </c>
      <c r="X211" s="257"/>
      <c r="Y211" s="225">
        <v>0</v>
      </c>
      <c r="Z211" s="225">
        <v>0</v>
      </c>
      <c r="AA211" s="257"/>
      <c r="AB211" s="225">
        <v>0</v>
      </c>
      <c r="AC211" s="225">
        <v>0</v>
      </c>
      <c r="AD211" s="257"/>
      <c r="AE211" s="225">
        <v>0</v>
      </c>
      <c r="AF211" s="225">
        <v>0</v>
      </c>
      <c r="AG211" s="257"/>
      <c r="AH211" s="225">
        <v>0</v>
      </c>
      <c r="AI211" s="225">
        <v>0</v>
      </c>
      <c r="AJ211" s="205"/>
      <c r="AK211" s="225">
        <v>0</v>
      </c>
      <c r="AL211" s="225">
        <v>0</v>
      </c>
      <c r="AM211" s="257"/>
      <c r="AN211" s="225">
        <v>0</v>
      </c>
      <c r="AO211" s="225">
        <v>0</v>
      </c>
      <c r="AP211" s="225"/>
      <c r="AQ211" s="257"/>
      <c r="AR211" s="225">
        <v>0</v>
      </c>
      <c r="AS211" s="225">
        <v>0</v>
      </c>
      <c r="AT211" s="257"/>
      <c r="AU211" s="225">
        <v>0</v>
      </c>
      <c r="AV211" s="225">
        <v>0</v>
      </c>
      <c r="AW211" s="225"/>
      <c r="AX211" s="225"/>
      <c r="AY211" s="225"/>
      <c r="AZ211" s="225"/>
      <c r="BA211" s="225"/>
      <c r="BB211" s="225"/>
      <c r="BC211" s="257"/>
      <c r="BD211" s="225">
        <v>0</v>
      </c>
      <c r="BE211" s="225">
        <v>0</v>
      </c>
      <c r="BF211" s="257">
        <f>BK211-G211</f>
        <v>92</v>
      </c>
      <c r="BG211" s="257">
        <v>10092</v>
      </c>
      <c r="BH211" s="225">
        <v>0.67279999999999995</v>
      </c>
      <c r="BI211" s="225">
        <v>0.70821052631578951</v>
      </c>
      <c r="BJ211" s="257">
        <f t="shared" si="190"/>
        <v>14250</v>
      </c>
      <c r="BK211" s="257">
        <v>10092</v>
      </c>
      <c r="BL211" s="225">
        <f t="shared" si="171"/>
        <v>0.67279999999999995</v>
      </c>
      <c r="BM211" s="225">
        <f t="shared" si="194"/>
        <v>0.70821052631578951</v>
      </c>
      <c r="BN211" s="205">
        <f t="shared" si="183"/>
        <v>10092</v>
      </c>
      <c r="BO211" s="205"/>
      <c r="BP211" s="227"/>
      <c r="BQ211" s="224">
        <f t="shared" si="195"/>
        <v>0</v>
      </c>
      <c r="BR211" s="227"/>
      <c r="BS211" s="224">
        <f t="shared" si="172"/>
        <v>0</v>
      </c>
      <c r="BT211" s="227"/>
      <c r="BU211" s="224">
        <f t="shared" si="173"/>
        <v>0</v>
      </c>
      <c r="BV211" s="227">
        <v>200</v>
      </c>
      <c r="BW211" s="224">
        <f t="shared" si="174"/>
        <v>1.3333333333333334E-2</v>
      </c>
      <c r="BX211" s="227">
        <v>200</v>
      </c>
      <c r="BY211" s="224">
        <f t="shared" si="175"/>
        <v>1.3333333333333334E-2</v>
      </c>
      <c r="BZ211" s="227">
        <v>3200</v>
      </c>
      <c r="CA211" s="224">
        <f t="shared" si="176"/>
        <v>0.21333333333333335</v>
      </c>
      <c r="CB211" s="227">
        <v>3200</v>
      </c>
      <c r="CC211" s="224">
        <f t="shared" si="177"/>
        <v>0.21333333333333335</v>
      </c>
      <c r="CD211" s="227">
        <v>3200</v>
      </c>
      <c r="CE211" s="224">
        <f t="shared" si="177"/>
        <v>0.21333333333333335</v>
      </c>
      <c r="CF211" s="227">
        <v>7200</v>
      </c>
      <c r="CG211" s="224">
        <f t="shared" si="178"/>
        <v>0.48</v>
      </c>
      <c r="CH211" s="227">
        <v>7200</v>
      </c>
      <c r="CI211" s="224">
        <f t="shared" si="178"/>
        <v>0.48</v>
      </c>
      <c r="CJ211" s="227">
        <v>7200</v>
      </c>
      <c r="CK211" s="224">
        <f t="shared" si="179"/>
        <v>0.48</v>
      </c>
      <c r="CL211" s="227">
        <v>12200</v>
      </c>
      <c r="CM211" s="224">
        <f t="shared" si="180"/>
        <v>0.81333333333333335</v>
      </c>
      <c r="CN211" s="227">
        <f>15000*0.95</f>
        <v>14250</v>
      </c>
      <c r="CO211" s="224">
        <f t="shared" si="181"/>
        <v>0.95</v>
      </c>
      <c r="CP211" s="213" t="str">
        <f t="shared" si="196"/>
        <v>Đạt</v>
      </c>
      <c r="CQ211" s="213" t="str">
        <f t="shared" si="197"/>
        <v>Đạt</v>
      </c>
      <c r="CR211" s="192"/>
      <c r="CS211" s="192"/>
      <c r="CT211" s="223"/>
      <c r="CU211" s="163"/>
      <c r="CW211" s="195"/>
      <c r="CX211" s="196"/>
      <c r="CY211" s="196"/>
      <c r="CZ211" s="197"/>
      <c r="DA211" s="196"/>
      <c r="DB211" s="196"/>
      <c r="DC211" s="196"/>
      <c r="DE211" s="199"/>
      <c r="DF211" s="200"/>
      <c r="DG211" s="181"/>
    </row>
    <row r="212" spans="1:111" s="233" customFormat="1" ht="18" customHeight="1" x14ac:dyDescent="0.25">
      <c r="A212" s="191">
        <v>10</v>
      </c>
      <c r="B212" s="210" t="s">
        <v>354</v>
      </c>
      <c r="C212" s="210"/>
      <c r="D212" s="205">
        <f t="shared" ref="D212:I214" si="198">D213</f>
        <v>15000</v>
      </c>
      <c r="E212" s="205">
        <f t="shared" si="198"/>
        <v>0</v>
      </c>
      <c r="F212" s="205">
        <f t="shared" si="198"/>
        <v>15000</v>
      </c>
      <c r="G212" s="205">
        <f t="shared" si="198"/>
        <v>15000</v>
      </c>
      <c r="H212" s="205">
        <f t="shared" si="198"/>
        <v>0</v>
      </c>
      <c r="I212" s="205">
        <f t="shared" si="198"/>
        <v>0</v>
      </c>
      <c r="J212" s="205"/>
      <c r="K212" s="205">
        <f t="shared" ref="K212:L214" si="199">K213</f>
        <v>0</v>
      </c>
      <c r="L212" s="205">
        <f t="shared" si="199"/>
        <v>0</v>
      </c>
      <c r="M212" s="231"/>
      <c r="N212" s="231"/>
      <c r="O212" s="205">
        <f t="shared" si="193"/>
        <v>15000</v>
      </c>
      <c r="P212" s="205">
        <v>0</v>
      </c>
      <c r="Q212" s="186">
        <f t="shared" si="189"/>
        <v>0</v>
      </c>
      <c r="R212" s="205">
        <v>0</v>
      </c>
      <c r="S212" s="185">
        <v>0</v>
      </c>
      <c r="T212" s="185">
        <v>0</v>
      </c>
      <c r="U212" s="205">
        <v>0</v>
      </c>
      <c r="V212" s="185">
        <v>0</v>
      </c>
      <c r="W212" s="185">
        <v>0</v>
      </c>
      <c r="X212" s="205">
        <v>0</v>
      </c>
      <c r="Y212" s="185">
        <v>0</v>
      </c>
      <c r="Z212" s="185">
        <v>0</v>
      </c>
      <c r="AA212" s="205">
        <v>0</v>
      </c>
      <c r="AB212" s="185">
        <v>0</v>
      </c>
      <c r="AC212" s="185">
        <v>0</v>
      </c>
      <c r="AD212" s="205">
        <v>5672.402</v>
      </c>
      <c r="AE212" s="185">
        <v>0.37816013333333331</v>
      </c>
      <c r="AF212" s="185">
        <v>0.39806329824561404</v>
      </c>
      <c r="AG212" s="205">
        <v>5956.06</v>
      </c>
      <c r="AH212" s="185">
        <v>0.39707066666666668</v>
      </c>
      <c r="AI212" s="185">
        <v>0.41796912280701759</v>
      </c>
      <c r="AJ212" s="226">
        <v>5956.06</v>
      </c>
      <c r="AK212" s="185">
        <v>0.39707066666666668</v>
      </c>
      <c r="AL212" s="185">
        <v>0.41796912280701759</v>
      </c>
      <c r="AM212" s="267">
        <v>5956.06</v>
      </c>
      <c r="AN212" s="185">
        <v>0.39707066666666668</v>
      </c>
      <c r="AO212" s="185">
        <v>0.41796912280701759</v>
      </c>
      <c r="AP212" s="185"/>
      <c r="AQ212" s="205">
        <v>6068</v>
      </c>
      <c r="AR212" s="185">
        <v>0.40453333333333336</v>
      </c>
      <c r="AS212" s="185">
        <v>0.42582456140350877</v>
      </c>
      <c r="AT212" s="205">
        <v>6068</v>
      </c>
      <c r="AU212" s="185">
        <v>0.40453333333333336</v>
      </c>
      <c r="AV212" s="185">
        <v>0.42582456140350877</v>
      </c>
      <c r="AW212" s="185"/>
      <c r="AX212" s="185"/>
      <c r="AY212" s="185"/>
      <c r="AZ212" s="185"/>
      <c r="BA212" s="185"/>
      <c r="BB212" s="185"/>
      <c r="BC212" s="205">
        <v>6068</v>
      </c>
      <c r="BD212" s="185">
        <v>0.40453333333333336</v>
      </c>
      <c r="BE212" s="185">
        <v>0.42582456140350877</v>
      </c>
      <c r="BF212" s="205"/>
      <c r="BG212" s="205">
        <v>6068</v>
      </c>
      <c r="BH212" s="185">
        <v>0.40453333333333336</v>
      </c>
      <c r="BI212" s="185">
        <v>0.42582456140350877</v>
      </c>
      <c r="BJ212" s="205">
        <f t="shared" si="190"/>
        <v>14250</v>
      </c>
      <c r="BK212" s="205">
        <f>BK213</f>
        <v>6820</v>
      </c>
      <c r="BL212" s="185">
        <f t="shared" si="171"/>
        <v>0.45466666666666666</v>
      </c>
      <c r="BM212" s="185">
        <f t="shared" si="194"/>
        <v>0.47859649122807019</v>
      </c>
      <c r="BN212" s="205">
        <f t="shared" si="183"/>
        <v>1147.598</v>
      </c>
      <c r="BO212" s="205"/>
      <c r="BP212" s="189">
        <f>BP213</f>
        <v>0</v>
      </c>
      <c r="BQ212" s="186">
        <f t="shared" si="195"/>
        <v>0</v>
      </c>
      <c r="BR212" s="189">
        <f>BR213</f>
        <v>1200</v>
      </c>
      <c r="BS212" s="186">
        <f t="shared" si="172"/>
        <v>0.08</v>
      </c>
      <c r="BT212" s="189">
        <f>BT213</f>
        <v>2500</v>
      </c>
      <c r="BU212" s="186">
        <f t="shared" si="173"/>
        <v>0.16666666666666666</v>
      </c>
      <c r="BV212" s="189">
        <f t="shared" ref="BV212:CJ214" si="200">BV213</f>
        <v>6800</v>
      </c>
      <c r="BW212" s="186">
        <f t="shared" si="174"/>
        <v>0.45333333333333331</v>
      </c>
      <c r="BX212" s="189">
        <f t="shared" si="200"/>
        <v>7688</v>
      </c>
      <c r="BY212" s="186">
        <f t="shared" si="175"/>
        <v>0.51253333333333329</v>
      </c>
      <c r="BZ212" s="189">
        <f t="shared" si="200"/>
        <v>9698</v>
      </c>
      <c r="CA212" s="186">
        <f t="shared" si="176"/>
        <v>0.64653333333333329</v>
      </c>
      <c r="CB212" s="189">
        <f t="shared" si="200"/>
        <v>12900</v>
      </c>
      <c r="CC212" s="186">
        <f t="shared" si="177"/>
        <v>0.86</v>
      </c>
      <c r="CD212" s="189">
        <f t="shared" si="200"/>
        <v>14250</v>
      </c>
      <c r="CE212" s="186">
        <f t="shared" si="177"/>
        <v>0.95</v>
      </c>
      <c r="CF212" s="189">
        <f t="shared" si="200"/>
        <v>14250</v>
      </c>
      <c r="CG212" s="186">
        <f t="shared" si="178"/>
        <v>0.95</v>
      </c>
      <c r="CH212" s="189">
        <f t="shared" si="200"/>
        <v>14250</v>
      </c>
      <c r="CI212" s="186">
        <f t="shared" si="178"/>
        <v>0.95</v>
      </c>
      <c r="CJ212" s="189">
        <f t="shared" si="200"/>
        <v>14250</v>
      </c>
      <c r="CK212" s="186">
        <f t="shared" si="179"/>
        <v>0.95</v>
      </c>
      <c r="CL212" s="189">
        <f t="shared" ref="CL212:CN214" si="201">CL213</f>
        <v>14250</v>
      </c>
      <c r="CM212" s="186">
        <f t="shared" si="180"/>
        <v>0.95</v>
      </c>
      <c r="CN212" s="189">
        <f t="shared" si="201"/>
        <v>14250</v>
      </c>
      <c r="CO212" s="186">
        <f t="shared" si="181"/>
        <v>0.95</v>
      </c>
      <c r="CP212" s="213" t="str">
        <f t="shared" si="196"/>
        <v>Đạt</v>
      </c>
      <c r="CQ212" s="213" t="str">
        <f t="shared" si="197"/>
        <v>Đạt</v>
      </c>
      <c r="CR212" s="213"/>
      <c r="CS212" s="213"/>
      <c r="CT212" s="213"/>
      <c r="CU212" s="163"/>
      <c r="CV212" s="232"/>
      <c r="CW212" s="195"/>
      <c r="CX212" s="196"/>
      <c r="CY212" s="196"/>
      <c r="CZ212" s="197"/>
      <c r="DA212" s="196"/>
      <c r="DB212" s="196"/>
      <c r="DC212" s="196"/>
      <c r="DE212" s="199"/>
      <c r="DF212" s="200"/>
      <c r="DG212" s="181"/>
    </row>
    <row r="213" spans="1:111" s="255" customFormat="1" outlineLevel="1" x14ac:dyDescent="0.25">
      <c r="A213" s="263" t="s">
        <v>29</v>
      </c>
      <c r="B213" s="264" t="s">
        <v>157</v>
      </c>
      <c r="C213" s="265"/>
      <c r="D213" s="226">
        <f t="shared" si="198"/>
        <v>15000</v>
      </c>
      <c r="E213" s="226">
        <f t="shared" si="198"/>
        <v>0</v>
      </c>
      <c r="F213" s="226">
        <f t="shared" si="198"/>
        <v>15000</v>
      </c>
      <c r="G213" s="226">
        <f t="shared" si="198"/>
        <v>15000</v>
      </c>
      <c r="H213" s="226">
        <f t="shared" si="198"/>
        <v>0</v>
      </c>
      <c r="I213" s="226">
        <f t="shared" si="198"/>
        <v>0</v>
      </c>
      <c r="J213" s="226"/>
      <c r="K213" s="226">
        <f t="shared" si="199"/>
        <v>0</v>
      </c>
      <c r="L213" s="266">
        <f t="shared" si="199"/>
        <v>0</v>
      </c>
      <c r="M213" s="226"/>
      <c r="N213" s="266"/>
      <c r="O213" s="226">
        <f t="shared" si="193"/>
        <v>15000</v>
      </c>
      <c r="P213" s="226">
        <v>27078.295252</v>
      </c>
      <c r="Q213" s="212">
        <f t="shared" si="189"/>
        <v>1.8052196834666667</v>
      </c>
      <c r="R213" s="226">
        <v>0</v>
      </c>
      <c r="S213" s="211">
        <v>0</v>
      </c>
      <c r="T213" s="211">
        <v>0</v>
      </c>
      <c r="U213" s="226">
        <v>0</v>
      </c>
      <c r="V213" s="211">
        <v>0</v>
      </c>
      <c r="W213" s="211">
        <v>0</v>
      </c>
      <c r="X213" s="226">
        <v>0</v>
      </c>
      <c r="Y213" s="211">
        <v>0</v>
      </c>
      <c r="Z213" s="211">
        <v>0</v>
      </c>
      <c r="AA213" s="226">
        <v>0</v>
      </c>
      <c r="AB213" s="211">
        <v>0</v>
      </c>
      <c r="AC213" s="211">
        <v>0</v>
      </c>
      <c r="AD213" s="226">
        <v>5672.402</v>
      </c>
      <c r="AE213" s="211">
        <v>0.37816013333333331</v>
      </c>
      <c r="AF213" s="211">
        <v>0.39806329824561404</v>
      </c>
      <c r="AG213" s="226">
        <v>5956.06</v>
      </c>
      <c r="AH213" s="211">
        <v>0.39707066666666668</v>
      </c>
      <c r="AI213" s="211">
        <v>0.41796912280701759</v>
      </c>
      <c r="AJ213" s="214">
        <v>5956.06</v>
      </c>
      <c r="AK213" s="211">
        <v>0.39707066666666668</v>
      </c>
      <c r="AL213" s="211">
        <v>0.41796912280701759</v>
      </c>
      <c r="AM213" s="226">
        <v>5956.06</v>
      </c>
      <c r="AN213" s="211">
        <v>0.39707066666666668</v>
      </c>
      <c r="AO213" s="211">
        <v>0.41796912280701759</v>
      </c>
      <c r="AP213" s="211"/>
      <c r="AQ213" s="226">
        <v>6068</v>
      </c>
      <c r="AR213" s="211">
        <v>0.40453333333333336</v>
      </c>
      <c r="AS213" s="211">
        <v>0.42582456140350877</v>
      </c>
      <c r="AT213" s="226">
        <v>6068</v>
      </c>
      <c r="AU213" s="211">
        <v>0.40453333333333336</v>
      </c>
      <c r="AV213" s="211">
        <v>0.42582456140350877</v>
      </c>
      <c r="AW213" s="211"/>
      <c r="AX213" s="211"/>
      <c r="AY213" s="211"/>
      <c r="AZ213" s="211"/>
      <c r="BA213" s="211"/>
      <c r="BB213" s="211"/>
      <c r="BC213" s="226">
        <v>6068</v>
      </c>
      <c r="BD213" s="211">
        <v>0.40453333333333336</v>
      </c>
      <c r="BE213" s="211">
        <v>0.42582456140350877</v>
      </c>
      <c r="BF213" s="226"/>
      <c r="BG213" s="226">
        <v>6068</v>
      </c>
      <c r="BH213" s="211">
        <v>0.40453333333333336</v>
      </c>
      <c r="BI213" s="211">
        <v>0.42582456140350877</v>
      </c>
      <c r="BJ213" s="226">
        <f t="shared" si="190"/>
        <v>14250</v>
      </c>
      <c r="BK213" s="226">
        <f>BK214</f>
        <v>6820</v>
      </c>
      <c r="BL213" s="211">
        <f t="shared" si="171"/>
        <v>0.45466666666666666</v>
      </c>
      <c r="BM213" s="211">
        <f t="shared" si="194"/>
        <v>0.47859649122807019</v>
      </c>
      <c r="BN213" s="205">
        <f t="shared" si="183"/>
        <v>1147.598</v>
      </c>
      <c r="BO213" s="205"/>
      <c r="BP213" s="230">
        <f>BP214</f>
        <v>0</v>
      </c>
      <c r="BQ213" s="212">
        <f t="shared" si="195"/>
        <v>0</v>
      </c>
      <c r="BR213" s="230">
        <f>BR214</f>
        <v>1200</v>
      </c>
      <c r="BS213" s="212">
        <f t="shared" si="172"/>
        <v>0.08</v>
      </c>
      <c r="BT213" s="230">
        <f>BT214</f>
        <v>2500</v>
      </c>
      <c r="BU213" s="212">
        <f t="shared" si="173"/>
        <v>0.16666666666666666</v>
      </c>
      <c r="BV213" s="230">
        <f t="shared" si="200"/>
        <v>6800</v>
      </c>
      <c r="BW213" s="212">
        <f t="shared" si="174"/>
        <v>0.45333333333333331</v>
      </c>
      <c r="BX213" s="230">
        <f t="shared" si="200"/>
        <v>7688</v>
      </c>
      <c r="BY213" s="212">
        <f t="shared" si="175"/>
        <v>0.51253333333333329</v>
      </c>
      <c r="BZ213" s="230">
        <f t="shared" si="200"/>
        <v>9698</v>
      </c>
      <c r="CA213" s="212">
        <f t="shared" si="176"/>
        <v>0.64653333333333329</v>
      </c>
      <c r="CB213" s="230">
        <f t="shared" si="200"/>
        <v>12900</v>
      </c>
      <c r="CC213" s="212">
        <f t="shared" ref="CC213:CD220" si="202">CB213/$D213</f>
        <v>0.86</v>
      </c>
      <c r="CD213" s="230">
        <f t="shared" si="200"/>
        <v>14250</v>
      </c>
      <c r="CE213" s="212">
        <f t="shared" ref="CE213:CF220" si="203">CD213/$D213</f>
        <v>0.95</v>
      </c>
      <c r="CF213" s="230">
        <f t="shared" si="200"/>
        <v>14250</v>
      </c>
      <c r="CG213" s="212">
        <f t="shared" ref="CG213:CH220" si="204">CF213/$D213</f>
        <v>0.95</v>
      </c>
      <c r="CH213" s="230">
        <f t="shared" si="200"/>
        <v>14250</v>
      </c>
      <c r="CI213" s="212">
        <f t="shared" ref="CI213:CJ220" si="205">CH213/$D213</f>
        <v>0.95</v>
      </c>
      <c r="CJ213" s="230">
        <f t="shared" si="200"/>
        <v>14250</v>
      </c>
      <c r="CK213" s="212">
        <f t="shared" si="179"/>
        <v>0.95</v>
      </c>
      <c r="CL213" s="230">
        <f t="shared" si="201"/>
        <v>14250</v>
      </c>
      <c r="CM213" s="212">
        <f t="shared" si="180"/>
        <v>0.95</v>
      </c>
      <c r="CN213" s="230">
        <f t="shared" si="201"/>
        <v>14250</v>
      </c>
      <c r="CO213" s="212">
        <f t="shared" si="181"/>
        <v>0.95</v>
      </c>
      <c r="CP213" s="213" t="str">
        <f t="shared" si="196"/>
        <v>Đạt</v>
      </c>
      <c r="CQ213" s="213" t="str">
        <f t="shared" si="197"/>
        <v>Đạt</v>
      </c>
      <c r="CR213" s="213"/>
      <c r="CS213" s="213"/>
      <c r="CT213" s="213"/>
      <c r="CU213" s="163"/>
      <c r="CV213" s="142"/>
      <c r="CW213" s="195"/>
      <c r="CX213" s="196"/>
      <c r="CY213" s="196"/>
      <c r="CZ213" s="197"/>
      <c r="DA213" s="196"/>
      <c r="DB213" s="196"/>
      <c r="DC213" s="196"/>
      <c r="DD213" s="144"/>
      <c r="DE213" s="199"/>
      <c r="DF213" s="200"/>
      <c r="DG213" s="181"/>
    </row>
    <row r="214" spans="1:111" outlineLevel="1" x14ac:dyDescent="0.25">
      <c r="A214" s="256" t="s">
        <v>34</v>
      </c>
      <c r="B214" s="210" t="s">
        <v>335</v>
      </c>
      <c r="C214" s="210"/>
      <c r="D214" s="214">
        <f t="shared" si="198"/>
        <v>15000</v>
      </c>
      <c r="E214" s="214">
        <f t="shared" si="198"/>
        <v>0</v>
      </c>
      <c r="F214" s="214">
        <f t="shared" si="198"/>
        <v>15000</v>
      </c>
      <c r="G214" s="214">
        <f t="shared" si="198"/>
        <v>15000</v>
      </c>
      <c r="H214" s="214">
        <f t="shared" si="198"/>
        <v>0</v>
      </c>
      <c r="I214" s="214">
        <f t="shared" si="198"/>
        <v>0</v>
      </c>
      <c r="J214" s="214"/>
      <c r="K214" s="214">
        <f t="shared" si="199"/>
        <v>0</v>
      </c>
      <c r="L214" s="214">
        <f t="shared" si="199"/>
        <v>0</v>
      </c>
      <c r="M214" s="223"/>
      <c r="N214" s="223"/>
      <c r="O214" s="214">
        <f t="shared" si="193"/>
        <v>15000</v>
      </c>
      <c r="P214" s="214">
        <v>10584.202748</v>
      </c>
      <c r="Q214" s="258">
        <f t="shared" si="189"/>
        <v>0.70561351653333326</v>
      </c>
      <c r="R214" s="214">
        <v>0</v>
      </c>
      <c r="S214" s="268">
        <v>0</v>
      </c>
      <c r="T214" s="268">
        <v>0</v>
      </c>
      <c r="U214" s="214">
        <v>0</v>
      </c>
      <c r="V214" s="268">
        <v>0</v>
      </c>
      <c r="W214" s="268">
        <v>0</v>
      </c>
      <c r="X214" s="214">
        <v>0</v>
      </c>
      <c r="Y214" s="268">
        <v>0</v>
      </c>
      <c r="Z214" s="268">
        <v>0</v>
      </c>
      <c r="AA214" s="214">
        <v>0</v>
      </c>
      <c r="AB214" s="268">
        <v>0</v>
      </c>
      <c r="AC214" s="268">
        <v>0</v>
      </c>
      <c r="AD214" s="214">
        <v>5672.402</v>
      </c>
      <c r="AE214" s="268">
        <v>0.37816013333333331</v>
      </c>
      <c r="AF214" s="268">
        <v>0.39806329824561404</v>
      </c>
      <c r="AG214" s="214">
        <v>5956.06</v>
      </c>
      <c r="AH214" s="268">
        <v>0.39707066666666668</v>
      </c>
      <c r="AI214" s="268">
        <v>0.41796912280701759</v>
      </c>
      <c r="AJ214" s="223">
        <v>5956.06</v>
      </c>
      <c r="AK214" s="268">
        <v>0.39707066666666668</v>
      </c>
      <c r="AL214" s="268">
        <v>0.41796912280701759</v>
      </c>
      <c r="AM214" s="214">
        <v>5956.06</v>
      </c>
      <c r="AN214" s="268">
        <v>0.39707066666666668</v>
      </c>
      <c r="AO214" s="268">
        <v>0.41796912280701759</v>
      </c>
      <c r="AP214" s="268"/>
      <c r="AQ214" s="214">
        <v>6068</v>
      </c>
      <c r="AR214" s="268">
        <v>0.40453333333333336</v>
      </c>
      <c r="AS214" s="268">
        <v>0.42582456140350877</v>
      </c>
      <c r="AT214" s="214">
        <v>6068</v>
      </c>
      <c r="AU214" s="268">
        <v>0.40453333333333336</v>
      </c>
      <c r="AV214" s="268">
        <v>0.42582456140350877</v>
      </c>
      <c r="AW214" s="268"/>
      <c r="AX214" s="268"/>
      <c r="AY214" s="268"/>
      <c r="AZ214" s="268"/>
      <c r="BA214" s="268"/>
      <c r="BB214" s="268"/>
      <c r="BC214" s="214">
        <v>6068</v>
      </c>
      <c r="BD214" s="268">
        <v>0.40453333333333336</v>
      </c>
      <c r="BE214" s="268">
        <v>0.42582456140350877</v>
      </c>
      <c r="BF214" s="214"/>
      <c r="BG214" s="214">
        <v>6068</v>
      </c>
      <c r="BH214" s="268">
        <v>0.40453333333333336</v>
      </c>
      <c r="BI214" s="268">
        <v>0.42582456140350877</v>
      </c>
      <c r="BJ214" s="214">
        <f t="shared" si="190"/>
        <v>14250</v>
      </c>
      <c r="BK214" s="214">
        <f>BK215</f>
        <v>6820</v>
      </c>
      <c r="BL214" s="268">
        <f t="shared" si="171"/>
        <v>0.45466666666666666</v>
      </c>
      <c r="BM214" s="268">
        <f t="shared" si="194"/>
        <v>0.47859649122807019</v>
      </c>
      <c r="BN214" s="205">
        <f t="shared" si="183"/>
        <v>1147.598</v>
      </c>
      <c r="BO214" s="205"/>
      <c r="BP214" s="245">
        <f>BP215</f>
        <v>0</v>
      </c>
      <c r="BQ214" s="258">
        <f t="shared" si="195"/>
        <v>0</v>
      </c>
      <c r="BR214" s="245">
        <f>BR215</f>
        <v>1200</v>
      </c>
      <c r="BS214" s="258">
        <f t="shared" si="172"/>
        <v>0.08</v>
      </c>
      <c r="BT214" s="245">
        <f>BT215</f>
        <v>2500</v>
      </c>
      <c r="BU214" s="258">
        <f t="shared" si="173"/>
        <v>0.16666666666666666</v>
      </c>
      <c r="BV214" s="245">
        <f t="shared" si="200"/>
        <v>6800</v>
      </c>
      <c r="BW214" s="258">
        <f t="shared" si="174"/>
        <v>0.45333333333333331</v>
      </c>
      <c r="BX214" s="245">
        <f t="shared" si="200"/>
        <v>7688</v>
      </c>
      <c r="BY214" s="258">
        <f t="shared" si="175"/>
        <v>0.51253333333333329</v>
      </c>
      <c r="BZ214" s="245">
        <f t="shared" si="200"/>
        <v>9698</v>
      </c>
      <c r="CA214" s="258">
        <f t="shared" si="176"/>
        <v>0.64653333333333329</v>
      </c>
      <c r="CB214" s="245">
        <f t="shared" si="200"/>
        <v>12900</v>
      </c>
      <c r="CC214" s="258">
        <f t="shared" si="202"/>
        <v>0.86</v>
      </c>
      <c r="CD214" s="245">
        <f t="shared" si="200"/>
        <v>14250</v>
      </c>
      <c r="CE214" s="258">
        <f t="shared" si="203"/>
        <v>0.95</v>
      </c>
      <c r="CF214" s="245">
        <f t="shared" si="200"/>
        <v>14250</v>
      </c>
      <c r="CG214" s="258">
        <f t="shared" si="204"/>
        <v>0.95</v>
      </c>
      <c r="CH214" s="245">
        <f t="shared" si="200"/>
        <v>14250</v>
      </c>
      <c r="CI214" s="258">
        <f t="shared" si="205"/>
        <v>0.95</v>
      </c>
      <c r="CJ214" s="245">
        <f t="shared" si="200"/>
        <v>14250</v>
      </c>
      <c r="CK214" s="258">
        <f t="shared" si="179"/>
        <v>0.95</v>
      </c>
      <c r="CL214" s="245">
        <f t="shared" si="201"/>
        <v>14250</v>
      </c>
      <c r="CM214" s="258">
        <f t="shared" si="180"/>
        <v>0.95</v>
      </c>
      <c r="CN214" s="245">
        <f t="shared" si="201"/>
        <v>14250</v>
      </c>
      <c r="CO214" s="258">
        <f t="shared" si="181"/>
        <v>0.95</v>
      </c>
      <c r="CP214" s="213" t="str">
        <f t="shared" si="196"/>
        <v>Đạt</v>
      </c>
      <c r="CQ214" s="213" t="str">
        <f t="shared" si="197"/>
        <v>Đạt</v>
      </c>
      <c r="CR214" s="192"/>
      <c r="CS214" s="192"/>
      <c r="CT214" s="223"/>
      <c r="CU214" s="163"/>
      <c r="CW214" s="195"/>
      <c r="CX214" s="196"/>
      <c r="CY214" s="196"/>
      <c r="CZ214" s="197"/>
      <c r="DA214" s="196"/>
      <c r="DB214" s="196"/>
      <c r="DC214" s="196"/>
      <c r="DE214" s="199"/>
      <c r="DF214" s="200"/>
      <c r="DG214" s="181"/>
    </row>
    <row r="215" spans="1:111" ht="25.5" outlineLevel="1" x14ac:dyDescent="0.25">
      <c r="A215" s="192">
        <v>1</v>
      </c>
      <c r="B215" s="269" t="s">
        <v>355</v>
      </c>
      <c r="C215" s="269">
        <v>8047837</v>
      </c>
      <c r="D215" s="214">
        <f>E215+F215</f>
        <v>15000</v>
      </c>
      <c r="E215" s="205"/>
      <c r="F215" s="214">
        <f>G215+H215+K215+M215</f>
        <v>15000</v>
      </c>
      <c r="G215" s="270">
        <v>15000</v>
      </c>
      <c r="H215" s="223"/>
      <c r="I215" s="235"/>
      <c r="J215" s="235"/>
      <c r="K215" s="223"/>
      <c r="L215" s="235"/>
      <c r="M215" s="223"/>
      <c r="N215" s="223"/>
      <c r="O215" s="223">
        <f t="shared" si="193"/>
        <v>15000</v>
      </c>
      <c r="P215" s="223">
        <v>0</v>
      </c>
      <c r="Q215" s="224">
        <f t="shared" si="189"/>
        <v>0</v>
      </c>
      <c r="R215" s="223"/>
      <c r="S215" s="225">
        <v>0</v>
      </c>
      <c r="T215" s="225">
        <v>0</v>
      </c>
      <c r="U215" s="223"/>
      <c r="V215" s="225">
        <v>0</v>
      </c>
      <c r="W215" s="225">
        <v>0</v>
      </c>
      <c r="X215" s="223"/>
      <c r="Y215" s="225">
        <v>0</v>
      </c>
      <c r="Z215" s="225">
        <v>0</v>
      </c>
      <c r="AA215" s="223"/>
      <c r="AB215" s="225">
        <v>0</v>
      </c>
      <c r="AC215" s="225">
        <v>0</v>
      </c>
      <c r="AD215" s="223">
        <v>5672.402</v>
      </c>
      <c r="AE215" s="225">
        <v>0.37816013333333331</v>
      </c>
      <c r="AF215" s="225">
        <v>0.39806329824561404</v>
      </c>
      <c r="AG215" s="223">
        <v>5956.06</v>
      </c>
      <c r="AH215" s="225">
        <v>0.39707066666666668</v>
      </c>
      <c r="AI215" s="225">
        <v>0.41796912280701759</v>
      </c>
      <c r="AJ215" s="205">
        <v>5956.06</v>
      </c>
      <c r="AK215" s="225">
        <v>0.39707066666666668</v>
      </c>
      <c r="AL215" s="225">
        <v>0.41796912280701759</v>
      </c>
      <c r="AM215" s="223">
        <v>5956.06</v>
      </c>
      <c r="AN215" s="225">
        <v>0.39707066666666668</v>
      </c>
      <c r="AO215" s="225">
        <v>0.41796912280701759</v>
      </c>
      <c r="AP215" s="225"/>
      <c r="AQ215" s="223">
        <v>6068</v>
      </c>
      <c r="AR215" s="225">
        <v>0.40453333333333336</v>
      </c>
      <c r="AS215" s="225">
        <v>0.42582456140350877</v>
      </c>
      <c r="AT215" s="271">
        <v>6068</v>
      </c>
      <c r="AU215" s="225">
        <v>0.40453333333333336</v>
      </c>
      <c r="AV215" s="225">
        <v>0.42582456140350877</v>
      </c>
      <c r="AW215" s="225"/>
      <c r="AX215" s="225"/>
      <c r="AY215" s="225"/>
      <c r="AZ215" s="225"/>
      <c r="BA215" s="225"/>
      <c r="BB215" s="225"/>
      <c r="BC215" s="271">
        <v>6068</v>
      </c>
      <c r="BD215" s="225">
        <v>0.40453333333333336</v>
      </c>
      <c r="BE215" s="225">
        <v>0.42582456140350877</v>
      </c>
      <c r="BF215" s="271"/>
      <c r="BG215" s="271">
        <v>6068</v>
      </c>
      <c r="BH215" s="225">
        <v>0.40453333333333336</v>
      </c>
      <c r="BI215" s="225">
        <v>0.42582456140350877</v>
      </c>
      <c r="BJ215" s="271">
        <f t="shared" si="190"/>
        <v>14250</v>
      </c>
      <c r="BK215" s="271">
        <v>6820</v>
      </c>
      <c r="BL215" s="225">
        <f t="shared" si="171"/>
        <v>0.45466666666666666</v>
      </c>
      <c r="BM215" s="225">
        <f t="shared" si="194"/>
        <v>0.47859649122807019</v>
      </c>
      <c r="BN215" s="205">
        <f t="shared" si="183"/>
        <v>1147.598</v>
      </c>
      <c r="BO215" s="205"/>
      <c r="BP215" s="227"/>
      <c r="BQ215" s="224">
        <f t="shared" si="195"/>
        <v>0</v>
      </c>
      <c r="BR215" s="227">
        <v>1200</v>
      </c>
      <c r="BS215" s="224">
        <f t="shared" si="172"/>
        <v>0.08</v>
      </c>
      <c r="BT215" s="227">
        <v>2500</v>
      </c>
      <c r="BU215" s="224">
        <f t="shared" si="173"/>
        <v>0.16666666666666666</v>
      </c>
      <c r="BV215" s="227">
        <v>6800</v>
      </c>
      <c r="BW215" s="224">
        <f t="shared" si="174"/>
        <v>0.45333333333333331</v>
      </c>
      <c r="BX215" s="227">
        <v>7688</v>
      </c>
      <c r="BY215" s="224">
        <f t="shared" si="175"/>
        <v>0.51253333333333329</v>
      </c>
      <c r="BZ215" s="227">
        <v>9698</v>
      </c>
      <c r="CA215" s="224">
        <f t="shared" si="176"/>
        <v>0.64653333333333329</v>
      </c>
      <c r="CB215" s="227">
        <f>G215*0.86</f>
        <v>12900</v>
      </c>
      <c r="CC215" s="224">
        <f t="shared" si="202"/>
        <v>0.86</v>
      </c>
      <c r="CD215" s="227">
        <f>G215*0.95</f>
        <v>14250</v>
      </c>
      <c r="CE215" s="224">
        <f t="shared" si="203"/>
        <v>0.95</v>
      </c>
      <c r="CF215" s="227">
        <v>14250</v>
      </c>
      <c r="CG215" s="224">
        <f t="shared" si="204"/>
        <v>0.95</v>
      </c>
      <c r="CH215" s="227">
        <v>14250</v>
      </c>
      <c r="CI215" s="224">
        <f t="shared" si="205"/>
        <v>0.95</v>
      </c>
      <c r="CJ215" s="227">
        <v>14250</v>
      </c>
      <c r="CK215" s="224">
        <f t="shared" si="179"/>
        <v>0.95</v>
      </c>
      <c r="CL215" s="227">
        <v>14250</v>
      </c>
      <c r="CM215" s="224">
        <f t="shared" si="180"/>
        <v>0.95</v>
      </c>
      <c r="CN215" s="227">
        <v>14250</v>
      </c>
      <c r="CO215" s="224">
        <f t="shared" si="181"/>
        <v>0.95</v>
      </c>
      <c r="CP215" s="213" t="str">
        <f t="shared" si="196"/>
        <v>Đạt</v>
      </c>
      <c r="CQ215" s="213" t="str">
        <f t="shared" si="197"/>
        <v>Đạt</v>
      </c>
      <c r="CR215" s="192"/>
      <c r="CS215" s="192"/>
      <c r="CT215" s="223"/>
      <c r="CU215" s="163"/>
      <c r="CW215" s="195"/>
      <c r="CX215" s="196"/>
      <c r="CY215" s="196"/>
      <c r="CZ215" s="197"/>
      <c r="DA215" s="196"/>
      <c r="DB215" s="196"/>
      <c r="DC215" s="196"/>
      <c r="DE215" s="199"/>
      <c r="DF215" s="200"/>
      <c r="DG215" s="181"/>
    </row>
    <row r="216" spans="1:111" s="233" customFormat="1" ht="18" customHeight="1" x14ac:dyDescent="0.25">
      <c r="A216" s="191">
        <v>11</v>
      </c>
      <c r="B216" s="210" t="s">
        <v>356</v>
      </c>
      <c r="C216" s="210"/>
      <c r="D216" s="205">
        <f>D217+D221</f>
        <v>120538</v>
      </c>
      <c r="E216" s="205">
        <f t="shared" ref="E216:I216" si="206">E217+E221</f>
        <v>0</v>
      </c>
      <c r="F216" s="205">
        <f t="shared" si="206"/>
        <v>120538</v>
      </c>
      <c r="G216" s="205">
        <f t="shared" si="206"/>
        <v>70538</v>
      </c>
      <c r="H216" s="205">
        <f t="shared" si="206"/>
        <v>0</v>
      </c>
      <c r="I216" s="205">
        <f t="shared" si="206"/>
        <v>0</v>
      </c>
      <c r="J216" s="205"/>
      <c r="K216" s="205">
        <f>K217+K221</f>
        <v>50000</v>
      </c>
      <c r="L216" s="205">
        <f>L217+L221</f>
        <v>0</v>
      </c>
      <c r="M216" s="231"/>
      <c r="N216" s="231"/>
      <c r="O216" s="205">
        <f t="shared" si="193"/>
        <v>70538</v>
      </c>
      <c r="P216" s="205">
        <v>5192</v>
      </c>
      <c r="Q216" s="186">
        <f t="shared" si="189"/>
        <v>4.3073553568169373E-2</v>
      </c>
      <c r="R216" s="205">
        <v>10619.907956999999</v>
      </c>
      <c r="S216" s="185">
        <v>0.21239815913999999</v>
      </c>
      <c r="T216" s="185">
        <v>0.22357700962105262</v>
      </c>
      <c r="U216" s="205">
        <v>10695.719956999999</v>
      </c>
      <c r="V216" s="185">
        <v>0.21391439913999999</v>
      </c>
      <c r="W216" s="185">
        <v>0.22517305172631577</v>
      </c>
      <c r="X216" s="205">
        <v>10695.719956999999</v>
      </c>
      <c r="Y216" s="185">
        <v>0.21391439913999999</v>
      </c>
      <c r="Z216" s="185">
        <v>0.22517305172631577</v>
      </c>
      <c r="AA216" s="205">
        <v>10695.719956999999</v>
      </c>
      <c r="AB216" s="185">
        <v>0.21391439913999999</v>
      </c>
      <c r="AC216" s="185">
        <v>0.22517305172631577</v>
      </c>
      <c r="AD216" s="205">
        <v>10695.719956999999</v>
      </c>
      <c r="AE216" s="185">
        <v>0.21391439913999999</v>
      </c>
      <c r="AF216" s="185">
        <v>0.22517305172631577</v>
      </c>
      <c r="AG216" s="205">
        <v>16216.696532</v>
      </c>
      <c r="AH216" s="185">
        <v>0.32433393063999999</v>
      </c>
      <c r="AI216" s="185">
        <v>0.34140413751578946</v>
      </c>
      <c r="AJ216" s="226">
        <v>16216.696532</v>
      </c>
      <c r="AK216" s="185">
        <v>0.32433393063999999</v>
      </c>
      <c r="AL216" s="185">
        <v>0.34140413751578946</v>
      </c>
      <c r="AM216" s="205">
        <v>16216.696532</v>
      </c>
      <c r="AN216" s="185">
        <v>0.32433393063999999</v>
      </c>
      <c r="AO216" s="185">
        <v>0.34140413751578946</v>
      </c>
      <c r="AP216" s="185"/>
      <c r="AQ216" s="205">
        <v>16216.696532</v>
      </c>
      <c r="AR216" s="185">
        <v>0.32433393063999999</v>
      </c>
      <c r="AS216" s="185">
        <v>0.34140413751578946</v>
      </c>
      <c r="AT216" s="205">
        <v>16216.696532</v>
      </c>
      <c r="AU216" s="185">
        <v>0.32433393063999999</v>
      </c>
      <c r="AV216" s="185">
        <v>0.34140413751578946</v>
      </c>
      <c r="AW216" s="185"/>
      <c r="AX216" s="185"/>
      <c r="AY216" s="185"/>
      <c r="AZ216" s="185"/>
      <c r="BA216" s="185"/>
      <c r="BB216" s="185"/>
      <c r="BC216" s="205">
        <v>16216.696532</v>
      </c>
      <c r="BD216" s="185">
        <v>0.32433393063999999</v>
      </c>
      <c r="BE216" s="185">
        <v>0.34140413751578946</v>
      </c>
      <c r="BF216" s="205"/>
      <c r="BG216" s="205">
        <v>22389</v>
      </c>
      <c r="BH216" s="185">
        <v>0.18574225555426505</v>
      </c>
      <c r="BI216" s="185">
        <v>0.19551816374133163</v>
      </c>
      <c r="BJ216" s="205">
        <f t="shared" si="190"/>
        <v>114511.09999999999</v>
      </c>
      <c r="BK216" s="205">
        <v>23447.195070000002</v>
      </c>
      <c r="BL216" s="185">
        <f t="shared" si="171"/>
        <v>0.19452118891967679</v>
      </c>
      <c r="BM216" s="185">
        <f t="shared" si="194"/>
        <v>0.20475914623123875</v>
      </c>
      <c r="BN216" s="205">
        <f t="shared" si="183"/>
        <v>12751.475113000002</v>
      </c>
      <c r="BO216" s="205"/>
      <c r="BP216" s="189">
        <f>BP217+BP221</f>
        <v>10000</v>
      </c>
      <c r="BQ216" s="186">
        <f t="shared" si="195"/>
        <v>8.2961389769201407E-2</v>
      </c>
      <c r="BR216" s="189">
        <f>BR217+BR221</f>
        <v>12000</v>
      </c>
      <c r="BS216" s="186">
        <f t="shared" si="172"/>
        <v>9.9553667723041694E-2</v>
      </c>
      <c r="BT216" s="189">
        <f>BT217+BT221</f>
        <v>15000</v>
      </c>
      <c r="BU216" s="186">
        <f t="shared" si="173"/>
        <v>0.12444208465380212</v>
      </c>
      <c r="BV216" s="189">
        <f>BV217+BV221</f>
        <v>18000</v>
      </c>
      <c r="BW216" s="186">
        <f t="shared" si="174"/>
        <v>0.14933050158456254</v>
      </c>
      <c r="BX216" s="189">
        <f>BX217+BX221</f>
        <v>21000</v>
      </c>
      <c r="BY216" s="186">
        <f t="shared" si="175"/>
        <v>0.17421891851532298</v>
      </c>
      <c r="BZ216" s="189">
        <f>BZ217+BZ221</f>
        <v>24000</v>
      </c>
      <c r="CA216" s="186">
        <f t="shared" si="176"/>
        <v>0.19910733544608339</v>
      </c>
      <c r="CB216" s="189">
        <f>CB217+CB221</f>
        <v>26500</v>
      </c>
      <c r="CC216" s="186">
        <f t="shared" si="202"/>
        <v>0.21984768288838374</v>
      </c>
      <c r="CD216" s="189">
        <f>CD217+CD221</f>
        <v>29500</v>
      </c>
      <c r="CE216" s="186">
        <f t="shared" si="203"/>
        <v>0.24473609981914418</v>
      </c>
      <c r="CF216" s="189">
        <f>CF217+CF221</f>
        <v>32500</v>
      </c>
      <c r="CG216" s="186">
        <f t="shared" si="204"/>
        <v>0.26962451674990462</v>
      </c>
      <c r="CH216" s="189">
        <f>CH217+CH221</f>
        <v>35500</v>
      </c>
      <c r="CI216" s="186">
        <f t="shared" si="205"/>
        <v>0.294512933680665</v>
      </c>
      <c r="CJ216" s="189">
        <f>CJ217+CJ221</f>
        <v>38500</v>
      </c>
      <c r="CK216" s="186">
        <f t="shared" si="179"/>
        <v>0.31940135061142544</v>
      </c>
      <c r="CL216" s="189">
        <f>CL217+CL221</f>
        <v>42500</v>
      </c>
      <c r="CM216" s="186">
        <f t="shared" si="180"/>
        <v>0.35258590651910598</v>
      </c>
      <c r="CN216" s="189">
        <f>CN217+CN221</f>
        <v>47500</v>
      </c>
      <c r="CO216" s="186">
        <f t="shared" si="181"/>
        <v>0.3940666014037067</v>
      </c>
      <c r="CP216" s="213" t="str">
        <f t="shared" si="196"/>
        <v>Không đạt</v>
      </c>
      <c r="CQ216" s="213" t="str">
        <f t="shared" si="197"/>
        <v>Không đạt</v>
      </c>
      <c r="CR216" s="213"/>
      <c r="CS216" s="213"/>
      <c r="CT216" s="213"/>
      <c r="CU216" s="163"/>
      <c r="CV216" s="232"/>
      <c r="CW216" s="195"/>
      <c r="CX216" s="196"/>
      <c r="CY216" s="196"/>
      <c r="CZ216" s="197"/>
      <c r="DA216" s="196"/>
      <c r="DB216" s="196"/>
      <c r="DC216" s="196"/>
      <c r="DE216" s="199"/>
      <c r="DF216" s="200"/>
      <c r="DG216" s="181"/>
    </row>
    <row r="217" spans="1:111" s="255" customFormat="1" outlineLevel="1" x14ac:dyDescent="0.25">
      <c r="A217" s="263" t="s">
        <v>29</v>
      </c>
      <c r="B217" s="264" t="s">
        <v>157</v>
      </c>
      <c r="C217" s="265"/>
      <c r="D217" s="226">
        <f>D219+D218</f>
        <v>120538</v>
      </c>
      <c r="E217" s="226">
        <f t="shared" ref="E217:M217" si="207">E219+E218</f>
        <v>0</v>
      </c>
      <c r="F217" s="226">
        <f t="shared" si="207"/>
        <v>120538</v>
      </c>
      <c r="G217" s="226">
        <f t="shared" si="207"/>
        <v>70538</v>
      </c>
      <c r="H217" s="226">
        <f t="shared" si="207"/>
        <v>0</v>
      </c>
      <c r="I217" s="226">
        <f t="shared" si="207"/>
        <v>0</v>
      </c>
      <c r="J217" s="226">
        <f t="shared" si="207"/>
        <v>0</v>
      </c>
      <c r="K217" s="226">
        <f t="shared" si="207"/>
        <v>50000</v>
      </c>
      <c r="L217" s="226">
        <f t="shared" si="207"/>
        <v>0</v>
      </c>
      <c r="M217" s="226">
        <f t="shared" si="207"/>
        <v>0</v>
      </c>
      <c r="N217" s="226"/>
      <c r="O217" s="266">
        <f t="shared" si="193"/>
        <v>70538</v>
      </c>
      <c r="P217" s="266">
        <v>27078.295252</v>
      </c>
      <c r="Q217" s="212">
        <f t="shared" si="189"/>
        <v>0.22464530066866881</v>
      </c>
      <c r="R217" s="226">
        <v>10619.907956999999</v>
      </c>
      <c r="S217" s="211">
        <v>0.21239815913999999</v>
      </c>
      <c r="T217" s="211">
        <v>0.22357700962105262</v>
      </c>
      <c r="U217" s="226">
        <v>10695.719956999999</v>
      </c>
      <c r="V217" s="211">
        <v>0.21391439913999999</v>
      </c>
      <c r="W217" s="211">
        <v>0.22517305172631577</v>
      </c>
      <c r="X217" s="226">
        <v>10695.719956999999</v>
      </c>
      <c r="Y217" s="211">
        <v>0.21391439913999999</v>
      </c>
      <c r="Z217" s="211">
        <v>0.22517305172631577</v>
      </c>
      <c r="AA217" s="226">
        <v>10695.719956999999</v>
      </c>
      <c r="AB217" s="211">
        <v>0.21391439913999999</v>
      </c>
      <c r="AC217" s="211">
        <v>0.22517305172631577</v>
      </c>
      <c r="AD217" s="226">
        <v>10695.719956999999</v>
      </c>
      <c r="AE217" s="211">
        <v>0.21391439913999999</v>
      </c>
      <c r="AF217" s="211">
        <v>0.22517305172631577</v>
      </c>
      <c r="AG217" s="226">
        <v>16216.696532</v>
      </c>
      <c r="AH217" s="211">
        <v>0.32433393063999999</v>
      </c>
      <c r="AI217" s="211">
        <v>0.34140413751578946</v>
      </c>
      <c r="AJ217" s="188">
        <v>16216.696532</v>
      </c>
      <c r="AK217" s="211">
        <v>0.32433393063999999</v>
      </c>
      <c r="AL217" s="211">
        <v>0.34140413751578946</v>
      </c>
      <c r="AM217" s="226">
        <v>16216.696532</v>
      </c>
      <c r="AN217" s="211">
        <v>0.32433393063999999</v>
      </c>
      <c r="AO217" s="211">
        <v>0.34140413751578946</v>
      </c>
      <c r="AP217" s="211"/>
      <c r="AQ217" s="226">
        <v>16216.696532</v>
      </c>
      <c r="AR217" s="211">
        <v>0.32433393063999999</v>
      </c>
      <c r="AS217" s="211">
        <v>0.34140413751578946</v>
      </c>
      <c r="AT217" s="226">
        <v>16216.696532</v>
      </c>
      <c r="AU217" s="211">
        <v>0.32433393063999999</v>
      </c>
      <c r="AV217" s="211">
        <v>0.34140413751578946</v>
      </c>
      <c r="AW217" s="211"/>
      <c r="AX217" s="211"/>
      <c r="AY217" s="211"/>
      <c r="AZ217" s="211"/>
      <c r="BA217" s="211"/>
      <c r="BB217" s="211"/>
      <c r="BC217" s="226">
        <f t="shared" ref="BC217" si="208">BC219+BC218</f>
        <v>16216.696532</v>
      </c>
      <c r="BD217" s="211">
        <v>0.32433393063999999</v>
      </c>
      <c r="BE217" s="211">
        <v>0.34140413751578946</v>
      </c>
      <c r="BF217" s="226"/>
      <c r="BG217" s="226">
        <v>22389</v>
      </c>
      <c r="BH217" s="211">
        <v>0.18574225555426505</v>
      </c>
      <c r="BI217" s="211">
        <v>0.19551816374133163</v>
      </c>
      <c r="BJ217" s="226">
        <f t="shared" si="190"/>
        <v>114511.09999999999</v>
      </c>
      <c r="BK217" s="226">
        <v>22465.08207</v>
      </c>
      <c r="BL217" s="211">
        <f t="shared" si="171"/>
        <v>0.18637344298063682</v>
      </c>
      <c r="BM217" s="211">
        <f t="shared" si="194"/>
        <v>0.19618257155856508</v>
      </c>
      <c r="BN217" s="205">
        <f t="shared" si="183"/>
        <v>11769.362113000001</v>
      </c>
      <c r="BO217" s="205"/>
      <c r="BP217" s="230">
        <f>BP219</f>
        <v>10000</v>
      </c>
      <c r="BQ217" s="212">
        <f t="shared" si="195"/>
        <v>8.2961389769201407E-2</v>
      </c>
      <c r="BR217" s="230">
        <f>BR219</f>
        <v>12000</v>
      </c>
      <c r="BS217" s="212">
        <f t="shared" si="172"/>
        <v>9.9553667723041694E-2</v>
      </c>
      <c r="BT217" s="230">
        <f>BT219</f>
        <v>15000</v>
      </c>
      <c r="BU217" s="212">
        <f t="shared" si="173"/>
        <v>0.12444208465380212</v>
      </c>
      <c r="BV217" s="230">
        <f>BV219</f>
        <v>18000</v>
      </c>
      <c r="BW217" s="212">
        <f t="shared" si="174"/>
        <v>0.14933050158456254</v>
      </c>
      <c r="BX217" s="230">
        <f>BX219</f>
        <v>21000</v>
      </c>
      <c r="BY217" s="212">
        <f t="shared" si="175"/>
        <v>0.17421891851532298</v>
      </c>
      <c r="BZ217" s="230">
        <f>BZ219</f>
        <v>24000</v>
      </c>
      <c r="CA217" s="212">
        <f t="shared" si="176"/>
        <v>0.19910733544608339</v>
      </c>
      <c r="CB217" s="230">
        <f>CB219</f>
        <v>26500</v>
      </c>
      <c r="CC217" s="212">
        <f t="shared" si="202"/>
        <v>0.21984768288838374</v>
      </c>
      <c r="CD217" s="230">
        <f>CD219</f>
        <v>29500</v>
      </c>
      <c r="CE217" s="212">
        <f t="shared" si="203"/>
        <v>0.24473609981914418</v>
      </c>
      <c r="CF217" s="230">
        <f>CF219</f>
        <v>32500</v>
      </c>
      <c r="CG217" s="212">
        <f t="shared" si="204"/>
        <v>0.26962451674990462</v>
      </c>
      <c r="CH217" s="230">
        <f>CH219</f>
        <v>35500</v>
      </c>
      <c r="CI217" s="212">
        <f t="shared" si="205"/>
        <v>0.294512933680665</v>
      </c>
      <c r="CJ217" s="230">
        <f>CJ219</f>
        <v>38500</v>
      </c>
      <c r="CK217" s="212">
        <f t="shared" si="179"/>
        <v>0.31940135061142544</v>
      </c>
      <c r="CL217" s="230">
        <f>CL219</f>
        <v>42500</v>
      </c>
      <c r="CM217" s="212">
        <f t="shared" si="180"/>
        <v>0.35258590651910598</v>
      </c>
      <c r="CN217" s="230">
        <f>CN219</f>
        <v>47500</v>
      </c>
      <c r="CO217" s="212">
        <f t="shared" si="181"/>
        <v>0.3940666014037067</v>
      </c>
      <c r="CP217" s="213" t="str">
        <f t="shared" si="196"/>
        <v>Không đạt</v>
      </c>
      <c r="CQ217" s="213" t="str">
        <f t="shared" si="197"/>
        <v>Không đạt</v>
      </c>
      <c r="CR217" s="213"/>
      <c r="CS217" s="213"/>
      <c r="CT217" s="213"/>
      <c r="CU217" s="163"/>
      <c r="CV217" s="142"/>
      <c r="CW217" s="195"/>
      <c r="CX217" s="196"/>
      <c r="CY217" s="196"/>
      <c r="CZ217" s="197"/>
      <c r="DA217" s="196"/>
      <c r="DB217" s="196"/>
      <c r="DC217" s="196"/>
      <c r="DD217" s="144"/>
      <c r="DE217" s="199"/>
      <c r="DF217" s="200"/>
      <c r="DG217" s="181"/>
    </row>
    <row r="218" spans="1:111" s="255" customFormat="1" outlineLevel="1" x14ac:dyDescent="0.25">
      <c r="A218" s="191" t="s">
        <v>34</v>
      </c>
      <c r="B218" s="210" t="s">
        <v>154</v>
      </c>
      <c r="C218" s="210"/>
      <c r="D218" s="188">
        <f>E218+F218</f>
        <v>1964</v>
      </c>
      <c r="E218" s="189"/>
      <c r="F218" s="188">
        <f>G218+H218+K218+M218</f>
        <v>1964</v>
      </c>
      <c r="G218" s="189">
        <v>1964</v>
      </c>
      <c r="H218" s="189"/>
      <c r="I218" s="188"/>
      <c r="J218" s="188"/>
      <c r="K218" s="189"/>
      <c r="L218" s="188"/>
      <c r="M218" s="231"/>
      <c r="N218" s="231"/>
      <c r="O218" s="188"/>
      <c r="P218" s="188"/>
      <c r="Q218" s="186"/>
      <c r="R218" s="189"/>
      <c r="S218" s="185"/>
      <c r="T218" s="185"/>
      <c r="U218" s="189"/>
      <c r="V218" s="185"/>
      <c r="W218" s="185"/>
      <c r="X218" s="189"/>
      <c r="Y218" s="185"/>
      <c r="Z218" s="185"/>
      <c r="AA218" s="189"/>
      <c r="AB218" s="185"/>
      <c r="AC218" s="185"/>
      <c r="AD218" s="189"/>
      <c r="AE218" s="185"/>
      <c r="AF218" s="185"/>
      <c r="AG218" s="189"/>
      <c r="AH218" s="185"/>
      <c r="AI218" s="185"/>
      <c r="AJ218" s="188"/>
      <c r="AK218" s="185"/>
      <c r="AL218" s="185"/>
      <c r="AM218" s="189"/>
      <c r="AN218" s="185"/>
      <c r="AO218" s="185"/>
      <c r="AP218" s="185"/>
      <c r="AQ218" s="189"/>
      <c r="AR218" s="185"/>
      <c r="AS218" s="185"/>
      <c r="AT218" s="189"/>
      <c r="AU218" s="185"/>
      <c r="AV218" s="185"/>
      <c r="AW218" s="185"/>
      <c r="AX218" s="185"/>
      <c r="AY218" s="185"/>
      <c r="AZ218" s="185"/>
      <c r="BA218" s="185"/>
      <c r="BB218" s="185"/>
      <c r="BC218" s="189"/>
      <c r="BD218" s="185"/>
      <c r="BE218" s="185"/>
      <c r="BF218" s="189"/>
      <c r="BG218" s="189">
        <v>1964</v>
      </c>
      <c r="BH218" s="185">
        <v>1</v>
      </c>
      <c r="BI218" s="185">
        <v>1</v>
      </c>
      <c r="BJ218" s="189">
        <f t="shared" si="190"/>
        <v>1865.8</v>
      </c>
      <c r="BK218" s="189">
        <v>1964</v>
      </c>
      <c r="BL218" s="185">
        <f t="shared" si="171"/>
        <v>1</v>
      </c>
      <c r="BM218" s="185">
        <f>BK218/$D218</f>
        <v>1</v>
      </c>
      <c r="BN218" s="185">
        <f t="shared" ref="BN218" si="209">BM218/$D218</f>
        <v>5.0916496945010179E-4</v>
      </c>
      <c r="BO218" s="185"/>
      <c r="BP218" s="185">
        <f t="shared" ref="BP218" si="210">BN218/$D218</f>
        <v>2.5924896611512311E-7</v>
      </c>
      <c r="BQ218" s="185">
        <f t="shared" si="195"/>
        <v>1.3200049191197714E-10</v>
      </c>
      <c r="BR218" s="185">
        <f t="shared" si="195"/>
        <v>6.7210026431760253E-14</v>
      </c>
      <c r="BS218" s="185">
        <f t="shared" si="172"/>
        <v>3.4220991054867747E-17</v>
      </c>
      <c r="BT218" s="185">
        <f t="shared" si="172"/>
        <v>1.7424129865003943E-20</v>
      </c>
      <c r="BU218" s="185">
        <f t="shared" si="173"/>
        <v>8.871756550409339E-24</v>
      </c>
      <c r="BV218" s="185">
        <f t="shared" si="173"/>
        <v>4.5171876529579122E-27</v>
      </c>
      <c r="BW218" s="185">
        <f t="shared" si="174"/>
        <v>2.2999937133186926E-30</v>
      </c>
      <c r="BX218" s="185">
        <f t="shared" si="174"/>
        <v>1.1710762287773385E-33</v>
      </c>
      <c r="BY218" s="185">
        <f t="shared" si="175"/>
        <v>5.9627099224915398E-37</v>
      </c>
      <c r="BZ218" s="185">
        <f t="shared" si="175"/>
        <v>3.0360030155252239E-40</v>
      </c>
      <c r="CA218" s="185">
        <f t="shared" si="176"/>
        <v>1.5458263826503176E-43</v>
      </c>
      <c r="CB218" s="185">
        <f t="shared" si="176"/>
        <v>7.8708064289731037E-47</v>
      </c>
      <c r="CC218" s="185">
        <f t="shared" si="202"/>
        <v>4.0075389149557553E-50</v>
      </c>
      <c r="CD218" s="185">
        <f t="shared" si="202"/>
        <v>2.0404984292035414E-53</v>
      </c>
      <c r="CE218" s="185">
        <f t="shared" si="203"/>
        <v>1.0389503203684018E-56</v>
      </c>
      <c r="CF218" s="185">
        <f t="shared" si="203"/>
        <v>5.2899710813055086E-60</v>
      </c>
      <c r="CG218" s="185">
        <f t="shared" si="204"/>
        <v>2.6934679640048417E-63</v>
      </c>
      <c r="CH218" s="185">
        <f t="shared" si="204"/>
        <v>1.3714195336073532E-66</v>
      </c>
      <c r="CI218" s="185">
        <f t="shared" si="205"/>
        <v>6.9827878493246093E-70</v>
      </c>
      <c r="CJ218" s="185">
        <f t="shared" si="205"/>
        <v>3.5553909619779072E-73</v>
      </c>
      <c r="CK218" s="185">
        <f t="shared" si="179"/>
        <v>1.8102805305386492E-76</v>
      </c>
      <c r="CL218" s="185">
        <f t="shared" si="179"/>
        <v>9.2173143102782546E-80</v>
      </c>
      <c r="CM218" s="185">
        <f t="shared" si="180"/>
        <v>4.6931335592048143E-83</v>
      </c>
      <c r="CN218" s="185">
        <f t="shared" si="180"/>
        <v>2.3895792052977671E-86</v>
      </c>
      <c r="CO218" s="185">
        <f t="shared" si="181"/>
        <v>1.2166900230640362E-89</v>
      </c>
      <c r="CP218" s="213" t="str">
        <f t="shared" si="196"/>
        <v>Đạt</v>
      </c>
      <c r="CQ218" s="213" t="str">
        <f t="shared" si="197"/>
        <v>Đạt</v>
      </c>
      <c r="CR218" s="185"/>
      <c r="CS218" s="213"/>
      <c r="CT218" s="231"/>
      <c r="CU218" s="163"/>
      <c r="CV218" s="252"/>
      <c r="CW218" s="253"/>
      <c r="CX218" s="254"/>
      <c r="CY218" s="254"/>
      <c r="CZ218" s="198"/>
      <c r="DA218" s="254"/>
      <c r="DB218" s="254"/>
      <c r="DC218" s="254"/>
      <c r="DE218" s="199"/>
      <c r="DF218" s="200"/>
      <c r="DG218" s="181"/>
    </row>
    <row r="219" spans="1:111" s="255" customFormat="1" outlineLevel="1" x14ac:dyDescent="0.25">
      <c r="A219" s="256" t="s">
        <v>34</v>
      </c>
      <c r="B219" s="210" t="s">
        <v>335</v>
      </c>
      <c r="C219" s="210"/>
      <c r="D219" s="188">
        <f t="shared" ref="D219:I219" si="211">D220</f>
        <v>118574</v>
      </c>
      <c r="E219" s="188">
        <f t="shared" si="211"/>
        <v>0</v>
      </c>
      <c r="F219" s="188">
        <f t="shared" si="211"/>
        <v>118574</v>
      </c>
      <c r="G219" s="188">
        <f t="shared" si="211"/>
        <v>68574</v>
      </c>
      <c r="H219" s="188">
        <f t="shared" si="211"/>
        <v>0</v>
      </c>
      <c r="I219" s="188">
        <f t="shared" si="211"/>
        <v>0</v>
      </c>
      <c r="J219" s="188"/>
      <c r="K219" s="188">
        <f>K220</f>
        <v>50000</v>
      </c>
      <c r="L219" s="188">
        <f>L220</f>
        <v>0</v>
      </c>
      <c r="M219" s="231"/>
      <c r="N219" s="231"/>
      <c r="O219" s="188">
        <f t="shared" si="193"/>
        <v>68574</v>
      </c>
      <c r="P219" s="188">
        <v>10584.202748</v>
      </c>
      <c r="Q219" s="186">
        <f t="shared" si="189"/>
        <v>8.9262424713680899E-2</v>
      </c>
      <c r="R219" s="188">
        <v>10619.907956999999</v>
      </c>
      <c r="S219" s="185">
        <v>0.21239815913999999</v>
      </c>
      <c r="T219" s="185">
        <v>0.22357700962105262</v>
      </c>
      <c r="U219" s="188">
        <v>10695.719956999999</v>
      </c>
      <c r="V219" s="185">
        <v>0.21391439913999999</v>
      </c>
      <c r="W219" s="185">
        <v>0.22517305172631577</v>
      </c>
      <c r="X219" s="188">
        <v>10695.719956999999</v>
      </c>
      <c r="Y219" s="185">
        <v>0.21391439913999999</v>
      </c>
      <c r="Z219" s="185">
        <v>0.22517305172631577</v>
      </c>
      <c r="AA219" s="188">
        <v>10695.719956999999</v>
      </c>
      <c r="AB219" s="185">
        <v>0.21391439913999999</v>
      </c>
      <c r="AC219" s="185">
        <v>0.22517305172631577</v>
      </c>
      <c r="AD219" s="188">
        <v>10695.719956999999</v>
      </c>
      <c r="AE219" s="185">
        <v>0.21391439913999999</v>
      </c>
      <c r="AF219" s="185">
        <v>0.22517305172631577</v>
      </c>
      <c r="AG219" s="188">
        <v>16216.696532</v>
      </c>
      <c r="AH219" s="185">
        <v>0.32433393063999999</v>
      </c>
      <c r="AI219" s="185">
        <v>0.34140413751578946</v>
      </c>
      <c r="AJ219" s="257">
        <v>16216.696532</v>
      </c>
      <c r="AK219" s="185">
        <v>0.32433393063999999</v>
      </c>
      <c r="AL219" s="185">
        <v>0.34140413751578946</v>
      </c>
      <c r="AM219" s="188">
        <v>16216.696532</v>
      </c>
      <c r="AN219" s="185">
        <v>0.32433393063999999</v>
      </c>
      <c r="AO219" s="185">
        <v>0.34140413751578946</v>
      </c>
      <c r="AP219" s="185"/>
      <c r="AQ219" s="188">
        <v>16216.696532</v>
      </c>
      <c r="AR219" s="185">
        <v>0.32433393063999999</v>
      </c>
      <c r="AS219" s="185">
        <v>0.34140413751578946</v>
      </c>
      <c r="AT219" s="188">
        <v>16216.696532</v>
      </c>
      <c r="AU219" s="185">
        <v>0.32433393063999999</v>
      </c>
      <c r="AV219" s="185">
        <v>0.34140413751578946</v>
      </c>
      <c r="AW219" s="185"/>
      <c r="AX219" s="185"/>
      <c r="AY219" s="185"/>
      <c r="AZ219" s="185"/>
      <c r="BA219" s="185"/>
      <c r="BB219" s="185"/>
      <c r="BC219" s="188">
        <v>16216.696532</v>
      </c>
      <c r="BD219" s="185">
        <v>0.32433393063999999</v>
      </c>
      <c r="BE219" s="185">
        <v>0.34140413751578946</v>
      </c>
      <c r="BF219" s="188"/>
      <c r="BG219" s="188">
        <v>20425</v>
      </c>
      <c r="BH219" s="185">
        <v>0.1722553004874593</v>
      </c>
      <c r="BI219" s="185">
        <v>0.1813213689341677</v>
      </c>
      <c r="BJ219" s="188">
        <f t="shared" si="190"/>
        <v>112645.29999999999</v>
      </c>
      <c r="BK219" s="188">
        <v>20501.08207</v>
      </c>
      <c r="BL219" s="185">
        <f t="shared" si="171"/>
        <v>0.17289694258437768</v>
      </c>
      <c r="BM219" s="185">
        <f t="shared" si="194"/>
        <v>0.18199678166776601</v>
      </c>
      <c r="BN219" s="205">
        <f t="shared" si="183"/>
        <v>9805.362113000001</v>
      </c>
      <c r="BO219" s="205"/>
      <c r="BP219" s="189">
        <f>BP220</f>
        <v>10000</v>
      </c>
      <c r="BQ219" s="186">
        <f t="shared" si="195"/>
        <v>8.4335520434496603E-2</v>
      </c>
      <c r="BR219" s="189">
        <f>BR220</f>
        <v>12000</v>
      </c>
      <c r="BS219" s="186">
        <f t="shared" si="172"/>
        <v>0.10120262452139592</v>
      </c>
      <c r="BT219" s="189">
        <f>BT220</f>
        <v>15000</v>
      </c>
      <c r="BU219" s="186">
        <f t="shared" si="173"/>
        <v>0.1265032806517449</v>
      </c>
      <c r="BV219" s="189">
        <f t="shared" ref="BV219:CJ219" si="212">BV220</f>
        <v>18000</v>
      </c>
      <c r="BW219" s="186">
        <f t="shared" si="174"/>
        <v>0.15180393678209389</v>
      </c>
      <c r="BX219" s="189">
        <f t="shared" si="212"/>
        <v>21000</v>
      </c>
      <c r="BY219" s="186">
        <f t="shared" si="175"/>
        <v>0.17710459291244288</v>
      </c>
      <c r="BZ219" s="189">
        <f t="shared" si="212"/>
        <v>24000</v>
      </c>
      <c r="CA219" s="186">
        <f t="shared" si="176"/>
        <v>0.20240524904279183</v>
      </c>
      <c r="CB219" s="189">
        <f t="shared" si="212"/>
        <v>26500</v>
      </c>
      <c r="CC219" s="186">
        <f t="shared" si="202"/>
        <v>0.223489129151416</v>
      </c>
      <c r="CD219" s="189">
        <f t="shared" si="212"/>
        <v>29500</v>
      </c>
      <c r="CE219" s="186">
        <f t="shared" si="203"/>
        <v>0.24878978528176499</v>
      </c>
      <c r="CF219" s="189">
        <f t="shared" si="212"/>
        <v>32500</v>
      </c>
      <c r="CG219" s="186">
        <f t="shared" si="204"/>
        <v>0.27409044141211397</v>
      </c>
      <c r="CH219" s="189">
        <f t="shared" si="212"/>
        <v>35500</v>
      </c>
      <c r="CI219" s="186">
        <f t="shared" si="205"/>
        <v>0.29939109754246296</v>
      </c>
      <c r="CJ219" s="189">
        <f t="shared" si="212"/>
        <v>38500</v>
      </c>
      <c r="CK219" s="186">
        <f t="shared" si="179"/>
        <v>0.32469175367281189</v>
      </c>
      <c r="CL219" s="189">
        <f t="shared" ref="CL219:CN219" si="213">CL220</f>
        <v>42500</v>
      </c>
      <c r="CM219" s="186">
        <f t="shared" si="180"/>
        <v>0.35842596184661057</v>
      </c>
      <c r="CN219" s="189">
        <f t="shared" si="213"/>
        <v>47500</v>
      </c>
      <c r="CO219" s="186">
        <f t="shared" si="181"/>
        <v>0.40059372206385885</v>
      </c>
      <c r="CP219" s="213" t="str">
        <f t="shared" si="196"/>
        <v>Không đạt</v>
      </c>
      <c r="CQ219" s="213" t="str">
        <f t="shared" si="197"/>
        <v>Không đạt</v>
      </c>
      <c r="CR219" s="213"/>
      <c r="CS219" s="213"/>
      <c r="CT219" s="231"/>
      <c r="CU219" s="163"/>
      <c r="CV219" s="252"/>
      <c r="CW219" s="253"/>
      <c r="CX219" s="254"/>
      <c r="CY219" s="254"/>
      <c r="CZ219" s="198"/>
      <c r="DA219" s="254"/>
      <c r="DB219" s="254"/>
      <c r="DC219" s="254"/>
      <c r="DE219" s="199"/>
      <c r="DF219" s="200"/>
      <c r="DG219" s="181"/>
    </row>
    <row r="220" spans="1:111" ht="38.25" outlineLevel="1" x14ac:dyDescent="0.25">
      <c r="A220" s="192">
        <v>1</v>
      </c>
      <c r="B220" s="269" t="s">
        <v>357</v>
      </c>
      <c r="C220" s="269">
        <v>7925428</v>
      </c>
      <c r="D220" s="214">
        <f>E220+F220</f>
        <v>118574</v>
      </c>
      <c r="E220" s="205"/>
      <c r="F220" s="214">
        <f>G220+H220+K220+M220</f>
        <v>118574</v>
      </c>
      <c r="G220" s="223">
        <v>68574</v>
      </c>
      <c r="H220" s="223"/>
      <c r="I220" s="235"/>
      <c r="J220" s="235"/>
      <c r="K220" s="257">
        <v>50000</v>
      </c>
      <c r="L220" s="235"/>
      <c r="M220" s="223"/>
      <c r="N220" s="223"/>
      <c r="O220" s="223">
        <f t="shared" si="193"/>
        <v>68574</v>
      </c>
      <c r="P220" s="223">
        <v>5192</v>
      </c>
      <c r="Q220" s="224">
        <f t="shared" si="189"/>
        <v>4.3787002209590635E-2</v>
      </c>
      <c r="R220" s="257">
        <v>10619.907956999999</v>
      </c>
      <c r="S220" s="225">
        <v>0.21239815913999999</v>
      </c>
      <c r="T220" s="225">
        <v>0.22357700962105262</v>
      </c>
      <c r="U220" s="257">
        <v>10695.719956999999</v>
      </c>
      <c r="V220" s="225">
        <v>0.21391439913999999</v>
      </c>
      <c r="W220" s="225">
        <v>0.22517305172631577</v>
      </c>
      <c r="X220" s="257">
        <v>10695.719956999999</v>
      </c>
      <c r="Y220" s="225">
        <v>0.21391439913999999</v>
      </c>
      <c r="Z220" s="225">
        <v>0.22517305172631577</v>
      </c>
      <c r="AA220" s="257">
        <v>10695.719956999999</v>
      </c>
      <c r="AB220" s="225">
        <v>0.21391439913999999</v>
      </c>
      <c r="AC220" s="225">
        <v>0.22517305172631577</v>
      </c>
      <c r="AD220" s="257">
        <v>10695.719956999999</v>
      </c>
      <c r="AE220" s="225">
        <v>0.21391439913999999</v>
      </c>
      <c r="AF220" s="225">
        <v>0.22517305172631577</v>
      </c>
      <c r="AG220" s="257">
        <v>16216.696532</v>
      </c>
      <c r="AH220" s="225">
        <v>0.32433393063999999</v>
      </c>
      <c r="AI220" s="225">
        <v>0.34140413751578946</v>
      </c>
      <c r="AJ220" s="214">
        <v>16216.696532</v>
      </c>
      <c r="AK220" s="225">
        <v>0.32433393063999999</v>
      </c>
      <c r="AL220" s="225">
        <v>0.34140413751578946</v>
      </c>
      <c r="AM220" s="257">
        <v>16216.696532</v>
      </c>
      <c r="AN220" s="225">
        <v>0.32433393063999999</v>
      </c>
      <c r="AO220" s="225">
        <v>0.34140413751578946</v>
      </c>
      <c r="AP220" s="225"/>
      <c r="AQ220" s="257">
        <v>16216.696532</v>
      </c>
      <c r="AR220" s="225">
        <v>0.32433393063999999</v>
      </c>
      <c r="AS220" s="225">
        <v>0.34140413751578946</v>
      </c>
      <c r="AT220" s="257">
        <v>16216.696532</v>
      </c>
      <c r="AU220" s="225">
        <v>0.32433393063999999</v>
      </c>
      <c r="AV220" s="225">
        <v>0.34140413751578946</v>
      </c>
      <c r="AW220" s="225"/>
      <c r="AX220" s="225"/>
      <c r="AY220" s="225"/>
      <c r="AZ220" s="225"/>
      <c r="BA220" s="225"/>
      <c r="BB220" s="225"/>
      <c r="BC220" s="257">
        <v>16216.696532</v>
      </c>
      <c r="BD220" s="225">
        <v>0.32433393063999999</v>
      </c>
      <c r="BE220" s="225">
        <v>0.34140413751578946</v>
      </c>
      <c r="BF220" s="257"/>
      <c r="BG220" s="257">
        <v>20425</v>
      </c>
      <c r="BH220" s="225">
        <v>0.1722553004874593</v>
      </c>
      <c r="BI220" s="225">
        <v>0.1813213689341677</v>
      </c>
      <c r="BJ220" s="257">
        <f t="shared" si="190"/>
        <v>112645.29999999999</v>
      </c>
      <c r="BK220" s="257">
        <v>20501.08207</v>
      </c>
      <c r="BL220" s="225">
        <f t="shared" si="171"/>
        <v>0.17289694258437768</v>
      </c>
      <c r="BM220" s="225">
        <f t="shared" si="194"/>
        <v>0.18199678166776601</v>
      </c>
      <c r="BN220" s="205">
        <f t="shared" si="183"/>
        <v>9805.362113000001</v>
      </c>
      <c r="BO220" s="205"/>
      <c r="BP220" s="227">
        <v>10000</v>
      </c>
      <c r="BQ220" s="224">
        <f t="shared" si="195"/>
        <v>8.4335520434496603E-2</v>
      </c>
      <c r="BR220" s="227">
        <f>BP220+2000</f>
        <v>12000</v>
      </c>
      <c r="BS220" s="224">
        <f t="shared" si="172"/>
        <v>0.10120262452139592</v>
      </c>
      <c r="BT220" s="227">
        <f>BR220+3000</f>
        <v>15000</v>
      </c>
      <c r="BU220" s="224">
        <f t="shared" si="173"/>
        <v>0.1265032806517449</v>
      </c>
      <c r="BV220" s="227">
        <f>BT220+3000</f>
        <v>18000</v>
      </c>
      <c r="BW220" s="224">
        <f t="shared" si="174"/>
        <v>0.15180393678209389</v>
      </c>
      <c r="BX220" s="227">
        <f>BV220+3000</f>
        <v>21000</v>
      </c>
      <c r="BY220" s="224">
        <f t="shared" si="175"/>
        <v>0.17710459291244288</v>
      </c>
      <c r="BZ220" s="227">
        <f>BX220+3000</f>
        <v>24000</v>
      </c>
      <c r="CA220" s="224">
        <f t="shared" si="176"/>
        <v>0.20240524904279183</v>
      </c>
      <c r="CB220" s="227">
        <f>BZ220+2500</f>
        <v>26500</v>
      </c>
      <c r="CC220" s="224">
        <f t="shared" si="202"/>
        <v>0.223489129151416</v>
      </c>
      <c r="CD220" s="227">
        <f>CB220+3000</f>
        <v>29500</v>
      </c>
      <c r="CE220" s="224">
        <f t="shared" si="203"/>
        <v>0.24878978528176499</v>
      </c>
      <c r="CF220" s="227">
        <f>CD220+3000</f>
        <v>32500</v>
      </c>
      <c r="CG220" s="224">
        <f t="shared" si="204"/>
        <v>0.27409044141211397</v>
      </c>
      <c r="CH220" s="227">
        <f>CF220+3000</f>
        <v>35500</v>
      </c>
      <c r="CI220" s="224">
        <f t="shared" si="205"/>
        <v>0.29939109754246296</v>
      </c>
      <c r="CJ220" s="227">
        <f>CH220+3000</f>
        <v>38500</v>
      </c>
      <c r="CK220" s="224">
        <f t="shared" si="179"/>
        <v>0.32469175367281189</v>
      </c>
      <c r="CL220" s="227">
        <f>CJ220+4000</f>
        <v>42500</v>
      </c>
      <c r="CM220" s="224">
        <f t="shared" si="180"/>
        <v>0.35842596184661057</v>
      </c>
      <c r="CN220" s="227">
        <f>CL220+5000</f>
        <v>47500</v>
      </c>
      <c r="CO220" s="224">
        <f t="shared" si="181"/>
        <v>0.40059372206385885</v>
      </c>
      <c r="CP220" s="213" t="str">
        <f t="shared" si="196"/>
        <v>Không đạt</v>
      </c>
      <c r="CQ220" s="213" t="str">
        <f t="shared" si="197"/>
        <v>Không đạt</v>
      </c>
      <c r="CR220" s="192"/>
      <c r="CS220" s="192"/>
      <c r="CT220" s="223"/>
      <c r="CU220" s="163"/>
      <c r="CW220" s="195"/>
      <c r="CX220" s="196"/>
      <c r="CY220" s="196"/>
      <c r="CZ220" s="197"/>
      <c r="DA220" s="196"/>
      <c r="DB220" s="196"/>
      <c r="DC220" s="196"/>
      <c r="DE220" s="199"/>
      <c r="DF220" s="200"/>
      <c r="DG220" s="181"/>
    </row>
    <row r="221" spans="1:111" outlineLevel="1" x14ac:dyDescent="0.25">
      <c r="A221" s="191" t="s">
        <v>29</v>
      </c>
      <c r="B221" s="210" t="s">
        <v>358</v>
      </c>
      <c r="C221" s="210"/>
      <c r="D221" s="245">
        <f>D222</f>
        <v>0</v>
      </c>
      <c r="E221" s="245">
        <f t="shared" ref="E221:L222" si="214">E222</f>
        <v>0</v>
      </c>
      <c r="F221" s="245">
        <f t="shared" si="214"/>
        <v>0</v>
      </c>
      <c r="G221" s="245">
        <f t="shared" si="214"/>
        <v>0</v>
      </c>
      <c r="H221" s="245">
        <f t="shared" si="214"/>
        <v>0</v>
      </c>
      <c r="I221" s="214">
        <f t="shared" si="214"/>
        <v>0</v>
      </c>
      <c r="J221" s="214"/>
      <c r="K221" s="245">
        <f t="shared" si="214"/>
        <v>0</v>
      </c>
      <c r="L221" s="214">
        <f t="shared" si="214"/>
        <v>0</v>
      </c>
      <c r="M221" s="223"/>
      <c r="N221" s="223"/>
      <c r="O221" s="214">
        <f t="shared" si="193"/>
        <v>0</v>
      </c>
      <c r="P221" s="214">
        <v>0</v>
      </c>
      <c r="Q221" s="258" t="e">
        <f t="shared" si="189"/>
        <v>#DIV/0!</v>
      </c>
      <c r="R221" s="214"/>
      <c r="S221" s="268"/>
      <c r="T221" s="268" t="e">
        <v>#DIV/0!</v>
      </c>
      <c r="U221" s="214"/>
      <c r="V221" s="268"/>
      <c r="W221" s="268" t="e">
        <v>#DIV/0!</v>
      </c>
      <c r="X221" s="214"/>
      <c r="Y221" s="268"/>
      <c r="Z221" s="268" t="e">
        <v>#DIV/0!</v>
      </c>
      <c r="AA221" s="214"/>
      <c r="AB221" s="268"/>
      <c r="AC221" s="268" t="e">
        <v>#DIV/0!</v>
      </c>
      <c r="AD221" s="214"/>
      <c r="AE221" s="268"/>
      <c r="AF221" s="268" t="e">
        <v>#DIV/0!</v>
      </c>
      <c r="AG221" s="214"/>
      <c r="AH221" s="268"/>
      <c r="AI221" s="268" t="e">
        <v>#DIV/0!</v>
      </c>
      <c r="AJ221" s="214"/>
      <c r="AK221" s="268"/>
      <c r="AL221" s="268" t="e">
        <v>#DIV/0!</v>
      </c>
      <c r="AM221" s="214"/>
      <c r="AN221" s="268"/>
      <c r="AO221" s="268" t="e">
        <v>#DIV/0!</v>
      </c>
      <c r="AP221" s="268"/>
      <c r="AQ221" s="214"/>
      <c r="AR221" s="268"/>
      <c r="AS221" s="268" t="e">
        <v>#DIV/0!</v>
      </c>
      <c r="AT221" s="214"/>
      <c r="AU221" s="268"/>
      <c r="AV221" s="268" t="e">
        <v>#DIV/0!</v>
      </c>
      <c r="AW221" s="268"/>
      <c r="AX221" s="268"/>
      <c r="AY221" s="268"/>
      <c r="AZ221" s="268"/>
      <c r="BA221" s="268"/>
      <c r="BB221" s="268"/>
      <c r="BC221" s="214"/>
      <c r="BD221" s="268"/>
      <c r="BE221" s="268" t="e">
        <v>#DIV/0!</v>
      </c>
      <c r="BF221" s="214"/>
      <c r="BG221" s="214"/>
      <c r="BH221" s="268"/>
      <c r="BI221" s="268" t="e">
        <v>#DIV/0!</v>
      </c>
      <c r="BJ221" s="214">
        <f t="shared" si="190"/>
        <v>0</v>
      </c>
      <c r="BK221" s="214"/>
      <c r="BL221" s="268"/>
      <c r="BM221" s="268" t="e">
        <f t="shared" si="194"/>
        <v>#DIV/0!</v>
      </c>
      <c r="BN221" s="205">
        <f t="shared" si="183"/>
        <v>0</v>
      </c>
      <c r="BO221" s="205"/>
      <c r="BP221" s="245"/>
      <c r="BQ221" s="258"/>
      <c r="BR221" s="245"/>
      <c r="BS221" s="258"/>
      <c r="BT221" s="245"/>
      <c r="BU221" s="258"/>
      <c r="BV221" s="245"/>
      <c r="BW221" s="258"/>
      <c r="BX221" s="245"/>
      <c r="BY221" s="258"/>
      <c r="BZ221" s="245"/>
      <c r="CA221" s="258"/>
      <c r="CB221" s="245"/>
      <c r="CC221" s="258"/>
      <c r="CD221" s="245"/>
      <c r="CE221" s="258"/>
      <c r="CF221" s="245"/>
      <c r="CG221" s="258"/>
      <c r="CH221" s="245"/>
      <c r="CI221" s="258"/>
      <c r="CJ221" s="245"/>
      <c r="CK221" s="258"/>
      <c r="CL221" s="245"/>
      <c r="CM221" s="258"/>
      <c r="CN221" s="245"/>
      <c r="CO221" s="258"/>
      <c r="CP221" s="213" t="e">
        <f t="shared" si="196"/>
        <v>#DIV/0!</v>
      </c>
      <c r="CQ221" s="213" t="e">
        <f t="shared" si="197"/>
        <v>#DIV/0!</v>
      </c>
      <c r="CR221" s="192"/>
      <c r="CS221" s="192"/>
      <c r="CT221" s="223"/>
      <c r="CU221" s="163"/>
      <c r="CW221" s="195"/>
      <c r="CX221" s="196"/>
      <c r="CY221" s="196"/>
      <c r="CZ221" s="197"/>
      <c r="DA221" s="196"/>
      <c r="DB221" s="196"/>
      <c r="DC221" s="196"/>
      <c r="DE221" s="199"/>
      <c r="DF221" s="200"/>
      <c r="DG221" s="181"/>
    </row>
    <row r="222" spans="1:111" outlineLevel="1" x14ac:dyDescent="0.25">
      <c r="A222" s="256" t="s">
        <v>34</v>
      </c>
      <c r="B222" s="210" t="s">
        <v>359</v>
      </c>
      <c r="C222" s="210"/>
      <c r="D222" s="214">
        <f>D223</f>
        <v>0</v>
      </c>
      <c r="E222" s="214">
        <f t="shared" si="214"/>
        <v>0</v>
      </c>
      <c r="F222" s="214">
        <f t="shared" si="214"/>
        <v>0</v>
      </c>
      <c r="G222" s="214">
        <f t="shared" si="214"/>
        <v>0</v>
      </c>
      <c r="H222" s="214">
        <f t="shared" si="214"/>
        <v>0</v>
      </c>
      <c r="I222" s="214">
        <f t="shared" si="214"/>
        <v>0</v>
      </c>
      <c r="J222" s="214"/>
      <c r="K222" s="214">
        <f t="shared" si="214"/>
        <v>0</v>
      </c>
      <c r="L222" s="214">
        <f t="shared" si="214"/>
        <v>0</v>
      </c>
      <c r="M222" s="223"/>
      <c r="N222" s="223"/>
      <c r="O222" s="214">
        <f t="shared" si="193"/>
        <v>0</v>
      </c>
      <c r="P222" s="214">
        <v>0</v>
      </c>
      <c r="Q222" s="258" t="e">
        <f t="shared" si="189"/>
        <v>#DIV/0!</v>
      </c>
      <c r="R222" s="214"/>
      <c r="S222" s="268"/>
      <c r="T222" s="268" t="e">
        <v>#DIV/0!</v>
      </c>
      <c r="U222" s="214"/>
      <c r="V222" s="268"/>
      <c r="W222" s="268" t="e">
        <v>#DIV/0!</v>
      </c>
      <c r="X222" s="214"/>
      <c r="Y222" s="268"/>
      <c r="Z222" s="268" t="e">
        <v>#DIV/0!</v>
      </c>
      <c r="AA222" s="214"/>
      <c r="AB222" s="268"/>
      <c r="AC222" s="268" t="e">
        <v>#DIV/0!</v>
      </c>
      <c r="AD222" s="214"/>
      <c r="AE222" s="268"/>
      <c r="AF222" s="268" t="e">
        <v>#DIV/0!</v>
      </c>
      <c r="AG222" s="214"/>
      <c r="AH222" s="268"/>
      <c r="AI222" s="268" t="e">
        <v>#DIV/0!</v>
      </c>
      <c r="AJ222" s="223"/>
      <c r="AK222" s="268"/>
      <c r="AL222" s="268" t="e">
        <v>#DIV/0!</v>
      </c>
      <c r="AM222" s="214"/>
      <c r="AN222" s="268"/>
      <c r="AO222" s="268" t="e">
        <v>#DIV/0!</v>
      </c>
      <c r="AP222" s="268"/>
      <c r="AQ222" s="214"/>
      <c r="AR222" s="268"/>
      <c r="AS222" s="268" t="e">
        <v>#DIV/0!</v>
      </c>
      <c r="AT222" s="214"/>
      <c r="AU222" s="268"/>
      <c r="AV222" s="268" t="e">
        <v>#DIV/0!</v>
      </c>
      <c r="AW222" s="268"/>
      <c r="AX222" s="268"/>
      <c r="AY222" s="268"/>
      <c r="AZ222" s="268"/>
      <c r="BA222" s="268"/>
      <c r="BB222" s="268"/>
      <c r="BC222" s="214"/>
      <c r="BD222" s="268"/>
      <c r="BE222" s="268" t="e">
        <v>#DIV/0!</v>
      </c>
      <c r="BF222" s="214"/>
      <c r="BG222" s="214"/>
      <c r="BH222" s="268"/>
      <c r="BI222" s="268" t="e">
        <v>#DIV/0!</v>
      </c>
      <c r="BJ222" s="214">
        <f t="shared" si="190"/>
        <v>0</v>
      </c>
      <c r="BK222" s="214"/>
      <c r="BL222" s="268"/>
      <c r="BM222" s="268" t="e">
        <f t="shared" si="194"/>
        <v>#DIV/0!</v>
      </c>
      <c r="BN222" s="205">
        <f t="shared" si="183"/>
        <v>0</v>
      </c>
      <c r="BO222" s="205"/>
      <c r="BP222" s="245"/>
      <c r="BQ222" s="258"/>
      <c r="BR222" s="245"/>
      <c r="BS222" s="258"/>
      <c r="BT222" s="245"/>
      <c r="BU222" s="258"/>
      <c r="BV222" s="245"/>
      <c r="BW222" s="258"/>
      <c r="BX222" s="245"/>
      <c r="BY222" s="258"/>
      <c r="BZ222" s="245"/>
      <c r="CA222" s="258"/>
      <c r="CB222" s="245"/>
      <c r="CC222" s="258"/>
      <c r="CD222" s="245"/>
      <c r="CE222" s="258"/>
      <c r="CF222" s="245"/>
      <c r="CG222" s="258"/>
      <c r="CH222" s="245"/>
      <c r="CI222" s="258"/>
      <c r="CJ222" s="245"/>
      <c r="CK222" s="258"/>
      <c r="CL222" s="245"/>
      <c r="CM222" s="258"/>
      <c r="CN222" s="245"/>
      <c r="CO222" s="258"/>
      <c r="CP222" s="213" t="e">
        <f t="shared" si="196"/>
        <v>#DIV/0!</v>
      </c>
      <c r="CQ222" s="213" t="e">
        <f t="shared" si="197"/>
        <v>#DIV/0!</v>
      </c>
      <c r="CR222" s="192"/>
      <c r="CS222" s="192"/>
      <c r="CT222" s="223"/>
      <c r="CU222" s="163"/>
      <c r="CW222" s="195"/>
      <c r="CX222" s="196"/>
      <c r="CY222" s="196"/>
      <c r="CZ222" s="197"/>
      <c r="DA222" s="196"/>
      <c r="DB222" s="196"/>
      <c r="DC222" s="196"/>
      <c r="DE222" s="199"/>
      <c r="DF222" s="200"/>
      <c r="DG222" s="181"/>
    </row>
    <row r="223" spans="1:111" ht="33.6" customHeight="1" outlineLevel="1" x14ac:dyDescent="0.25">
      <c r="A223" s="192">
        <f>MAX(A$219:$B222)+1</f>
        <v>2</v>
      </c>
      <c r="B223" s="247" t="s">
        <v>360</v>
      </c>
      <c r="C223" s="248"/>
      <c r="D223" s="214">
        <f>E223+F223</f>
        <v>0</v>
      </c>
      <c r="E223" s="205"/>
      <c r="F223" s="214">
        <f>G223+H223+K223+M223</f>
        <v>0</v>
      </c>
      <c r="G223" s="223"/>
      <c r="H223" s="223"/>
      <c r="I223" s="235"/>
      <c r="J223" s="235"/>
      <c r="K223" s="257"/>
      <c r="L223" s="235"/>
      <c r="M223" s="223"/>
      <c r="N223" s="223"/>
      <c r="O223" s="223">
        <f t="shared" si="193"/>
        <v>0</v>
      </c>
      <c r="P223" s="223">
        <v>0</v>
      </c>
      <c r="Q223" s="224" t="e">
        <f t="shared" si="189"/>
        <v>#DIV/0!</v>
      </c>
      <c r="R223" s="223"/>
      <c r="S223" s="225"/>
      <c r="T223" s="225" t="e">
        <v>#DIV/0!</v>
      </c>
      <c r="U223" s="223"/>
      <c r="V223" s="225"/>
      <c r="W223" s="225" t="e">
        <v>#DIV/0!</v>
      </c>
      <c r="X223" s="223"/>
      <c r="Y223" s="225"/>
      <c r="Z223" s="225" t="e">
        <v>#DIV/0!</v>
      </c>
      <c r="AA223" s="223"/>
      <c r="AB223" s="225"/>
      <c r="AC223" s="225" t="e">
        <v>#DIV/0!</v>
      </c>
      <c r="AD223" s="223"/>
      <c r="AE223" s="225"/>
      <c r="AF223" s="225" t="e">
        <v>#DIV/0!</v>
      </c>
      <c r="AG223" s="223"/>
      <c r="AH223" s="225"/>
      <c r="AI223" s="225" t="e">
        <v>#DIV/0!</v>
      </c>
      <c r="AJ223" s="205"/>
      <c r="AK223" s="225"/>
      <c r="AL223" s="225" t="e">
        <v>#DIV/0!</v>
      </c>
      <c r="AM223" s="223"/>
      <c r="AN223" s="225"/>
      <c r="AO223" s="225" t="e">
        <v>#DIV/0!</v>
      </c>
      <c r="AP223" s="225"/>
      <c r="AQ223" s="223"/>
      <c r="AR223" s="225"/>
      <c r="AS223" s="225" t="e">
        <v>#DIV/0!</v>
      </c>
      <c r="AT223" s="223"/>
      <c r="AU223" s="225"/>
      <c r="AV223" s="225" t="e">
        <v>#DIV/0!</v>
      </c>
      <c r="AW223" s="225"/>
      <c r="AX223" s="225"/>
      <c r="AY223" s="225"/>
      <c r="AZ223" s="225"/>
      <c r="BA223" s="225"/>
      <c r="BB223" s="225"/>
      <c r="BC223" s="223"/>
      <c r="BD223" s="225"/>
      <c r="BE223" s="225" t="e">
        <v>#DIV/0!</v>
      </c>
      <c r="BF223" s="223"/>
      <c r="BG223" s="223"/>
      <c r="BH223" s="225"/>
      <c r="BI223" s="225" t="e">
        <v>#DIV/0!</v>
      </c>
      <c r="BJ223" s="223">
        <f t="shared" si="190"/>
        <v>0</v>
      </c>
      <c r="BK223" s="223"/>
      <c r="BL223" s="225"/>
      <c r="BM223" s="225" t="e">
        <f t="shared" si="194"/>
        <v>#DIV/0!</v>
      </c>
      <c r="BN223" s="205">
        <f t="shared" si="183"/>
        <v>0</v>
      </c>
      <c r="BO223" s="205"/>
      <c r="BP223" s="227"/>
      <c r="BQ223" s="224"/>
      <c r="BR223" s="227"/>
      <c r="BS223" s="224"/>
      <c r="BT223" s="227"/>
      <c r="BU223" s="224"/>
      <c r="BV223" s="227"/>
      <c r="BW223" s="224"/>
      <c r="BX223" s="227"/>
      <c r="BY223" s="224"/>
      <c r="BZ223" s="227"/>
      <c r="CA223" s="224"/>
      <c r="CB223" s="227"/>
      <c r="CC223" s="224"/>
      <c r="CD223" s="227"/>
      <c r="CE223" s="224"/>
      <c r="CF223" s="227"/>
      <c r="CG223" s="224"/>
      <c r="CH223" s="227"/>
      <c r="CI223" s="224"/>
      <c r="CJ223" s="227"/>
      <c r="CK223" s="224"/>
      <c r="CL223" s="227"/>
      <c r="CM223" s="224"/>
      <c r="CN223" s="227"/>
      <c r="CO223" s="224"/>
      <c r="CP223" s="213" t="e">
        <f t="shared" si="196"/>
        <v>#DIV/0!</v>
      </c>
      <c r="CQ223" s="213" t="e">
        <f t="shared" si="197"/>
        <v>#DIV/0!</v>
      </c>
      <c r="CR223" s="192"/>
      <c r="CS223" s="192"/>
      <c r="CT223" s="223"/>
      <c r="CU223" s="163"/>
      <c r="CW223" s="195"/>
      <c r="CX223" s="196"/>
      <c r="CY223" s="196"/>
      <c r="CZ223" s="197"/>
      <c r="DA223" s="196"/>
      <c r="DB223" s="196"/>
      <c r="DC223" s="196"/>
      <c r="DE223" s="199"/>
      <c r="DF223" s="200"/>
      <c r="DG223" s="181"/>
    </row>
    <row r="224" spans="1:111" s="233" customFormat="1" ht="18" customHeight="1" x14ac:dyDescent="0.25">
      <c r="A224" s="191">
        <v>12</v>
      </c>
      <c r="B224" s="210" t="s">
        <v>361</v>
      </c>
      <c r="C224" s="210"/>
      <c r="D224" s="205">
        <f t="shared" ref="D224:I224" si="215">D227+D231+D225</f>
        <v>105673.814</v>
      </c>
      <c r="E224" s="205">
        <f t="shared" si="215"/>
        <v>81153.813999999998</v>
      </c>
      <c r="F224" s="205">
        <f t="shared" si="215"/>
        <v>24520</v>
      </c>
      <c r="G224" s="205">
        <f t="shared" si="215"/>
        <v>24520</v>
      </c>
      <c r="H224" s="205">
        <f t="shared" si="215"/>
        <v>0</v>
      </c>
      <c r="I224" s="205">
        <f t="shared" si="215"/>
        <v>0</v>
      </c>
      <c r="J224" s="205"/>
      <c r="K224" s="205">
        <f>K227+K231+K225</f>
        <v>0</v>
      </c>
      <c r="L224" s="205">
        <f>L227+L231+L225</f>
        <v>0</v>
      </c>
      <c r="M224" s="205">
        <f>M227+M231+M225</f>
        <v>0</v>
      </c>
      <c r="N224" s="205">
        <f>N227+N231+N225</f>
        <v>0</v>
      </c>
      <c r="O224" s="205">
        <f>O227+O231+O225</f>
        <v>24520</v>
      </c>
      <c r="P224" s="205">
        <v>2805</v>
      </c>
      <c r="Q224" s="186">
        <f t="shared" si="189"/>
        <v>2.6543945882373472E-2</v>
      </c>
      <c r="R224" s="205">
        <v>3745.926066</v>
      </c>
      <c r="S224" s="185">
        <v>3.6426633357843193E-2</v>
      </c>
      <c r="T224" s="185">
        <v>3.681472176464444E-2</v>
      </c>
      <c r="U224" s="205">
        <v>3745.926066</v>
      </c>
      <c r="V224" s="185">
        <v>3.6426633357843193E-2</v>
      </c>
      <c r="W224" s="185">
        <v>3.681472176464444E-2</v>
      </c>
      <c r="X224" s="205">
        <v>3745.926066</v>
      </c>
      <c r="Y224" s="185">
        <v>3.6426633357843193E-2</v>
      </c>
      <c r="Z224" s="185">
        <v>3.681472176464444E-2</v>
      </c>
      <c r="AA224" s="205">
        <v>3745.926066</v>
      </c>
      <c r="AB224" s="185">
        <v>3.6426633357843193E-2</v>
      </c>
      <c r="AC224" s="185">
        <v>3.681472176464444E-2</v>
      </c>
      <c r="AD224" s="205">
        <v>3745.926066</v>
      </c>
      <c r="AE224" s="185">
        <v>3.6426633357843193E-2</v>
      </c>
      <c r="AF224" s="185">
        <v>3.681472176464444E-2</v>
      </c>
      <c r="AG224" s="205">
        <v>3745.926066</v>
      </c>
      <c r="AH224" s="185">
        <v>3.6426633357843193E-2</v>
      </c>
      <c r="AI224" s="185">
        <v>3.681472176464444E-2</v>
      </c>
      <c r="AJ224" s="205">
        <v>3745.926066</v>
      </c>
      <c r="AK224" s="185">
        <v>3.6426633357843193E-2</v>
      </c>
      <c r="AL224" s="185">
        <v>3.681472176464444E-2</v>
      </c>
      <c r="AM224" s="205">
        <v>3745.926066</v>
      </c>
      <c r="AN224" s="185">
        <v>3.6426633357843193E-2</v>
      </c>
      <c r="AO224" s="185">
        <v>3.681472176464444E-2</v>
      </c>
      <c r="AP224" s="185"/>
      <c r="AQ224" s="205">
        <v>4496.1298120000001</v>
      </c>
      <c r="AR224" s="185">
        <v>4.3721864581774808E-2</v>
      </c>
      <c r="AS224" s="185">
        <v>4.4187676192780238E-2</v>
      </c>
      <c r="AT224" s="205">
        <v>4496.1298120000001</v>
      </c>
      <c r="AU224" s="185">
        <v>4.3721864581774808E-2</v>
      </c>
      <c r="AV224" s="185">
        <v>4.4187676192780238E-2</v>
      </c>
      <c r="AW224" s="185"/>
      <c r="AX224" s="185"/>
      <c r="AY224" s="185"/>
      <c r="AZ224" s="185"/>
      <c r="BA224" s="185"/>
      <c r="BB224" s="185"/>
      <c r="BC224" s="205">
        <v>4496.1298120000001</v>
      </c>
      <c r="BD224" s="185">
        <v>4.3721864581774808E-2</v>
      </c>
      <c r="BE224" s="185">
        <v>4.4187676192780238E-2</v>
      </c>
      <c r="BF224" s="205"/>
      <c r="BG224" s="205">
        <v>9330.2816659999989</v>
      </c>
      <c r="BH224" s="185">
        <v>8.8293223390233641E-2</v>
      </c>
      <c r="BI224" s="185">
        <v>8.9329602111155718E-2</v>
      </c>
      <c r="BJ224" s="205">
        <f t="shared" si="190"/>
        <v>104447.814</v>
      </c>
      <c r="BK224" s="205">
        <v>9338.7216660000013</v>
      </c>
      <c r="BL224" s="185">
        <f>BK224/$D224</f>
        <v>8.8373091804938561E-2</v>
      </c>
      <c r="BM224" s="185">
        <f t="shared" si="194"/>
        <v>8.9410408014858042E-2</v>
      </c>
      <c r="BN224" s="205">
        <f t="shared" si="183"/>
        <v>5592.7956000000013</v>
      </c>
      <c r="BO224" s="205"/>
      <c r="BP224" s="189">
        <f>BP227+BP231+BP225</f>
        <v>2173.2478449999999</v>
      </c>
      <c r="BQ224" s="186">
        <f t="shared" si="195"/>
        <v>2.0565623239452678E-2</v>
      </c>
      <c r="BR224" s="189">
        <f>BR227+BR231+BR225</f>
        <v>4733.307468</v>
      </c>
      <c r="BS224" s="186">
        <f>BR224/$D224</f>
        <v>4.4791678172986168E-2</v>
      </c>
      <c r="BT224" s="189">
        <f>BT227+BT231+BT225</f>
        <v>5962.1007730000001</v>
      </c>
      <c r="BU224" s="186">
        <f>BT224/$D224</f>
        <v>5.6419850361414989E-2</v>
      </c>
      <c r="BV224" s="189">
        <f>BV227+BV231+BV225</f>
        <v>7000.3850000000002</v>
      </c>
      <c r="BW224" s="186">
        <f>BV224/$D224</f>
        <v>6.6245219463735835E-2</v>
      </c>
      <c r="BX224" s="189">
        <f>BX227+BX231+BX225</f>
        <v>9305.7849999999999</v>
      </c>
      <c r="BY224" s="186">
        <f>BX224/$D224</f>
        <v>8.8061409423530412E-2</v>
      </c>
      <c r="BZ224" s="189">
        <f>BZ227+BZ231+BZ225</f>
        <v>13720.045</v>
      </c>
      <c r="CA224" s="186">
        <f>BZ224/$D224</f>
        <v>0.12983391514571435</v>
      </c>
      <c r="CB224" s="189">
        <f>CB227+CB231+CB225</f>
        <v>18210.044999999998</v>
      </c>
      <c r="CC224" s="186">
        <f>CB224/$D224</f>
        <v>0.17232315472213389</v>
      </c>
      <c r="CD224" s="189">
        <f>CD227+CD231+CD225</f>
        <v>24125.044999999998</v>
      </c>
      <c r="CE224" s="186">
        <f>CD224/$D224</f>
        <v>0.22829728659173784</v>
      </c>
      <c r="CF224" s="189">
        <f>CF227+CF231+CF225</f>
        <v>34393.044999999998</v>
      </c>
      <c r="CG224" s="186">
        <f>CF224/$D224</f>
        <v>0.32546421576115347</v>
      </c>
      <c r="CH224" s="189">
        <f>CH227+CH231+CH225</f>
        <v>38883.044999999998</v>
      </c>
      <c r="CI224" s="186">
        <f>CH224/$D224</f>
        <v>0.36795345533757301</v>
      </c>
      <c r="CJ224" s="189">
        <f>CJ227+CJ231+CJ225</f>
        <v>43943.044999999998</v>
      </c>
      <c r="CK224" s="186">
        <f>CJ224/$D224</f>
        <v>0.41583665183126634</v>
      </c>
      <c r="CL224" s="189">
        <f>CL227+CL231+CL225</f>
        <v>77644.600000000006</v>
      </c>
      <c r="CM224" s="186">
        <f>CL224/$D224</f>
        <v>0.7347572408051819</v>
      </c>
      <c r="CN224" s="189">
        <f>CN227+CN231+CN225</f>
        <v>101750.764</v>
      </c>
      <c r="CO224" s="186">
        <f>CN224/$D224</f>
        <v>0.96287585493980554</v>
      </c>
      <c r="CP224" s="213" t="str">
        <f t="shared" si="196"/>
        <v>Không đạt</v>
      </c>
      <c r="CQ224" s="213" t="str">
        <f t="shared" si="197"/>
        <v>Không đạt</v>
      </c>
      <c r="CR224" s="213"/>
      <c r="CS224" s="213"/>
      <c r="CT224" s="213"/>
      <c r="CU224" s="163"/>
      <c r="CV224" s="232"/>
      <c r="CW224" s="195"/>
      <c r="CX224" s="196"/>
      <c r="CY224" s="196"/>
      <c r="CZ224" s="197"/>
      <c r="DA224" s="196"/>
      <c r="DB224" s="196"/>
      <c r="DC224" s="196"/>
      <c r="DE224" s="199"/>
      <c r="DF224" s="200"/>
      <c r="DG224" s="181"/>
    </row>
    <row r="225" spans="1:111" s="219" customFormat="1" ht="30" customHeight="1" outlineLevel="1" x14ac:dyDescent="0.25">
      <c r="A225" s="191" t="s">
        <v>29</v>
      </c>
      <c r="B225" s="210" t="s">
        <v>155</v>
      </c>
      <c r="C225" s="210"/>
      <c r="D225" s="205">
        <f t="shared" ref="D225:I225" si="216">D226</f>
        <v>39985.813999999998</v>
      </c>
      <c r="E225" s="205">
        <f t="shared" si="216"/>
        <v>39985.813999999998</v>
      </c>
      <c r="F225" s="205">
        <f t="shared" si="216"/>
        <v>0</v>
      </c>
      <c r="G225" s="205">
        <f t="shared" si="216"/>
        <v>0</v>
      </c>
      <c r="H225" s="205">
        <f t="shared" si="216"/>
        <v>0</v>
      </c>
      <c r="I225" s="205">
        <f t="shared" si="216"/>
        <v>0</v>
      </c>
      <c r="J225" s="205"/>
      <c r="K225" s="205">
        <f t="shared" ref="K225:P225" si="217">K226</f>
        <v>0</v>
      </c>
      <c r="L225" s="205">
        <f t="shared" si="217"/>
        <v>0</v>
      </c>
      <c r="M225" s="205">
        <f t="shared" si="217"/>
        <v>0</v>
      </c>
      <c r="N225" s="205">
        <f t="shared" si="217"/>
        <v>0</v>
      </c>
      <c r="O225" s="205">
        <f t="shared" si="217"/>
        <v>0</v>
      </c>
      <c r="P225" s="205">
        <f t="shared" si="217"/>
        <v>0</v>
      </c>
      <c r="Q225" s="186">
        <f t="shared" si="189"/>
        <v>0</v>
      </c>
      <c r="R225" s="205">
        <v>0</v>
      </c>
      <c r="S225" s="185">
        <v>0</v>
      </c>
      <c r="T225" s="185">
        <v>0</v>
      </c>
      <c r="U225" s="205">
        <v>0</v>
      </c>
      <c r="V225" s="185">
        <v>0</v>
      </c>
      <c r="W225" s="185">
        <v>0</v>
      </c>
      <c r="X225" s="205">
        <v>0</v>
      </c>
      <c r="Y225" s="185">
        <v>0</v>
      </c>
      <c r="Z225" s="185">
        <v>0</v>
      </c>
      <c r="AA225" s="205">
        <v>0</v>
      </c>
      <c r="AB225" s="185">
        <v>0</v>
      </c>
      <c r="AC225" s="185">
        <v>0</v>
      </c>
      <c r="AD225" s="205">
        <v>0</v>
      </c>
      <c r="AE225" s="185">
        <v>0</v>
      </c>
      <c r="AF225" s="185">
        <v>0</v>
      </c>
      <c r="AG225" s="205">
        <v>0</v>
      </c>
      <c r="AH225" s="185">
        <v>0</v>
      </c>
      <c r="AI225" s="185">
        <v>0</v>
      </c>
      <c r="AJ225" s="215">
        <v>0</v>
      </c>
      <c r="AK225" s="185">
        <v>0</v>
      </c>
      <c r="AL225" s="185">
        <v>0</v>
      </c>
      <c r="AM225" s="205">
        <v>0</v>
      </c>
      <c r="AN225" s="185">
        <v>0</v>
      </c>
      <c r="AO225" s="185">
        <v>0</v>
      </c>
      <c r="AP225" s="185"/>
      <c r="AQ225" s="205">
        <v>570</v>
      </c>
      <c r="AR225" s="185">
        <v>1.4255055555452742E-2</v>
      </c>
      <c r="AS225" s="185">
        <v>1.4255055555452742E-2</v>
      </c>
      <c r="AT225" s="205">
        <v>570</v>
      </c>
      <c r="AU225" s="185">
        <v>1.4255055555452742E-2</v>
      </c>
      <c r="AV225" s="185">
        <v>1.4255055555452742E-2</v>
      </c>
      <c r="AW225" s="185"/>
      <c r="AX225" s="185"/>
      <c r="AY225" s="185"/>
      <c r="AZ225" s="185"/>
      <c r="BA225" s="185"/>
      <c r="BB225" s="185"/>
      <c r="BC225" s="205">
        <v>570</v>
      </c>
      <c r="BD225" s="185">
        <v>1.4255055555452742E-2</v>
      </c>
      <c r="BE225" s="185">
        <v>1.4255055555452742E-2</v>
      </c>
      <c r="BF225" s="205"/>
      <c r="BG225" s="205">
        <v>570</v>
      </c>
      <c r="BH225" s="185">
        <v>1.4255055555452742E-2</v>
      </c>
      <c r="BI225" s="185">
        <v>1.4255055555452742E-2</v>
      </c>
      <c r="BJ225" s="205">
        <f t="shared" si="190"/>
        <v>39985.813999999998</v>
      </c>
      <c r="BK225" s="205">
        <f>BK226</f>
        <v>570</v>
      </c>
      <c r="BL225" s="185">
        <f>BK225/$D225</f>
        <v>1.4255055555452742E-2</v>
      </c>
      <c r="BM225" s="185">
        <f t="shared" si="194"/>
        <v>1.4255055555452742E-2</v>
      </c>
      <c r="BN225" s="205">
        <f t="shared" si="183"/>
        <v>570</v>
      </c>
      <c r="BO225" s="205"/>
      <c r="BP225" s="189">
        <f>BP226</f>
        <v>0</v>
      </c>
      <c r="BQ225" s="186">
        <f t="shared" si="195"/>
        <v>0</v>
      </c>
      <c r="BR225" s="189">
        <f>BR226</f>
        <v>0</v>
      </c>
      <c r="BS225" s="186">
        <f>BR225/$D225</f>
        <v>0</v>
      </c>
      <c r="BT225" s="189">
        <f>BT226</f>
        <v>0</v>
      </c>
      <c r="BU225" s="186">
        <f>BT225/$D225</f>
        <v>0</v>
      </c>
      <c r="BV225" s="189">
        <f>BV226</f>
        <v>0</v>
      </c>
      <c r="BW225" s="186">
        <f>BV225/$D225</f>
        <v>0</v>
      </c>
      <c r="BX225" s="189">
        <f>BX226</f>
        <v>1000</v>
      </c>
      <c r="BY225" s="186">
        <f>BX225/$D225</f>
        <v>2.5008869395531125E-2</v>
      </c>
      <c r="BZ225" s="189">
        <f>BZ226</f>
        <v>4400</v>
      </c>
      <c r="CA225" s="186">
        <f>BZ225/$D225</f>
        <v>0.11003902534033695</v>
      </c>
      <c r="CB225" s="189">
        <f>CB226</f>
        <v>8800</v>
      </c>
      <c r="CC225" s="186">
        <f>CB225/$D225</f>
        <v>0.2200780506806739</v>
      </c>
      <c r="CD225" s="189">
        <f>CD226</f>
        <v>13200</v>
      </c>
      <c r="CE225" s="186">
        <f>CD225/$D225</f>
        <v>0.33011707602101087</v>
      </c>
      <c r="CF225" s="189">
        <f>CF226</f>
        <v>17600</v>
      </c>
      <c r="CG225" s="186">
        <f>CF225/$D225</f>
        <v>0.44015610136134781</v>
      </c>
      <c r="CH225" s="189">
        <f>CH226</f>
        <v>22000</v>
      </c>
      <c r="CI225" s="186">
        <f>CH225/$D225</f>
        <v>0.5501951267016848</v>
      </c>
      <c r="CJ225" s="189">
        <f>CJ226</f>
        <v>26400</v>
      </c>
      <c r="CK225" s="186">
        <f>CJ225/$D225</f>
        <v>0.66023415204202174</v>
      </c>
      <c r="CL225" s="189">
        <f>CL226</f>
        <v>33400</v>
      </c>
      <c r="CM225" s="186">
        <f>CL225/$D225</f>
        <v>0.83529623781073958</v>
      </c>
      <c r="CN225" s="189">
        <f>CN226</f>
        <v>39985.813999999998</v>
      </c>
      <c r="CO225" s="186">
        <f>CN225/$D225</f>
        <v>1</v>
      </c>
      <c r="CP225" s="213" t="str">
        <f t="shared" si="196"/>
        <v>Không đạt</v>
      </c>
      <c r="CQ225" s="213" t="str">
        <f t="shared" si="197"/>
        <v>Không đạt</v>
      </c>
      <c r="CR225" s="213"/>
      <c r="CS225" s="213"/>
      <c r="CT225" s="213"/>
      <c r="CU225" s="163"/>
      <c r="CV225" s="217"/>
      <c r="CW225" s="218"/>
      <c r="CX225" s="196"/>
      <c r="CY225" s="196"/>
      <c r="CZ225" s="197"/>
      <c r="DA225" s="196"/>
      <c r="DB225" s="196"/>
      <c r="DC225" s="196"/>
      <c r="DE225" s="199"/>
      <c r="DF225" s="200"/>
      <c r="DG225" s="181"/>
    </row>
    <row r="226" spans="1:111" s="233" customFormat="1" ht="38.25" outlineLevel="1" x14ac:dyDescent="0.25">
      <c r="A226" s="221">
        <v>1</v>
      </c>
      <c r="B226" s="222" t="s">
        <v>362</v>
      </c>
      <c r="C226" s="222" t="s">
        <v>363</v>
      </c>
      <c r="D226" s="214">
        <f>E226+F226</f>
        <v>39985.813999999998</v>
      </c>
      <c r="E226" s="215">
        <v>39985.813999999998</v>
      </c>
      <c r="F226" s="215"/>
      <c r="G226" s="215"/>
      <c r="H226" s="215"/>
      <c r="I226" s="215"/>
      <c r="J226" s="215"/>
      <c r="K226" s="215"/>
      <c r="L226" s="215"/>
      <c r="M226" s="223"/>
      <c r="N226" s="223"/>
      <c r="O226" s="215"/>
      <c r="P226" s="215">
        <v>0</v>
      </c>
      <c r="Q226" s="258">
        <f t="shared" si="189"/>
        <v>0</v>
      </c>
      <c r="R226" s="215">
        <v>0</v>
      </c>
      <c r="S226" s="268">
        <v>0</v>
      </c>
      <c r="T226" s="268">
        <v>0</v>
      </c>
      <c r="U226" s="215">
        <v>0</v>
      </c>
      <c r="V226" s="268">
        <v>0</v>
      </c>
      <c r="W226" s="268">
        <v>0</v>
      </c>
      <c r="X226" s="215">
        <v>0</v>
      </c>
      <c r="Y226" s="268">
        <v>0</v>
      </c>
      <c r="Z226" s="268">
        <v>0</v>
      </c>
      <c r="AA226" s="215">
        <v>0</v>
      </c>
      <c r="AB226" s="268">
        <v>0</v>
      </c>
      <c r="AC226" s="268">
        <v>0</v>
      </c>
      <c r="AD226" s="215">
        <v>0</v>
      </c>
      <c r="AE226" s="268">
        <v>0</v>
      </c>
      <c r="AF226" s="268">
        <v>0</v>
      </c>
      <c r="AG226" s="215">
        <v>0</v>
      </c>
      <c r="AH226" s="268">
        <v>0</v>
      </c>
      <c r="AI226" s="268">
        <v>0</v>
      </c>
      <c r="AJ226" s="245">
        <v>0</v>
      </c>
      <c r="AK226" s="268">
        <v>0</v>
      </c>
      <c r="AL226" s="268">
        <v>0</v>
      </c>
      <c r="AM226" s="215">
        <v>0</v>
      </c>
      <c r="AN226" s="268">
        <v>0</v>
      </c>
      <c r="AO226" s="268">
        <v>0</v>
      </c>
      <c r="AP226" s="268"/>
      <c r="AQ226" s="215">
        <v>570</v>
      </c>
      <c r="AR226" s="268">
        <v>1.4255055555452742E-2</v>
      </c>
      <c r="AS226" s="268">
        <v>1.4255055555452742E-2</v>
      </c>
      <c r="AT226" s="215">
        <v>570</v>
      </c>
      <c r="AU226" s="268">
        <v>1.4255055555452742E-2</v>
      </c>
      <c r="AV226" s="268">
        <v>1.4255055555452742E-2</v>
      </c>
      <c r="AW226" s="268"/>
      <c r="AX226" s="268"/>
      <c r="AY226" s="268"/>
      <c r="AZ226" s="268"/>
      <c r="BA226" s="268"/>
      <c r="BB226" s="268"/>
      <c r="BC226" s="215">
        <v>570</v>
      </c>
      <c r="BD226" s="268">
        <v>1.4255055555452742E-2</v>
      </c>
      <c r="BE226" s="268">
        <v>1.4255055555452742E-2</v>
      </c>
      <c r="BF226" s="215"/>
      <c r="BG226" s="215">
        <v>570</v>
      </c>
      <c r="BH226" s="268">
        <v>1.4255055555452742E-2</v>
      </c>
      <c r="BI226" s="268">
        <v>1.4255055555452742E-2</v>
      </c>
      <c r="BJ226" s="215">
        <f t="shared" si="190"/>
        <v>39985.813999999998</v>
      </c>
      <c r="BK226" s="215">
        <v>570</v>
      </c>
      <c r="BL226" s="268">
        <f>BK226/$D226</f>
        <v>1.4255055555452742E-2</v>
      </c>
      <c r="BM226" s="268">
        <f t="shared" si="194"/>
        <v>1.4255055555452742E-2</v>
      </c>
      <c r="BN226" s="205">
        <f t="shared" si="183"/>
        <v>570</v>
      </c>
      <c r="BO226" s="205"/>
      <c r="BP226" s="245">
        <v>0</v>
      </c>
      <c r="BQ226" s="258">
        <f t="shared" si="195"/>
        <v>0</v>
      </c>
      <c r="BR226" s="245">
        <v>0</v>
      </c>
      <c r="BS226" s="258">
        <f>BR226/$D226</f>
        <v>0</v>
      </c>
      <c r="BT226" s="245">
        <v>0</v>
      </c>
      <c r="BU226" s="258">
        <f>BT226/$D226</f>
        <v>0</v>
      </c>
      <c r="BV226" s="245">
        <v>0</v>
      </c>
      <c r="BW226" s="258">
        <f>BV226/$D226</f>
        <v>0</v>
      </c>
      <c r="BX226" s="245">
        <v>1000</v>
      </c>
      <c r="BY226" s="258">
        <f>BX226/$D226</f>
        <v>2.5008869395531125E-2</v>
      </c>
      <c r="BZ226" s="245">
        <f>BX226+3400</f>
        <v>4400</v>
      </c>
      <c r="CA226" s="258">
        <f>BZ226/$D226</f>
        <v>0.11003902534033695</v>
      </c>
      <c r="CB226" s="245">
        <f>BZ226+4400</f>
        <v>8800</v>
      </c>
      <c r="CC226" s="258">
        <f>CB226/$D226</f>
        <v>0.2200780506806739</v>
      </c>
      <c r="CD226" s="245">
        <f>CB226+4400</f>
        <v>13200</v>
      </c>
      <c r="CE226" s="258">
        <f>CD226/$D226</f>
        <v>0.33011707602101087</v>
      </c>
      <c r="CF226" s="245">
        <f>CD226+4400</f>
        <v>17600</v>
      </c>
      <c r="CG226" s="258">
        <f>CF226/$D226</f>
        <v>0.44015610136134781</v>
      </c>
      <c r="CH226" s="245">
        <f>CF226+4400</f>
        <v>22000</v>
      </c>
      <c r="CI226" s="258">
        <f>CH226/$D226</f>
        <v>0.5501951267016848</v>
      </c>
      <c r="CJ226" s="245">
        <f>CH226+4400</f>
        <v>26400</v>
      </c>
      <c r="CK226" s="258">
        <f>CJ226/$D226</f>
        <v>0.66023415204202174</v>
      </c>
      <c r="CL226" s="245">
        <f>CJ226+7000</f>
        <v>33400</v>
      </c>
      <c r="CM226" s="258">
        <f>CL226/$D226</f>
        <v>0.83529623781073958</v>
      </c>
      <c r="CN226" s="245">
        <f>E226</f>
        <v>39985.813999999998</v>
      </c>
      <c r="CO226" s="258">
        <f>CN226/$D226</f>
        <v>1</v>
      </c>
      <c r="CP226" s="213" t="str">
        <f t="shared" si="196"/>
        <v>Không đạt</v>
      </c>
      <c r="CQ226" s="213" t="str">
        <f t="shared" si="197"/>
        <v>Không đạt</v>
      </c>
      <c r="CR226" s="192"/>
      <c r="CS226" s="192"/>
      <c r="CT226" s="192"/>
      <c r="CU226" s="163"/>
      <c r="CV226" s="232"/>
      <c r="CW226" s="195"/>
      <c r="CX226" s="196"/>
      <c r="CY226" s="196"/>
      <c r="CZ226" s="197"/>
      <c r="DA226" s="196"/>
      <c r="DB226" s="196"/>
      <c r="DC226" s="196"/>
      <c r="DE226" s="199"/>
      <c r="DF226" s="200"/>
      <c r="DG226" s="181"/>
    </row>
    <row r="227" spans="1:111" s="255" customFormat="1" outlineLevel="1" x14ac:dyDescent="0.25">
      <c r="A227" s="191" t="s">
        <v>29</v>
      </c>
      <c r="B227" s="210" t="s">
        <v>157</v>
      </c>
      <c r="C227" s="210"/>
      <c r="D227" s="189">
        <f>D229+D228</f>
        <v>2839</v>
      </c>
      <c r="E227" s="189">
        <f t="shared" ref="E227:M227" si="218">E229+E228</f>
        <v>0</v>
      </c>
      <c r="F227" s="189">
        <f t="shared" si="218"/>
        <v>2839</v>
      </c>
      <c r="G227" s="189">
        <f t="shared" si="218"/>
        <v>2839</v>
      </c>
      <c r="H227" s="189">
        <f t="shared" si="218"/>
        <v>0</v>
      </c>
      <c r="I227" s="189">
        <f t="shared" si="218"/>
        <v>0</v>
      </c>
      <c r="J227" s="189">
        <f t="shared" si="218"/>
        <v>0</v>
      </c>
      <c r="K227" s="189">
        <f t="shared" si="218"/>
        <v>0</v>
      </c>
      <c r="L227" s="189">
        <f t="shared" si="218"/>
        <v>0</v>
      </c>
      <c r="M227" s="189">
        <f t="shared" si="218"/>
        <v>0</v>
      </c>
      <c r="N227" s="231"/>
      <c r="O227" s="188">
        <f t="shared" si="193"/>
        <v>2839</v>
      </c>
      <c r="P227" s="188">
        <v>27078.295252</v>
      </c>
      <c r="Q227" s="186">
        <f t="shared" si="189"/>
        <v>9.5379694441704821</v>
      </c>
      <c r="R227" s="189">
        <v>0</v>
      </c>
      <c r="S227" s="185"/>
      <c r="T227" s="185" t="e">
        <v>#DIV/0!</v>
      </c>
      <c r="U227" s="189">
        <v>0</v>
      </c>
      <c r="V227" s="185"/>
      <c r="W227" s="185" t="e">
        <v>#DIV/0!</v>
      </c>
      <c r="X227" s="189">
        <v>0</v>
      </c>
      <c r="Y227" s="185"/>
      <c r="Z227" s="185" t="e">
        <v>#DIV/0!</v>
      </c>
      <c r="AA227" s="189">
        <v>0</v>
      </c>
      <c r="AB227" s="185"/>
      <c r="AC227" s="185" t="e">
        <v>#DIV/0!</v>
      </c>
      <c r="AD227" s="189">
        <v>0</v>
      </c>
      <c r="AE227" s="185"/>
      <c r="AF227" s="185" t="e">
        <v>#DIV/0!</v>
      </c>
      <c r="AG227" s="189">
        <v>0</v>
      </c>
      <c r="AH227" s="185"/>
      <c r="AI227" s="185" t="e">
        <v>#DIV/0!</v>
      </c>
      <c r="AJ227" s="188">
        <v>0</v>
      </c>
      <c r="AK227" s="185"/>
      <c r="AL227" s="185" t="e">
        <v>#DIV/0!</v>
      </c>
      <c r="AM227" s="189">
        <v>0</v>
      </c>
      <c r="AN227" s="185"/>
      <c r="AO227" s="185" t="e">
        <v>#DIV/0!</v>
      </c>
      <c r="AP227" s="185"/>
      <c r="AQ227" s="189">
        <v>0</v>
      </c>
      <c r="AR227" s="185"/>
      <c r="AS227" s="185" t="e">
        <v>#DIV/0!</v>
      </c>
      <c r="AT227" s="189">
        <v>0</v>
      </c>
      <c r="AU227" s="185"/>
      <c r="AV227" s="185" t="e">
        <v>#DIV/0!</v>
      </c>
      <c r="AW227" s="185"/>
      <c r="AX227" s="185"/>
      <c r="AY227" s="185"/>
      <c r="AZ227" s="185"/>
      <c r="BA227" s="185"/>
      <c r="BB227" s="185"/>
      <c r="BC227" s="189">
        <f t="shared" ref="BC227" si="219">BC229+BC228</f>
        <v>0</v>
      </c>
      <c r="BD227" s="185"/>
      <c r="BE227" s="185" t="e">
        <v>#DIV/0!</v>
      </c>
      <c r="BF227" s="189"/>
      <c r="BG227" s="189">
        <v>2839</v>
      </c>
      <c r="BH227" s="185">
        <v>1</v>
      </c>
      <c r="BI227" s="185">
        <v>1</v>
      </c>
      <c r="BJ227" s="189">
        <f t="shared" si="190"/>
        <v>2697.0499999999997</v>
      </c>
      <c r="BK227" s="189">
        <f t="shared" ref="BK227" si="220">BK229+BK228</f>
        <v>2839</v>
      </c>
      <c r="BL227" s="185">
        <f t="shared" ref="BL227:BL228" si="221">BK227/$D227</f>
        <v>1</v>
      </c>
      <c r="BM227" s="185">
        <f>BK227/$D227</f>
        <v>1</v>
      </c>
      <c r="BN227" s="205">
        <f t="shared" si="183"/>
        <v>2839</v>
      </c>
      <c r="BO227" s="205"/>
      <c r="BP227" s="189">
        <f>BP229</f>
        <v>0</v>
      </c>
      <c r="BQ227" s="186"/>
      <c r="BR227" s="189"/>
      <c r="BS227" s="186"/>
      <c r="BT227" s="189"/>
      <c r="BU227" s="186"/>
      <c r="BV227" s="189"/>
      <c r="BW227" s="186"/>
      <c r="BX227" s="189"/>
      <c r="BY227" s="186"/>
      <c r="BZ227" s="189"/>
      <c r="CA227" s="186"/>
      <c r="CB227" s="189"/>
      <c r="CC227" s="186"/>
      <c r="CD227" s="189"/>
      <c r="CE227" s="186"/>
      <c r="CF227" s="189"/>
      <c r="CG227" s="186"/>
      <c r="CH227" s="189"/>
      <c r="CI227" s="186"/>
      <c r="CJ227" s="189"/>
      <c r="CK227" s="186"/>
      <c r="CL227" s="189"/>
      <c r="CM227" s="186"/>
      <c r="CN227" s="189"/>
      <c r="CO227" s="186"/>
      <c r="CP227" s="213" t="str">
        <f t="shared" si="196"/>
        <v>Đạt</v>
      </c>
      <c r="CQ227" s="213" t="str">
        <f t="shared" si="197"/>
        <v>Đạt</v>
      </c>
      <c r="CR227" s="213"/>
      <c r="CS227" s="213"/>
      <c r="CT227" s="231"/>
      <c r="CU227" s="163"/>
      <c r="CV227" s="252"/>
      <c r="CW227" s="253"/>
      <c r="CX227" s="254"/>
      <c r="CY227" s="254"/>
      <c r="CZ227" s="198"/>
      <c r="DA227" s="254"/>
      <c r="DB227" s="254"/>
      <c r="DC227" s="254"/>
      <c r="DE227" s="199"/>
      <c r="DF227" s="200"/>
      <c r="DG227" s="181"/>
    </row>
    <row r="228" spans="1:111" s="255" customFormat="1" outlineLevel="1" x14ac:dyDescent="0.25">
      <c r="A228" s="191" t="s">
        <v>34</v>
      </c>
      <c r="B228" s="210" t="s">
        <v>154</v>
      </c>
      <c r="C228" s="210"/>
      <c r="D228" s="188">
        <f>E228+F228</f>
        <v>2839</v>
      </c>
      <c r="E228" s="189"/>
      <c r="F228" s="188">
        <f>G228+H228+K228+M228</f>
        <v>2839</v>
      </c>
      <c r="G228" s="189">
        <v>2839</v>
      </c>
      <c r="H228" s="189"/>
      <c r="I228" s="188"/>
      <c r="J228" s="188"/>
      <c r="K228" s="189"/>
      <c r="L228" s="188"/>
      <c r="M228" s="231"/>
      <c r="N228" s="231"/>
      <c r="O228" s="188"/>
      <c r="P228" s="188"/>
      <c r="Q228" s="186"/>
      <c r="R228" s="189"/>
      <c r="S228" s="185"/>
      <c r="T228" s="185"/>
      <c r="U228" s="189"/>
      <c r="V228" s="185"/>
      <c r="W228" s="185"/>
      <c r="X228" s="189"/>
      <c r="Y228" s="185"/>
      <c r="Z228" s="185"/>
      <c r="AA228" s="189"/>
      <c r="AB228" s="185"/>
      <c r="AC228" s="185"/>
      <c r="AD228" s="189"/>
      <c r="AE228" s="185"/>
      <c r="AF228" s="185"/>
      <c r="AG228" s="189"/>
      <c r="AH228" s="185"/>
      <c r="AI228" s="185"/>
      <c r="AJ228" s="188"/>
      <c r="AK228" s="185"/>
      <c r="AL228" s="185"/>
      <c r="AM228" s="189"/>
      <c r="AN228" s="185"/>
      <c r="AO228" s="185"/>
      <c r="AP228" s="185"/>
      <c r="AQ228" s="189"/>
      <c r="AR228" s="185"/>
      <c r="AS228" s="185"/>
      <c r="AT228" s="189"/>
      <c r="AU228" s="185"/>
      <c r="AV228" s="185"/>
      <c r="AW228" s="185"/>
      <c r="AX228" s="185"/>
      <c r="AY228" s="185"/>
      <c r="AZ228" s="185"/>
      <c r="BA228" s="185"/>
      <c r="BB228" s="185"/>
      <c r="BC228" s="189"/>
      <c r="BD228" s="185"/>
      <c r="BE228" s="185"/>
      <c r="BF228" s="189"/>
      <c r="BG228" s="189">
        <v>2839</v>
      </c>
      <c r="BH228" s="185">
        <v>1</v>
      </c>
      <c r="BI228" s="185">
        <v>1</v>
      </c>
      <c r="BJ228" s="189">
        <f t="shared" si="190"/>
        <v>2697.0499999999997</v>
      </c>
      <c r="BK228" s="189">
        <v>2839</v>
      </c>
      <c r="BL228" s="185">
        <f t="shared" si="221"/>
        <v>1</v>
      </c>
      <c r="BM228" s="185">
        <f>BK228/$D228</f>
        <v>1</v>
      </c>
      <c r="BN228" s="185">
        <f t="shared" ref="BN228" si="222">BM228/$D228</f>
        <v>3.5223670306445932E-4</v>
      </c>
      <c r="BO228" s="185"/>
      <c r="BP228" s="185">
        <f t="shared" ref="BP228" si="223">BN228/$D228</f>
        <v>1.2407069498572009E-7</v>
      </c>
      <c r="BQ228" s="185">
        <f t="shared" ref="BQ228:CO228" si="224">BP228/$D228</f>
        <v>4.370225254868619E-11</v>
      </c>
      <c r="BR228" s="185">
        <f t="shared" si="224"/>
        <v>1.5393537354239588E-14</v>
      </c>
      <c r="BS228" s="185">
        <f t="shared" si="224"/>
        <v>5.4221688461569526E-18</v>
      </c>
      <c r="BT228" s="185">
        <f t="shared" si="224"/>
        <v>1.9098868778291485E-21</v>
      </c>
      <c r="BU228" s="185">
        <f t="shared" si="224"/>
        <v>6.727322570726131E-25</v>
      </c>
      <c r="BV228" s="185">
        <f t="shared" si="224"/>
        <v>2.3696099227636954E-28</v>
      </c>
      <c r="BW228" s="185">
        <f t="shared" si="224"/>
        <v>8.3466358674311218E-32</v>
      </c>
      <c r="BX228" s="185">
        <f t="shared" si="224"/>
        <v>2.9399914996235017E-35</v>
      </c>
      <c r="BY228" s="185">
        <f t="shared" si="224"/>
        <v>1.0355729128649178E-38</v>
      </c>
      <c r="BZ228" s="185">
        <f t="shared" si="224"/>
        <v>3.6476678861039726E-42</v>
      </c>
      <c r="CA228" s="185">
        <f t="shared" si="224"/>
        <v>1.284842510075369E-45</v>
      </c>
      <c r="CB228" s="185">
        <f t="shared" si="224"/>
        <v>4.5256868970601236E-49</v>
      </c>
      <c r="CC228" s="185">
        <f t="shared" si="224"/>
        <v>1.594113031722481E-52</v>
      </c>
      <c r="CD228" s="185">
        <f t="shared" si="224"/>
        <v>5.6150511860601654E-56</v>
      </c>
      <c r="CE228" s="185">
        <f t="shared" si="224"/>
        <v>1.9778271173160145E-59</v>
      </c>
      <c r="CF228" s="185">
        <f t="shared" si="224"/>
        <v>6.9666330303487651E-63</v>
      </c>
      <c r="CG228" s="185">
        <f t="shared" si="224"/>
        <v>2.4539038500700123E-66</v>
      </c>
      <c r="CH228" s="185">
        <f t="shared" si="224"/>
        <v>8.6435500178584444E-70</v>
      </c>
      <c r="CI228" s="185">
        <f t="shared" si="224"/>
        <v>3.0445755610632067E-73</v>
      </c>
      <c r="CJ228" s="185">
        <f t="shared" si="224"/>
        <v>1.0724112578595304E-76</v>
      </c>
      <c r="CK228" s="185">
        <f t="shared" si="224"/>
        <v>3.7774260579765075E-80</v>
      </c>
      <c r="CL228" s="185">
        <f t="shared" si="224"/>
        <v>1.3305481007314222E-83</v>
      </c>
      <c r="CM228" s="185">
        <f t="shared" si="224"/>
        <v>4.6866787627031423E-87</v>
      </c>
      <c r="CN228" s="185">
        <f t="shared" si="224"/>
        <v>1.6508202756967742E-90</v>
      </c>
      <c r="CO228" s="185">
        <f t="shared" si="224"/>
        <v>5.8147949126339349E-94</v>
      </c>
      <c r="CP228" s="213" t="str">
        <f t="shared" si="196"/>
        <v>Đạt</v>
      </c>
      <c r="CQ228" s="213" t="str">
        <f t="shared" si="197"/>
        <v>Đạt</v>
      </c>
      <c r="CR228" s="185"/>
      <c r="CS228" s="213"/>
      <c r="CT228" s="231"/>
      <c r="CU228" s="163"/>
      <c r="CV228" s="252"/>
      <c r="CW228" s="253"/>
      <c r="CX228" s="254"/>
      <c r="CY228" s="254"/>
      <c r="CZ228" s="198"/>
      <c r="DA228" s="254"/>
      <c r="DB228" s="254"/>
      <c r="DC228" s="254"/>
      <c r="DE228" s="199"/>
      <c r="DF228" s="200"/>
      <c r="DG228" s="181"/>
    </row>
    <row r="229" spans="1:111" outlineLevel="1" x14ac:dyDescent="0.25">
      <c r="A229" s="256" t="s">
        <v>34</v>
      </c>
      <c r="B229" s="210" t="s">
        <v>335</v>
      </c>
      <c r="C229" s="210"/>
      <c r="D229" s="214">
        <f t="shared" ref="D229:I229" si="225">D230</f>
        <v>0</v>
      </c>
      <c r="E229" s="214">
        <f t="shared" si="225"/>
        <v>0</v>
      </c>
      <c r="F229" s="214">
        <f t="shared" si="225"/>
        <v>0</v>
      </c>
      <c r="G229" s="214">
        <f t="shared" si="225"/>
        <v>0</v>
      </c>
      <c r="H229" s="214">
        <f t="shared" si="225"/>
        <v>0</v>
      </c>
      <c r="I229" s="214">
        <f t="shared" si="225"/>
        <v>0</v>
      </c>
      <c r="J229" s="214"/>
      <c r="K229" s="214">
        <f>K230</f>
        <v>0</v>
      </c>
      <c r="L229" s="214">
        <f>L230</f>
        <v>0</v>
      </c>
      <c r="M229" s="223"/>
      <c r="N229" s="223"/>
      <c r="O229" s="214">
        <f t="shared" si="193"/>
        <v>0</v>
      </c>
      <c r="P229" s="214">
        <v>10584.202748</v>
      </c>
      <c r="Q229" s="258" t="e">
        <f t="shared" si="189"/>
        <v>#DIV/0!</v>
      </c>
      <c r="R229" s="214">
        <v>0</v>
      </c>
      <c r="S229" s="268"/>
      <c r="T229" s="268" t="e">
        <v>#DIV/0!</v>
      </c>
      <c r="U229" s="214">
        <v>0</v>
      </c>
      <c r="V229" s="268"/>
      <c r="W229" s="268" t="e">
        <v>#DIV/0!</v>
      </c>
      <c r="X229" s="214">
        <v>0</v>
      </c>
      <c r="Y229" s="268"/>
      <c r="Z229" s="268" t="e">
        <v>#DIV/0!</v>
      </c>
      <c r="AA229" s="214">
        <v>0</v>
      </c>
      <c r="AB229" s="268"/>
      <c r="AC229" s="268" t="e">
        <v>#DIV/0!</v>
      </c>
      <c r="AD229" s="214">
        <v>0</v>
      </c>
      <c r="AE229" s="268"/>
      <c r="AF229" s="268" t="e">
        <v>#DIV/0!</v>
      </c>
      <c r="AG229" s="214">
        <v>0</v>
      </c>
      <c r="AH229" s="268"/>
      <c r="AI229" s="268" t="e">
        <v>#DIV/0!</v>
      </c>
      <c r="AJ229" s="272">
        <v>0</v>
      </c>
      <c r="AK229" s="268"/>
      <c r="AL229" s="268" t="e">
        <v>#DIV/0!</v>
      </c>
      <c r="AM229" s="214">
        <v>0</v>
      </c>
      <c r="AN229" s="268"/>
      <c r="AO229" s="268" t="e">
        <v>#DIV/0!</v>
      </c>
      <c r="AP229" s="268"/>
      <c r="AQ229" s="214">
        <v>0</v>
      </c>
      <c r="AR229" s="268"/>
      <c r="AS229" s="268" t="e">
        <v>#DIV/0!</v>
      </c>
      <c r="AT229" s="214">
        <v>0</v>
      </c>
      <c r="AU229" s="268"/>
      <c r="AV229" s="268" t="e">
        <v>#DIV/0!</v>
      </c>
      <c r="AW229" s="268"/>
      <c r="AX229" s="268"/>
      <c r="AY229" s="268"/>
      <c r="AZ229" s="268"/>
      <c r="BA229" s="268"/>
      <c r="BB229" s="268"/>
      <c r="BC229" s="214">
        <v>0</v>
      </c>
      <c r="BD229" s="268"/>
      <c r="BE229" s="268" t="e">
        <v>#DIV/0!</v>
      </c>
      <c r="BF229" s="214"/>
      <c r="BG229" s="214">
        <v>0</v>
      </c>
      <c r="BH229" s="268"/>
      <c r="BI229" s="268" t="e">
        <v>#DIV/0!</v>
      </c>
      <c r="BJ229" s="214">
        <f t="shared" si="190"/>
        <v>0</v>
      </c>
      <c r="BK229" s="214">
        <f>BK230</f>
        <v>0</v>
      </c>
      <c r="BL229" s="268"/>
      <c r="BM229" s="268" t="e">
        <f t="shared" si="194"/>
        <v>#DIV/0!</v>
      </c>
      <c r="BN229" s="205">
        <f t="shared" si="183"/>
        <v>0</v>
      </c>
      <c r="BO229" s="205"/>
      <c r="BP229" s="245">
        <f>BP230</f>
        <v>0</v>
      </c>
      <c r="BQ229" s="258"/>
      <c r="BR229" s="245"/>
      <c r="BS229" s="258"/>
      <c r="BT229" s="245"/>
      <c r="BU229" s="258"/>
      <c r="BV229" s="245"/>
      <c r="BW229" s="258"/>
      <c r="BX229" s="245"/>
      <c r="BY229" s="258"/>
      <c r="BZ229" s="245"/>
      <c r="CA229" s="258"/>
      <c r="CB229" s="245"/>
      <c r="CC229" s="258"/>
      <c r="CD229" s="245"/>
      <c r="CE229" s="258"/>
      <c r="CF229" s="245"/>
      <c r="CG229" s="258"/>
      <c r="CH229" s="245"/>
      <c r="CI229" s="258"/>
      <c r="CJ229" s="245"/>
      <c r="CK229" s="258"/>
      <c r="CL229" s="245"/>
      <c r="CM229" s="258"/>
      <c r="CN229" s="245"/>
      <c r="CO229" s="258"/>
      <c r="CP229" s="213" t="e">
        <f t="shared" si="196"/>
        <v>#DIV/0!</v>
      </c>
      <c r="CQ229" s="213" t="e">
        <f t="shared" si="197"/>
        <v>#DIV/0!</v>
      </c>
      <c r="CR229" s="192"/>
      <c r="CS229" s="192"/>
      <c r="CT229" s="223"/>
      <c r="CU229" s="163"/>
      <c r="CW229" s="195"/>
      <c r="CX229" s="196"/>
      <c r="CY229" s="196"/>
      <c r="CZ229" s="197"/>
      <c r="DA229" s="196"/>
      <c r="DB229" s="196"/>
      <c r="DC229" s="196"/>
      <c r="DE229" s="199"/>
      <c r="DF229" s="200"/>
      <c r="DG229" s="181"/>
    </row>
    <row r="230" spans="1:111" s="285" customFormat="1" ht="38.25" outlineLevel="1" x14ac:dyDescent="0.25">
      <c r="A230" s="273">
        <f>MAX(A226:B229)+1</f>
        <v>2</v>
      </c>
      <c r="B230" s="274" t="s">
        <v>364</v>
      </c>
      <c r="C230" s="274"/>
      <c r="D230" s="275">
        <f>E230+F230</f>
        <v>0</v>
      </c>
      <c r="E230" s="267"/>
      <c r="F230" s="275">
        <f>G230+H230+K230+M230</f>
        <v>0</v>
      </c>
      <c r="G230" s="276"/>
      <c r="H230" s="272"/>
      <c r="I230" s="277"/>
      <c r="J230" s="277"/>
      <c r="K230" s="272"/>
      <c r="L230" s="277"/>
      <c r="M230" s="272"/>
      <c r="N230" s="272"/>
      <c r="O230" s="272">
        <f t="shared" si="193"/>
        <v>0</v>
      </c>
      <c r="P230" s="272">
        <v>0</v>
      </c>
      <c r="Q230" s="278" t="e">
        <f t="shared" si="189"/>
        <v>#DIV/0!</v>
      </c>
      <c r="R230" s="272"/>
      <c r="S230" s="279"/>
      <c r="T230" s="279" t="e">
        <v>#DIV/0!</v>
      </c>
      <c r="U230" s="272"/>
      <c r="V230" s="279"/>
      <c r="W230" s="279" t="e">
        <v>#DIV/0!</v>
      </c>
      <c r="X230" s="272"/>
      <c r="Y230" s="279"/>
      <c r="Z230" s="279" t="e">
        <v>#DIV/0!</v>
      </c>
      <c r="AA230" s="272"/>
      <c r="AB230" s="279"/>
      <c r="AC230" s="279" t="e">
        <v>#DIV/0!</v>
      </c>
      <c r="AD230" s="272"/>
      <c r="AE230" s="279"/>
      <c r="AF230" s="279" t="e">
        <v>#DIV/0!</v>
      </c>
      <c r="AG230" s="272"/>
      <c r="AH230" s="279"/>
      <c r="AI230" s="279" t="e">
        <v>#DIV/0!</v>
      </c>
      <c r="AJ230" s="189"/>
      <c r="AK230" s="279"/>
      <c r="AL230" s="279" t="e">
        <v>#DIV/0!</v>
      </c>
      <c r="AM230" s="272"/>
      <c r="AN230" s="279"/>
      <c r="AO230" s="279" t="e">
        <v>#DIV/0!</v>
      </c>
      <c r="AP230" s="279"/>
      <c r="AQ230" s="272"/>
      <c r="AR230" s="279"/>
      <c r="AS230" s="279" t="e">
        <v>#DIV/0!</v>
      </c>
      <c r="AT230" s="272"/>
      <c r="AU230" s="279"/>
      <c r="AV230" s="279" t="e">
        <v>#DIV/0!</v>
      </c>
      <c r="AW230" s="279"/>
      <c r="AX230" s="279"/>
      <c r="AY230" s="279"/>
      <c r="AZ230" s="279"/>
      <c r="BA230" s="279"/>
      <c r="BB230" s="279"/>
      <c r="BC230" s="272"/>
      <c r="BD230" s="279"/>
      <c r="BE230" s="279" t="e">
        <v>#DIV/0!</v>
      </c>
      <c r="BF230" s="272"/>
      <c r="BG230" s="272"/>
      <c r="BH230" s="279"/>
      <c r="BI230" s="279" t="e">
        <v>#DIV/0!</v>
      </c>
      <c r="BJ230" s="272">
        <f t="shared" si="190"/>
        <v>0</v>
      </c>
      <c r="BK230" s="272"/>
      <c r="BL230" s="279"/>
      <c r="BM230" s="279" t="e">
        <f t="shared" si="194"/>
        <v>#DIV/0!</v>
      </c>
      <c r="BN230" s="205">
        <f t="shared" si="183"/>
        <v>0</v>
      </c>
      <c r="BO230" s="205"/>
      <c r="BP230" s="280"/>
      <c r="BQ230" s="278"/>
      <c r="BR230" s="280"/>
      <c r="BS230" s="278"/>
      <c r="BT230" s="280"/>
      <c r="BU230" s="278"/>
      <c r="BV230" s="280"/>
      <c r="BW230" s="278"/>
      <c r="BX230" s="280"/>
      <c r="BY230" s="278"/>
      <c r="BZ230" s="280"/>
      <c r="CA230" s="278"/>
      <c r="CB230" s="280"/>
      <c r="CC230" s="278"/>
      <c r="CD230" s="280"/>
      <c r="CE230" s="278"/>
      <c r="CF230" s="280"/>
      <c r="CG230" s="278"/>
      <c r="CH230" s="280"/>
      <c r="CI230" s="278"/>
      <c r="CJ230" s="280"/>
      <c r="CK230" s="278"/>
      <c r="CL230" s="280"/>
      <c r="CM230" s="278"/>
      <c r="CN230" s="280"/>
      <c r="CO230" s="278"/>
      <c r="CP230" s="213" t="e">
        <f t="shared" si="196"/>
        <v>#DIV/0!</v>
      </c>
      <c r="CQ230" s="213" t="e">
        <f t="shared" si="197"/>
        <v>#DIV/0!</v>
      </c>
      <c r="CR230" s="273"/>
      <c r="CS230" s="273"/>
      <c r="CT230" s="272"/>
      <c r="CU230" s="163"/>
      <c r="CV230" s="281"/>
      <c r="CW230" s="282"/>
      <c r="CX230" s="283"/>
      <c r="CY230" s="283"/>
      <c r="CZ230" s="284"/>
      <c r="DA230" s="283"/>
      <c r="DB230" s="283"/>
      <c r="DC230" s="283"/>
      <c r="DE230" s="286"/>
      <c r="DF230" s="287"/>
      <c r="DG230" s="181"/>
    </row>
    <row r="231" spans="1:111" ht="26.45" customHeight="1" outlineLevel="1" x14ac:dyDescent="0.25">
      <c r="A231" s="191" t="s">
        <v>29</v>
      </c>
      <c r="B231" s="210" t="s">
        <v>358</v>
      </c>
      <c r="C231" s="210"/>
      <c r="D231" s="189">
        <f t="shared" ref="D231:I231" si="226">+D232+D234</f>
        <v>62849</v>
      </c>
      <c r="E231" s="189">
        <f t="shared" si="226"/>
        <v>41168</v>
      </c>
      <c r="F231" s="189">
        <f t="shared" si="226"/>
        <v>21681</v>
      </c>
      <c r="G231" s="189">
        <f t="shared" si="226"/>
        <v>21681</v>
      </c>
      <c r="H231" s="189">
        <f t="shared" si="226"/>
        <v>0</v>
      </c>
      <c r="I231" s="239">
        <f t="shared" si="226"/>
        <v>0</v>
      </c>
      <c r="J231" s="239"/>
      <c r="K231" s="189">
        <f>+K232+K234</f>
        <v>0</v>
      </c>
      <c r="L231" s="239">
        <f>+L232+L234</f>
        <v>0</v>
      </c>
      <c r="M231" s="223"/>
      <c r="N231" s="223"/>
      <c r="O231" s="239">
        <f t="shared" si="193"/>
        <v>21681</v>
      </c>
      <c r="P231" s="239">
        <v>0</v>
      </c>
      <c r="Q231" s="186">
        <f t="shared" si="189"/>
        <v>0</v>
      </c>
      <c r="R231" s="189">
        <v>3745.926066</v>
      </c>
      <c r="S231" s="185">
        <v>5.9601999490843133E-2</v>
      </c>
      <c r="T231" s="185">
        <v>6.0648087078512977E-2</v>
      </c>
      <c r="U231" s="189">
        <v>3745.926066</v>
      </c>
      <c r="V231" s="185">
        <v>5.9601999490843133E-2</v>
      </c>
      <c r="W231" s="185">
        <v>6.0648087078512977E-2</v>
      </c>
      <c r="X231" s="189">
        <v>3745.926066</v>
      </c>
      <c r="Y231" s="185">
        <v>5.9601999490843133E-2</v>
      </c>
      <c r="Z231" s="185">
        <v>6.0648087078512977E-2</v>
      </c>
      <c r="AA231" s="189">
        <v>3745.926066</v>
      </c>
      <c r="AB231" s="185">
        <v>5.9601999490843133E-2</v>
      </c>
      <c r="AC231" s="185">
        <v>6.0648087078512977E-2</v>
      </c>
      <c r="AD231" s="189">
        <v>3745.926066</v>
      </c>
      <c r="AE231" s="185">
        <v>5.9601999490843133E-2</v>
      </c>
      <c r="AF231" s="185">
        <v>6.0648087078512977E-2</v>
      </c>
      <c r="AG231" s="189">
        <v>3745.926066</v>
      </c>
      <c r="AH231" s="185">
        <v>5.9601999490843133E-2</v>
      </c>
      <c r="AI231" s="185">
        <v>6.0648087078512977E-2</v>
      </c>
      <c r="AJ231" s="189">
        <v>3745.926066</v>
      </c>
      <c r="AK231" s="185">
        <v>5.9601999490843133E-2</v>
      </c>
      <c r="AL231" s="185">
        <v>6.0648087078512977E-2</v>
      </c>
      <c r="AM231" s="189">
        <v>3745.926066</v>
      </c>
      <c r="AN231" s="185">
        <v>5.9601999490843133E-2</v>
      </c>
      <c r="AO231" s="185">
        <v>6.0648087078512977E-2</v>
      </c>
      <c r="AP231" s="185"/>
      <c r="AQ231" s="189">
        <v>3926.1298120000001</v>
      </c>
      <c r="AR231" s="185">
        <v>6.2469248707218893E-2</v>
      </c>
      <c r="AS231" s="185">
        <v>6.3565660006200939E-2</v>
      </c>
      <c r="AT231" s="189">
        <v>3926.1298120000001</v>
      </c>
      <c r="AU231" s="185">
        <v>6.2469248707218893E-2</v>
      </c>
      <c r="AV231" s="185">
        <v>6.3565660006200939E-2</v>
      </c>
      <c r="AW231" s="185"/>
      <c r="AX231" s="185"/>
      <c r="AY231" s="185"/>
      <c r="AZ231" s="185"/>
      <c r="BA231" s="185"/>
      <c r="BB231" s="185"/>
      <c r="BC231" s="189">
        <v>3926.1298120000001</v>
      </c>
      <c r="BD231" s="185">
        <v>6.2469248707218893E-2</v>
      </c>
      <c r="BE231" s="185">
        <v>6.3565660006200939E-2</v>
      </c>
      <c r="BF231" s="189"/>
      <c r="BG231" s="189">
        <v>5921.2816659999999</v>
      </c>
      <c r="BH231" s="185">
        <v>9.4214413371732239E-2</v>
      </c>
      <c r="BI231" s="185">
        <v>9.5867990923654917E-2</v>
      </c>
      <c r="BJ231" s="189">
        <f t="shared" si="190"/>
        <v>61764.95</v>
      </c>
      <c r="BK231" s="189">
        <f>+BK232+BK234</f>
        <v>5921.2816659999999</v>
      </c>
      <c r="BL231" s="185">
        <f t="shared" ref="BL231:BL264" si="227">BK231/$D231</f>
        <v>9.4214413371732239E-2</v>
      </c>
      <c r="BM231" s="185">
        <f t="shared" si="194"/>
        <v>9.5867990923654917E-2</v>
      </c>
      <c r="BN231" s="205">
        <f t="shared" si="183"/>
        <v>2175.3555999999999</v>
      </c>
      <c r="BO231" s="205"/>
      <c r="BP231" s="189">
        <f>+BP232+BP234</f>
        <v>2173.2478449999999</v>
      </c>
      <c r="BQ231" s="186">
        <f t="shared" si="195"/>
        <v>3.457887707043867E-2</v>
      </c>
      <c r="BR231" s="189">
        <f>+BR232+BR234</f>
        <v>4733.307468</v>
      </c>
      <c r="BS231" s="186">
        <f t="shared" ref="BS231:BS263" si="228">BR231/$D231</f>
        <v>7.531237518496714E-2</v>
      </c>
      <c r="BT231" s="189">
        <f>+BT232+BT234</f>
        <v>5962.1007730000001</v>
      </c>
      <c r="BU231" s="186">
        <f t="shared" ref="BU231:BW246" si="229">BT231/$D231</f>
        <v>9.4863892392878166E-2</v>
      </c>
      <c r="BV231" s="189">
        <f>+BV232+BV234</f>
        <v>7000.3850000000002</v>
      </c>
      <c r="BW231" s="186">
        <f t="shared" ref="BW231:BW243" si="230">BV231/$D231</f>
        <v>0.11138419067924708</v>
      </c>
      <c r="BX231" s="189">
        <f>+BX232+BX234</f>
        <v>8305.7849999999999</v>
      </c>
      <c r="BY231" s="186">
        <f t="shared" ref="BY231:BY263" si="231">BX231/$D231</f>
        <v>0.13215460866521345</v>
      </c>
      <c r="BZ231" s="189">
        <f>+BZ232+BZ234</f>
        <v>9320.0450000000001</v>
      </c>
      <c r="CA231" s="186">
        <f t="shared" ref="CA231:CA263" si="232">BZ231/$D231</f>
        <v>0.14829265382106319</v>
      </c>
      <c r="CB231" s="189">
        <f>+CB232+CB234</f>
        <v>9410.0450000000001</v>
      </c>
      <c r="CC231" s="186">
        <f t="shared" ref="CC231:CC263" si="233">CB231/$D231</f>
        <v>0.14972465751245048</v>
      </c>
      <c r="CD231" s="189">
        <f>+CD232+CD234</f>
        <v>10925.045</v>
      </c>
      <c r="CE231" s="186">
        <f t="shared" ref="CE231:CE263" si="234">CD231/$D231</f>
        <v>0.17383005298413659</v>
      </c>
      <c r="CF231" s="189">
        <f>+CF232+CF234</f>
        <v>16793.044999999998</v>
      </c>
      <c r="CG231" s="186">
        <f t="shared" ref="CG231:CG263" si="235">CF231/$D231</f>
        <v>0.26719669366258808</v>
      </c>
      <c r="CH231" s="189">
        <f>+CH232+CH234</f>
        <v>16883.044999999998</v>
      </c>
      <c r="CI231" s="186">
        <f t="shared" ref="CI231:CI263" si="236">CH231/$D231</f>
        <v>0.26862869735397538</v>
      </c>
      <c r="CJ231" s="189">
        <f>+CJ232+CJ234</f>
        <v>17543.044999999998</v>
      </c>
      <c r="CK231" s="186">
        <f t="shared" ref="CK231:CK263" si="237">CJ231/$D231</f>
        <v>0.27913005775748218</v>
      </c>
      <c r="CL231" s="189">
        <f>+CL232+CL234</f>
        <v>44244.6</v>
      </c>
      <c r="CM231" s="186">
        <f t="shared" ref="CM231:CM263" si="238">CL231/$D231</f>
        <v>0.70398256137726933</v>
      </c>
      <c r="CN231" s="189">
        <f>+CN232+CN234</f>
        <v>61764.95</v>
      </c>
      <c r="CO231" s="186">
        <f t="shared" ref="CO231:CO263" si="239">CN231/$D231</f>
        <v>0.98275151553724005</v>
      </c>
      <c r="CP231" s="213" t="str">
        <f t="shared" si="196"/>
        <v>Không đạt</v>
      </c>
      <c r="CQ231" s="213" t="str">
        <f t="shared" si="197"/>
        <v>Không đạt</v>
      </c>
      <c r="CR231" s="192"/>
      <c r="CS231" s="192"/>
      <c r="CT231" s="223"/>
      <c r="CU231" s="163"/>
      <c r="CW231" s="195"/>
      <c r="CX231" s="196"/>
      <c r="CY231" s="196"/>
      <c r="CZ231" s="197"/>
      <c r="DA231" s="196"/>
      <c r="DB231" s="196"/>
      <c r="DC231" s="196"/>
      <c r="DE231" s="199"/>
      <c r="DF231" s="200"/>
      <c r="DG231" s="181"/>
    </row>
    <row r="232" spans="1:111" outlineLevel="1" x14ac:dyDescent="0.25">
      <c r="A232" s="256" t="s">
        <v>34</v>
      </c>
      <c r="B232" s="210" t="s">
        <v>359</v>
      </c>
      <c r="C232" s="210"/>
      <c r="D232" s="189">
        <f t="shared" ref="D232:I232" si="240">+D233</f>
        <v>57349</v>
      </c>
      <c r="E232" s="189">
        <f t="shared" si="240"/>
        <v>41168</v>
      </c>
      <c r="F232" s="189">
        <f t="shared" si="240"/>
        <v>16181</v>
      </c>
      <c r="G232" s="189">
        <f t="shared" si="240"/>
        <v>16181</v>
      </c>
      <c r="H232" s="189">
        <f t="shared" si="240"/>
        <v>0</v>
      </c>
      <c r="I232" s="189">
        <f t="shared" si="240"/>
        <v>0</v>
      </c>
      <c r="J232" s="189"/>
      <c r="K232" s="189">
        <f>+K233</f>
        <v>0</v>
      </c>
      <c r="L232" s="189">
        <f>+L233</f>
        <v>0</v>
      </c>
      <c r="M232" s="223"/>
      <c r="N232" s="223"/>
      <c r="O232" s="189">
        <f t="shared" si="193"/>
        <v>16181</v>
      </c>
      <c r="P232" s="189">
        <v>0</v>
      </c>
      <c r="Q232" s="186">
        <f t="shared" si="189"/>
        <v>0</v>
      </c>
      <c r="R232" s="189">
        <v>2805.7962539999999</v>
      </c>
      <c r="S232" s="185">
        <v>4.8924937732131336E-2</v>
      </c>
      <c r="T232" s="185">
        <v>4.9625021847384015E-2</v>
      </c>
      <c r="U232" s="189">
        <v>2805.7962539999999</v>
      </c>
      <c r="V232" s="185">
        <v>4.8924937732131336E-2</v>
      </c>
      <c r="W232" s="185">
        <v>4.9625021847384015E-2</v>
      </c>
      <c r="X232" s="189">
        <v>2805.7962539999999</v>
      </c>
      <c r="Y232" s="185">
        <v>4.8924937732131336E-2</v>
      </c>
      <c r="Z232" s="185">
        <v>4.9625021847384015E-2</v>
      </c>
      <c r="AA232" s="189">
        <v>2805.7962539999999</v>
      </c>
      <c r="AB232" s="185">
        <v>4.8924937732131336E-2</v>
      </c>
      <c r="AC232" s="185">
        <v>4.9625021847384015E-2</v>
      </c>
      <c r="AD232" s="189">
        <v>2805.7962539999999</v>
      </c>
      <c r="AE232" s="185">
        <v>4.8924937732131336E-2</v>
      </c>
      <c r="AF232" s="185">
        <v>4.9625021847384015E-2</v>
      </c>
      <c r="AG232" s="189">
        <v>2805.7962539999999</v>
      </c>
      <c r="AH232" s="185">
        <v>4.8924937732131336E-2</v>
      </c>
      <c r="AI232" s="185">
        <v>4.9625021847384015E-2</v>
      </c>
      <c r="AJ232" s="288">
        <v>2805.7962539999999</v>
      </c>
      <c r="AK232" s="185">
        <v>4.8924937732131336E-2</v>
      </c>
      <c r="AL232" s="185">
        <v>4.9625021847384015E-2</v>
      </c>
      <c r="AM232" s="189">
        <v>2805.7962539999999</v>
      </c>
      <c r="AN232" s="185">
        <v>4.8924937732131336E-2</v>
      </c>
      <c r="AO232" s="185">
        <v>4.9625021847384015E-2</v>
      </c>
      <c r="AP232" s="185"/>
      <c r="AQ232" s="189">
        <v>2986</v>
      </c>
      <c r="AR232" s="185">
        <v>5.2067167692549127E-2</v>
      </c>
      <c r="AS232" s="185">
        <v>5.2812215079779873E-2</v>
      </c>
      <c r="AT232" s="189">
        <v>2986</v>
      </c>
      <c r="AU232" s="185">
        <v>5.2067167692549127E-2</v>
      </c>
      <c r="AV232" s="185">
        <v>5.2812215079779873E-2</v>
      </c>
      <c r="AW232" s="185"/>
      <c r="AX232" s="185"/>
      <c r="AY232" s="185"/>
      <c r="AZ232" s="185"/>
      <c r="BA232" s="185"/>
      <c r="BB232" s="185"/>
      <c r="BC232" s="189">
        <v>2986</v>
      </c>
      <c r="BD232" s="185">
        <v>5.2067167692549127E-2</v>
      </c>
      <c r="BE232" s="185">
        <v>5.2812215079779873E-2</v>
      </c>
      <c r="BF232" s="189"/>
      <c r="BG232" s="189">
        <v>4981.1518539999997</v>
      </c>
      <c r="BH232" s="185">
        <v>8.685682146157736E-2</v>
      </c>
      <c r="BI232" s="185">
        <v>8.8099686221866133E-2</v>
      </c>
      <c r="BJ232" s="189">
        <f t="shared" si="190"/>
        <v>56539.95</v>
      </c>
      <c r="BK232" s="189">
        <f>+BK233</f>
        <v>4981.1518539999997</v>
      </c>
      <c r="BL232" s="185">
        <f t="shared" si="227"/>
        <v>8.685682146157736E-2</v>
      </c>
      <c r="BM232" s="185">
        <f t="shared" si="194"/>
        <v>8.8099686221866133E-2</v>
      </c>
      <c r="BN232" s="205">
        <f t="shared" si="183"/>
        <v>2175.3555999999999</v>
      </c>
      <c r="BO232" s="205"/>
      <c r="BP232" s="189">
        <f>+BP233</f>
        <v>2173.2478449999999</v>
      </c>
      <c r="BQ232" s="186">
        <f t="shared" si="195"/>
        <v>3.7895130603846618E-2</v>
      </c>
      <c r="BR232" s="189">
        <f>+BR233</f>
        <v>4258.307468</v>
      </c>
      <c r="BS232" s="186">
        <f t="shared" si="228"/>
        <v>7.4252514743064393E-2</v>
      </c>
      <c r="BT232" s="189">
        <f>+BT233</f>
        <v>5487.1007730000001</v>
      </c>
      <c r="BU232" s="186">
        <f t="shared" si="229"/>
        <v>9.5679101170029118E-2</v>
      </c>
      <c r="BV232" s="189">
        <f>+BV233</f>
        <v>6525.3850000000002</v>
      </c>
      <c r="BW232" s="186">
        <f t="shared" si="230"/>
        <v>0.11378376257650526</v>
      </c>
      <c r="BX232" s="189">
        <f>+BX233</f>
        <v>7830.7849999999999</v>
      </c>
      <c r="BY232" s="186">
        <f t="shared" si="231"/>
        <v>0.13654614727371009</v>
      </c>
      <c r="BZ232" s="189">
        <f>+BZ233</f>
        <v>8245.0450000000001</v>
      </c>
      <c r="CA232" s="186">
        <f t="shared" si="232"/>
        <v>0.14376963852900662</v>
      </c>
      <c r="CB232" s="189">
        <f>+CB233</f>
        <v>8335.0450000000001</v>
      </c>
      <c r="CC232" s="186">
        <f t="shared" si="233"/>
        <v>0.14533897713996757</v>
      </c>
      <c r="CD232" s="189">
        <f>+CD233</f>
        <v>8425.0450000000001</v>
      </c>
      <c r="CE232" s="186">
        <f t="shared" si="234"/>
        <v>0.14690831575092853</v>
      </c>
      <c r="CF232" s="189">
        <f>+CF233</f>
        <v>12918.045</v>
      </c>
      <c r="CG232" s="186">
        <f t="shared" si="235"/>
        <v>0.22525318662923505</v>
      </c>
      <c r="CH232" s="189">
        <f>+CH233</f>
        <v>13008.045</v>
      </c>
      <c r="CI232" s="186">
        <f t="shared" si="236"/>
        <v>0.226822525240196</v>
      </c>
      <c r="CJ232" s="189">
        <f>+CJ233</f>
        <v>13098.045</v>
      </c>
      <c r="CK232" s="186">
        <f t="shared" si="237"/>
        <v>0.22839186385115695</v>
      </c>
      <c r="CL232" s="189">
        <f>+CL233</f>
        <v>39199.599999999999</v>
      </c>
      <c r="CM232" s="186">
        <f t="shared" si="238"/>
        <v>0.6835271757136131</v>
      </c>
      <c r="CN232" s="189">
        <f>+CN233</f>
        <v>56539.95</v>
      </c>
      <c r="CO232" s="186">
        <f t="shared" si="239"/>
        <v>0.98589251774224484</v>
      </c>
      <c r="CP232" s="213" t="str">
        <f t="shared" si="196"/>
        <v>Không đạt</v>
      </c>
      <c r="CQ232" s="213" t="str">
        <f t="shared" si="197"/>
        <v>Không đạt</v>
      </c>
      <c r="CR232" s="192"/>
      <c r="CS232" s="192"/>
      <c r="CT232" s="223"/>
      <c r="CU232" s="163"/>
      <c r="CW232" s="195"/>
      <c r="CX232" s="196"/>
      <c r="CY232" s="196"/>
      <c r="CZ232" s="197"/>
      <c r="DA232" s="196"/>
      <c r="DB232" s="196"/>
      <c r="DC232" s="196"/>
      <c r="DE232" s="199"/>
      <c r="DF232" s="200"/>
      <c r="DG232" s="181"/>
    </row>
    <row r="233" spans="1:111" ht="25.5" outlineLevel="1" x14ac:dyDescent="0.25">
      <c r="A233" s="192">
        <f>MAX(A$230:$B232)+1</f>
        <v>3</v>
      </c>
      <c r="B233" s="289" t="s">
        <v>365</v>
      </c>
      <c r="C233" s="289">
        <v>7948810</v>
      </c>
      <c r="D233" s="214">
        <f>E233+F233</f>
        <v>57349</v>
      </c>
      <c r="E233" s="215">
        <v>41168</v>
      </c>
      <c r="F233" s="214">
        <f>G233+H233+K233+M233</f>
        <v>16181</v>
      </c>
      <c r="G233" s="257">
        <v>16181</v>
      </c>
      <c r="H233" s="223"/>
      <c r="I233" s="235"/>
      <c r="J233" s="235"/>
      <c r="K233" s="223"/>
      <c r="L233" s="235"/>
      <c r="M233" s="223"/>
      <c r="N233" s="223"/>
      <c r="O233" s="223">
        <f t="shared" si="193"/>
        <v>16181</v>
      </c>
      <c r="P233" s="223">
        <v>2805</v>
      </c>
      <c r="Q233" s="258">
        <f t="shared" si="189"/>
        <v>4.8911053374949866E-2</v>
      </c>
      <c r="R233" s="223">
        <v>2805.7962539999999</v>
      </c>
      <c r="S233" s="268">
        <v>4.8924937732131336E-2</v>
      </c>
      <c r="T233" s="268">
        <v>4.9625021847384015E-2</v>
      </c>
      <c r="U233" s="223">
        <v>2805.7962539999999</v>
      </c>
      <c r="V233" s="268">
        <v>4.8924937732131336E-2</v>
      </c>
      <c r="W233" s="268">
        <v>4.9625021847384015E-2</v>
      </c>
      <c r="X233" s="223">
        <v>2805.7962539999999</v>
      </c>
      <c r="Y233" s="268">
        <v>4.8924937732131336E-2</v>
      </c>
      <c r="Z233" s="268">
        <v>4.9625021847384015E-2</v>
      </c>
      <c r="AA233" s="223">
        <v>2805.7962539999999</v>
      </c>
      <c r="AB233" s="268">
        <v>4.8924937732131336E-2</v>
      </c>
      <c r="AC233" s="268">
        <v>4.9625021847384015E-2</v>
      </c>
      <c r="AD233" s="223">
        <v>2805.7962539999999</v>
      </c>
      <c r="AE233" s="268">
        <v>4.8924937732131336E-2</v>
      </c>
      <c r="AF233" s="268">
        <v>4.9625021847384015E-2</v>
      </c>
      <c r="AG233" s="288">
        <v>2805.7962539999999</v>
      </c>
      <c r="AH233" s="268">
        <v>4.8924937732131336E-2</v>
      </c>
      <c r="AI233" s="268">
        <v>4.9625021847384015E-2</v>
      </c>
      <c r="AJ233" s="188">
        <v>2805.7962539999999</v>
      </c>
      <c r="AK233" s="268">
        <v>4.8924937732131336E-2</v>
      </c>
      <c r="AL233" s="268">
        <v>4.9625021847384015E-2</v>
      </c>
      <c r="AM233" s="288">
        <v>2805.7962539999999</v>
      </c>
      <c r="AN233" s="268">
        <v>4.8924937732131336E-2</v>
      </c>
      <c r="AO233" s="268">
        <v>4.9625021847384015E-2</v>
      </c>
      <c r="AP233" s="268"/>
      <c r="AQ233" s="271">
        <v>2986</v>
      </c>
      <c r="AR233" s="268">
        <v>5.2067167692549127E-2</v>
      </c>
      <c r="AS233" s="268">
        <v>5.2812215079779873E-2</v>
      </c>
      <c r="AT233" s="271">
        <v>2986</v>
      </c>
      <c r="AU233" s="268">
        <v>5.2067167692549127E-2</v>
      </c>
      <c r="AV233" s="268">
        <v>5.2812215079779873E-2</v>
      </c>
      <c r="AW233" s="268"/>
      <c r="AX233" s="268"/>
      <c r="AY233" s="268"/>
      <c r="AZ233" s="268"/>
      <c r="BA233" s="268"/>
      <c r="BB233" s="268"/>
      <c r="BC233" s="271">
        <v>2986</v>
      </c>
      <c r="BD233" s="268">
        <v>5.2067167692549127E-2</v>
      </c>
      <c r="BE233" s="268">
        <v>5.2812215079779873E-2</v>
      </c>
      <c r="BF233" s="271"/>
      <c r="BG233" s="271">
        <v>4981.1518539999997</v>
      </c>
      <c r="BH233" s="268">
        <v>8.685682146157736E-2</v>
      </c>
      <c r="BI233" s="268">
        <v>8.8099686221866133E-2</v>
      </c>
      <c r="BJ233" s="271">
        <f t="shared" si="190"/>
        <v>56539.95</v>
      </c>
      <c r="BK233" s="271">
        <v>4981.1518539999997</v>
      </c>
      <c r="BL233" s="268">
        <f t="shared" si="227"/>
        <v>8.685682146157736E-2</v>
      </c>
      <c r="BM233" s="268">
        <f t="shared" si="194"/>
        <v>8.8099686221866133E-2</v>
      </c>
      <c r="BN233" s="205">
        <f t="shared" si="183"/>
        <v>2175.3555999999999</v>
      </c>
      <c r="BO233" s="205"/>
      <c r="BP233" s="245">
        <v>2173.2478449999999</v>
      </c>
      <c r="BQ233" s="258">
        <f t="shared" si="195"/>
        <v>3.7895130603846618E-2</v>
      </c>
      <c r="BR233" s="245">
        <v>4258.307468</v>
      </c>
      <c r="BS233" s="258">
        <f t="shared" si="228"/>
        <v>7.4252514743064393E-2</v>
      </c>
      <c r="BT233" s="245">
        <f>4258.307468+1228.793305</f>
        <v>5487.1007730000001</v>
      </c>
      <c r="BU233" s="258">
        <f t="shared" si="229"/>
        <v>9.5679101170029118E-2</v>
      </c>
      <c r="BV233" s="245">
        <f>5478+1047.385</f>
        <v>6525.3850000000002</v>
      </c>
      <c r="BW233" s="258">
        <f t="shared" si="230"/>
        <v>0.11378376257650526</v>
      </c>
      <c r="BX233" s="245">
        <f>BV233+1305.4</f>
        <v>7830.7849999999999</v>
      </c>
      <c r="BY233" s="258">
        <f t="shared" si="231"/>
        <v>0.13654614727371009</v>
      </c>
      <c r="BZ233" s="245">
        <f>BX233+414.26</f>
        <v>8245.0450000000001</v>
      </c>
      <c r="CA233" s="258">
        <f t="shared" si="232"/>
        <v>0.14376963852900662</v>
      </c>
      <c r="CB233" s="245">
        <f>BZ233+90</f>
        <v>8335.0450000000001</v>
      </c>
      <c r="CC233" s="258">
        <f t="shared" si="233"/>
        <v>0.14533897713996757</v>
      </c>
      <c r="CD233" s="245">
        <f>CB233+90</f>
        <v>8425.0450000000001</v>
      </c>
      <c r="CE233" s="258">
        <f t="shared" si="234"/>
        <v>0.14690831575092853</v>
      </c>
      <c r="CF233" s="245">
        <f>CD233+4493</f>
        <v>12918.045</v>
      </c>
      <c r="CG233" s="258">
        <f t="shared" si="235"/>
        <v>0.22525318662923505</v>
      </c>
      <c r="CH233" s="245">
        <f>CF233+90</f>
        <v>13008.045</v>
      </c>
      <c r="CI233" s="258">
        <f t="shared" si="236"/>
        <v>0.226822525240196</v>
      </c>
      <c r="CJ233" s="245">
        <f>CH233+90</f>
        <v>13098.045</v>
      </c>
      <c r="CK233" s="258">
        <f t="shared" si="237"/>
        <v>0.22839186385115695</v>
      </c>
      <c r="CL233" s="245">
        <v>39199.599999999999</v>
      </c>
      <c r="CM233" s="258">
        <f t="shared" si="238"/>
        <v>0.6835271757136131</v>
      </c>
      <c r="CN233" s="245">
        <f>41168+(F233*0.95)</f>
        <v>56539.95</v>
      </c>
      <c r="CO233" s="258">
        <f t="shared" si="239"/>
        <v>0.98589251774224484</v>
      </c>
      <c r="CP233" s="213" t="str">
        <f t="shared" si="196"/>
        <v>Không đạt</v>
      </c>
      <c r="CQ233" s="213" t="str">
        <f t="shared" si="197"/>
        <v>Không đạt</v>
      </c>
      <c r="CR233" s="192"/>
      <c r="CS233" s="192"/>
      <c r="CT233" s="223"/>
      <c r="CU233" s="163"/>
      <c r="CV233" s="290"/>
      <c r="CW233" s="195"/>
      <c r="CX233" s="196"/>
      <c r="CY233" s="196"/>
      <c r="CZ233" s="197"/>
      <c r="DA233" s="196"/>
      <c r="DB233" s="196"/>
      <c r="DC233" s="196"/>
      <c r="DE233" s="199"/>
      <c r="DF233" s="200"/>
      <c r="DG233" s="181"/>
    </row>
    <row r="234" spans="1:111" outlineLevel="1" x14ac:dyDescent="0.25">
      <c r="A234" s="256" t="s">
        <v>34</v>
      </c>
      <c r="B234" s="210" t="s">
        <v>366</v>
      </c>
      <c r="C234" s="210"/>
      <c r="D234" s="188">
        <f t="shared" ref="D234:I234" si="241">SUM(D235:D236)</f>
        <v>5500</v>
      </c>
      <c r="E234" s="188">
        <f t="shared" si="241"/>
        <v>0</v>
      </c>
      <c r="F234" s="188">
        <f t="shared" si="241"/>
        <v>5500</v>
      </c>
      <c r="G234" s="188">
        <f t="shared" si="241"/>
        <v>5500</v>
      </c>
      <c r="H234" s="188">
        <f t="shared" si="241"/>
        <v>0</v>
      </c>
      <c r="I234" s="188">
        <f t="shared" si="241"/>
        <v>0</v>
      </c>
      <c r="J234" s="188"/>
      <c r="K234" s="188">
        <f>SUM(K235:K236)</f>
        <v>0</v>
      </c>
      <c r="L234" s="188">
        <f>SUM(L235:L236)</f>
        <v>0</v>
      </c>
      <c r="M234" s="223"/>
      <c r="N234" s="223"/>
      <c r="O234" s="188">
        <f t="shared" si="193"/>
        <v>5500</v>
      </c>
      <c r="P234" s="188">
        <v>0</v>
      </c>
      <c r="Q234" s="186">
        <f t="shared" si="189"/>
        <v>0</v>
      </c>
      <c r="R234" s="188">
        <v>940.12981200000002</v>
      </c>
      <c r="S234" s="185">
        <v>0.17093269309090908</v>
      </c>
      <c r="T234" s="185">
        <v>0.17992915062200956</v>
      </c>
      <c r="U234" s="188">
        <v>940.12981200000002</v>
      </c>
      <c r="V234" s="185">
        <v>0.17093269309090908</v>
      </c>
      <c r="W234" s="185">
        <v>0.17992915062200956</v>
      </c>
      <c r="X234" s="188">
        <v>940.12981200000002</v>
      </c>
      <c r="Y234" s="185">
        <v>0.17093269309090908</v>
      </c>
      <c r="Z234" s="185">
        <v>0.17992915062200956</v>
      </c>
      <c r="AA234" s="188">
        <v>940.12981200000002</v>
      </c>
      <c r="AB234" s="185">
        <v>0.17093269309090908</v>
      </c>
      <c r="AC234" s="185">
        <v>0.17992915062200956</v>
      </c>
      <c r="AD234" s="188">
        <v>940.12981200000002</v>
      </c>
      <c r="AE234" s="185">
        <v>0.17093269309090908</v>
      </c>
      <c r="AF234" s="185">
        <v>0.17992915062200956</v>
      </c>
      <c r="AG234" s="188">
        <v>940.12981200000002</v>
      </c>
      <c r="AH234" s="185">
        <v>0.17093269309090908</v>
      </c>
      <c r="AI234" s="185">
        <v>0.17992915062200956</v>
      </c>
      <c r="AJ234" s="223">
        <v>940.12981200000002</v>
      </c>
      <c r="AK234" s="185">
        <v>0.17093269309090908</v>
      </c>
      <c r="AL234" s="185">
        <v>0.17992915062200956</v>
      </c>
      <c r="AM234" s="188">
        <v>940.12981200000002</v>
      </c>
      <c r="AN234" s="185">
        <v>0.17093269309090908</v>
      </c>
      <c r="AO234" s="185">
        <v>0.17992915062200956</v>
      </c>
      <c r="AP234" s="185"/>
      <c r="AQ234" s="188">
        <v>940.12981200000002</v>
      </c>
      <c r="AR234" s="185">
        <v>0.17093269309090908</v>
      </c>
      <c r="AS234" s="185">
        <v>0.17992915062200956</v>
      </c>
      <c r="AT234" s="188">
        <v>940.12981200000002</v>
      </c>
      <c r="AU234" s="185">
        <v>0.17093269309090908</v>
      </c>
      <c r="AV234" s="185">
        <v>0.17992915062200956</v>
      </c>
      <c r="AW234" s="185"/>
      <c r="AX234" s="185"/>
      <c r="AY234" s="185"/>
      <c r="AZ234" s="185"/>
      <c r="BA234" s="185"/>
      <c r="BB234" s="185"/>
      <c r="BC234" s="188">
        <v>940.12981200000002</v>
      </c>
      <c r="BD234" s="185">
        <v>0.17093269309090908</v>
      </c>
      <c r="BE234" s="185">
        <v>0.17992915062200956</v>
      </c>
      <c r="BF234" s="188"/>
      <c r="BG234" s="188">
        <v>940.12981200000002</v>
      </c>
      <c r="BH234" s="185">
        <v>0.17093269309090908</v>
      </c>
      <c r="BI234" s="185">
        <v>0.17992915062200956</v>
      </c>
      <c r="BJ234" s="188">
        <f t="shared" si="190"/>
        <v>5225</v>
      </c>
      <c r="BK234" s="188">
        <f>SUM(BK235:BK236)</f>
        <v>940.12981200000002</v>
      </c>
      <c r="BL234" s="185">
        <f t="shared" si="227"/>
        <v>0.17093269309090908</v>
      </c>
      <c r="BM234" s="185">
        <f t="shared" si="194"/>
        <v>0.17992915062200956</v>
      </c>
      <c r="BN234" s="205">
        <f t="shared" si="183"/>
        <v>0</v>
      </c>
      <c r="BO234" s="205"/>
      <c r="BP234" s="189">
        <f>SUM(BP235:BP236)</f>
        <v>0</v>
      </c>
      <c r="BQ234" s="186">
        <f t="shared" si="195"/>
        <v>0</v>
      </c>
      <c r="BR234" s="189">
        <f>SUM(BR235:BR236)</f>
        <v>475</v>
      </c>
      <c r="BS234" s="186">
        <f t="shared" si="228"/>
        <v>8.6363636363636365E-2</v>
      </c>
      <c r="BT234" s="189">
        <f>SUM(BT235:BT236)</f>
        <v>475</v>
      </c>
      <c r="BU234" s="186">
        <f t="shared" si="229"/>
        <v>8.6363636363636365E-2</v>
      </c>
      <c r="BV234" s="189">
        <f>SUM(BV235:BV236)</f>
        <v>475</v>
      </c>
      <c r="BW234" s="186">
        <f t="shared" si="230"/>
        <v>8.6363636363636365E-2</v>
      </c>
      <c r="BX234" s="189">
        <f>SUM(BX235:BX236)</f>
        <v>475</v>
      </c>
      <c r="BY234" s="186">
        <f t="shared" si="231"/>
        <v>8.6363636363636365E-2</v>
      </c>
      <c r="BZ234" s="189">
        <f>SUM(BZ235:BZ236)</f>
        <v>1075</v>
      </c>
      <c r="CA234" s="186">
        <f t="shared" si="232"/>
        <v>0.19545454545454546</v>
      </c>
      <c r="CB234" s="189">
        <f>SUM(CB235:CB236)</f>
        <v>1075</v>
      </c>
      <c r="CC234" s="186">
        <f t="shared" si="233"/>
        <v>0.19545454545454546</v>
      </c>
      <c r="CD234" s="189">
        <f>SUM(CD235:CD236)</f>
        <v>2500</v>
      </c>
      <c r="CE234" s="186">
        <f t="shared" si="234"/>
        <v>0.45454545454545453</v>
      </c>
      <c r="CF234" s="189">
        <f>SUM(CF235:CF236)</f>
        <v>3875</v>
      </c>
      <c r="CG234" s="186">
        <f t="shared" si="235"/>
        <v>0.70454545454545459</v>
      </c>
      <c r="CH234" s="189">
        <f>SUM(CH235:CH236)</f>
        <v>3875</v>
      </c>
      <c r="CI234" s="186">
        <f t="shared" si="236"/>
        <v>0.70454545454545459</v>
      </c>
      <c r="CJ234" s="189">
        <f>SUM(CJ235:CJ236)</f>
        <v>4445</v>
      </c>
      <c r="CK234" s="186">
        <f t="shared" si="237"/>
        <v>0.80818181818181822</v>
      </c>
      <c r="CL234" s="189">
        <f>SUM(CL235:CL236)</f>
        <v>5045</v>
      </c>
      <c r="CM234" s="186">
        <f t="shared" si="238"/>
        <v>0.91727272727272724</v>
      </c>
      <c r="CN234" s="189">
        <f>SUM(CN235:CN236)</f>
        <v>5225</v>
      </c>
      <c r="CO234" s="186">
        <f t="shared" si="239"/>
        <v>0.95</v>
      </c>
      <c r="CP234" s="213" t="str">
        <f t="shared" si="196"/>
        <v>Không đạt</v>
      </c>
      <c r="CQ234" s="213" t="str">
        <f t="shared" si="197"/>
        <v>Không đạt</v>
      </c>
      <c r="CR234" s="192"/>
      <c r="CS234" s="192"/>
      <c r="CT234" s="223"/>
      <c r="CU234" s="163"/>
      <c r="CW234" s="195"/>
      <c r="CX234" s="196"/>
      <c r="CY234" s="196"/>
      <c r="CZ234" s="197"/>
      <c r="DA234" s="196"/>
      <c r="DB234" s="196"/>
      <c r="DC234" s="196"/>
      <c r="DE234" s="199"/>
      <c r="DF234" s="200"/>
      <c r="DG234" s="181"/>
    </row>
    <row r="235" spans="1:111" ht="38.25" outlineLevel="1" x14ac:dyDescent="0.25">
      <c r="A235" s="192">
        <f>MAX(A$230:$B234)+1</f>
        <v>4</v>
      </c>
      <c r="B235" s="289" t="s">
        <v>367</v>
      </c>
      <c r="C235" s="289">
        <v>8159551</v>
      </c>
      <c r="D235" s="214">
        <f>E235+F235</f>
        <v>3000</v>
      </c>
      <c r="E235" s="205"/>
      <c r="F235" s="214">
        <f>G235+H235+K235+M235</f>
        <v>3000</v>
      </c>
      <c r="G235" s="257">
        <v>3000</v>
      </c>
      <c r="H235" s="223"/>
      <c r="I235" s="235"/>
      <c r="J235" s="235"/>
      <c r="K235" s="223"/>
      <c r="L235" s="235"/>
      <c r="M235" s="223"/>
      <c r="N235" s="223"/>
      <c r="O235" s="223">
        <f t="shared" si="193"/>
        <v>3000</v>
      </c>
      <c r="P235" s="223">
        <v>0</v>
      </c>
      <c r="Q235" s="224">
        <f t="shared" si="189"/>
        <v>0</v>
      </c>
      <c r="R235" s="223">
        <v>0</v>
      </c>
      <c r="S235" s="225">
        <v>0</v>
      </c>
      <c r="T235" s="225">
        <v>0</v>
      </c>
      <c r="U235" s="223">
        <v>0</v>
      </c>
      <c r="V235" s="225">
        <v>0</v>
      </c>
      <c r="W235" s="225">
        <v>0</v>
      </c>
      <c r="X235" s="223">
        <v>0</v>
      </c>
      <c r="Y235" s="225">
        <v>0</v>
      </c>
      <c r="Z235" s="225">
        <v>0</v>
      </c>
      <c r="AA235" s="223">
        <v>0</v>
      </c>
      <c r="AB235" s="225">
        <v>0</v>
      </c>
      <c r="AC235" s="225">
        <v>0</v>
      </c>
      <c r="AD235" s="223">
        <v>0</v>
      </c>
      <c r="AE235" s="225">
        <v>0</v>
      </c>
      <c r="AF235" s="225">
        <v>0</v>
      </c>
      <c r="AG235" s="223">
        <v>0</v>
      </c>
      <c r="AH235" s="225">
        <v>0</v>
      </c>
      <c r="AI235" s="225">
        <v>0</v>
      </c>
      <c r="AJ235" s="288">
        <v>0</v>
      </c>
      <c r="AK235" s="225">
        <v>0</v>
      </c>
      <c r="AL235" s="225">
        <v>0</v>
      </c>
      <c r="AM235" s="223">
        <v>0</v>
      </c>
      <c r="AN235" s="225">
        <v>0</v>
      </c>
      <c r="AO235" s="225">
        <v>0</v>
      </c>
      <c r="AP235" s="225"/>
      <c r="AQ235" s="223">
        <v>0</v>
      </c>
      <c r="AR235" s="225">
        <v>0</v>
      </c>
      <c r="AS235" s="225">
        <v>0</v>
      </c>
      <c r="AT235" s="223">
        <v>0</v>
      </c>
      <c r="AU235" s="225">
        <v>0</v>
      </c>
      <c r="AV235" s="225">
        <v>0</v>
      </c>
      <c r="AW235" s="225"/>
      <c r="AX235" s="225"/>
      <c r="AY235" s="225"/>
      <c r="AZ235" s="225"/>
      <c r="BA235" s="225"/>
      <c r="BB235" s="225"/>
      <c r="BC235" s="223">
        <v>0</v>
      </c>
      <c r="BD235" s="225">
        <v>0</v>
      </c>
      <c r="BE235" s="225">
        <v>0</v>
      </c>
      <c r="BF235" s="223"/>
      <c r="BG235" s="223">
        <v>0</v>
      </c>
      <c r="BH235" s="225">
        <v>0</v>
      </c>
      <c r="BI235" s="225">
        <v>0</v>
      </c>
      <c r="BJ235" s="223">
        <f t="shared" si="190"/>
        <v>2850</v>
      </c>
      <c r="BK235" s="223">
        <v>0</v>
      </c>
      <c r="BL235" s="225">
        <f t="shared" si="227"/>
        <v>0</v>
      </c>
      <c r="BM235" s="225">
        <f t="shared" si="194"/>
        <v>0</v>
      </c>
      <c r="BN235" s="205">
        <f t="shared" si="183"/>
        <v>0</v>
      </c>
      <c r="BO235" s="205"/>
      <c r="BP235" s="227">
        <v>0</v>
      </c>
      <c r="BQ235" s="224">
        <f t="shared" si="195"/>
        <v>0</v>
      </c>
      <c r="BR235" s="227">
        <v>0</v>
      </c>
      <c r="BS235" s="224">
        <f t="shared" si="228"/>
        <v>0</v>
      </c>
      <c r="BT235" s="227">
        <v>0</v>
      </c>
      <c r="BU235" s="224">
        <f t="shared" si="229"/>
        <v>0</v>
      </c>
      <c r="BV235" s="227">
        <v>0</v>
      </c>
      <c r="BW235" s="224">
        <f t="shared" si="230"/>
        <v>0</v>
      </c>
      <c r="BX235" s="227">
        <f>BV235</f>
        <v>0</v>
      </c>
      <c r="BY235" s="224">
        <f t="shared" si="231"/>
        <v>0</v>
      </c>
      <c r="BZ235" s="227">
        <f>20%*G235</f>
        <v>600</v>
      </c>
      <c r="CA235" s="224">
        <f t="shared" si="232"/>
        <v>0.2</v>
      </c>
      <c r="CB235" s="227">
        <f>BZ235</f>
        <v>600</v>
      </c>
      <c r="CC235" s="224">
        <f t="shared" si="233"/>
        <v>0.2</v>
      </c>
      <c r="CD235" s="227">
        <v>600</v>
      </c>
      <c r="CE235" s="224">
        <f t="shared" si="234"/>
        <v>0.2</v>
      </c>
      <c r="CF235" s="227">
        <f>50%*F235</f>
        <v>1500</v>
      </c>
      <c r="CG235" s="224">
        <f t="shared" si="235"/>
        <v>0.5</v>
      </c>
      <c r="CH235" s="227">
        <f>CF235</f>
        <v>1500</v>
      </c>
      <c r="CI235" s="224">
        <f t="shared" si="236"/>
        <v>0.5</v>
      </c>
      <c r="CJ235" s="227">
        <f>CH235+570</f>
        <v>2070</v>
      </c>
      <c r="CK235" s="224">
        <f t="shared" si="237"/>
        <v>0.69</v>
      </c>
      <c r="CL235" s="227">
        <f>CJ235+20%*D235</f>
        <v>2670</v>
      </c>
      <c r="CM235" s="224">
        <f t="shared" si="238"/>
        <v>0.89</v>
      </c>
      <c r="CN235" s="227">
        <v>2850</v>
      </c>
      <c r="CO235" s="224">
        <f t="shared" si="239"/>
        <v>0.95</v>
      </c>
      <c r="CP235" s="213" t="str">
        <f t="shared" si="196"/>
        <v>Không đạt</v>
      </c>
      <c r="CQ235" s="213" t="str">
        <f t="shared" si="197"/>
        <v>Không đạt</v>
      </c>
      <c r="CR235" s="192"/>
      <c r="CS235" s="192"/>
      <c r="CT235" s="223"/>
      <c r="CU235" s="163"/>
      <c r="CW235" s="195"/>
      <c r="CX235" s="196"/>
      <c r="CY235" s="196"/>
      <c r="CZ235" s="197"/>
      <c r="DA235" s="196"/>
      <c r="DB235" s="196"/>
      <c r="DC235" s="196"/>
      <c r="DE235" s="199"/>
      <c r="DF235" s="200"/>
      <c r="DG235" s="181"/>
    </row>
    <row r="236" spans="1:111" ht="38.25" outlineLevel="1" x14ac:dyDescent="0.25">
      <c r="A236" s="192">
        <f>MAX(A$230:$B235)+1</f>
        <v>5</v>
      </c>
      <c r="B236" s="289" t="s">
        <v>368</v>
      </c>
      <c r="C236" s="289">
        <v>8159552</v>
      </c>
      <c r="D236" s="214">
        <f>E236+F236</f>
        <v>2500</v>
      </c>
      <c r="E236" s="205"/>
      <c r="F236" s="214">
        <f>G236+H236+K236+M236</f>
        <v>2500</v>
      </c>
      <c r="G236" s="257">
        <v>2500</v>
      </c>
      <c r="H236" s="223"/>
      <c r="I236" s="235"/>
      <c r="J236" s="235"/>
      <c r="K236" s="223"/>
      <c r="L236" s="235"/>
      <c r="M236" s="223"/>
      <c r="N236" s="223"/>
      <c r="O236" s="223">
        <f t="shared" si="193"/>
        <v>2500</v>
      </c>
      <c r="P236" s="223">
        <v>0</v>
      </c>
      <c r="Q236" s="224">
        <f t="shared" si="189"/>
        <v>0</v>
      </c>
      <c r="R236" s="223">
        <v>940.12981200000002</v>
      </c>
      <c r="S236" s="225">
        <v>0.37605192479999999</v>
      </c>
      <c r="T236" s="225">
        <v>0.39584413136842106</v>
      </c>
      <c r="U236" s="223">
        <v>940.12981200000002</v>
      </c>
      <c r="V236" s="225">
        <v>0.37605192479999999</v>
      </c>
      <c r="W236" s="225">
        <v>0.39584413136842106</v>
      </c>
      <c r="X236" s="223">
        <v>940.12981200000002</v>
      </c>
      <c r="Y236" s="225">
        <v>0.37605192479999999</v>
      </c>
      <c r="Z236" s="225">
        <v>0.39584413136842106</v>
      </c>
      <c r="AA236" s="223">
        <v>940.12981200000002</v>
      </c>
      <c r="AB236" s="225">
        <v>0.37605192479999999</v>
      </c>
      <c r="AC236" s="225">
        <v>0.39584413136842106</v>
      </c>
      <c r="AD236" s="223">
        <v>940.12981200000002</v>
      </c>
      <c r="AE236" s="225">
        <v>0.37605192479999999</v>
      </c>
      <c r="AF236" s="225">
        <v>0.39584413136842106</v>
      </c>
      <c r="AG236" s="288">
        <v>940.12981200000002</v>
      </c>
      <c r="AH236" s="225">
        <v>0.37605192479999999</v>
      </c>
      <c r="AI236" s="225">
        <v>0.39584413136842106</v>
      </c>
      <c r="AJ236" s="205">
        <v>940.12981200000002</v>
      </c>
      <c r="AK236" s="225">
        <v>0.37605192479999999</v>
      </c>
      <c r="AL236" s="225">
        <v>0.39584413136842106</v>
      </c>
      <c r="AM236" s="288">
        <v>940.12981200000002</v>
      </c>
      <c r="AN236" s="225">
        <v>0.37605192479999999</v>
      </c>
      <c r="AO236" s="225">
        <v>0.39584413136842106</v>
      </c>
      <c r="AP236" s="225"/>
      <c r="AQ236" s="288">
        <v>940.12981200000002</v>
      </c>
      <c r="AR236" s="225">
        <v>0.37605192479999999</v>
      </c>
      <c r="AS236" s="225">
        <v>0.39584413136842106</v>
      </c>
      <c r="AT236" s="288">
        <v>940.12981200000002</v>
      </c>
      <c r="AU236" s="225">
        <v>0.37605192479999999</v>
      </c>
      <c r="AV236" s="225">
        <v>0.39584413136842106</v>
      </c>
      <c r="AW236" s="225"/>
      <c r="AX236" s="225"/>
      <c r="AY236" s="225"/>
      <c r="AZ236" s="225"/>
      <c r="BA236" s="225"/>
      <c r="BB236" s="225"/>
      <c r="BC236" s="288">
        <v>940.12981200000002</v>
      </c>
      <c r="BD236" s="225">
        <v>0.37605192479999999</v>
      </c>
      <c r="BE236" s="225">
        <v>0.39584413136842106</v>
      </c>
      <c r="BF236" s="288"/>
      <c r="BG236" s="288">
        <v>940.12981200000002</v>
      </c>
      <c r="BH236" s="225">
        <v>0.37605192479999999</v>
      </c>
      <c r="BI236" s="225">
        <v>0.39584413136842106</v>
      </c>
      <c r="BJ236" s="288">
        <f t="shared" si="190"/>
        <v>2375</v>
      </c>
      <c r="BK236" s="288">
        <v>940.12981200000002</v>
      </c>
      <c r="BL236" s="225">
        <f t="shared" si="227"/>
        <v>0.37605192479999999</v>
      </c>
      <c r="BM236" s="225">
        <f t="shared" si="194"/>
        <v>0.39584413136842106</v>
      </c>
      <c r="BN236" s="205">
        <f t="shared" si="183"/>
        <v>0</v>
      </c>
      <c r="BO236" s="205"/>
      <c r="BP236" s="227">
        <v>0</v>
      </c>
      <c r="BQ236" s="224">
        <f t="shared" si="195"/>
        <v>0</v>
      </c>
      <c r="BR236" s="227">
        <v>475</v>
      </c>
      <c r="BS236" s="224">
        <f t="shared" si="228"/>
        <v>0.19</v>
      </c>
      <c r="BT236" s="227">
        <v>475</v>
      </c>
      <c r="BU236" s="224">
        <f t="shared" si="229"/>
        <v>0.19</v>
      </c>
      <c r="BV236" s="227">
        <v>475</v>
      </c>
      <c r="BW236" s="224">
        <f t="shared" si="230"/>
        <v>0.19</v>
      </c>
      <c r="BX236" s="227">
        <v>475</v>
      </c>
      <c r="BY236" s="224">
        <f t="shared" si="231"/>
        <v>0.19</v>
      </c>
      <c r="BZ236" s="227">
        <v>475</v>
      </c>
      <c r="CA236" s="224">
        <f t="shared" si="232"/>
        <v>0.19</v>
      </c>
      <c r="CB236" s="227">
        <v>475</v>
      </c>
      <c r="CC236" s="224">
        <f t="shared" si="233"/>
        <v>0.19</v>
      </c>
      <c r="CD236" s="227">
        <v>1900</v>
      </c>
      <c r="CE236" s="224">
        <f t="shared" si="234"/>
        <v>0.76</v>
      </c>
      <c r="CF236" s="227">
        <f>CD236+CB236</f>
        <v>2375</v>
      </c>
      <c r="CG236" s="224">
        <f t="shared" si="235"/>
        <v>0.95</v>
      </c>
      <c r="CH236" s="227">
        <f>CF236</f>
        <v>2375</v>
      </c>
      <c r="CI236" s="224">
        <f t="shared" si="236"/>
        <v>0.95</v>
      </c>
      <c r="CJ236" s="227">
        <f>CF236</f>
        <v>2375</v>
      </c>
      <c r="CK236" s="224">
        <f t="shared" si="237"/>
        <v>0.95</v>
      </c>
      <c r="CL236" s="227">
        <f>CJ236</f>
        <v>2375</v>
      </c>
      <c r="CM236" s="224">
        <f t="shared" si="238"/>
        <v>0.95</v>
      </c>
      <c r="CN236" s="227">
        <f>CL236</f>
        <v>2375</v>
      </c>
      <c r="CO236" s="224">
        <f t="shared" si="239"/>
        <v>0.95</v>
      </c>
      <c r="CP236" s="213" t="str">
        <f t="shared" si="196"/>
        <v>Đạt</v>
      </c>
      <c r="CQ236" s="213" t="str">
        <f t="shared" si="197"/>
        <v>Không đạt</v>
      </c>
      <c r="CR236" s="192"/>
      <c r="CS236" s="192"/>
      <c r="CT236" s="223"/>
      <c r="CU236" s="163"/>
      <c r="CW236" s="195"/>
      <c r="CX236" s="196"/>
      <c r="CY236" s="196"/>
      <c r="CZ236" s="197"/>
      <c r="DA236" s="196"/>
      <c r="DB236" s="196"/>
      <c r="DC236" s="196"/>
      <c r="DE236" s="199"/>
      <c r="DF236" s="200"/>
      <c r="DG236" s="181"/>
    </row>
    <row r="237" spans="1:111" s="255" customFormat="1" ht="18" customHeight="1" x14ac:dyDescent="0.25">
      <c r="A237" s="191">
        <v>14</v>
      </c>
      <c r="B237" s="210" t="s">
        <v>369</v>
      </c>
      <c r="C237" s="210"/>
      <c r="D237" s="188">
        <f t="shared" ref="D237:I238" si="242">D238</f>
        <v>37182.199999999997</v>
      </c>
      <c r="E237" s="188">
        <f t="shared" si="242"/>
        <v>37182.199999999997</v>
      </c>
      <c r="F237" s="188">
        <f t="shared" si="242"/>
        <v>0</v>
      </c>
      <c r="G237" s="188">
        <f t="shared" si="242"/>
        <v>0</v>
      </c>
      <c r="H237" s="188">
        <f t="shared" si="242"/>
        <v>0</v>
      </c>
      <c r="I237" s="188">
        <f t="shared" si="242"/>
        <v>0</v>
      </c>
      <c r="J237" s="188"/>
      <c r="K237" s="188">
        <f t="shared" ref="K237:O238" si="243">K238</f>
        <v>0</v>
      </c>
      <c r="L237" s="188">
        <f t="shared" si="243"/>
        <v>0</v>
      </c>
      <c r="M237" s="188">
        <f t="shared" si="243"/>
        <v>0</v>
      </c>
      <c r="N237" s="188">
        <f t="shared" si="243"/>
        <v>0</v>
      </c>
      <c r="O237" s="188">
        <f t="shared" si="243"/>
        <v>0</v>
      </c>
      <c r="P237" s="188">
        <v>0</v>
      </c>
      <c r="Q237" s="186">
        <f t="shared" si="189"/>
        <v>0</v>
      </c>
      <c r="R237" s="188">
        <v>0</v>
      </c>
      <c r="S237" s="185">
        <v>0</v>
      </c>
      <c r="T237" s="185">
        <v>0</v>
      </c>
      <c r="U237" s="188">
        <v>0</v>
      </c>
      <c r="V237" s="185">
        <v>0</v>
      </c>
      <c r="W237" s="185">
        <v>0</v>
      </c>
      <c r="X237" s="188">
        <v>0</v>
      </c>
      <c r="Y237" s="185">
        <v>0</v>
      </c>
      <c r="Z237" s="185">
        <v>0</v>
      </c>
      <c r="AA237" s="188">
        <v>0</v>
      </c>
      <c r="AB237" s="185">
        <v>0</v>
      </c>
      <c r="AC237" s="185">
        <v>0</v>
      </c>
      <c r="AD237" s="188">
        <v>0</v>
      </c>
      <c r="AE237" s="185">
        <v>0</v>
      </c>
      <c r="AF237" s="185">
        <v>0</v>
      </c>
      <c r="AG237" s="188">
        <v>0</v>
      </c>
      <c r="AH237" s="185">
        <v>0</v>
      </c>
      <c r="AI237" s="185">
        <v>0</v>
      </c>
      <c r="AJ237" s="188">
        <v>0</v>
      </c>
      <c r="AK237" s="185">
        <v>0</v>
      </c>
      <c r="AL237" s="185">
        <v>0</v>
      </c>
      <c r="AM237" s="188">
        <v>0</v>
      </c>
      <c r="AN237" s="185">
        <v>0</v>
      </c>
      <c r="AO237" s="185">
        <v>0</v>
      </c>
      <c r="AP237" s="185"/>
      <c r="AQ237" s="188">
        <v>0</v>
      </c>
      <c r="AR237" s="185">
        <v>0</v>
      </c>
      <c r="AS237" s="185">
        <v>0</v>
      </c>
      <c r="AT237" s="188">
        <v>0</v>
      </c>
      <c r="AU237" s="185">
        <v>0</v>
      </c>
      <c r="AV237" s="185">
        <v>0</v>
      </c>
      <c r="AW237" s="185"/>
      <c r="AX237" s="185"/>
      <c r="AY237" s="185"/>
      <c r="AZ237" s="185"/>
      <c r="BA237" s="185"/>
      <c r="BB237" s="185"/>
      <c r="BC237" s="188">
        <v>0</v>
      </c>
      <c r="BD237" s="185">
        <v>0</v>
      </c>
      <c r="BE237" s="185">
        <v>0</v>
      </c>
      <c r="BF237" s="188"/>
      <c r="BG237" s="188">
        <v>0</v>
      </c>
      <c r="BH237" s="185">
        <v>0</v>
      </c>
      <c r="BI237" s="185">
        <v>0</v>
      </c>
      <c r="BJ237" s="188">
        <f t="shared" si="190"/>
        <v>37182.199999999997</v>
      </c>
      <c r="BK237" s="188">
        <f>BK238</f>
        <v>0</v>
      </c>
      <c r="BL237" s="185">
        <f t="shared" si="227"/>
        <v>0</v>
      </c>
      <c r="BM237" s="185">
        <f t="shared" si="194"/>
        <v>0</v>
      </c>
      <c r="BN237" s="205">
        <f t="shared" si="183"/>
        <v>0</v>
      </c>
      <c r="BO237" s="205"/>
      <c r="BP237" s="189">
        <f>BP238</f>
        <v>0</v>
      </c>
      <c r="BQ237" s="186">
        <f t="shared" si="195"/>
        <v>0</v>
      </c>
      <c r="BR237" s="189">
        <f>BR238</f>
        <v>0</v>
      </c>
      <c r="BS237" s="186">
        <f t="shared" si="228"/>
        <v>0</v>
      </c>
      <c r="BT237" s="189">
        <f>BT238</f>
        <v>0</v>
      </c>
      <c r="BU237" s="186">
        <f t="shared" si="229"/>
        <v>0</v>
      </c>
      <c r="BV237" s="189">
        <f>BV238</f>
        <v>0</v>
      </c>
      <c r="BW237" s="186">
        <f t="shared" si="230"/>
        <v>0</v>
      </c>
      <c r="BX237" s="189">
        <f>BX238</f>
        <v>0</v>
      </c>
      <c r="BY237" s="186">
        <f t="shared" si="231"/>
        <v>0</v>
      </c>
      <c r="BZ237" s="189">
        <f>BZ238</f>
        <v>0</v>
      </c>
      <c r="CA237" s="186">
        <f t="shared" si="232"/>
        <v>0</v>
      </c>
      <c r="CB237" s="189">
        <f>CB238</f>
        <v>5900</v>
      </c>
      <c r="CC237" s="186">
        <f t="shared" si="233"/>
        <v>0.1586780771444401</v>
      </c>
      <c r="CD237" s="189">
        <f>CD238</f>
        <v>11800</v>
      </c>
      <c r="CE237" s="186">
        <f t="shared" si="234"/>
        <v>0.3173561542888802</v>
      </c>
      <c r="CF237" s="189">
        <f>CF238</f>
        <v>17700</v>
      </c>
      <c r="CG237" s="186">
        <f t="shared" si="235"/>
        <v>0.4760342314333203</v>
      </c>
      <c r="CH237" s="189">
        <f>CH238</f>
        <v>23600</v>
      </c>
      <c r="CI237" s="186">
        <f t="shared" si="236"/>
        <v>0.6347123085777604</v>
      </c>
      <c r="CJ237" s="189">
        <f>CJ238</f>
        <v>29500</v>
      </c>
      <c r="CK237" s="186">
        <f t="shared" si="237"/>
        <v>0.79339038572220044</v>
      </c>
      <c r="CL237" s="189">
        <f>CL238</f>
        <v>35323</v>
      </c>
      <c r="CM237" s="186">
        <f t="shared" si="238"/>
        <v>0.94999757948695884</v>
      </c>
      <c r="CN237" s="189">
        <f>CN238</f>
        <v>37182.199999999997</v>
      </c>
      <c r="CO237" s="186">
        <f t="shared" si="239"/>
        <v>1</v>
      </c>
      <c r="CP237" s="213" t="str">
        <f t="shared" si="196"/>
        <v>Không đạt</v>
      </c>
      <c r="CQ237" s="213" t="str">
        <f t="shared" si="197"/>
        <v>Không đạt</v>
      </c>
      <c r="CR237" s="213"/>
      <c r="CS237" s="213"/>
      <c r="CT237" s="231"/>
      <c r="CU237" s="163"/>
      <c r="CV237" s="252"/>
      <c r="CW237" s="195"/>
      <c r="CX237" s="196"/>
      <c r="CY237" s="196"/>
      <c r="CZ237" s="197"/>
      <c r="DA237" s="196"/>
      <c r="DB237" s="196"/>
      <c r="DC237" s="196"/>
      <c r="DE237" s="199"/>
      <c r="DF237" s="200"/>
      <c r="DG237" s="181"/>
    </row>
    <row r="238" spans="1:111" s="160" customFormat="1" ht="12.75" outlineLevel="1" x14ac:dyDescent="0.25">
      <c r="A238" s="191" t="s">
        <v>29</v>
      </c>
      <c r="B238" s="210" t="s">
        <v>155</v>
      </c>
      <c r="C238" s="210"/>
      <c r="D238" s="188">
        <f t="shared" si="242"/>
        <v>37182.199999999997</v>
      </c>
      <c r="E238" s="188">
        <f t="shared" si="242"/>
        <v>37182.199999999997</v>
      </c>
      <c r="F238" s="188">
        <f t="shared" si="242"/>
        <v>0</v>
      </c>
      <c r="G238" s="188">
        <f t="shared" si="242"/>
        <v>0</v>
      </c>
      <c r="H238" s="188">
        <f t="shared" si="242"/>
        <v>0</v>
      </c>
      <c r="I238" s="188">
        <f t="shared" si="242"/>
        <v>0</v>
      </c>
      <c r="J238" s="188"/>
      <c r="K238" s="188">
        <f t="shared" si="243"/>
        <v>0</v>
      </c>
      <c r="L238" s="188">
        <f t="shared" si="243"/>
        <v>0</v>
      </c>
      <c r="M238" s="188">
        <f t="shared" si="243"/>
        <v>0</v>
      </c>
      <c r="N238" s="188">
        <f t="shared" si="243"/>
        <v>0</v>
      </c>
      <c r="O238" s="188">
        <f t="shared" si="243"/>
        <v>0</v>
      </c>
      <c r="P238" s="188">
        <f>P239</f>
        <v>0</v>
      </c>
      <c r="Q238" s="186">
        <f t="shared" si="189"/>
        <v>0</v>
      </c>
      <c r="R238" s="188">
        <v>0</v>
      </c>
      <c r="S238" s="185">
        <v>0</v>
      </c>
      <c r="T238" s="185">
        <v>0</v>
      </c>
      <c r="U238" s="188">
        <v>0</v>
      </c>
      <c r="V238" s="185">
        <v>0</v>
      </c>
      <c r="W238" s="185">
        <v>0</v>
      </c>
      <c r="X238" s="188">
        <v>0</v>
      </c>
      <c r="Y238" s="185">
        <v>0</v>
      </c>
      <c r="Z238" s="185">
        <v>0</v>
      </c>
      <c r="AA238" s="188">
        <v>0</v>
      </c>
      <c r="AB238" s="185">
        <v>0</v>
      </c>
      <c r="AC238" s="185">
        <v>0</v>
      </c>
      <c r="AD238" s="188">
        <v>0</v>
      </c>
      <c r="AE238" s="185">
        <v>0</v>
      </c>
      <c r="AF238" s="185">
        <v>0</v>
      </c>
      <c r="AG238" s="188">
        <v>0</v>
      </c>
      <c r="AH238" s="185">
        <v>0</v>
      </c>
      <c r="AI238" s="185">
        <v>0</v>
      </c>
      <c r="AJ238" s="223">
        <v>0</v>
      </c>
      <c r="AK238" s="185">
        <v>0</v>
      </c>
      <c r="AL238" s="185">
        <v>0</v>
      </c>
      <c r="AM238" s="188">
        <v>0</v>
      </c>
      <c r="AN238" s="185">
        <v>0</v>
      </c>
      <c r="AO238" s="185">
        <v>0</v>
      </c>
      <c r="AP238" s="185"/>
      <c r="AQ238" s="188">
        <v>0</v>
      </c>
      <c r="AR238" s="185">
        <v>0</v>
      </c>
      <c r="AS238" s="185">
        <v>0</v>
      </c>
      <c r="AT238" s="188">
        <v>0</v>
      </c>
      <c r="AU238" s="185">
        <v>0</v>
      </c>
      <c r="AV238" s="185">
        <v>0</v>
      </c>
      <c r="AW238" s="185"/>
      <c r="AX238" s="185"/>
      <c r="AY238" s="185"/>
      <c r="AZ238" s="185"/>
      <c r="BA238" s="185"/>
      <c r="BB238" s="185"/>
      <c r="BC238" s="188">
        <v>0</v>
      </c>
      <c r="BD238" s="185">
        <v>0</v>
      </c>
      <c r="BE238" s="185">
        <v>0</v>
      </c>
      <c r="BF238" s="188"/>
      <c r="BG238" s="188">
        <v>0</v>
      </c>
      <c r="BH238" s="185">
        <v>0</v>
      </c>
      <c r="BI238" s="185">
        <v>0</v>
      </c>
      <c r="BJ238" s="188">
        <f t="shared" si="190"/>
        <v>37182.199999999997</v>
      </c>
      <c r="BK238" s="188">
        <f>BK239</f>
        <v>0</v>
      </c>
      <c r="BL238" s="185">
        <f t="shared" si="227"/>
        <v>0</v>
      </c>
      <c r="BM238" s="185">
        <f t="shared" si="194"/>
        <v>0</v>
      </c>
      <c r="BN238" s="205">
        <f t="shared" si="183"/>
        <v>0</v>
      </c>
      <c r="BO238" s="205"/>
      <c r="BP238" s="189">
        <f>BP239</f>
        <v>0</v>
      </c>
      <c r="BQ238" s="186">
        <f t="shared" si="195"/>
        <v>0</v>
      </c>
      <c r="BR238" s="189">
        <f>BR239</f>
        <v>0</v>
      </c>
      <c r="BS238" s="186">
        <f t="shared" si="228"/>
        <v>0</v>
      </c>
      <c r="BT238" s="189">
        <f>BT239</f>
        <v>0</v>
      </c>
      <c r="BU238" s="186">
        <f t="shared" si="229"/>
        <v>0</v>
      </c>
      <c r="BV238" s="189">
        <f>BV239</f>
        <v>0</v>
      </c>
      <c r="BW238" s="186">
        <f t="shared" si="230"/>
        <v>0</v>
      </c>
      <c r="BX238" s="189">
        <f>BX239</f>
        <v>0</v>
      </c>
      <c r="BY238" s="186">
        <f t="shared" si="231"/>
        <v>0</v>
      </c>
      <c r="BZ238" s="189">
        <f>BZ239</f>
        <v>0</v>
      </c>
      <c r="CA238" s="186">
        <f t="shared" si="232"/>
        <v>0</v>
      </c>
      <c r="CB238" s="189">
        <f>CB239</f>
        <v>5900</v>
      </c>
      <c r="CC238" s="186">
        <f t="shared" si="233"/>
        <v>0.1586780771444401</v>
      </c>
      <c r="CD238" s="189">
        <f>CD239</f>
        <v>11800</v>
      </c>
      <c r="CE238" s="186">
        <f t="shared" si="234"/>
        <v>0.3173561542888802</v>
      </c>
      <c r="CF238" s="189">
        <f>CF239</f>
        <v>17700</v>
      </c>
      <c r="CG238" s="186">
        <f t="shared" si="235"/>
        <v>0.4760342314333203</v>
      </c>
      <c r="CH238" s="189">
        <f>CH239</f>
        <v>23600</v>
      </c>
      <c r="CI238" s="186">
        <f t="shared" si="236"/>
        <v>0.6347123085777604</v>
      </c>
      <c r="CJ238" s="189">
        <f>CJ239</f>
        <v>29500</v>
      </c>
      <c r="CK238" s="186">
        <f t="shared" si="237"/>
        <v>0.79339038572220044</v>
      </c>
      <c r="CL238" s="189">
        <f>CL239</f>
        <v>35323</v>
      </c>
      <c r="CM238" s="186">
        <f t="shared" si="238"/>
        <v>0.94999757948695884</v>
      </c>
      <c r="CN238" s="189">
        <f>CN239</f>
        <v>37182.199999999997</v>
      </c>
      <c r="CO238" s="186">
        <f t="shared" si="239"/>
        <v>1</v>
      </c>
      <c r="CP238" s="213" t="str">
        <f t="shared" si="196"/>
        <v>Không đạt</v>
      </c>
      <c r="CQ238" s="213" t="str">
        <f t="shared" si="197"/>
        <v>Không đạt</v>
      </c>
      <c r="CR238" s="213"/>
      <c r="CS238" s="213"/>
      <c r="CT238" s="231"/>
      <c r="CU238" s="163"/>
      <c r="CV238" s="291"/>
      <c r="CW238" s="218"/>
      <c r="CX238" s="196"/>
      <c r="CY238" s="196"/>
      <c r="CZ238" s="197"/>
      <c r="DA238" s="196"/>
      <c r="DB238" s="196"/>
      <c r="DC238" s="196"/>
      <c r="DE238" s="199"/>
      <c r="DF238" s="200"/>
      <c r="DG238" s="181"/>
    </row>
    <row r="239" spans="1:111" ht="25.5" outlineLevel="1" x14ac:dyDescent="0.25">
      <c r="A239" s="192">
        <v>1</v>
      </c>
      <c r="B239" s="269" t="s">
        <v>370</v>
      </c>
      <c r="C239" s="269" t="s">
        <v>371</v>
      </c>
      <c r="D239" s="214">
        <f>E239+F239</f>
        <v>37182.199999999997</v>
      </c>
      <c r="E239" s="215">
        <v>37182.199999999997</v>
      </c>
      <c r="F239" s="214"/>
      <c r="G239" s="257"/>
      <c r="H239" s="223"/>
      <c r="I239" s="235"/>
      <c r="J239" s="235"/>
      <c r="K239" s="223"/>
      <c r="L239" s="235"/>
      <c r="M239" s="223"/>
      <c r="N239" s="223"/>
      <c r="O239" s="223"/>
      <c r="P239" s="223">
        <v>0</v>
      </c>
      <c r="Q239" s="292">
        <f t="shared" si="189"/>
        <v>0</v>
      </c>
      <c r="R239" s="223"/>
      <c r="S239" s="293">
        <v>0</v>
      </c>
      <c r="T239" s="293">
        <v>0</v>
      </c>
      <c r="U239" s="223"/>
      <c r="V239" s="293">
        <v>0</v>
      </c>
      <c r="W239" s="293">
        <v>0</v>
      </c>
      <c r="X239" s="223"/>
      <c r="Y239" s="293">
        <v>0</v>
      </c>
      <c r="Z239" s="293">
        <v>0</v>
      </c>
      <c r="AA239" s="223"/>
      <c r="AB239" s="293">
        <v>0</v>
      </c>
      <c r="AC239" s="293">
        <v>0</v>
      </c>
      <c r="AD239" s="223"/>
      <c r="AE239" s="293">
        <v>0</v>
      </c>
      <c r="AF239" s="293">
        <v>0</v>
      </c>
      <c r="AG239" s="223"/>
      <c r="AH239" s="293">
        <v>0</v>
      </c>
      <c r="AI239" s="293">
        <v>0</v>
      </c>
      <c r="AJ239" s="294"/>
      <c r="AK239" s="293">
        <v>0</v>
      </c>
      <c r="AL239" s="293">
        <v>0</v>
      </c>
      <c r="AM239" s="223"/>
      <c r="AN239" s="293">
        <v>0</v>
      </c>
      <c r="AO239" s="293">
        <v>0</v>
      </c>
      <c r="AP239" s="293"/>
      <c r="AQ239" s="223"/>
      <c r="AR239" s="293">
        <v>0</v>
      </c>
      <c r="AS239" s="293">
        <v>0</v>
      </c>
      <c r="AT239" s="223"/>
      <c r="AU239" s="293">
        <v>0</v>
      </c>
      <c r="AV239" s="293">
        <v>0</v>
      </c>
      <c r="AW239" s="293"/>
      <c r="AX239" s="293"/>
      <c r="AY239" s="293"/>
      <c r="AZ239" s="293"/>
      <c r="BA239" s="293"/>
      <c r="BB239" s="293"/>
      <c r="BC239" s="223"/>
      <c r="BD239" s="293">
        <v>0</v>
      </c>
      <c r="BE239" s="293">
        <v>0</v>
      </c>
      <c r="BF239" s="223"/>
      <c r="BG239" s="223"/>
      <c r="BH239" s="293">
        <v>0</v>
      </c>
      <c r="BI239" s="293">
        <v>0</v>
      </c>
      <c r="BJ239" s="223">
        <f t="shared" si="190"/>
        <v>37182.199999999997</v>
      </c>
      <c r="BK239" s="223"/>
      <c r="BL239" s="293">
        <f t="shared" si="227"/>
        <v>0</v>
      </c>
      <c r="BM239" s="293">
        <f t="shared" si="194"/>
        <v>0</v>
      </c>
      <c r="BN239" s="205">
        <f t="shared" si="183"/>
        <v>0</v>
      </c>
      <c r="BO239" s="205"/>
      <c r="BP239" s="295"/>
      <c r="BQ239" s="292">
        <f t="shared" si="195"/>
        <v>0</v>
      </c>
      <c r="BR239" s="295"/>
      <c r="BS239" s="292">
        <f t="shared" si="228"/>
        <v>0</v>
      </c>
      <c r="BT239" s="295"/>
      <c r="BU239" s="292">
        <f t="shared" si="229"/>
        <v>0</v>
      </c>
      <c r="BV239" s="295"/>
      <c r="BW239" s="292">
        <f t="shared" si="230"/>
        <v>0</v>
      </c>
      <c r="BX239" s="295"/>
      <c r="BY239" s="292">
        <f t="shared" si="231"/>
        <v>0</v>
      </c>
      <c r="BZ239" s="295"/>
      <c r="CA239" s="292">
        <f t="shared" si="232"/>
        <v>0</v>
      </c>
      <c r="CB239" s="295">
        <v>5900</v>
      </c>
      <c r="CC239" s="292">
        <f t="shared" si="233"/>
        <v>0.1586780771444401</v>
      </c>
      <c r="CD239" s="295">
        <v>11800</v>
      </c>
      <c r="CE239" s="292">
        <f t="shared" si="234"/>
        <v>0.3173561542888802</v>
      </c>
      <c r="CF239" s="295">
        <v>17700</v>
      </c>
      <c r="CG239" s="292">
        <f t="shared" si="235"/>
        <v>0.4760342314333203</v>
      </c>
      <c r="CH239" s="295">
        <v>23600</v>
      </c>
      <c r="CI239" s="292">
        <f t="shared" si="236"/>
        <v>0.6347123085777604</v>
      </c>
      <c r="CJ239" s="295">
        <v>29500</v>
      </c>
      <c r="CK239" s="292">
        <f t="shared" si="237"/>
        <v>0.79339038572220044</v>
      </c>
      <c r="CL239" s="295">
        <v>35323</v>
      </c>
      <c r="CM239" s="292">
        <f t="shared" si="238"/>
        <v>0.94999757948695884</v>
      </c>
      <c r="CN239" s="295">
        <v>37182.199999999997</v>
      </c>
      <c r="CO239" s="292">
        <f t="shared" si="239"/>
        <v>1</v>
      </c>
      <c r="CP239" s="213" t="str">
        <f t="shared" si="196"/>
        <v>Không đạt</v>
      </c>
      <c r="CQ239" s="213" t="str">
        <f t="shared" si="197"/>
        <v>Không đạt</v>
      </c>
      <c r="CR239" s="192"/>
      <c r="CS239" s="192"/>
      <c r="CT239" s="223"/>
      <c r="CU239" s="163"/>
      <c r="CW239" s="195"/>
      <c r="CX239" s="196"/>
      <c r="CY239" s="196"/>
      <c r="CZ239" s="197"/>
      <c r="DA239" s="196"/>
      <c r="DB239" s="196"/>
      <c r="DC239" s="196"/>
      <c r="DE239" s="199"/>
      <c r="DF239" s="200"/>
      <c r="DG239" s="181"/>
    </row>
    <row r="240" spans="1:111" s="255" customFormat="1" x14ac:dyDescent="0.25">
      <c r="A240" s="213">
        <v>15</v>
      </c>
      <c r="B240" s="240" t="s">
        <v>372</v>
      </c>
      <c r="C240" s="240"/>
      <c r="D240" s="188">
        <f>D241</f>
        <v>8600</v>
      </c>
      <c r="E240" s="188">
        <f t="shared" ref="E240:BB240" si="244">E241</f>
        <v>8600</v>
      </c>
      <c r="F240" s="188">
        <f t="shared" si="244"/>
        <v>0</v>
      </c>
      <c r="G240" s="188">
        <f t="shared" si="244"/>
        <v>0</v>
      </c>
      <c r="H240" s="188">
        <f t="shared" si="244"/>
        <v>0</v>
      </c>
      <c r="I240" s="188">
        <f t="shared" si="244"/>
        <v>0</v>
      </c>
      <c r="J240" s="188">
        <f t="shared" si="244"/>
        <v>0</v>
      </c>
      <c r="K240" s="188">
        <f t="shared" si="244"/>
        <v>0</v>
      </c>
      <c r="L240" s="188">
        <f t="shared" si="244"/>
        <v>0</v>
      </c>
      <c r="M240" s="188">
        <f t="shared" si="244"/>
        <v>0</v>
      </c>
      <c r="N240" s="188">
        <f t="shared" si="244"/>
        <v>0</v>
      </c>
      <c r="O240" s="188">
        <f t="shared" si="244"/>
        <v>0</v>
      </c>
      <c r="P240" s="188">
        <f t="shared" si="244"/>
        <v>0</v>
      </c>
      <c r="Q240" s="188">
        <f t="shared" si="244"/>
        <v>0</v>
      </c>
      <c r="R240" s="188">
        <f t="shared" si="244"/>
        <v>0</v>
      </c>
      <c r="S240" s="188">
        <f t="shared" si="244"/>
        <v>0</v>
      </c>
      <c r="T240" s="188">
        <f t="shared" si="244"/>
        <v>0</v>
      </c>
      <c r="U240" s="188">
        <f t="shared" si="244"/>
        <v>0</v>
      </c>
      <c r="V240" s="188">
        <f t="shared" si="244"/>
        <v>0</v>
      </c>
      <c r="W240" s="188">
        <f t="shared" si="244"/>
        <v>0</v>
      </c>
      <c r="X240" s="188">
        <f t="shared" si="244"/>
        <v>0</v>
      </c>
      <c r="Y240" s="188">
        <f t="shared" si="244"/>
        <v>0</v>
      </c>
      <c r="Z240" s="188">
        <f t="shared" si="244"/>
        <v>0</v>
      </c>
      <c r="AA240" s="188">
        <f t="shared" si="244"/>
        <v>0</v>
      </c>
      <c r="AB240" s="188">
        <f t="shared" si="244"/>
        <v>0</v>
      </c>
      <c r="AC240" s="188">
        <f t="shared" si="244"/>
        <v>0</v>
      </c>
      <c r="AD240" s="188">
        <f t="shared" si="244"/>
        <v>0</v>
      </c>
      <c r="AE240" s="188">
        <f t="shared" si="244"/>
        <v>0</v>
      </c>
      <c r="AF240" s="188">
        <f t="shared" si="244"/>
        <v>0</v>
      </c>
      <c r="AG240" s="188">
        <f t="shared" si="244"/>
        <v>0</v>
      </c>
      <c r="AH240" s="188">
        <f t="shared" si="244"/>
        <v>0</v>
      </c>
      <c r="AI240" s="188">
        <f t="shared" si="244"/>
        <v>0</v>
      </c>
      <c r="AJ240" s="188">
        <f t="shared" si="244"/>
        <v>0</v>
      </c>
      <c r="AK240" s="188">
        <f t="shared" si="244"/>
        <v>0</v>
      </c>
      <c r="AL240" s="188">
        <f t="shared" si="244"/>
        <v>0</v>
      </c>
      <c r="AM240" s="188">
        <f t="shared" si="244"/>
        <v>0</v>
      </c>
      <c r="AN240" s="188">
        <f t="shared" si="244"/>
        <v>0</v>
      </c>
      <c r="AO240" s="188">
        <f t="shared" si="244"/>
        <v>0</v>
      </c>
      <c r="AP240" s="188">
        <f t="shared" si="244"/>
        <v>0</v>
      </c>
      <c r="AQ240" s="188">
        <f t="shared" si="244"/>
        <v>0</v>
      </c>
      <c r="AR240" s="188">
        <f t="shared" si="244"/>
        <v>0</v>
      </c>
      <c r="AS240" s="188">
        <f t="shared" si="244"/>
        <v>0</v>
      </c>
      <c r="AT240" s="188">
        <f t="shared" si="244"/>
        <v>0</v>
      </c>
      <c r="AU240" s="188">
        <f t="shared" si="244"/>
        <v>0</v>
      </c>
      <c r="AV240" s="188">
        <f t="shared" si="244"/>
        <v>0</v>
      </c>
      <c r="AW240" s="188">
        <f t="shared" si="244"/>
        <v>0</v>
      </c>
      <c r="AX240" s="188">
        <f t="shared" si="244"/>
        <v>0</v>
      </c>
      <c r="AY240" s="188">
        <f t="shared" si="244"/>
        <v>0</v>
      </c>
      <c r="AZ240" s="188">
        <f t="shared" si="244"/>
        <v>0</v>
      </c>
      <c r="BA240" s="188">
        <f t="shared" si="244"/>
        <v>0</v>
      </c>
      <c r="BB240" s="188">
        <f t="shared" si="244"/>
        <v>0</v>
      </c>
      <c r="BC240" s="231"/>
      <c r="BD240" s="296"/>
      <c r="BE240" s="296"/>
      <c r="BF240" s="231"/>
      <c r="BG240" s="231"/>
      <c r="BH240" s="296">
        <v>0</v>
      </c>
      <c r="BI240" s="296">
        <v>0</v>
      </c>
      <c r="BJ240" s="403">
        <f t="shared" si="190"/>
        <v>8600</v>
      </c>
      <c r="BK240" s="403">
        <v>0</v>
      </c>
      <c r="BL240" s="296">
        <f t="shared" si="227"/>
        <v>0</v>
      </c>
      <c r="BM240" s="296">
        <f t="shared" si="194"/>
        <v>0</v>
      </c>
      <c r="BN240" s="205"/>
      <c r="BO240" s="205"/>
      <c r="BP240" s="297"/>
      <c r="BQ240" s="298"/>
      <c r="BR240" s="297"/>
      <c r="BS240" s="298"/>
      <c r="BT240" s="297"/>
      <c r="BU240" s="298"/>
      <c r="BV240" s="297"/>
      <c r="BW240" s="298"/>
      <c r="BX240" s="297"/>
      <c r="BY240" s="298"/>
      <c r="BZ240" s="297"/>
      <c r="CA240" s="298"/>
      <c r="CB240" s="297"/>
      <c r="CC240" s="298"/>
      <c r="CD240" s="297"/>
      <c r="CE240" s="298"/>
      <c r="CF240" s="297"/>
      <c r="CG240" s="298"/>
      <c r="CH240" s="297"/>
      <c r="CI240" s="298"/>
      <c r="CJ240" s="297"/>
      <c r="CK240" s="298"/>
      <c r="CL240" s="297"/>
      <c r="CM240" s="298"/>
      <c r="CN240" s="297"/>
      <c r="CO240" s="298"/>
      <c r="CP240" s="213" t="str">
        <f t="shared" si="196"/>
        <v>Không đạt</v>
      </c>
      <c r="CQ240" s="213" t="str">
        <f t="shared" si="197"/>
        <v>Không đạt</v>
      </c>
      <c r="CR240" s="213"/>
      <c r="CS240" s="213"/>
      <c r="CT240" s="231"/>
      <c r="CU240" s="163"/>
      <c r="CV240" s="252"/>
      <c r="CW240" s="253"/>
      <c r="CX240" s="254"/>
      <c r="CY240" s="254"/>
      <c r="CZ240" s="198"/>
      <c r="DA240" s="254"/>
      <c r="DB240" s="254"/>
      <c r="DC240" s="254"/>
      <c r="DE240" s="199"/>
      <c r="DF240" s="200"/>
      <c r="DG240" s="181"/>
    </row>
    <row r="241" spans="1:111" ht="51" outlineLevel="1" x14ac:dyDescent="0.25">
      <c r="A241" s="192">
        <v>1</v>
      </c>
      <c r="B241" s="269" t="s">
        <v>373</v>
      </c>
      <c r="C241" s="269"/>
      <c r="D241" s="214">
        <f>E241+F241</f>
        <v>8600</v>
      </c>
      <c r="E241" s="215">
        <v>8600</v>
      </c>
      <c r="F241" s="214"/>
      <c r="G241" s="257"/>
      <c r="H241" s="223"/>
      <c r="I241" s="235"/>
      <c r="J241" s="235"/>
      <c r="K241" s="223"/>
      <c r="L241" s="235"/>
      <c r="M241" s="223"/>
      <c r="N241" s="223"/>
      <c r="O241" s="223"/>
      <c r="P241" s="223"/>
      <c r="Q241" s="292"/>
      <c r="R241" s="223"/>
      <c r="S241" s="293"/>
      <c r="T241" s="293"/>
      <c r="U241" s="223"/>
      <c r="V241" s="293"/>
      <c r="W241" s="293"/>
      <c r="X241" s="223"/>
      <c r="Y241" s="293"/>
      <c r="Z241" s="293"/>
      <c r="AA241" s="223"/>
      <c r="AB241" s="293"/>
      <c r="AC241" s="293"/>
      <c r="AD241" s="223"/>
      <c r="AE241" s="293"/>
      <c r="AF241" s="293"/>
      <c r="AG241" s="223"/>
      <c r="AH241" s="293"/>
      <c r="AI241" s="293"/>
      <c r="AJ241" s="294"/>
      <c r="AK241" s="293"/>
      <c r="AL241" s="293"/>
      <c r="AM241" s="223"/>
      <c r="AN241" s="293"/>
      <c r="AO241" s="293"/>
      <c r="AP241" s="293"/>
      <c r="AQ241" s="223"/>
      <c r="AR241" s="293"/>
      <c r="AS241" s="293"/>
      <c r="AT241" s="223"/>
      <c r="AU241" s="293"/>
      <c r="AV241" s="293"/>
      <c r="AW241" s="293"/>
      <c r="AX241" s="293"/>
      <c r="AY241" s="293"/>
      <c r="AZ241" s="293"/>
      <c r="BA241" s="293"/>
      <c r="BB241" s="293"/>
      <c r="BC241" s="223"/>
      <c r="BD241" s="293"/>
      <c r="BE241" s="293"/>
      <c r="BF241" s="223"/>
      <c r="BG241" s="223"/>
      <c r="BH241" s="293">
        <v>0</v>
      </c>
      <c r="BI241" s="293">
        <v>0</v>
      </c>
      <c r="BJ241" s="223">
        <f t="shared" si="190"/>
        <v>8600</v>
      </c>
      <c r="BK241" s="223"/>
      <c r="BL241" s="293">
        <f t="shared" si="227"/>
        <v>0</v>
      </c>
      <c r="BM241" s="293">
        <f t="shared" si="194"/>
        <v>0</v>
      </c>
      <c r="BN241" s="205"/>
      <c r="BO241" s="205"/>
      <c r="BP241" s="295"/>
      <c r="BQ241" s="292"/>
      <c r="BR241" s="295"/>
      <c r="BS241" s="292"/>
      <c r="BT241" s="295"/>
      <c r="BU241" s="292"/>
      <c r="BV241" s="295"/>
      <c r="BW241" s="292"/>
      <c r="BX241" s="295"/>
      <c r="BY241" s="292"/>
      <c r="BZ241" s="295"/>
      <c r="CA241" s="292"/>
      <c r="CB241" s="295"/>
      <c r="CC241" s="292"/>
      <c r="CD241" s="295"/>
      <c r="CE241" s="292"/>
      <c r="CF241" s="295"/>
      <c r="CG241" s="292"/>
      <c r="CH241" s="295"/>
      <c r="CI241" s="292"/>
      <c r="CJ241" s="295"/>
      <c r="CK241" s="292"/>
      <c r="CL241" s="295"/>
      <c r="CM241" s="292"/>
      <c r="CN241" s="295"/>
      <c r="CO241" s="292"/>
      <c r="CP241" s="213" t="str">
        <f t="shared" si="196"/>
        <v>Không đạt</v>
      </c>
      <c r="CQ241" s="213" t="str">
        <f t="shared" si="197"/>
        <v>Không đạt</v>
      </c>
      <c r="CR241" s="192"/>
      <c r="CS241" s="192"/>
      <c r="CT241" s="269"/>
      <c r="CU241" s="163"/>
      <c r="CW241" s="195"/>
      <c r="CX241" s="196"/>
      <c r="CY241" s="196"/>
      <c r="CZ241" s="197"/>
      <c r="DA241" s="196"/>
      <c r="DB241" s="196"/>
      <c r="DC241" s="196"/>
      <c r="DE241" s="199"/>
      <c r="DF241" s="200"/>
      <c r="DG241" s="181"/>
    </row>
    <row r="242" spans="1:111" ht="21" customHeight="1" x14ac:dyDescent="0.25">
      <c r="A242" s="201" t="s">
        <v>39</v>
      </c>
      <c r="B242" s="202" t="s">
        <v>374</v>
      </c>
      <c r="C242" s="202"/>
      <c r="D242" s="294">
        <f t="shared" ref="D242:L242" si="245">SUM(D243,D246,D249,D252,D257,D262,D271,D273,D276,,D279,D282,D285,D288,D291,D293,D296,D298,D305,D314,D317,D320,D323,D326,D329,D332,D335,D338,D341,D344,D347,D350,D353,D356,D362,D367,D370,D373,D376,D379,D382,D385,D388,D391,D394,D397,D400,D403,D406,D408,D410,D413,D416,D419,D422,D425,D428,D431,D433,D439,D446,D448,D451,D454,D457,D468,D473,D476,D481,D487,D492,D495,D498,D501,D506,D512,D514,D520,D523,D526,D529,D534,D537,D545,D550,D552,D554,D560,D562,D565,D568,D571,D574,D576,D578,D584,D587)</f>
        <v>1727797.6095059998</v>
      </c>
      <c r="E242" s="294">
        <f t="shared" si="245"/>
        <v>378200.110506</v>
      </c>
      <c r="F242" s="294">
        <f t="shared" si="245"/>
        <v>1349597.4989999998</v>
      </c>
      <c r="G242" s="294">
        <f t="shared" si="245"/>
        <v>401730.89</v>
      </c>
      <c r="H242" s="294">
        <f t="shared" si="245"/>
        <v>947866.60900000005</v>
      </c>
      <c r="I242" s="294">
        <f t="shared" si="245"/>
        <v>81004</v>
      </c>
      <c r="J242" s="294"/>
      <c r="K242" s="294">
        <f t="shared" si="245"/>
        <v>0</v>
      </c>
      <c r="L242" s="294">
        <f t="shared" si="245"/>
        <v>0</v>
      </c>
      <c r="M242" s="223"/>
      <c r="N242" s="223"/>
      <c r="O242" s="294">
        <f t="shared" si="193"/>
        <v>482734.89</v>
      </c>
      <c r="P242" s="294">
        <f>SUM(P243,P246,P249,P252,P257,P262,P271,P273,P276,,P279,P282,P285,P288,P291,P293,P296,P298,P305,P314,P317,P320,P323,P326,P329,P332,P335,P338,P341,P344,P347,P350,P353,P356,P362,P367,P370,P373,P376,P379,P382,P385,P388,P391,P394,P397,P400,P403,P406,P408,P410,P413,P416,P419,P422,P425,P428,P431,P433,P439,P446,P448,P451,P454,P457,P468,P473,P476,P481,P487,P492,P495,P498,P501,P506,P512,P514,P520,P523,P526,P529,P534,P537,P545,P550,P552,P554,P560,P562,P565,P568,P571,P574,P576,P578,P584,P587)</f>
        <v>24510.100999999999</v>
      </c>
      <c r="Q242" s="299">
        <f t="shared" si="189"/>
        <v>1.4185747720190307E-2</v>
      </c>
      <c r="R242" s="294">
        <v>40719.270420000001</v>
      </c>
      <c r="S242" s="300">
        <v>2.3562119302725427E-2</v>
      </c>
      <c r="T242" s="300">
        <v>2.451980822200554E-2</v>
      </c>
      <c r="U242" s="294">
        <v>79316.279105999987</v>
      </c>
      <c r="V242" s="300">
        <v>4.5896196362740227E-2</v>
      </c>
      <c r="W242" s="300">
        <v>4.7761660081388671E-2</v>
      </c>
      <c r="X242" s="294">
        <v>82356.979905999993</v>
      </c>
      <c r="Y242" s="300">
        <v>4.7655691419368325E-2</v>
      </c>
      <c r="Z242" s="300">
        <v>4.9592670305969679E-2</v>
      </c>
      <c r="AA242" s="294">
        <v>82734.525905999981</v>
      </c>
      <c r="AB242" s="300">
        <v>4.7874157610007566E-2</v>
      </c>
      <c r="AC242" s="300">
        <v>4.982001611593876E-2</v>
      </c>
      <c r="AD242" s="294">
        <v>141967.37896</v>
      </c>
      <c r="AE242" s="300">
        <v>8.2149122163735266E-2</v>
      </c>
      <c r="AF242" s="300">
        <v>8.548809617596248E-2</v>
      </c>
      <c r="AG242" s="294">
        <v>142152.37896</v>
      </c>
      <c r="AH242" s="300">
        <v>8.225617202062227E-2</v>
      </c>
      <c r="AI242" s="300">
        <v>8.5599497104178593E-2</v>
      </c>
      <c r="AJ242" s="189">
        <v>142152.37896</v>
      </c>
      <c r="AK242" s="300">
        <v>8.225617202062227E-2</v>
      </c>
      <c r="AL242" s="300">
        <v>8.5599497104178593E-2</v>
      </c>
      <c r="AM242" s="294">
        <v>166967.77625999998</v>
      </c>
      <c r="AN242" s="300">
        <v>9.6615548937158138E-2</v>
      </c>
      <c r="AO242" s="300">
        <v>0.1005425149056472</v>
      </c>
      <c r="AP242" s="300"/>
      <c r="AQ242" s="294">
        <v>286518.53952200012</v>
      </c>
      <c r="AR242" s="300">
        <v>0.16579334406109963</v>
      </c>
      <c r="AS242" s="300">
        <v>0.1725320608317657</v>
      </c>
      <c r="AT242" s="294">
        <v>293842.96522200014</v>
      </c>
      <c r="AU242" s="300">
        <v>0.17003160742847528</v>
      </c>
      <c r="AV242" s="300">
        <v>0.17694258959733314</v>
      </c>
      <c r="AW242" s="300"/>
      <c r="AX242" s="300"/>
      <c r="AY242" s="300"/>
      <c r="AZ242" s="300"/>
      <c r="BA242" s="300"/>
      <c r="BB242" s="300"/>
      <c r="BC242" s="294">
        <v>293842.96522200014</v>
      </c>
      <c r="BD242" s="300">
        <v>0.17003160742847528</v>
      </c>
      <c r="BE242" s="300">
        <v>0.17694258959733314</v>
      </c>
      <c r="BF242" s="294"/>
      <c r="BG242" s="294">
        <v>455092.75231899996</v>
      </c>
      <c r="BH242" s="300">
        <v>0.26339471117170776</v>
      </c>
      <c r="BI242" s="300">
        <v>0.27409979598916973</v>
      </c>
      <c r="BJ242" s="294">
        <f t="shared" si="190"/>
        <v>1660317.7345559997</v>
      </c>
      <c r="BK242" s="294">
        <f>SUM(BK243,BK246,BK249,BK252,BK257,BK262,BK271,BK273,BK276,,BK279,BK282,BK285,BK288,BK291,BK293,BK296,BK298,BK305,BK314,BK317,BK320,BK323,BK326,BK329,BK332,BK335,BK338,BK341,BK344,BK347,BK350,BK353,BK356,BK362,BK367,BK370,BK373,BK376,BK379,BK382,BK385,BK388,BK391,BK394,BK397,BK400,BK403,BK406,BK408,BK410,BK413,BK416,BK419,BK422,BK425,BK428,BK431,BK433,BK439,BK446,BK448,BK451,BK454,BK457,BK468,BK473,BK476,BK481,BK487,BK492,BK495,BK498,BK501,BK506,BK512,BK514,BK520,BK523,BK526,BK529,BK534,BK537,BK545,BK550,BK552,BK554,BK560,BK562,BK565,BK568,BK571,BK574,BK576,BK578,BK584,BK587)</f>
        <v>533890.51517999999</v>
      </c>
      <c r="BL242" s="300">
        <f t="shared" si="227"/>
        <v>0.30900060993408041</v>
      </c>
      <c r="BM242" s="300">
        <f t="shared" si="194"/>
        <v>0.32155924379303963</v>
      </c>
      <c r="BN242" s="205">
        <f t="shared" si="183"/>
        <v>391923.13621999999</v>
      </c>
      <c r="BO242" s="205"/>
      <c r="BP242" s="301">
        <f>SUM(BP243,BP246,BP249,BP252,BP257,BP262,BP271,BP273,BP276,,BP279,BP282,BP285,BP288,BP291,BP293,BP296,BP298,BP305,BP314,BP317,BP320,BP323,BP326,BP329,BP332,BP335,BP338,BP341,BP344,BP347,BP350,BP353,BP356,BP362,BP367,BP370,BP373,BP376,BP379,BP382,BP385,BP388,BP391,BP394,BP397,BP400,BP403,BP406,BP408,BP410,BP413,BP416,BP419,BP422,BP425,BP428,BP431,BP433,BP439,BP446,BP448,BP451,BP454,BP457,BP468,BP473,BP476,BP481,BP487,BP492,BP495,BP498,BP501,BP506,BP512,BP514,BP520,BP523,BP526,BP529,BP534,BP537,BP545,BP550,BP552,BP554,BP560,BP562,BP565,BP568,BP571,BP574,BP576,BP578,BP584,BP587)</f>
        <v>16881</v>
      </c>
      <c r="BQ242" s="299">
        <f t="shared" si="195"/>
        <v>9.7702415532491104E-3</v>
      </c>
      <c r="BR242" s="301">
        <f>SUM(BR243,BR246,BR249,BR252,BR257,BR262,BR271,BR273,BR276,,BR279,BR282,BR285,BR288,BR291,BR293,BR296,BR298,BR305,BR314,BR317,BR320,BR323,BR326,BR329,BR332,BR335,BR338,BR341,BR344,BR347,BR350,BR353,BR356,BR362,BR367,BR370,BR373,BR376,BR379,BR382,BR385,BR388,BR391,BR394,BR397,BR400,BR403,BR406,BR408,BR410,BR413,BR416,BR419,BR422,BR425,BR428,BR431,BR433,BR439,BR446,BR448,BR451,BR454,BR457,BR468,BR473,BR476,BR481,BR487,BR492,BR495,BR498,BR501,BR506,BR512,BR514,BR520,BR523,BR526,BR529,BR534,BR537,BR545,BR550,BR552,BR554,BR560,BR562,BR565,BR568,BR571,BR574,BR576,BR578,BR584,BR587)</f>
        <v>109150.8</v>
      </c>
      <c r="BS242" s="299">
        <f t="shared" si="228"/>
        <v>6.3173371348284046E-2</v>
      </c>
      <c r="BT242" s="301">
        <f>SUM(BT243,BT246,BT249,BT252,BT257,BT262,BT271,BT273,BT276,,BT279,BT282,BT285,BT288,BT291,BT293,BT296,BT298,BT305,BT314,BT317,BT320,BT323,BT326,BT329,BT332,BT335,BT338,BT341,BT344,BT347,BT350,BT353,BT356,BT362,BT367,BT370,BT373,BT376,BT379,BT382,BT385,BT388,BT391,BT394,BT397,BT400,BT403,BT406,BT408,BT410,BT413,BT416,BT419,BT422,BT425,BT428,BT431,BT433,BT439,BT446,BT448,BT451,BT454,BT457,BT468,BT473,BT476,BT481,BT487,BT492,BT495,BT498,BT501,BT506,BT512,BT514,BT520,BT523,BT526,BT529,BT534,BT537,BT545,BT550,BT552,BT554,BT560,BT562,BT565,BT568,BT571,BT574,BT576,BT578,BT584,BT587)</f>
        <v>251785.57854999998</v>
      </c>
      <c r="BU242" s="299">
        <f t="shared" si="229"/>
        <v>0.14572631491369456</v>
      </c>
      <c r="BV242" s="301">
        <f>SUM(BV243,BV246,BV249,BV252,BV257,BV262,BV271,BV273,BV276,,BV279,BV282,BV285,BV288,BV291,BV293,BV296,BV298,BV305,BV314,BV317,BV320,BV323,BV326,BV329,BV332,BV335,BV338,BV341,BV344,BV347,BV350,BV353,BV356,BV362,BV367,BV370,BV373,BV376,BV379,BV382,BV385,BV388,BV391,BV394,BV397,BV400,BV403,BV406,BV408,BV410,BV413,BV416,BV419,BV422,BV425,BV428,BV431,BV433,BV439,BV446,BV448,BV451,BV454,BV457,BV468,BV473,BV476,BV481,BV487,BV492,BV495,BV498,BV501,BV506,BV512,BV514,BV520,BV523,BV526,BV529,BV534,BV537,BV545,BV550,BV552,BV554,BV560,BV562,BV565,BV568,BV571,BV574,BV576,BV578,BV584,BV587)</f>
        <v>345351.92855000001</v>
      </c>
      <c r="BW242" s="299">
        <f t="shared" si="230"/>
        <v>0.19987985088643612</v>
      </c>
      <c r="BX242" s="301">
        <f>SUM(BX243,BX246,BX249,BX252,BX257,BX262,BX271,BX273,BX276,,BX279,BX282,BX285,BX288,BX291,BX293,BX296,BX298,BX305,BX314,BX317,BX320,BX323,BX326,BX329,BX332,BX335,BX338,BX341,BX344,BX347,BX350,BX353,BX356,BX362,BX367,BX370,BX373,BX376,BX379,BX382,BX385,BX388,BX391,BX394,BX397,BX400,BX403,BX406,BX408,BX410,BX413,BX416,BX419,BX422,BX425,BX428,BX431,BX433,BX439,BX446,BX448,BX451,BX454,BX457,BX468,BX473,BX476,BX481,BX487,BX492,BX495,BX498,BX501,BX506,BX512,BX514,BX520,BX523,BX526,BX529,BX534,BX537,BX545,BX550,BX552,BX554,BX560,BX562,BX565,BX568,BX571,BX574,BX576,BX578,BX584,BX587)</f>
        <v>470078.17854999995</v>
      </c>
      <c r="BY242" s="299">
        <f t="shared" si="231"/>
        <v>0.27206784866683636</v>
      </c>
      <c r="BZ242" s="301">
        <f>SUM(BZ243,BZ246,BZ249,BZ252,BZ257,BZ262,BZ271,BZ273,BZ276,,BZ279,BZ282,BZ285,BZ288,BZ291,BZ293,BZ296,BZ298,BZ305,BZ314,BZ317,BZ320,BZ323,BZ326,BZ329,BZ332,BZ335,BZ338,BZ341,BZ344,BZ347,BZ350,BZ353,BZ356,BZ362,BZ367,BZ370,BZ373,BZ376,BZ379,BZ382,BZ385,BZ388,BZ391,BZ394,BZ397,BZ400,BZ403,BZ406,BZ408,BZ410,BZ413,BZ416,BZ419,BZ422,BZ425,BZ428,BZ431,BZ433,BZ439,BZ446,BZ448,BZ451,BZ454,BZ457,BZ468,BZ473,BZ476,BZ481,BZ487,BZ492,BZ495,BZ498,BZ501,BZ506,BZ512,BZ514,BZ520,BZ523,BZ526,BZ529,BZ534,BZ537,BZ545,BZ550,BZ552,BZ554,BZ560,BZ562,BZ565,BZ568,BZ571,BZ574,BZ576,BZ578,BZ584,BZ587)</f>
        <v>674685.02854999993</v>
      </c>
      <c r="CA242" s="299">
        <f t="shared" si="232"/>
        <v>0.39048846047593577</v>
      </c>
      <c r="CB242" s="301">
        <f>SUM(CB243,CB246,CB249,CB252,CB257,CB262,CB271,CB273,CB276,,CB279,CB282,CB285,CB288,CB291,CB293,CB296,CB298,CB305,CB314,CB317,CB320,CB323,CB326,CB329,CB332,CB335,CB338,CB341,CB344,CB347,CB350,CB353,CB356,CB362,CB367,CB370,CB373,CB376,CB379,CB382,CB385,CB388,CB391,CB394,CB397,CB400,CB403,CB406,CB408,CB410,CB413,CB416,CB419,CB422,CB425,CB428,CB431,CB433,CB439,CB446,CB448,CB451,CB454,CB457,CB468,CB473,CB476,CB481,CB487,CB492,CB495,CB498,CB501,CB506,CB512,CB514,CB520,CB523,CB526,CB529,CB534,CB537,CB545,CB550,CB552,CB554,CB560,CB562,CB565,CB568,CB571,CB574,CB576,CB578,CB584,CB587)</f>
        <v>828576.82854999998</v>
      </c>
      <c r="CC242" s="299">
        <f t="shared" si="233"/>
        <v>0.47955664713930296</v>
      </c>
      <c r="CD242" s="301">
        <f>SUM(CD243,CD246,CD249,CD252,CD257,CD262,CD271,CD273,CD276,,CD279,CD282,CD285,CD288,CD291,CD293,CD296,CD298,CD305,CD314,CD317,CD320,CD323,CD326,CD329,CD332,CD335,CD338,CD341,CD344,CD347,CD350,CD353,CD356,CD362,CD367,CD370,CD373,CD376,CD379,CD382,CD385,CD388,CD391,CD394,CD397,CD400,CD403,CD406,CD408,CD410,CD413,CD416,CD419,CD422,CD425,CD428,CD431,CD433,CD439,CD446,CD448,CD451,CD454,CD457,CD468,CD473,CD476,CD481,CD487,CD492,CD495,CD498,CD501,CD506,CD512,CD514,CD520,CD523,CD526,CD529,CD534,CD537,CD545,CD550,CD552,CD554,CD560,CD562,CD565,CD568,CD571,CD574,CD576,CD578,CD584,CD587)</f>
        <v>940856.97855000012</v>
      </c>
      <c r="CE242" s="299">
        <f t="shared" si="234"/>
        <v>0.54454119705548354</v>
      </c>
      <c r="CF242" s="301">
        <f>SUM(CF243,CF246,CF249,CF252,CF257,CF262,CF271,CF273,CF276,,CF279,CF282,CF285,CF288,CF291,CF293,CF296,CF298,CF305,CF314,CF317,CF320,CF323,CF326,CF329,CF332,CF335,CF338,CF341,CF344,CF347,CF350,CF353,CF356,CF362,CF367,CF370,CF373,CF376,CF379,CF382,CF385,CF388,CF391,CF394,CF397,CF400,CF403,CF406,CF408,CF410,CF413,CF416,CF419,CF422,CF425,CF428,CF431,CF433,CF439,CF446,CF448,CF451,CF454,CF457,CF468,CF473,CF476,CF481,CF487,CF492,CF495,CF498,CF501,CF506,CF512,CF514,CF520,CF523,CF526,CF529,CF534,CF537,CF545,CF550,CF552,CF554,CF560,CF562,CF565,CF568,CF571,CF574,CF576,CF578,CF584,CF587)</f>
        <v>1102402.7285499999</v>
      </c>
      <c r="CG242" s="299">
        <f t="shared" si="235"/>
        <v>0.63803927177859177</v>
      </c>
      <c r="CH242" s="301">
        <f>SUM(CH243,CH246,CH249,CH252,CH257,CH262,CH271,CH273,CH276,,CH279,CH282,CH285,CH288,CH291,CH293,CH296,CH298,CH305,CH314,CH317,CH320,CH323,CH326,CH329,CH332,CH335,CH338,CH341,CH344,CH347,CH350,CH353,CH356,CH362,CH367,CH370,CH373,CH376,CH379,CH382,CH385,CH388,CH391,CH394,CH397,CH400,CH403,CH406,CH408,CH410,CH413,CH416,CH419,CH422,CH425,CH428,CH431,CH433,CH439,CH446,CH448,CH451,CH454,CH457,CH468,CH473,CH476,CH481,CH487,CH492,CH495,CH498,CH501,CH506,CH512,CH514,CH520,CH523,CH526,CH529,CH534,CH537,CH545,CH550,CH552,CH554,CH560,CH562,CH565,CH568,CH571,CH574,CH576,CH578,CH584,CH587)</f>
        <v>1214139.1785500001</v>
      </c>
      <c r="CI242" s="299">
        <f t="shared" si="236"/>
        <v>0.70270914363467518</v>
      </c>
      <c r="CJ242" s="301">
        <f>SUM(CJ243,CJ246,CJ249,CJ252,CJ257,CJ262,CJ271,CJ273,CJ276,,CJ279,CJ282,CJ285,CJ288,CJ291,CJ293,CJ296,CJ298,CJ305,CJ314,CJ317,CJ320,CJ323,CJ326,CJ329,CJ332,CJ335,CJ338,CJ341,CJ344,CJ347,CJ350,CJ353,CJ356,CJ362,CJ367,CJ370,CJ373,CJ376,CJ379,CJ382,CJ385,CJ388,CJ391,CJ394,CJ397,CJ400,CJ403,CJ406,CJ408,CJ410,CJ413,CJ416,CJ419,CJ422,CJ425,CJ428,CJ431,CJ433,CJ439,CJ446,CJ448,CJ451,CJ454,CJ457,CJ468,CJ473,CJ476,CJ481,CJ487,CJ492,CJ495,CJ498,CJ501,CJ506,CJ512,CJ514,CJ520,CJ523,CJ526,CJ529,CJ534,CJ537,CJ545,CJ550,CJ552,CJ554,CJ560,CJ562,CJ565,CJ568,CJ571,CJ574,CJ576,CJ578,CJ584,CJ587)</f>
        <v>1351878.07855</v>
      </c>
      <c r="CK242" s="299">
        <f t="shared" si="237"/>
        <v>0.78242849226798028</v>
      </c>
      <c r="CL242" s="301">
        <f>SUM(CL243,CL246,CL249,CL252,CL257,CL262,CL271,CL273,CL276,,CL279,CL282,CL285,CL288,CL291,CL293,CL296,CL298,CL305,CL314,CL317,CL320,CL323,CL326,CL329,CL332,CL335,CL338,CL341,CL344,CL347,CL350,CL353,CL356,CL362,CL367,CL370,CL373,CL376,CL379,CL382,CL385,CL388,CL391,CL394,CL397,CL400,CL403,CL406,CL408,CL410,CL413,CL416,CL419,CL422,CL425,CL428,CL431,CL433,CL439,CL446,CL448,CL451,CL454,CL457,CL468,CL473,CL476,CL481,CL487,CL492,CL495,CL498,CL501,CL506,CL512,CL514,CL520,CL523,CL526,CL529,CL534,CL537,CL545,CL550,CL552,CL554,CL560,CL562,CL565,CL568,CL571,CL574,CL576,CL578,CL584,CL587)</f>
        <v>1502628.87855</v>
      </c>
      <c r="CM242" s="299">
        <f t="shared" si="238"/>
        <v>0.86967875767557146</v>
      </c>
      <c r="CN242" s="301">
        <f>SUM(CN243,CN246,CN249,CN252,CN257,CN262,CN271,CN273,CN276,,CN279,CN282,CN285,CN288,CN291,CN293,CN296,CN298,CN305,CN314,CN317,CN320,CN323,CN326,CN329,CN332,CN335,CN338,CN341,CN344,CN347,CN350,CN353,CN356,CN362,CN367,CN370,CN373,CN376,CN379,CN382,CN385,CN388,CN391,CN394,CN397,CN400,CN403,CN406,CN408,CN410,CN413,CN416,CN419,CN422,CN425,CN428,CN431,CN433,CN439,CN446,CN448,CN451,CN454,CN457,CN468,CN473,CN476,CN481,CN487,CN492,CN495,CN498,CN501,CN506,CN512,CN514,CN520,CN523,CN526,CN529,CN534,CN537,CN545,CN550,CN552,CN554,CN560,CN562,CN565,CN568,CN571,CN574,CN576,CN578,CN584,CN587)</f>
        <v>1660662.989056</v>
      </c>
      <c r="CO242" s="299">
        <f t="shared" si="239"/>
        <v>0.96114439557003761</v>
      </c>
      <c r="CP242" s="213" t="str">
        <f t="shared" si="196"/>
        <v>Không đạt</v>
      </c>
      <c r="CQ242" s="213" t="str">
        <f t="shared" si="197"/>
        <v>Không đạt</v>
      </c>
      <c r="CR242" s="207"/>
      <c r="CS242" s="207"/>
      <c r="CT242" s="302"/>
      <c r="CU242" s="163"/>
      <c r="CW242" s="195"/>
      <c r="CX242" s="196"/>
      <c r="CY242" s="196"/>
      <c r="CZ242" s="197"/>
      <c r="DA242" s="196"/>
      <c r="DB242" s="196"/>
      <c r="DC242" s="196"/>
      <c r="DE242" s="199"/>
      <c r="DF242" s="200"/>
      <c r="DG242" s="181"/>
    </row>
    <row r="243" spans="1:111" ht="18" customHeight="1" x14ac:dyDescent="0.25">
      <c r="A243" s="213">
        <v>1</v>
      </c>
      <c r="B243" s="240" t="s">
        <v>375</v>
      </c>
      <c r="C243" s="240"/>
      <c r="D243" s="188">
        <f>D244+D245</f>
        <v>5600</v>
      </c>
      <c r="E243" s="188">
        <f t="shared" ref="E243:K243" si="246">E244+E245</f>
        <v>0</v>
      </c>
      <c r="F243" s="188">
        <f t="shared" si="246"/>
        <v>5600</v>
      </c>
      <c r="G243" s="188">
        <f t="shared" si="246"/>
        <v>3000</v>
      </c>
      <c r="H243" s="188">
        <f t="shared" si="246"/>
        <v>2600</v>
      </c>
      <c r="I243" s="188">
        <f t="shared" si="246"/>
        <v>0</v>
      </c>
      <c r="J243" s="188"/>
      <c r="K243" s="188">
        <f t="shared" si="246"/>
        <v>0</v>
      </c>
      <c r="L243" s="188">
        <f>L244</f>
        <v>0</v>
      </c>
      <c r="M243" s="231"/>
      <c r="N243" s="231"/>
      <c r="O243" s="188">
        <f t="shared" si="193"/>
        <v>3000</v>
      </c>
      <c r="P243" s="188">
        <v>0</v>
      </c>
      <c r="Q243" s="186">
        <f t="shared" si="189"/>
        <v>0</v>
      </c>
      <c r="R243" s="189">
        <v>1892.2939999999999</v>
      </c>
      <c r="S243" s="185">
        <v>0.33790964285714281</v>
      </c>
      <c r="T243" s="185">
        <v>0.35569436090225559</v>
      </c>
      <c r="U243" s="189">
        <v>2162</v>
      </c>
      <c r="V243" s="185">
        <v>0.38607142857142857</v>
      </c>
      <c r="W243" s="185">
        <v>0.40639097744360902</v>
      </c>
      <c r="X243" s="189">
        <v>2162</v>
      </c>
      <c r="Y243" s="185">
        <v>0.38607142857142857</v>
      </c>
      <c r="Z243" s="185">
        <v>0.40639097744360902</v>
      </c>
      <c r="AA243" s="189">
        <v>2162</v>
      </c>
      <c r="AB243" s="185">
        <v>0.38607142857142857</v>
      </c>
      <c r="AC243" s="185">
        <v>0.40639097744360902</v>
      </c>
      <c r="AD243" s="189">
        <v>2771</v>
      </c>
      <c r="AE243" s="185">
        <v>0.59303571428571433</v>
      </c>
      <c r="AF243" s="185">
        <v>0.62424812030075183</v>
      </c>
      <c r="AG243" s="189">
        <v>2771</v>
      </c>
      <c r="AH243" s="185">
        <v>0.59303571428571433</v>
      </c>
      <c r="AI243" s="185">
        <v>0.62424812030075183</v>
      </c>
      <c r="AJ243" s="303">
        <v>2771</v>
      </c>
      <c r="AK243" s="185">
        <v>0.59303571428571433</v>
      </c>
      <c r="AL243" s="185">
        <v>0.62424812030075183</v>
      </c>
      <c r="AM243" s="189">
        <v>2771</v>
      </c>
      <c r="AN243" s="185">
        <v>0.50834750000000006</v>
      </c>
      <c r="AO243" s="185">
        <v>0.53510263157894744</v>
      </c>
      <c r="AP243" s="185"/>
      <c r="AQ243" s="189">
        <v>2850</v>
      </c>
      <c r="AR243" s="185">
        <v>0.5089285714285714</v>
      </c>
      <c r="AS243" s="185">
        <v>0.5357142857142857</v>
      </c>
      <c r="AT243" s="189">
        <v>2850</v>
      </c>
      <c r="AU243" s="185">
        <v>0.5089285714285714</v>
      </c>
      <c r="AV243" s="185">
        <v>0.5357142857142857</v>
      </c>
      <c r="AW243" s="185"/>
      <c r="AX243" s="185"/>
      <c r="AY243" s="185"/>
      <c r="AZ243" s="185"/>
      <c r="BA243" s="185"/>
      <c r="BB243" s="185"/>
      <c r="BC243" s="189">
        <v>2850</v>
      </c>
      <c r="BD243" s="185">
        <v>0.5089285714285714</v>
      </c>
      <c r="BE243" s="185">
        <v>0.5357142857142857</v>
      </c>
      <c r="BF243" s="189"/>
      <c r="BG243" s="189">
        <v>4450</v>
      </c>
      <c r="BH243" s="185">
        <v>0.7946428571428571</v>
      </c>
      <c r="BI243" s="185">
        <v>0.8364661654135338</v>
      </c>
      <c r="BJ243" s="189">
        <f t="shared" si="190"/>
        <v>5320</v>
      </c>
      <c r="BK243" s="189">
        <v>5250</v>
      </c>
      <c r="BL243" s="185">
        <f t="shared" si="227"/>
        <v>0.9375</v>
      </c>
      <c r="BM243" s="185">
        <f t="shared" si="194"/>
        <v>0.98684210526315785</v>
      </c>
      <c r="BN243" s="205">
        <f t="shared" si="183"/>
        <v>2479</v>
      </c>
      <c r="BO243" s="205"/>
      <c r="BP243" s="189">
        <f>BP244+BP245</f>
        <v>0</v>
      </c>
      <c r="BQ243" s="186">
        <f t="shared" si="195"/>
        <v>0</v>
      </c>
      <c r="BR243" s="189">
        <f>BR244+BR245</f>
        <v>0</v>
      </c>
      <c r="BS243" s="186">
        <f t="shared" si="228"/>
        <v>0</v>
      </c>
      <c r="BT243" s="189">
        <f>BT244+BT245</f>
        <v>0</v>
      </c>
      <c r="BU243" s="186">
        <f t="shared" si="229"/>
        <v>0</v>
      </c>
      <c r="BV243" s="189">
        <f>BV244+BV245</f>
        <v>0</v>
      </c>
      <c r="BW243" s="186">
        <f t="shared" si="230"/>
        <v>0</v>
      </c>
      <c r="BX243" s="189">
        <f>BX244+BX245</f>
        <v>300</v>
      </c>
      <c r="BY243" s="186">
        <f t="shared" si="231"/>
        <v>5.3571428571428568E-2</v>
      </c>
      <c r="BZ243" s="189">
        <f>BZ244+BZ245</f>
        <v>450</v>
      </c>
      <c r="CA243" s="186">
        <f t="shared" si="232"/>
        <v>8.0357142857142863E-2</v>
      </c>
      <c r="CB243" s="189">
        <f>CB244+CB245</f>
        <v>750</v>
      </c>
      <c r="CC243" s="186">
        <f t="shared" si="233"/>
        <v>0.13392857142857142</v>
      </c>
      <c r="CD243" s="189">
        <f>CD244+CD245</f>
        <v>1940</v>
      </c>
      <c r="CE243" s="186">
        <f t="shared" si="234"/>
        <v>0.34642857142857142</v>
      </c>
      <c r="CF243" s="189">
        <f>CF244+CF245</f>
        <v>2780</v>
      </c>
      <c r="CG243" s="186">
        <f t="shared" si="235"/>
        <v>0.49642857142857144</v>
      </c>
      <c r="CH243" s="189">
        <f>CH244+CH245</f>
        <v>3672</v>
      </c>
      <c r="CI243" s="186">
        <f t="shared" si="236"/>
        <v>0.65571428571428569</v>
      </c>
      <c r="CJ243" s="189">
        <f>CJ244+CJ245</f>
        <v>4408</v>
      </c>
      <c r="CK243" s="186">
        <f t="shared" si="237"/>
        <v>0.78714285714285714</v>
      </c>
      <c r="CL243" s="189">
        <f>CL244+CL245</f>
        <v>5040</v>
      </c>
      <c r="CM243" s="186">
        <f t="shared" si="238"/>
        <v>0.9</v>
      </c>
      <c r="CN243" s="189">
        <f>CN244+CN245</f>
        <v>5320</v>
      </c>
      <c r="CO243" s="186">
        <f t="shared" si="239"/>
        <v>0.95</v>
      </c>
      <c r="CP243" s="213" t="str">
        <f t="shared" si="196"/>
        <v>Đạt</v>
      </c>
      <c r="CQ243" s="213" t="str">
        <f t="shared" si="197"/>
        <v>Đạt</v>
      </c>
      <c r="CR243" s="213"/>
      <c r="CS243" s="213"/>
      <c r="CT243" s="231"/>
      <c r="CU243" s="163"/>
      <c r="CW243" s="195"/>
      <c r="CX243" s="196"/>
      <c r="CY243" s="196"/>
      <c r="CZ243" s="197"/>
      <c r="DA243" s="196"/>
      <c r="DB243" s="196"/>
      <c r="DC243" s="196"/>
      <c r="DE243" s="199"/>
      <c r="DF243" s="200"/>
      <c r="DG243" s="181"/>
    </row>
    <row r="244" spans="1:111" outlineLevel="1" x14ac:dyDescent="0.25">
      <c r="A244" s="305" t="s">
        <v>34</v>
      </c>
      <c r="B244" s="306" t="s">
        <v>376</v>
      </c>
      <c r="C244" s="306"/>
      <c r="D244" s="307">
        <f t="shared" ref="D244:D321" si="247">E244+F244</f>
        <v>3000</v>
      </c>
      <c r="E244" s="307"/>
      <c r="F244" s="307">
        <f>G244+H244+K244+M244</f>
        <v>3000</v>
      </c>
      <c r="G244" s="307">
        <v>3000</v>
      </c>
      <c r="H244" s="303"/>
      <c r="I244" s="235"/>
      <c r="J244" s="235"/>
      <c r="K244" s="303"/>
      <c r="L244" s="235"/>
      <c r="M244" s="223"/>
      <c r="N244" s="223"/>
      <c r="O244" s="303">
        <f t="shared" si="193"/>
        <v>3000</v>
      </c>
      <c r="P244" s="303">
        <v>0</v>
      </c>
      <c r="Q244" s="308">
        <f t="shared" si="189"/>
        <v>0</v>
      </c>
      <c r="R244" s="303">
        <v>1892.2939999999999</v>
      </c>
      <c r="S244" s="309">
        <v>0.63076466666666664</v>
      </c>
      <c r="T244" s="309">
        <v>0.66396280701754384</v>
      </c>
      <c r="U244" s="303">
        <v>2266.1790000000001</v>
      </c>
      <c r="V244" s="309">
        <v>0.75539299999999998</v>
      </c>
      <c r="W244" s="309">
        <v>0.79515052631578953</v>
      </c>
      <c r="X244" s="303">
        <v>2266.1790000000001</v>
      </c>
      <c r="Y244" s="309">
        <v>0.75539299999999998</v>
      </c>
      <c r="Z244" s="309">
        <v>0.79515052631578953</v>
      </c>
      <c r="AA244" s="303">
        <v>2266.1790000000001</v>
      </c>
      <c r="AB244" s="309">
        <v>0.75539299999999998</v>
      </c>
      <c r="AC244" s="309">
        <v>0.79515052631578953</v>
      </c>
      <c r="AD244" s="303">
        <v>2771</v>
      </c>
      <c r="AE244" s="309">
        <v>1.107</v>
      </c>
      <c r="AF244" s="309">
        <v>1.1652631578947368</v>
      </c>
      <c r="AG244" s="303">
        <v>2771</v>
      </c>
      <c r="AH244" s="309">
        <v>1.107</v>
      </c>
      <c r="AI244" s="309">
        <v>1.1652631578947368</v>
      </c>
      <c r="AJ244" s="303">
        <v>2771</v>
      </c>
      <c r="AK244" s="309">
        <v>1.107</v>
      </c>
      <c r="AL244" s="309">
        <v>1.1652631578947368</v>
      </c>
      <c r="AM244" s="271">
        <v>2771</v>
      </c>
      <c r="AN244" s="309">
        <v>0.94891533333333333</v>
      </c>
      <c r="AO244" s="309">
        <v>0.99885824561403513</v>
      </c>
      <c r="AP244" s="309"/>
      <c r="AQ244" s="271">
        <v>2850</v>
      </c>
      <c r="AR244" s="309">
        <v>0.95</v>
      </c>
      <c r="AS244" s="309">
        <v>1</v>
      </c>
      <c r="AT244" s="271">
        <v>2850</v>
      </c>
      <c r="AU244" s="309">
        <v>0.95</v>
      </c>
      <c r="AV244" s="309">
        <v>1</v>
      </c>
      <c r="AW244" s="309"/>
      <c r="AX244" s="309"/>
      <c r="AY244" s="309"/>
      <c r="AZ244" s="309"/>
      <c r="BA244" s="309"/>
      <c r="BB244" s="309"/>
      <c r="BC244" s="271">
        <v>2850</v>
      </c>
      <c r="BD244" s="309">
        <v>0.95</v>
      </c>
      <c r="BE244" s="309">
        <v>1</v>
      </c>
      <c r="BF244" s="271"/>
      <c r="BG244" s="271">
        <v>2850</v>
      </c>
      <c r="BH244" s="309">
        <v>0.95</v>
      </c>
      <c r="BI244" s="309">
        <v>1</v>
      </c>
      <c r="BJ244" s="401">
        <f t="shared" si="190"/>
        <v>2850</v>
      </c>
      <c r="BK244" s="401">
        <v>2850</v>
      </c>
      <c r="BL244" s="309">
        <f t="shared" si="227"/>
        <v>0.95</v>
      </c>
      <c r="BM244" s="309">
        <f t="shared" si="194"/>
        <v>1</v>
      </c>
      <c r="BN244" s="205">
        <f t="shared" si="183"/>
        <v>79</v>
      </c>
      <c r="BO244" s="205"/>
      <c r="BP244" s="310"/>
      <c r="BQ244" s="308">
        <f t="shared" si="195"/>
        <v>0</v>
      </c>
      <c r="BR244" s="310"/>
      <c r="BS244" s="308">
        <f t="shared" si="228"/>
        <v>0</v>
      </c>
      <c r="BT244" s="310"/>
      <c r="BU244" s="308">
        <f t="shared" si="229"/>
        <v>0</v>
      </c>
      <c r="BV244" s="310"/>
      <c r="BW244" s="311">
        <f>BV244/$D244</f>
        <v>0</v>
      </c>
      <c r="BX244" s="310">
        <v>300</v>
      </c>
      <c r="BY244" s="311">
        <f t="shared" si="231"/>
        <v>0.1</v>
      </c>
      <c r="BZ244" s="310">
        <v>450</v>
      </c>
      <c r="CA244" s="311">
        <f t="shared" si="232"/>
        <v>0.15</v>
      </c>
      <c r="CB244" s="310">
        <v>750</v>
      </c>
      <c r="CC244" s="311">
        <f t="shared" si="233"/>
        <v>0.25</v>
      </c>
      <c r="CD244" s="310">
        <v>900</v>
      </c>
      <c r="CE244" s="311">
        <f t="shared" si="234"/>
        <v>0.3</v>
      </c>
      <c r="CF244" s="310">
        <v>1350</v>
      </c>
      <c r="CG244" s="311">
        <f t="shared" si="235"/>
        <v>0.45</v>
      </c>
      <c r="CH244" s="310">
        <v>1800</v>
      </c>
      <c r="CI244" s="311">
        <f t="shared" si="236"/>
        <v>0.6</v>
      </c>
      <c r="CJ244" s="310">
        <v>2250</v>
      </c>
      <c r="CK244" s="311">
        <f t="shared" si="237"/>
        <v>0.75</v>
      </c>
      <c r="CL244" s="310">
        <v>2700</v>
      </c>
      <c r="CM244" s="311">
        <f t="shared" si="238"/>
        <v>0.9</v>
      </c>
      <c r="CN244" s="310">
        <v>2850</v>
      </c>
      <c r="CO244" s="311">
        <f t="shared" si="239"/>
        <v>0.95</v>
      </c>
      <c r="CP244" s="213" t="str">
        <f t="shared" si="196"/>
        <v>Đạt</v>
      </c>
      <c r="CQ244" s="213" t="str">
        <f t="shared" si="197"/>
        <v>Đạt</v>
      </c>
      <c r="CR244" s="312"/>
      <c r="CS244" s="312"/>
      <c r="CT244" s="235"/>
      <c r="CU244" s="163"/>
      <c r="CW244" s="195"/>
      <c r="CX244" s="196"/>
      <c r="CY244" s="196"/>
      <c r="CZ244" s="197"/>
      <c r="DA244" s="196"/>
      <c r="DB244" s="196"/>
      <c r="DC244" s="196"/>
      <c r="DE244" s="199"/>
      <c r="DF244" s="200"/>
      <c r="DG244" s="181"/>
    </row>
    <row r="245" spans="1:111" ht="25.5" outlineLevel="1" x14ac:dyDescent="0.25">
      <c r="A245" s="305" t="s">
        <v>34</v>
      </c>
      <c r="B245" s="306" t="s">
        <v>377</v>
      </c>
      <c r="C245" s="306"/>
      <c r="D245" s="307">
        <f t="shared" si="247"/>
        <v>2600</v>
      </c>
      <c r="E245" s="307"/>
      <c r="F245" s="307">
        <f>G245+H245+K245+M245</f>
        <v>2600</v>
      </c>
      <c r="G245" s="307"/>
      <c r="H245" s="307">
        <v>2600</v>
      </c>
      <c r="I245" s="235"/>
      <c r="J245" s="235"/>
      <c r="K245" s="303"/>
      <c r="L245" s="235"/>
      <c r="M245" s="223"/>
      <c r="N245" s="223"/>
      <c r="O245" s="303"/>
      <c r="P245" s="303">
        <v>0</v>
      </c>
      <c r="Q245" s="308">
        <f t="shared" si="189"/>
        <v>0</v>
      </c>
      <c r="R245" s="303"/>
      <c r="S245" s="225">
        <v>0</v>
      </c>
      <c r="T245" s="225">
        <v>0</v>
      </c>
      <c r="U245" s="303"/>
      <c r="V245" s="225">
        <v>0</v>
      </c>
      <c r="W245" s="225">
        <v>0</v>
      </c>
      <c r="X245" s="303"/>
      <c r="Y245" s="225">
        <v>0</v>
      </c>
      <c r="Z245" s="225">
        <v>0</v>
      </c>
      <c r="AA245" s="303"/>
      <c r="AB245" s="225">
        <v>0</v>
      </c>
      <c r="AC245" s="225">
        <v>0</v>
      </c>
      <c r="AD245" s="303"/>
      <c r="AE245" s="225">
        <v>0</v>
      </c>
      <c r="AF245" s="225">
        <v>0</v>
      </c>
      <c r="AG245" s="303"/>
      <c r="AH245" s="225">
        <v>0</v>
      </c>
      <c r="AI245" s="225">
        <v>0</v>
      </c>
      <c r="AJ245" s="189"/>
      <c r="AK245" s="225">
        <v>0</v>
      </c>
      <c r="AL245" s="225">
        <v>0</v>
      </c>
      <c r="AM245" s="303"/>
      <c r="AN245" s="225">
        <v>0</v>
      </c>
      <c r="AO245" s="225">
        <v>0</v>
      </c>
      <c r="AP245" s="225"/>
      <c r="AQ245" s="303"/>
      <c r="AR245" s="225">
        <v>0</v>
      </c>
      <c r="AS245" s="225">
        <v>0</v>
      </c>
      <c r="AT245" s="303"/>
      <c r="AU245" s="225">
        <v>0</v>
      </c>
      <c r="AV245" s="225">
        <v>0</v>
      </c>
      <c r="AW245" s="225"/>
      <c r="AX245" s="225"/>
      <c r="AY245" s="225"/>
      <c r="AZ245" s="225"/>
      <c r="BA245" s="225"/>
      <c r="BB245" s="225"/>
      <c r="BC245" s="303"/>
      <c r="BD245" s="225">
        <v>0</v>
      </c>
      <c r="BE245" s="225">
        <v>0</v>
      </c>
      <c r="BF245" s="303"/>
      <c r="BG245" s="303">
        <v>1600</v>
      </c>
      <c r="BH245" s="225">
        <v>0.61538461538461542</v>
      </c>
      <c r="BI245" s="225">
        <v>0.64777327935222673</v>
      </c>
      <c r="BJ245" s="303">
        <f t="shared" si="190"/>
        <v>2470</v>
      </c>
      <c r="BK245" s="303">
        <v>2295</v>
      </c>
      <c r="BL245" s="225">
        <f t="shared" si="227"/>
        <v>0.88269230769230766</v>
      </c>
      <c r="BM245" s="225">
        <f t="shared" si="194"/>
        <v>0.92914979757085026</v>
      </c>
      <c r="BN245" s="205">
        <f t="shared" si="183"/>
        <v>2295</v>
      </c>
      <c r="BO245" s="205"/>
      <c r="BP245" s="310"/>
      <c r="BQ245" s="224">
        <f t="shared" si="195"/>
        <v>0</v>
      </c>
      <c r="BR245" s="310"/>
      <c r="BS245" s="224">
        <f t="shared" si="228"/>
        <v>0</v>
      </c>
      <c r="BT245" s="310"/>
      <c r="BU245" s="308">
        <f t="shared" si="229"/>
        <v>0</v>
      </c>
      <c r="BV245" s="310"/>
      <c r="BW245" s="311">
        <f t="shared" si="229"/>
        <v>0</v>
      </c>
      <c r="BX245" s="310"/>
      <c r="BY245" s="311">
        <f t="shared" si="231"/>
        <v>0</v>
      </c>
      <c r="BZ245" s="310"/>
      <c r="CA245" s="311">
        <f t="shared" si="232"/>
        <v>0</v>
      </c>
      <c r="CB245" s="310"/>
      <c r="CC245" s="311">
        <f t="shared" si="233"/>
        <v>0</v>
      </c>
      <c r="CD245" s="310">
        <v>1040</v>
      </c>
      <c r="CE245" s="311">
        <f t="shared" si="234"/>
        <v>0.4</v>
      </c>
      <c r="CF245" s="310">
        <v>1430</v>
      </c>
      <c r="CG245" s="311">
        <f t="shared" si="235"/>
        <v>0.55000000000000004</v>
      </c>
      <c r="CH245" s="310">
        <v>1872</v>
      </c>
      <c r="CI245" s="311">
        <f t="shared" si="236"/>
        <v>0.72</v>
      </c>
      <c r="CJ245" s="310">
        <v>2158</v>
      </c>
      <c r="CK245" s="311">
        <f t="shared" si="237"/>
        <v>0.83</v>
      </c>
      <c r="CL245" s="310">
        <v>2340</v>
      </c>
      <c r="CM245" s="311">
        <f t="shared" si="238"/>
        <v>0.9</v>
      </c>
      <c r="CN245" s="310">
        <v>2470</v>
      </c>
      <c r="CO245" s="311">
        <f t="shared" si="239"/>
        <v>0.95</v>
      </c>
      <c r="CP245" s="213" t="str">
        <f t="shared" si="196"/>
        <v>Đạt</v>
      </c>
      <c r="CQ245" s="213" t="str">
        <f t="shared" si="197"/>
        <v>Đạt</v>
      </c>
      <c r="CR245" s="312"/>
      <c r="CS245" s="312"/>
      <c r="CT245" s="235"/>
      <c r="CU245" s="163"/>
      <c r="CW245" s="195"/>
      <c r="CX245" s="196"/>
      <c r="CY245" s="196"/>
      <c r="CZ245" s="197"/>
      <c r="DA245" s="196"/>
      <c r="DB245" s="196"/>
      <c r="DC245" s="196"/>
      <c r="DE245" s="199"/>
      <c r="DF245" s="200"/>
      <c r="DG245" s="181"/>
    </row>
    <row r="246" spans="1:111" ht="18" customHeight="1" x14ac:dyDescent="0.25">
      <c r="A246" s="213">
        <f>MAX(A$243:A244)+1</f>
        <v>2</v>
      </c>
      <c r="B246" s="240" t="s">
        <v>378</v>
      </c>
      <c r="C246" s="240"/>
      <c r="D246" s="188">
        <f t="shared" ref="D246:I246" si="248">D247+D248</f>
        <v>8200</v>
      </c>
      <c r="E246" s="188">
        <f t="shared" si="248"/>
        <v>0</v>
      </c>
      <c r="F246" s="188">
        <f t="shared" si="248"/>
        <v>8200</v>
      </c>
      <c r="G246" s="188">
        <f t="shared" si="248"/>
        <v>3000</v>
      </c>
      <c r="H246" s="188">
        <f t="shared" si="248"/>
        <v>5200</v>
      </c>
      <c r="I246" s="188">
        <f t="shared" si="248"/>
        <v>0</v>
      </c>
      <c r="J246" s="188"/>
      <c r="K246" s="188">
        <f>K247+K248</f>
        <v>0</v>
      </c>
      <c r="L246" s="188">
        <f>L247+L248</f>
        <v>0</v>
      </c>
      <c r="M246" s="188">
        <f>M247+M248</f>
        <v>0</v>
      </c>
      <c r="N246" s="188">
        <f>N247+N248</f>
        <v>0</v>
      </c>
      <c r="O246" s="188">
        <f>O247+O248</f>
        <v>3000</v>
      </c>
      <c r="P246" s="188">
        <v>0</v>
      </c>
      <c r="Q246" s="186">
        <f t="shared" si="189"/>
        <v>0</v>
      </c>
      <c r="R246" s="189">
        <v>1175.9293540000001</v>
      </c>
      <c r="S246" s="185">
        <v>0.14340601878048781</v>
      </c>
      <c r="T246" s="185">
        <v>0.15095370397946087</v>
      </c>
      <c r="U246" s="189">
        <v>1175.9293540000001</v>
      </c>
      <c r="V246" s="185">
        <v>0.14340601878048781</v>
      </c>
      <c r="W246" s="185">
        <v>0.15095370397946087</v>
      </c>
      <c r="X246" s="189">
        <v>1175.9293540000001</v>
      </c>
      <c r="Y246" s="185">
        <v>0.14340601878048781</v>
      </c>
      <c r="Z246" s="185">
        <v>0.15095370397946087</v>
      </c>
      <c r="AA246" s="189">
        <v>1175.9293540000001</v>
      </c>
      <c r="AB246" s="185">
        <v>0.14340601878048781</v>
      </c>
      <c r="AC246" s="185">
        <v>0.15095370397946087</v>
      </c>
      <c r="AD246" s="189">
        <v>1175.9293540000001</v>
      </c>
      <c r="AE246" s="185">
        <v>0.14340601878048781</v>
      </c>
      <c r="AF246" s="185">
        <v>0.15095370397946087</v>
      </c>
      <c r="AG246" s="189">
        <v>1175.9293540000001</v>
      </c>
      <c r="AH246" s="185">
        <v>0.14340601878048781</v>
      </c>
      <c r="AI246" s="185">
        <v>0.15095370397946087</v>
      </c>
      <c r="AJ246" s="303">
        <v>1175.9293540000001</v>
      </c>
      <c r="AK246" s="185">
        <v>0.14340601878048781</v>
      </c>
      <c r="AL246" s="185">
        <v>0.15095370397946087</v>
      </c>
      <c r="AM246" s="189">
        <v>2347.4313540000003</v>
      </c>
      <c r="AN246" s="185">
        <v>0.28627211634146343</v>
      </c>
      <c r="AO246" s="185">
        <v>0.30133906983311942</v>
      </c>
      <c r="AP246" s="185"/>
      <c r="AQ246" s="189">
        <v>2347.4313540000003</v>
      </c>
      <c r="AR246" s="185">
        <v>0.28627211634146343</v>
      </c>
      <c r="AS246" s="185">
        <v>0.30133906983311942</v>
      </c>
      <c r="AT246" s="189">
        <v>2347.4313540000003</v>
      </c>
      <c r="AU246" s="185">
        <v>0.28627211634146343</v>
      </c>
      <c r="AV246" s="185">
        <v>0.30133906983311942</v>
      </c>
      <c r="AW246" s="185"/>
      <c r="AX246" s="185"/>
      <c r="AY246" s="185"/>
      <c r="AZ246" s="185"/>
      <c r="BA246" s="185"/>
      <c r="BB246" s="185"/>
      <c r="BC246" s="189">
        <v>2347.4313540000003</v>
      </c>
      <c r="BD246" s="185">
        <v>0.28627211634146343</v>
      </c>
      <c r="BE246" s="185">
        <v>0.30133906983311942</v>
      </c>
      <c r="BF246" s="189"/>
      <c r="BG246" s="189">
        <v>2347.4313540000003</v>
      </c>
      <c r="BH246" s="185">
        <v>0.28627211634146343</v>
      </c>
      <c r="BI246" s="185">
        <v>0.30133906983311942</v>
      </c>
      <c r="BJ246" s="189">
        <f t="shared" si="190"/>
        <v>7790</v>
      </c>
      <c r="BK246" s="189">
        <f>BK247+BK248</f>
        <v>2353</v>
      </c>
      <c r="BL246" s="185">
        <f t="shared" si="227"/>
        <v>0.2869512195121951</v>
      </c>
      <c r="BM246" s="185">
        <f t="shared" si="194"/>
        <v>0.30205391527599484</v>
      </c>
      <c r="BN246" s="205">
        <f t="shared" si="183"/>
        <v>1177.0706459999999</v>
      </c>
      <c r="BO246" s="205"/>
      <c r="BP246" s="189">
        <f>BP247+BP248</f>
        <v>0</v>
      </c>
      <c r="BQ246" s="186">
        <f t="shared" si="195"/>
        <v>0</v>
      </c>
      <c r="BR246" s="189">
        <f>BR247+BR248</f>
        <v>1500</v>
      </c>
      <c r="BS246" s="186">
        <f t="shared" si="228"/>
        <v>0.18292682926829268</v>
      </c>
      <c r="BT246" s="189">
        <f>BT247+BT248</f>
        <v>2000</v>
      </c>
      <c r="BU246" s="186">
        <f t="shared" si="229"/>
        <v>0.24390243902439024</v>
      </c>
      <c r="BV246" s="189">
        <f>BV247+BV248</f>
        <v>2850</v>
      </c>
      <c r="BW246" s="186">
        <f t="shared" si="229"/>
        <v>0.34756097560975607</v>
      </c>
      <c r="BX246" s="189">
        <f>BX247+BX248</f>
        <v>2850</v>
      </c>
      <c r="BY246" s="186">
        <f t="shared" si="231"/>
        <v>0.34756097560975607</v>
      </c>
      <c r="BZ246" s="189">
        <f>BZ247+BZ248</f>
        <v>3050</v>
      </c>
      <c r="CA246" s="186">
        <f t="shared" si="232"/>
        <v>0.37195121951219512</v>
      </c>
      <c r="CB246" s="189">
        <f>CB247+CB248</f>
        <v>3250</v>
      </c>
      <c r="CC246" s="186">
        <f t="shared" si="233"/>
        <v>0.39634146341463417</v>
      </c>
      <c r="CD246" s="189">
        <f>CD247+CD248</f>
        <v>3850</v>
      </c>
      <c r="CE246" s="186">
        <f t="shared" si="234"/>
        <v>0.46951219512195119</v>
      </c>
      <c r="CF246" s="189">
        <f>CF247+CF248</f>
        <v>4350</v>
      </c>
      <c r="CG246" s="186">
        <f t="shared" si="235"/>
        <v>0.53048780487804881</v>
      </c>
      <c r="CH246" s="189">
        <f>CH247+CH248</f>
        <v>5350</v>
      </c>
      <c r="CI246" s="186">
        <f t="shared" si="236"/>
        <v>0.65243902439024393</v>
      </c>
      <c r="CJ246" s="189">
        <f>CJ247+CJ248</f>
        <v>6350</v>
      </c>
      <c r="CK246" s="186">
        <f t="shared" si="237"/>
        <v>0.77439024390243905</v>
      </c>
      <c r="CL246" s="189">
        <f>CL247+CL248</f>
        <v>7350</v>
      </c>
      <c r="CM246" s="186">
        <f t="shared" si="238"/>
        <v>0.89634146341463417</v>
      </c>
      <c r="CN246" s="189">
        <f>CN247+CN248</f>
        <v>7790</v>
      </c>
      <c r="CO246" s="186">
        <f t="shared" si="239"/>
        <v>0.95</v>
      </c>
      <c r="CP246" s="213" t="str">
        <f t="shared" si="196"/>
        <v>Không đạt</v>
      </c>
      <c r="CQ246" s="213" t="str">
        <f t="shared" si="197"/>
        <v>Không đạt</v>
      </c>
      <c r="CR246" s="213"/>
      <c r="CS246" s="213"/>
      <c r="CT246" s="231"/>
      <c r="CU246" s="163"/>
      <c r="CW246" s="195"/>
      <c r="CX246" s="196"/>
      <c r="CY246" s="196"/>
      <c r="CZ246" s="197"/>
      <c r="DA246" s="196"/>
      <c r="DB246" s="196"/>
      <c r="DC246" s="196"/>
      <c r="DE246" s="199"/>
      <c r="DF246" s="200"/>
      <c r="DG246" s="181"/>
    </row>
    <row r="247" spans="1:111" outlineLevel="1" x14ac:dyDescent="0.25">
      <c r="A247" s="305" t="s">
        <v>34</v>
      </c>
      <c r="B247" s="306" t="s">
        <v>376</v>
      </c>
      <c r="C247" s="306"/>
      <c r="D247" s="307">
        <f t="shared" si="247"/>
        <v>3000</v>
      </c>
      <c r="E247" s="307"/>
      <c r="F247" s="307">
        <f>G247+H247+K247+M247</f>
        <v>3000</v>
      </c>
      <c r="G247" s="307">
        <v>3000</v>
      </c>
      <c r="H247" s="303"/>
      <c r="I247" s="303"/>
      <c r="J247" s="303"/>
      <c r="K247" s="303"/>
      <c r="L247" s="303"/>
      <c r="M247" s="223"/>
      <c r="N247" s="223"/>
      <c r="O247" s="303">
        <f t="shared" si="193"/>
        <v>3000</v>
      </c>
      <c r="P247" s="303">
        <v>0</v>
      </c>
      <c r="Q247" s="308">
        <f t="shared" si="189"/>
        <v>0</v>
      </c>
      <c r="R247" s="303">
        <v>1175.9293540000001</v>
      </c>
      <c r="S247" s="313">
        <v>0.39197645133333336</v>
      </c>
      <c r="T247" s="313">
        <v>0.41260679087719304</v>
      </c>
      <c r="U247" s="303">
        <v>1175.9293540000001</v>
      </c>
      <c r="V247" s="313">
        <v>0.39197645133333336</v>
      </c>
      <c r="W247" s="313">
        <v>0.41260679087719304</v>
      </c>
      <c r="X247" s="303">
        <v>1175.9293540000001</v>
      </c>
      <c r="Y247" s="313">
        <v>0.39197645133333336</v>
      </c>
      <c r="Z247" s="313">
        <v>0.41260679087719304</v>
      </c>
      <c r="AA247" s="303">
        <v>1175.9293540000001</v>
      </c>
      <c r="AB247" s="313">
        <v>0.39197645133333336</v>
      </c>
      <c r="AC247" s="313">
        <v>0.41260679087719304</v>
      </c>
      <c r="AD247" s="303">
        <v>1175.9293540000001</v>
      </c>
      <c r="AE247" s="313">
        <v>0.39197645133333336</v>
      </c>
      <c r="AF247" s="313">
        <v>0.41260679087719304</v>
      </c>
      <c r="AG247" s="303">
        <v>1175.9293540000001</v>
      </c>
      <c r="AH247" s="313">
        <v>0.39197645133333336</v>
      </c>
      <c r="AI247" s="313">
        <v>0.41260679087719304</v>
      </c>
      <c r="AJ247" s="303">
        <v>1175.9293540000001</v>
      </c>
      <c r="AK247" s="313">
        <v>0.39197645133333336</v>
      </c>
      <c r="AL247" s="313">
        <v>0.41260679087719304</v>
      </c>
      <c r="AM247" s="303">
        <v>2347.4313540000003</v>
      </c>
      <c r="AN247" s="313">
        <v>0.78247711800000008</v>
      </c>
      <c r="AO247" s="313">
        <v>0.82366012421052637</v>
      </c>
      <c r="AP247" s="313"/>
      <c r="AQ247" s="303">
        <v>2347.4313540000003</v>
      </c>
      <c r="AR247" s="313">
        <v>0.78247711800000008</v>
      </c>
      <c r="AS247" s="313">
        <v>0.82366012421052637</v>
      </c>
      <c r="AT247" s="303">
        <v>2347.4313540000003</v>
      </c>
      <c r="AU247" s="313">
        <v>0.78247711800000008</v>
      </c>
      <c r="AV247" s="313">
        <v>0.82366012421052637</v>
      </c>
      <c r="AW247" s="313"/>
      <c r="AX247" s="313"/>
      <c r="AY247" s="313"/>
      <c r="AZ247" s="313"/>
      <c r="BA247" s="313"/>
      <c r="BB247" s="313"/>
      <c r="BC247" s="303">
        <v>2347.4313540000003</v>
      </c>
      <c r="BD247" s="313">
        <v>0.78247711800000008</v>
      </c>
      <c r="BE247" s="313">
        <v>0.82366012421052637</v>
      </c>
      <c r="BF247" s="303"/>
      <c r="BG247" s="303">
        <v>2347.4313540000003</v>
      </c>
      <c r="BH247" s="313">
        <v>0.78247711800000008</v>
      </c>
      <c r="BI247" s="313">
        <v>0.82366012421052637</v>
      </c>
      <c r="BJ247" s="303">
        <f t="shared" si="190"/>
        <v>2850</v>
      </c>
      <c r="BK247" s="303">
        <v>2353</v>
      </c>
      <c r="BL247" s="313">
        <f t="shared" si="227"/>
        <v>0.78433333333333333</v>
      </c>
      <c r="BM247" s="313">
        <f t="shared" si="194"/>
        <v>0.82561403508771924</v>
      </c>
      <c r="BN247" s="205">
        <f t="shared" si="183"/>
        <v>1177.0706459999999</v>
      </c>
      <c r="BO247" s="205"/>
      <c r="BP247" s="310"/>
      <c r="BQ247" s="311">
        <f t="shared" si="195"/>
        <v>0</v>
      </c>
      <c r="BR247" s="310">
        <v>1500</v>
      </c>
      <c r="BS247" s="311">
        <f t="shared" si="228"/>
        <v>0.5</v>
      </c>
      <c r="BT247" s="310">
        <v>2000</v>
      </c>
      <c r="BU247" s="308">
        <f t="shared" ref="BU247:BW260" si="249">BT247/$D247</f>
        <v>0.66666666666666663</v>
      </c>
      <c r="BV247" s="310">
        <v>2850</v>
      </c>
      <c r="BW247" s="311">
        <f t="shared" si="249"/>
        <v>0.95</v>
      </c>
      <c r="BX247" s="310">
        <v>2850</v>
      </c>
      <c r="BY247" s="311">
        <f t="shared" si="231"/>
        <v>0.95</v>
      </c>
      <c r="BZ247" s="310">
        <v>2850</v>
      </c>
      <c r="CA247" s="311">
        <f t="shared" si="232"/>
        <v>0.95</v>
      </c>
      <c r="CB247" s="310">
        <v>2850</v>
      </c>
      <c r="CC247" s="311">
        <f t="shared" si="233"/>
        <v>0.95</v>
      </c>
      <c r="CD247" s="310">
        <v>2850</v>
      </c>
      <c r="CE247" s="311">
        <f t="shared" si="234"/>
        <v>0.95</v>
      </c>
      <c r="CF247" s="310">
        <v>2850</v>
      </c>
      <c r="CG247" s="311">
        <f t="shared" si="235"/>
        <v>0.95</v>
      </c>
      <c r="CH247" s="310">
        <v>2850</v>
      </c>
      <c r="CI247" s="311">
        <f t="shared" si="236"/>
        <v>0.95</v>
      </c>
      <c r="CJ247" s="310">
        <v>2850</v>
      </c>
      <c r="CK247" s="311">
        <f t="shared" si="237"/>
        <v>0.95</v>
      </c>
      <c r="CL247" s="310">
        <v>2850</v>
      </c>
      <c r="CM247" s="311">
        <f t="shared" si="238"/>
        <v>0.95</v>
      </c>
      <c r="CN247" s="310">
        <v>2850</v>
      </c>
      <c r="CO247" s="311">
        <f t="shared" si="239"/>
        <v>0.95</v>
      </c>
      <c r="CP247" s="213" t="str">
        <f t="shared" si="196"/>
        <v>Đạt</v>
      </c>
      <c r="CQ247" s="213" t="str">
        <f t="shared" si="197"/>
        <v>Đạt</v>
      </c>
      <c r="CR247" s="312"/>
      <c r="CS247" s="312"/>
      <c r="CT247" s="235"/>
      <c r="CU247" s="163"/>
      <c r="CW247" s="195"/>
      <c r="CX247" s="196"/>
      <c r="CY247" s="196"/>
      <c r="CZ247" s="197"/>
      <c r="DA247" s="196"/>
      <c r="DB247" s="196"/>
      <c r="DC247" s="196"/>
      <c r="DE247" s="199"/>
      <c r="DF247" s="200"/>
      <c r="DG247" s="181"/>
    </row>
    <row r="248" spans="1:111" ht="25.5" outlineLevel="1" x14ac:dyDescent="0.25">
      <c r="A248" s="305" t="s">
        <v>34</v>
      </c>
      <c r="B248" s="306" t="s">
        <v>377</v>
      </c>
      <c r="C248" s="306"/>
      <c r="D248" s="307">
        <f t="shared" si="247"/>
        <v>5200</v>
      </c>
      <c r="E248" s="307"/>
      <c r="F248" s="307">
        <f>G248+H248+K248+M248</f>
        <v>5200</v>
      </c>
      <c r="G248" s="307"/>
      <c r="H248" s="307">
        <v>5200</v>
      </c>
      <c r="I248" s="235"/>
      <c r="J248" s="235"/>
      <c r="K248" s="303"/>
      <c r="L248" s="235"/>
      <c r="M248" s="223"/>
      <c r="N248" s="223"/>
      <c r="O248" s="303"/>
      <c r="P248" s="303">
        <v>0</v>
      </c>
      <c r="Q248" s="308">
        <f t="shared" si="189"/>
        <v>0</v>
      </c>
      <c r="R248" s="303"/>
      <c r="S248" s="313">
        <v>0</v>
      </c>
      <c r="T248" s="313">
        <v>0</v>
      </c>
      <c r="U248" s="303"/>
      <c r="V248" s="313">
        <v>0</v>
      </c>
      <c r="W248" s="313">
        <v>0</v>
      </c>
      <c r="X248" s="303"/>
      <c r="Y248" s="313">
        <v>0</v>
      </c>
      <c r="Z248" s="313">
        <v>0</v>
      </c>
      <c r="AA248" s="303"/>
      <c r="AB248" s="313">
        <v>0</v>
      </c>
      <c r="AC248" s="313">
        <v>0</v>
      </c>
      <c r="AD248" s="303"/>
      <c r="AE248" s="313">
        <v>0</v>
      </c>
      <c r="AF248" s="313">
        <v>0</v>
      </c>
      <c r="AG248" s="303"/>
      <c r="AH248" s="313">
        <v>0</v>
      </c>
      <c r="AI248" s="313">
        <v>0</v>
      </c>
      <c r="AJ248" s="188"/>
      <c r="AK248" s="313">
        <v>0</v>
      </c>
      <c r="AL248" s="313">
        <v>0</v>
      </c>
      <c r="AM248" s="303"/>
      <c r="AN248" s="313">
        <v>0</v>
      </c>
      <c r="AO248" s="313">
        <v>0</v>
      </c>
      <c r="AP248" s="313"/>
      <c r="AQ248" s="303"/>
      <c r="AR248" s="313">
        <v>0</v>
      </c>
      <c r="AS248" s="313">
        <v>0</v>
      </c>
      <c r="AT248" s="303"/>
      <c r="AU248" s="313">
        <v>0</v>
      </c>
      <c r="AV248" s="313">
        <v>0</v>
      </c>
      <c r="AW248" s="313"/>
      <c r="AX248" s="313"/>
      <c r="AY248" s="313"/>
      <c r="AZ248" s="313"/>
      <c r="BA248" s="313"/>
      <c r="BB248" s="313"/>
      <c r="BC248" s="303"/>
      <c r="BD248" s="313">
        <v>0</v>
      </c>
      <c r="BE248" s="313">
        <v>0</v>
      </c>
      <c r="BF248" s="303"/>
      <c r="BG248" s="303"/>
      <c r="BH248" s="313">
        <v>0</v>
      </c>
      <c r="BI248" s="313">
        <v>0</v>
      </c>
      <c r="BJ248" s="303">
        <f t="shared" si="190"/>
        <v>4940</v>
      </c>
      <c r="BK248" s="303"/>
      <c r="BL248" s="313">
        <f t="shared" si="227"/>
        <v>0</v>
      </c>
      <c r="BM248" s="313">
        <f t="shared" si="194"/>
        <v>0</v>
      </c>
      <c r="BN248" s="205">
        <f t="shared" si="183"/>
        <v>0</v>
      </c>
      <c r="BO248" s="205"/>
      <c r="BP248" s="310"/>
      <c r="BQ248" s="311">
        <f t="shared" si="195"/>
        <v>0</v>
      </c>
      <c r="BR248" s="310"/>
      <c r="BS248" s="311">
        <f t="shared" si="228"/>
        <v>0</v>
      </c>
      <c r="BT248" s="310"/>
      <c r="BU248" s="308">
        <f t="shared" si="249"/>
        <v>0</v>
      </c>
      <c r="BV248" s="310"/>
      <c r="BW248" s="311">
        <f t="shared" si="249"/>
        <v>0</v>
      </c>
      <c r="BX248" s="310"/>
      <c r="BY248" s="311">
        <f t="shared" si="231"/>
        <v>0</v>
      </c>
      <c r="BZ248" s="310">
        <v>200</v>
      </c>
      <c r="CA248" s="311">
        <f t="shared" si="232"/>
        <v>3.8461538461538464E-2</v>
      </c>
      <c r="CB248" s="310">
        <v>400</v>
      </c>
      <c r="CC248" s="311">
        <f t="shared" si="233"/>
        <v>7.6923076923076927E-2</v>
      </c>
      <c r="CD248" s="310">
        <v>1000</v>
      </c>
      <c r="CE248" s="311">
        <f t="shared" si="234"/>
        <v>0.19230769230769232</v>
      </c>
      <c r="CF248" s="310">
        <v>1500</v>
      </c>
      <c r="CG248" s="311">
        <f t="shared" si="235"/>
        <v>0.28846153846153844</v>
      </c>
      <c r="CH248" s="310">
        <v>2500</v>
      </c>
      <c r="CI248" s="311">
        <f t="shared" si="236"/>
        <v>0.48076923076923078</v>
      </c>
      <c r="CJ248" s="310">
        <v>3500</v>
      </c>
      <c r="CK248" s="311">
        <f t="shared" si="237"/>
        <v>0.67307692307692313</v>
      </c>
      <c r="CL248" s="310">
        <v>4500</v>
      </c>
      <c r="CM248" s="311">
        <f t="shared" si="238"/>
        <v>0.86538461538461542</v>
      </c>
      <c r="CN248" s="310">
        <v>4940</v>
      </c>
      <c r="CO248" s="311">
        <f t="shared" si="239"/>
        <v>0.95</v>
      </c>
      <c r="CP248" s="213" t="str">
        <f t="shared" si="196"/>
        <v>Không đạt</v>
      </c>
      <c r="CQ248" s="213" t="str">
        <f t="shared" si="197"/>
        <v>Không đạt</v>
      </c>
      <c r="CR248" s="312"/>
      <c r="CS248" s="312"/>
      <c r="CT248" s="235"/>
      <c r="CU248" s="163"/>
      <c r="CW248" s="195"/>
      <c r="CX248" s="196"/>
      <c r="CY248" s="196"/>
      <c r="CZ248" s="197"/>
      <c r="DA248" s="196"/>
      <c r="DB248" s="196"/>
      <c r="DC248" s="196"/>
      <c r="DE248" s="199"/>
      <c r="DF248" s="200"/>
      <c r="DG248" s="181"/>
    </row>
    <row r="249" spans="1:111" ht="18" customHeight="1" x14ac:dyDescent="0.25">
      <c r="A249" s="213">
        <f>MAX(A$243:A247)+1</f>
        <v>3</v>
      </c>
      <c r="B249" s="240" t="s">
        <v>379</v>
      </c>
      <c r="C249" s="240"/>
      <c r="D249" s="188">
        <f t="shared" ref="D249:I249" si="250">D250+D251</f>
        <v>21400</v>
      </c>
      <c r="E249" s="188">
        <f t="shared" si="250"/>
        <v>0</v>
      </c>
      <c r="F249" s="188">
        <f t="shared" si="250"/>
        <v>21400</v>
      </c>
      <c r="G249" s="188">
        <f t="shared" si="250"/>
        <v>3000</v>
      </c>
      <c r="H249" s="188">
        <f t="shared" si="250"/>
        <v>18400</v>
      </c>
      <c r="I249" s="188">
        <f t="shared" si="250"/>
        <v>0</v>
      </c>
      <c r="J249" s="188"/>
      <c r="K249" s="188">
        <f>K250+K251</f>
        <v>0</v>
      </c>
      <c r="L249" s="188">
        <f>L250+L251</f>
        <v>0</v>
      </c>
      <c r="M249" s="188">
        <f>M250+M251</f>
        <v>0</v>
      </c>
      <c r="N249" s="188">
        <f>N250+N251</f>
        <v>0</v>
      </c>
      <c r="O249" s="188">
        <f>O250+O251</f>
        <v>3000</v>
      </c>
      <c r="P249" s="188">
        <v>0</v>
      </c>
      <c r="Q249" s="186">
        <f t="shared" si="189"/>
        <v>0</v>
      </c>
      <c r="R249" s="188">
        <v>0</v>
      </c>
      <c r="S249" s="185">
        <v>0</v>
      </c>
      <c r="T249" s="185">
        <v>0</v>
      </c>
      <c r="U249" s="188">
        <v>0</v>
      </c>
      <c r="V249" s="185">
        <v>0</v>
      </c>
      <c r="W249" s="185">
        <v>0</v>
      </c>
      <c r="X249" s="188">
        <v>0</v>
      </c>
      <c r="Y249" s="185">
        <v>0</v>
      </c>
      <c r="Z249" s="185">
        <v>0</v>
      </c>
      <c r="AA249" s="188">
        <v>0</v>
      </c>
      <c r="AB249" s="185">
        <v>0</v>
      </c>
      <c r="AC249" s="185">
        <v>0</v>
      </c>
      <c r="AD249" s="188">
        <v>0</v>
      </c>
      <c r="AE249" s="185">
        <v>0</v>
      </c>
      <c r="AF249" s="185">
        <v>0</v>
      </c>
      <c r="AG249" s="188">
        <v>0</v>
      </c>
      <c r="AH249" s="185">
        <v>0</v>
      </c>
      <c r="AI249" s="185">
        <v>0</v>
      </c>
      <c r="AJ249" s="303">
        <v>0</v>
      </c>
      <c r="AK249" s="185">
        <v>0</v>
      </c>
      <c r="AL249" s="185">
        <v>0</v>
      </c>
      <c r="AM249" s="314">
        <v>0</v>
      </c>
      <c r="AN249" s="185">
        <v>0</v>
      </c>
      <c r="AO249" s="185">
        <v>0</v>
      </c>
      <c r="AP249" s="185"/>
      <c r="AQ249" s="188">
        <v>0</v>
      </c>
      <c r="AR249" s="185">
        <v>0</v>
      </c>
      <c r="AS249" s="185">
        <v>0</v>
      </c>
      <c r="AT249" s="188">
        <v>0</v>
      </c>
      <c r="AU249" s="185">
        <v>0</v>
      </c>
      <c r="AV249" s="185">
        <v>0</v>
      </c>
      <c r="AW249" s="185"/>
      <c r="AX249" s="185"/>
      <c r="AY249" s="185"/>
      <c r="AZ249" s="185"/>
      <c r="BA249" s="185"/>
      <c r="BB249" s="185"/>
      <c r="BC249" s="188">
        <v>0</v>
      </c>
      <c r="BD249" s="185">
        <v>0</v>
      </c>
      <c r="BE249" s="185">
        <v>0</v>
      </c>
      <c r="BF249" s="188"/>
      <c r="BG249" s="188">
        <v>1645.212</v>
      </c>
      <c r="BH249" s="185">
        <v>7.6879065420560749E-2</v>
      </c>
      <c r="BI249" s="185">
        <v>8.0925332021642898E-2</v>
      </c>
      <c r="BJ249" s="188">
        <f t="shared" si="190"/>
        <v>20330</v>
      </c>
      <c r="BK249" s="188">
        <f>BK250+BK251</f>
        <v>1714</v>
      </c>
      <c r="BL249" s="185">
        <f t="shared" si="227"/>
        <v>8.0093457943925236E-2</v>
      </c>
      <c r="BM249" s="185">
        <f t="shared" si="194"/>
        <v>8.4308903098868668E-2</v>
      </c>
      <c r="BN249" s="205">
        <f t="shared" si="183"/>
        <v>1714</v>
      </c>
      <c r="BO249" s="205"/>
      <c r="BP249" s="189">
        <f>BP250+BP251</f>
        <v>0</v>
      </c>
      <c r="BQ249" s="186">
        <f t="shared" si="195"/>
        <v>0</v>
      </c>
      <c r="BR249" s="189">
        <f>BR250+BR251</f>
        <v>0</v>
      </c>
      <c r="BS249" s="186">
        <f t="shared" si="228"/>
        <v>0</v>
      </c>
      <c r="BT249" s="189">
        <f>BT250+BT251</f>
        <v>0</v>
      </c>
      <c r="BU249" s="186">
        <f t="shared" si="249"/>
        <v>0</v>
      </c>
      <c r="BV249" s="189">
        <f>BV250+BV251</f>
        <v>300</v>
      </c>
      <c r="BW249" s="186">
        <f t="shared" si="249"/>
        <v>1.4018691588785047E-2</v>
      </c>
      <c r="BX249" s="189">
        <f>BX250+BX251</f>
        <v>400</v>
      </c>
      <c r="BY249" s="186">
        <f t="shared" si="231"/>
        <v>1.8691588785046728E-2</v>
      </c>
      <c r="BZ249" s="189">
        <f>BZ250+BZ251</f>
        <v>500</v>
      </c>
      <c r="CA249" s="186">
        <f t="shared" si="232"/>
        <v>2.336448598130841E-2</v>
      </c>
      <c r="CB249" s="189">
        <f>CB250+CB251</f>
        <v>700</v>
      </c>
      <c r="CC249" s="186">
        <f t="shared" si="233"/>
        <v>3.2710280373831772E-2</v>
      </c>
      <c r="CD249" s="189">
        <f>CD250+CD251</f>
        <v>800</v>
      </c>
      <c r="CE249" s="186">
        <f t="shared" si="234"/>
        <v>3.7383177570093455E-2</v>
      </c>
      <c r="CF249" s="189">
        <f>CF250+CF251</f>
        <v>4400</v>
      </c>
      <c r="CG249" s="186">
        <f t="shared" si="235"/>
        <v>0.20560747663551401</v>
      </c>
      <c r="CH249" s="189">
        <f>CH250+CH251</f>
        <v>11200</v>
      </c>
      <c r="CI249" s="186">
        <f t="shared" si="236"/>
        <v>0.52336448598130836</v>
      </c>
      <c r="CJ249" s="189">
        <f>CJ250+CJ251</f>
        <v>16800</v>
      </c>
      <c r="CK249" s="186">
        <f t="shared" si="237"/>
        <v>0.78504672897196259</v>
      </c>
      <c r="CL249" s="189">
        <f>CL250+CL251</f>
        <v>19350</v>
      </c>
      <c r="CM249" s="186">
        <f t="shared" si="238"/>
        <v>0.90420560747663548</v>
      </c>
      <c r="CN249" s="189">
        <f>CN250+CN251</f>
        <v>20330</v>
      </c>
      <c r="CO249" s="186">
        <f t="shared" si="239"/>
        <v>0.95</v>
      </c>
      <c r="CP249" s="213" t="str">
        <f t="shared" si="196"/>
        <v>Không đạt</v>
      </c>
      <c r="CQ249" s="213" t="str">
        <f t="shared" si="197"/>
        <v>Không đạt</v>
      </c>
      <c r="CR249" s="213"/>
      <c r="CS249" s="213"/>
      <c r="CT249" s="231"/>
      <c r="CU249" s="163"/>
      <c r="CW249" s="195"/>
      <c r="CX249" s="196"/>
      <c r="CY249" s="196"/>
      <c r="CZ249" s="197"/>
      <c r="DA249" s="196"/>
      <c r="DB249" s="196"/>
      <c r="DC249" s="196"/>
      <c r="DE249" s="199"/>
      <c r="DF249" s="200"/>
      <c r="DG249" s="181"/>
    </row>
    <row r="250" spans="1:111" outlineLevel="1" x14ac:dyDescent="0.25">
      <c r="A250" s="305" t="s">
        <v>34</v>
      </c>
      <c r="B250" s="306" t="s">
        <v>376</v>
      </c>
      <c r="C250" s="306"/>
      <c r="D250" s="307">
        <f t="shared" si="247"/>
        <v>3000</v>
      </c>
      <c r="E250" s="307"/>
      <c r="F250" s="307">
        <f>G250+H250+K250+M250</f>
        <v>3000</v>
      </c>
      <c r="G250" s="307">
        <v>3000</v>
      </c>
      <c r="H250" s="303"/>
      <c r="I250" s="303"/>
      <c r="J250" s="303"/>
      <c r="K250" s="303"/>
      <c r="L250" s="303"/>
      <c r="M250" s="223"/>
      <c r="N250" s="223"/>
      <c r="O250" s="303">
        <f t="shared" ref="O250:O292" si="251">G250+I250+L250+N250</f>
        <v>3000</v>
      </c>
      <c r="P250" s="303">
        <v>0</v>
      </c>
      <c r="Q250" s="308">
        <f t="shared" si="189"/>
        <v>0</v>
      </c>
      <c r="R250" s="303">
        <v>0</v>
      </c>
      <c r="S250" s="313">
        <v>0</v>
      </c>
      <c r="T250" s="313">
        <v>0</v>
      </c>
      <c r="U250" s="303">
        <v>0</v>
      </c>
      <c r="V250" s="313">
        <v>0</v>
      </c>
      <c r="W250" s="313">
        <v>0</v>
      </c>
      <c r="X250" s="303">
        <v>0</v>
      </c>
      <c r="Y250" s="313">
        <v>0</v>
      </c>
      <c r="Z250" s="313">
        <v>0</v>
      </c>
      <c r="AA250" s="303">
        <v>0</v>
      </c>
      <c r="AB250" s="313">
        <v>0</v>
      </c>
      <c r="AC250" s="313">
        <v>0</v>
      </c>
      <c r="AD250" s="303">
        <v>0</v>
      </c>
      <c r="AE250" s="313">
        <v>0</v>
      </c>
      <c r="AF250" s="313">
        <v>0</v>
      </c>
      <c r="AG250" s="303">
        <v>0</v>
      </c>
      <c r="AH250" s="313">
        <v>0</v>
      </c>
      <c r="AI250" s="313">
        <v>0</v>
      </c>
      <c r="AJ250" s="303">
        <v>0</v>
      </c>
      <c r="AK250" s="313">
        <v>0</v>
      </c>
      <c r="AL250" s="313">
        <v>0</v>
      </c>
      <c r="AM250" s="303">
        <v>0</v>
      </c>
      <c r="AN250" s="313">
        <v>0</v>
      </c>
      <c r="AO250" s="313">
        <v>0</v>
      </c>
      <c r="AP250" s="313"/>
      <c r="AQ250" s="303">
        <v>0</v>
      </c>
      <c r="AR250" s="313">
        <v>0</v>
      </c>
      <c r="AS250" s="313">
        <v>0</v>
      </c>
      <c r="AT250" s="303">
        <v>0</v>
      </c>
      <c r="AU250" s="313">
        <v>0</v>
      </c>
      <c r="AV250" s="313">
        <v>0</v>
      </c>
      <c r="AW250" s="313"/>
      <c r="AX250" s="313"/>
      <c r="AY250" s="313"/>
      <c r="AZ250" s="313"/>
      <c r="BA250" s="313"/>
      <c r="BB250" s="313"/>
      <c r="BC250" s="303">
        <v>0</v>
      </c>
      <c r="BD250" s="313">
        <v>0</v>
      </c>
      <c r="BE250" s="313">
        <v>0</v>
      </c>
      <c r="BF250" s="303"/>
      <c r="BG250" s="303">
        <v>1645.212</v>
      </c>
      <c r="BH250" s="313">
        <v>0.548404</v>
      </c>
      <c r="BI250" s="313">
        <v>0.57726736842105264</v>
      </c>
      <c r="BJ250" s="303">
        <f t="shared" si="190"/>
        <v>2850</v>
      </c>
      <c r="BK250" s="303">
        <v>1714</v>
      </c>
      <c r="BL250" s="313">
        <f t="shared" si="227"/>
        <v>0.57133333333333336</v>
      </c>
      <c r="BM250" s="313">
        <f t="shared" si="194"/>
        <v>0.60140350877192983</v>
      </c>
      <c r="BN250" s="205">
        <f t="shared" si="183"/>
        <v>1714</v>
      </c>
      <c r="BO250" s="205"/>
      <c r="BP250" s="310">
        <v>0</v>
      </c>
      <c r="BQ250" s="311">
        <f t="shared" si="195"/>
        <v>0</v>
      </c>
      <c r="BR250" s="310">
        <v>0</v>
      </c>
      <c r="BS250" s="311">
        <f t="shared" si="228"/>
        <v>0</v>
      </c>
      <c r="BT250" s="310">
        <v>0</v>
      </c>
      <c r="BU250" s="308">
        <f t="shared" si="249"/>
        <v>0</v>
      </c>
      <c r="BV250" s="310">
        <v>300</v>
      </c>
      <c r="BW250" s="311">
        <f t="shared" si="249"/>
        <v>0.1</v>
      </c>
      <c r="BX250" s="310">
        <v>400</v>
      </c>
      <c r="BY250" s="311">
        <f t="shared" si="231"/>
        <v>0.13333333333333333</v>
      </c>
      <c r="BZ250" s="310">
        <v>500</v>
      </c>
      <c r="CA250" s="311">
        <f t="shared" si="232"/>
        <v>0.16666666666666666</v>
      </c>
      <c r="CB250" s="310">
        <v>700</v>
      </c>
      <c r="CC250" s="311">
        <f t="shared" si="233"/>
        <v>0.23333333333333334</v>
      </c>
      <c r="CD250" s="310">
        <v>800</v>
      </c>
      <c r="CE250" s="311">
        <f t="shared" si="234"/>
        <v>0.26666666666666666</v>
      </c>
      <c r="CF250" s="310">
        <v>1000</v>
      </c>
      <c r="CG250" s="311">
        <f t="shared" si="235"/>
        <v>0.33333333333333331</v>
      </c>
      <c r="CH250" s="310">
        <v>1200</v>
      </c>
      <c r="CI250" s="311">
        <f t="shared" si="236"/>
        <v>0.4</v>
      </c>
      <c r="CJ250" s="310">
        <v>1800</v>
      </c>
      <c r="CK250" s="311">
        <f t="shared" si="237"/>
        <v>0.6</v>
      </c>
      <c r="CL250" s="310">
        <v>2850</v>
      </c>
      <c r="CM250" s="311">
        <f t="shared" si="238"/>
        <v>0.95</v>
      </c>
      <c r="CN250" s="310">
        <v>2850</v>
      </c>
      <c r="CO250" s="311">
        <f t="shared" si="239"/>
        <v>0.95</v>
      </c>
      <c r="CP250" s="213" t="str">
        <f t="shared" si="196"/>
        <v>Đạt</v>
      </c>
      <c r="CQ250" s="213" t="str">
        <f t="shared" si="197"/>
        <v>Đạt</v>
      </c>
      <c r="CR250" s="312"/>
      <c r="CS250" s="312"/>
      <c r="CT250" s="235"/>
      <c r="CU250" s="163"/>
      <c r="CW250" s="195"/>
      <c r="CX250" s="196"/>
      <c r="CY250" s="196"/>
      <c r="CZ250" s="197"/>
      <c r="DA250" s="196"/>
      <c r="DB250" s="196"/>
      <c r="DC250" s="196"/>
      <c r="DE250" s="199"/>
      <c r="DF250" s="200"/>
      <c r="DG250" s="181"/>
    </row>
    <row r="251" spans="1:111" ht="25.5" outlineLevel="1" x14ac:dyDescent="0.25">
      <c r="A251" s="305" t="s">
        <v>34</v>
      </c>
      <c r="B251" s="306" t="s">
        <v>377</v>
      </c>
      <c r="C251" s="306"/>
      <c r="D251" s="307">
        <f t="shared" si="247"/>
        <v>18400</v>
      </c>
      <c r="E251" s="307"/>
      <c r="F251" s="307">
        <f>G251+H251+K251+M251</f>
        <v>18400</v>
      </c>
      <c r="G251" s="307"/>
      <c r="H251" s="307">
        <v>18400</v>
      </c>
      <c r="I251" s="235"/>
      <c r="J251" s="235"/>
      <c r="K251" s="303"/>
      <c r="L251" s="235"/>
      <c r="M251" s="223"/>
      <c r="N251" s="223"/>
      <c r="O251" s="303"/>
      <c r="P251" s="303">
        <v>0</v>
      </c>
      <c r="Q251" s="308">
        <f t="shared" si="189"/>
        <v>0</v>
      </c>
      <c r="R251" s="303">
        <v>0</v>
      </c>
      <c r="S251" s="313">
        <v>0</v>
      </c>
      <c r="T251" s="313">
        <v>0</v>
      </c>
      <c r="U251" s="303">
        <v>0</v>
      </c>
      <c r="V251" s="313">
        <v>0</v>
      </c>
      <c r="W251" s="313">
        <v>0</v>
      </c>
      <c r="X251" s="303">
        <v>0</v>
      </c>
      <c r="Y251" s="313">
        <v>0</v>
      </c>
      <c r="Z251" s="313">
        <v>0</v>
      </c>
      <c r="AA251" s="303">
        <v>0</v>
      </c>
      <c r="AB251" s="313">
        <v>0</v>
      </c>
      <c r="AC251" s="313">
        <v>0</v>
      </c>
      <c r="AD251" s="303">
        <v>0</v>
      </c>
      <c r="AE251" s="313">
        <v>0</v>
      </c>
      <c r="AF251" s="313">
        <v>0</v>
      </c>
      <c r="AG251" s="303">
        <v>0</v>
      </c>
      <c r="AH251" s="313">
        <v>0</v>
      </c>
      <c r="AI251" s="313">
        <v>0</v>
      </c>
      <c r="AJ251" s="188">
        <v>0</v>
      </c>
      <c r="AK251" s="313">
        <v>0</v>
      </c>
      <c r="AL251" s="313">
        <v>0</v>
      </c>
      <c r="AM251" s="303">
        <v>0</v>
      </c>
      <c r="AN251" s="313">
        <v>0</v>
      </c>
      <c r="AO251" s="313">
        <v>0</v>
      </c>
      <c r="AP251" s="313"/>
      <c r="AQ251" s="303">
        <v>0</v>
      </c>
      <c r="AR251" s="313">
        <v>0</v>
      </c>
      <c r="AS251" s="313">
        <v>0</v>
      </c>
      <c r="AT251" s="303">
        <v>0</v>
      </c>
      <c r="AU251" s="313">
        <v>0</v>
      </c>
      <c r="AV251" s="313">
        <v>0</v>
      </c>
      <c r="AW251" s="313"/>
      <c r="AX251" s="313"/>
      <c r="AY251" s="313"/>
      <c r="AZ251" s="313"/>
      <c r="BA251" s="313"/>
      <c r="BB251" s="313"/>
      <c r="BC251" s="303">
        <v>0</v>
      </c>
      <c r="BD251" s="313">
        <v>0</v>
      </c>
      <c r="BE251" s="313">
        <v>0</v>
      </c>
      <c r="BF251" s="303"/>
      <c r="BG251" s="303">
        <v>0</v>
      </c>
      <c r="BH251" s="313">
        <v>0</v>
      </c>
      <c r="BI251" s="313">
        <v>0</v>
      </c>
      <c r="BJ251" s="303">
        <f t="shared" si="190"/>
        <v>17480</v>
      </c>
      <c r="BK251" s="303">
        <v>0</v>
      </c>
      <c r="BL251" s="313">
        <f t="shared" si="227"/>
        <v>0</v>
      </c>
      <c r="BM251" s="313">
        <f t="shared" si="194"/>
        <v>0</v>
      </c>
      <c r="BN251" s="205">
        <f t="shared" si="183"/>
        <v>0</v>
      </c>
      <c r="BO251" s="205"/>
      <c r="BP251" s="310">
        <v>0</v>
      </c>
      <c r="BQ251" s="311">
        <f t="shared" si="195"/>
        <v>0</v>
      </c>
      <c r="BR251" s="310">
        <v>0</v>
      </c>
      <c r="BS251" s="311">
        <f t="shared" si="228"/>
        <v>0</v>
      </c>
      <c r="BT251" s="310">
        <v>0</v>
      </c>
      <c r="BU251" s="308">
        <f t="shared" si="249"/>
        <v>0</v>
      </c>
      <c r="BV251" s="310">
        <v>0</v>
      </c>
      <c r="BW251" s="311">
        <f t="shared" si="249"/>
        <v>0</v>
      </c>
      <c r="BX251" s="310">
        <v>0</v>
      </c>
      <c r="BY251" s="311">
        <f t="shared" si="231"/>
        <v>0</v>
      </c>
      <c r="BZ251" s="310">
        <v>0</v>
      </c>
      <c r="CA251" s="311">
        <f t="shared" si="232"/>
        <v>0</v>
      </c>
      <c r="CB251" s="310">
        <v>0</v>
      </c>
      <c r="CC251" s="311">
        <f t="shared" si="233"/>
        <v>0</v>
      </c>
      <c r="CD251" s="310">
        <v>0</v>
      </c>
      <c r="CE251" s="311">
        <f t="shared" si="234"/>
        <v>0</v>
      </c>
      <c r="CF251" s="310">
        <v>3400</v>
      </c>
      <c r="CG251" s="311">
        <f t="shared" si="235"/>
        <v>0.18478260869565216</v>
      </c>
      <c r="CH251" s="310">
        <v>10000</v>
      </c>
      <c r="CI251" s="311">
        <f t="shared" si="236"/>
        <v>0.54347826086956519</v>
      </c>
      <c r="CJ251" s="310">
        <v>15000</v>
      </c>
      <c r="CK251" s="311">
        <f t="shared" si="237"/>
        <v>0.81521739130434778</v>
      </c>
      <c r="CL251" s="310">
        <v>16500</v>
      </c>
      <c r="CM251" s="311">
        <f t="shared" si="238"/>
        <v>0.89673913043478259</v>
      </c>
      <c r="CN251" s="310">
        <v>17480</v>
      </c>
      <c r="CO251" s="311">
        <f t="shared" si="239"/>
        <v>0.95</v>
      </c>
      <c r="CP251" s="213" t="str">
        <f t="shared" si="196"/>
        <v>Không đạt</v>
      </c>
      <c r="CQ251" s="213" t="str">
        <f t="shared" si="197"/>
        <v>Không đạt</v>
      </c>
      <c r="CR251" s="312"/>
      <c r="CS251" s="312"/>
      <c r="CT251" s="235"/>
      <c r="CU251" s="163"/>
      <c r="CW251" s="195"/>
      <c r="CX251" s="196"/>
      <c r="CY251" s="196"/>
      <c r="CZ251" s="197"/>
      <c r="DA251" s="196"/>
      <c r="DB251" s="196"/>
      <c r="DC251" s="196"/>
      <c r="DE251" s="199"/>
      <c r="DF251" s="200"/>
      <c r="DG251" s="181"/>
    </row>
    <row r="252" spans="1:111" ht="18" customHeight="1" x14ac:dyDescent="0.25">
      <c r="A252" s="316">
        <f>MAX(A$243:A250)+1</f>
        <v>4</v>
      </c>
      <c r="B252" s="240" t="s">
        <v>380</v>
      </c>
      <c r="C252" s="240"/>
      <c r="D252" s="188">
        <f t="shared" ref="D252:I252" si="252">D253+D255+D256</f>
        <v>20400</v>
      </c>
      <c r="E252" s="188">
        <f t="shared" si="252"/>
        <v>0</v>
      </c>
      <c r="F252" s="188">
        <f t="shared" si="252"/>
        <v>20400</v>
      </c>
      <c r="G252" s="188">
        <f t="shared" si="252"/>
        <v>3000</v>
      </c>
      <c r="H252" s="188">
        <f t="shared" si="252"/>
        <v>17400</v>
      </c>
      <c r="I252" s="188">
        <f t="shared" si="252"/>
        <v>0</v>
      </c>
      <c r="J252" s="188"/>
      <c r="K252" s="188">
        <f>K253+K255+K256</f>
        <v>0</v>
      </c>
      <c r="L252" s="188">
        <f>L253+L255+L256</f>
        <v>0</v>
      </c>
      <c r="M252" s="188">
        <f>M253+M255+M256</f>
        <v>0</v>
      </c>
      <c r="N252" s="188">
        <f>N253+N255+N256</f>
        <v>0</v>
      </c>
      <c r="O252" s="188">
        <f>O253+O255+O256</f>
        <v>3000</v>
      </c>
      <c r="P252" s="188">
        <v>0</v>
      </c>
      <c r="Q252" s="186">
        <f t="shared" si="189"/>
        <v>0</v>
      </c>
      <c r="R252" s="188">
        <v>0</v>
      </c>
      <c r="S252" s="185">
        <v>0</v>
      </c>
      <c r="T252" s="185">
        <v>0</v>
      </c>
      <c r="U252" s="188">
        <v>279.101</v>
      </c>
      <c r="V252" s="185">
        <v>1.3681421568627452E-2</v>
      </c>
      <c r="W252" s="185">
        <v>1.4401496388028895E-2</v>
      </c>
      <c r="X252" s="188">
        <v>279.101</v>
      </c>
      <c r="Y252" s="185">
        <v>1.3681421568627452E-2</v>
      </c>
      <c r="Z252" s="185">
        <v>1.4401496388028895E-2</v>
      </c>
      <c r="AA252" s="188">
        <v>279.101</v>
      </c>
      <c r="AB252" s="185">
        <v>1.3681421568627452E-2</v>
      </c>
      <c r="AC252" s="185">
        <v>1.4401496388028895E-2</v>
      </c>
      <c r="AD252" s="188">
        <v>279.101</v>
      </c>
      <c r="AE252" s="185">
        <v>1.3681421568627452E-2</v>
      </c>
      <c r="AF252" s="185">
        <v>1.4401496388028895E-2</v>
      </c>
      <c r="AG252" s="188">
        <v>279.101</v>
      </c>
      <c r="AH252" s="185">
        <v>1.3681421568627452E-2</v>
      </c>
      <c r="AI252" s="185">
        <v>1.4401496388028895E-2</v>
      </c>
      <c r="AJ252" s="317">
        <v>279.101</v>
      </c>
      <c r="AK252" s="185">
        <v>1.3681421568627452E-2</v>
      </c>
      <c r="AL252" s="185">
        <v>1.4401496388028895E-2</v>
      </c>
      <c r="AM252" s="188">
        <v>1167.6844000000001</v>
      </c>
      <c r="AN252" s="185">
        <v>5.7239431372549027E-2</v>
      </c>
      <c r="AO252" s="185">
        <v>6.0252033023735815E-2</v>
      </c>
      <c r="AP252" s="185"/>
      <c r="AQ252" s="188">
        <v>1167.6844000000001</v>
      </c>
      <c r="AR252" s="185">
        <v>5.7239431372549027E-2</v>
      </c>
      <c r="AS252" s="185">
        <v>6.0252033023735815E-2</v>
      </c>
      <c r="AT252" s="188">
        <v>1922</v>
      </c>
      <c r="AU252" s="185">
        <v>9.4215686274509811E-2</v>
      </c>
      <c r="AV252" s="185">
        <v>9.9174406604747162E-2</v>
      </c>
      <c r="AW252" s="185"/>
      <c r="AX252" s="185"/>
      <c r="AY252" s="185"/>
      <c r="AZ252" s="185"/>
      <c r="BA252" s="185"/>
      <c r="BB252" s="185"/>
      <c r="BC252" s="188">
        <v>1922</v>
      </c>
      <c r="BD252" s="185">
        <v>9.4215686274509811E-2</v>
      </c>
      <c r="BE252" s="185">
        <v>9.9174406604747162E-2</v>
      </c>
      <c r="BF252" s="188"/>
      <c r="BG252" s="188">
        <v>12020.463</v>
      </c>
      <c r="BH252" s="185">
        <v>0.58923838235294113</v>
      </c>
      <c r="BI252" s="185">
        <v>0.6202509287925696</v>
      </c>
      <c r="BJ252" s="188">
        <f t="shared" si="190"/>
        <v>19380</v>
      </c>
      <c r="BK252" s="188">
        <v>12531.463</v>
      </c>
      <c r="BL252" s="185">
        <f t="shared" si="227"/>
        <v>0.61428740196078435</v>
      </c>
      <c r="BM252" s="185">
        <f t="shared" si="194"/>
        <v>0.64661831785345714</v>
      </c>
      <c r="BN252" s="205">
        <f t="shared" si="183"/>
        <v>12252.361999999999</v>
      </c>
      <c r="BO252" s="205"/>
      <c r="BP252" s="189">
        <f>BP253+BP255+BP256</f>
        <v>0</v>
      </c>
      <c r="BQ252" s="186">
        <f t="shared" si="195"/>
        <v>0</v>
      </c>
      <c r="BR252" s="189">
        <f>BR253+BR255+BR256</f>
        <v>370</v>
      </c>
      <c r="BS252" s="186">
        <f t="shared" si="228"/>
        <v>1.8137254901960786E-2</v>
      </c>
      <c r="BT252" s="189">
        <f>BT253+BT255+BT256</f>
        <v>655</v>
      </c>
      <c r="BU252" s="186">
        <f t="shared" si="249"/>
        <v>3.2107843137254899E-2</v>
      </c>
      <c r="BV252" s="189">
        <f>BV253+BV255+BV256</f>
        <v>655</v>
      </c>
      <c r="BW252" s="186">
        <f t="shared" si="249"/>
        <v>3.2107843137254899E-2</v>
      </c>
      <c r="BX252" s="189">
        <f>BX253+BX255+BX256</f>
        <v>655</v>
      </c>
      <c r="BY252" s="186">
        <f t="shared" si="231"/>
        <v>3.2107843137254899E-2</v>
      </c>
      <c r="BZ252" s="189">
        <f>BZ253+BZ255+BZ256</f>
        <v>4285</v>
      </c>
      <c r="CA252" s="186">
        <f t="shared" si="232"/>
        <v>0.21004901960784314</v>
      </c>
      <c r="CB252" s="189">
        <f>CB253+CB255+CB256</f>
        <v>4285</v>
      </c>
      <c r="CC252" s="186">
        <f t="shared" si="233"/>
        <v>0.21004901960784314</v>
      </c>
      <c r="CD252" s="189">
        <f>CD253+CD255+CD256</f>
        <v>4285</v>
      </c>
      <c r="CE252" s="186">
        <f t="shared" si="234"/>
        <v>0.21004901960784314</v>
      </c>
      <c r="CF252" s="189">
        <f>CF253+CF255+CF256</f>
        <v>4535</v>
      </c>
      <c r="CG252" s="186">
        <f t="shared" si="235"/>
        <v>0.22230392156862744</v>
      </c>
      <c r="CH252" s="189">
        <f>CH253+CH255+CH256</f>
        <v>4535</v>
      </c>
      <c r="CI252" s="186">
        <f t="shared" si="236"/>
        <v>0.22230392156862744</v>
      </c>
      <c r="CJ252" s="189">
        <f>CJ253+CJ255+CJ256</f>
        <v>6765</v>
      </c>
      <c r="CK252" s="186">
        <f t="shared" si="237"/>
        <v>0.33161764705882352</v>
      </c>
      <c r="CL252" s="189">
        <f>CL253+CL255+CL256</f>
        <v>7010</v>
      </c>
      <c r="CM252" s="186">
        <f t="shared" si="238"/>
        <v>0.34362745098039216</v>
      </c>
      <c r="CN252" s="189">
        <f>CN253+CN255+CN256</f>
        <v>19380</v>
      </c>
      <c r="CO252" s="186">
        <f t="shared" si="239"/>
        <v>0.95</v>
      </c>
      <c r="CP252" s="213" t="str">
        <f t="shared" si="196"/>
        <v>Đạt</v>
      </c>
      <c r="CQ252" s="213" t="str">
        <f t="shared" si="197"/>
        <v>Đạt</v>
      </c>
      <c r="CR252" s="213"/>
      <c r="CS252" s="213"/>
      <c r="CT252" s="231"/>
      <c r="CU252" s="163"/>
      <c r="CW252" s="195"/>
      <c r="CX252" s="196"/>
      <c r="CY252" s="196"/>
      <c r="CZ252" s="197"/>
      <c r="DA252" s="196"/>
      <c r="DB252" s="196"/>
      <c r="DC252" s="196"/>
      <c r="DE252" s="199"/>
      <c r="DF252" s="200"/>
      <c r="DG252" s="181"/>
    </row>
    <row r="253" spans="1:111" s="324" customFormat="1" outlineLevel="1" x14ac:dyDescent="0.25">
      <c r="A253" s="305" t="s">
        <v>34</v>
      </c>
      <c r="B253" s="318" t="s">
        <v>381</v>
      </c>
      <c r="C253" s="306"/>
      <c r="D253" s="317">
        <f>D254</f>
        <v>300</v>
      </c>
      <c r="E253" s="317">
        <f t="shared" ref="E253:L253" si="253">E254</f>
        <v>0</v>
      </c>
      <c r="F253" s="317">
        <f t="shared" si="253"/>
        <v>300</v>
      </c>
      <c r="G253" s="317">
        <f t="shared" si="253"/>
        <v>0</v>
      </c>
      <c r="H253" s="317">
        <f t="shared" si="253"/>
        <v>300</v>
      </c>
      <c r="I253" s="214">
        <f t="shared" si="253"/>
        <v>0</v>
      </c>
      <c r="J253" s="214"/>
      <c r="K253" s="317">
        <f t="shared" si="253"/>
        <v>0</v>
      </c>
      <c r="L253" s="214">
        <f t="shared" si="253"/>
        <v>0</v>
      </c>
      <c r="M253" s="223"/>
      <c r="N253" s="223"/>
      <c r="O253" s="317">
        <f t="shared" si="251"/>
        <v>0</v>
      </c>
      <c r="P253" s="317">
        <v>0</v>
      </c>
      <c r="Q253" s="319">
        <f t="shared" si="189"/>
        <v>0</v>
      </c>
      <c r="R253" s="317">
        <v>0</v>
      </c>
      <c r="S253" s="320">
        <v>0</v>
      </c>
      <c r="T253" s="320">
        <v>0</v>
      </c>
      <c r="U253" s="317">
        <v>279.101</v>
      </c>
      <c r="V253" s="320">
        <v>0.9303366666666667</v>
      </c>
      <c r="W253" s="320">
        <v>0.9793017543859649</v>
      </c>
      <c r="X253" s="317">
        <v>279.101</v>
      </c>
      <c r="Y253" s="320">
        <v>0.9303366666666667</v>
      </c>
      <c r="Z253" s="320">
        <v>0.9793017543859649</v>
      </c>
      <c r="AA253" s="317">
        <v>279.101</v>
      </c>
      <c r="AB253" s="320">
        <v>0.9303366666666667</v>
      </c>
      <c r="AC253" s="320">
        <v>0.9793017543859649</v>
      </c>
      <c r="AD253" s="317">
        <v>279.101</v>
      </c>
      <c r="AE253" s="320">
        <v>0.9303366666666667</v>
      </c>
      <c r="AF253" s="320">
        <v>0.9793017543859649</v>
      </c>
      <c r="AG253" s="317">
        <v>279.101</v>
      </c>
      <c r="AH253" s="320">
        <v>0.9303366666666667</v>
      </c>
      <c r="AI253" s="320">
        <v>0.9793017543859649</v>
      </c>
      <c r="AJ253" s="321">
        <v>279.101</v>
      </c>
      <c r="AK253" s="320">
        <v>0.9303366666666667</v>
      </c>
      <c r="AL253" s="320">
        <v>0.9793017543859649</v>
      </c>
      <c r="AM253" s="317">
        <v>279</v>
      </c>
      <c r="AN253" s="320">
        <v>0.93</v>
      </c>
      <c r="AO253" s="320">
        <v>0.97894736842105268</v>
      </c>
      <c r="AP253" s="320"/>
      <c r="AQ253" s="317">
        <v>279</v>
      </c>
      <c r="AR253" s="320">
        <v>0.93</v>
      </c>
      <c r="AS253" s="320">
        <v>0.97894736842105268</v>
      </c>
      <c r="AT253" s="317">
        <v>279</v>
      </c>
      <c r="AU253" s="320">
        <v>0.93</v>
      </c>
      <c r="AV253" s="320">
        <v>0.97894736842105268</v>
      </c>
      <c r="AW253" s="320"/>
      <c r="AX253" s="320"/>
      <c r="AY253" s="320"/>
      <c r="AZ253" s="320"/>
      <c r="BA253" s="320"/>
      <c r="BB253" s="320"/>
      <c r="BC253" s="317">
        <v>279</v>
      </c>
      <c r="BD253" s="320">
        <v>0.93</v>
      </c>
      <c r="BE253" s="320">
        <v>0.97894736842105268</v>
      </c>
      <c r="BF253" s="317"/>
      <c r="BG253" s="317">
        <v>279</v>
      </c>
      <c r="BH253" s="320">
        <v>0.93</v>
      </c>
      <c r="BI253" s="320">
        <v>0.97894736842105268</v>
      </c>
      <c r="BJ253" s="317">
        <f t="shared" si="190"/>
        <v>285</v>
      </c>
      <c r="BK253" s="317">
        <f>BK254</f>
        <v>279</v>
      </c>
      <c r="BL253" s="320">
        <f t="shared" si="227"/>
        <v>0.93</v>
      </c>
      <c r="BM253" s="320">
        <f t="shared" si="194"/>
        <v>0.97894736842105268</v>
      </c>
      <c r="BN253" s="205">
        <f t="shared" si="183"/>
        <v>-0.10099999999999909</v>
      </c>
      <c r="BO253" s="205"/>
      <c r="BP253" s="307">
        <f>BP254</f>
        <v>0</v>
      </c>
      <c r="BQ253" s="322">
        <f t="shared" si="195"/>
        <v>0</v>
      </c>
      <c r="BR253" s="307">
        <f>BR254</f>
        <v>0</v>
      </c>
      <c r="BS253" s="322">
        <f t="shared" si="228"/>
        <v>0</v>
      </c>
      <c r="BT253" s="307">
        <f>BT254</f>
        <v>285</v>
      </c>
      <c r="BU253" s="319">
        <f t="shared" si="249"/>
        <v>0.95</v>
      </c>
      <c r="BV253" s="307">
        <f>BV254</f>
        <v>285</v>
      </c>
      <c r="BW253" s="322">
        <f t="shared" si="249"/>
        <v>0.95</v>
      </c>
      <c r="BX253" s="307">
        <f>BX254</f>
        <v>285</v>
      </c>
      <c r="BY253" s="322">
        <f t="shared" si="231"/>
        <v>0.95</v>
      </c>
      <c r="BZ253" s="307">
        <f>BZ254</f>
        <v>285</v>
      </c>
      <c r="CA253" s="322">
        <f t="shared" si="232"/>
        <v>0.95</v>
      </c>
      <c r="CB253" s="307">
        <f>CB254</f>
        <v>285</v>
      </c>
      <c r="CC253" s="322">
        <f t="shared" si="233"/>
        <v>0.95</v>
      </c>
      <c r="CD253" s="307">
        <f>CD254</f>
        <v>285</v>
      </c>
      <c r="CE253" s="322">
        <f t="shared" si="234"/>
        <v>0.95</v>
      </c>
      <c r="CF253" s="307">
        <f>CF254</f>
        <v>285</v>
      </c>
      <c r="CG253" s="322">
        <f t="shared" si="235"/>
        <v>0.95</v>
      </c>
      <c r="CH253" s="307">
        <f>CH254</f>
        <v>285</v>
      </c>
      <c r="CI253" s="322">
        <f t="shared" si="236"/>
        <v>0.95</v>
      </c>
      <c r="CJ253" s="307">
        <f>CJ254</f>
        <v>285</v>
      </c>
      <c r="CK253" s="322">
        <f t="shared" si="237"/>
        <v>0.95</v>
      </c>
      <c r="CL253" s="307">
        <f>CL254</f>
        <v>285</v>
      </c>
      <c r="CM253" s="322">
        <f t="shared" si="238"/>
        <v>0.95</v>
      </c>
      <c r="CN253" s="307">
        <f>CN254</f>
        <v>285</v>
      </c>
      <c r="CO253" s="322">
        <f t="shared" si="239"/>
        <v>0.95</v>
      </c>
      <c r="CP253" s="213" t="str">
        <f t="shared" si="196"/>
        <v>Đạt</v>
      </c>
      <c r="CQ253" s="213" t="str">
        <f t="shared" si="197"/>
        <v>Đạt</v>
      </c>
      <c r="CR253" s="312"/>
      <c r="CS253" s="312"/>
      <c r="CT253" s="235"/>
      <c r="CU253" s="163"/>
      <c r="CV253" s="323"/>
      <c r="CW253" s="195"/>
      <c r="CX253" s="196"/>
      <c r="CY253" s="196"/>
      <c r="CZ253" s="197"/>
      <c r="DA253" s="196"/>
      <c r="DB253" s="196"/>
      <c r="DC253" s="196"/>
      <c r="DE253" s="199"/>
      <c r="DF253" s="200"/>
      <c r="DG253" s="181"/>
    </row>
    <row r="254" spans="1:111" ht="25.5" outlineLevel="1" x14ac:dyDescent="0.25">
      <c r="A254" s="192"/>
      <c r="B254" s="325" t="s">
        <v>382</v>
      </c>
      <c r="C254" s="325">
        <v>8095985</v>
      </c>
      <c r="D254" s="214">
        <f t="shared" si="247"/>
        <v>300</v>
      </c>
      <c r="E254" s="215"/>
      <c r="F254" s="214">
        <f>G254+H254+K254+M254</f>
        <v>300</v>
      </c>
      <c r="G254" s="223"/>
      <c r="H254" s="223">
        <v>300</v>
      </c>
      <c r="I254" s="235"/>
      <c r="J254" s="235"/>
      <c r="K254" s="223"/>
      <c r="L254" s="235"/>
      <c r="M254" s="223"/>
      <c r="N254" s="223"/>
      <c r="O254" s="223">
        <f t="shared" si="251"/>
        <v>0</v>
      </c>
      <c r="P254" s="223">
        <v>0</v>
      </c>
      <c r="Q254" s="224">
        <f t="shared" si="189"/>
        <v>0</v>
      </c>
      <c r="R254" s="223"/>
      <c r="S254" s="326">
        <v>0</v>
      </c>
      <c r="T254" s="326">
        <v>0</v>
      </c>
      <c r="U254" s="321">
        <v>279.101</v>
      </c>
      <c r="V254" s="326">
        <v>0.9303366666666667</v>
      </c>
      <c r="W254" s="326">
        <v>0.9793017543859649</v>
      </c>
      <c r="X254" s="321">
        <v>279.101</v>
      </c>
      <c r="Y254" s="326">
        <v>0.9303366666666667</v>
      </c>
      <c r="Z254" s="326">
        <v>0.9793017543859649</v>
      </c>
      <c r="AA254" s="321">
        <v>279.101</v>
      </c>
      <c r="AB254" s="326">
        <v>0.9303366666666667</v>
      </c>
      <c r="AC254" s="326">
        <v>0.9793017543859649</v>
      </c>
      <c r="AD254" s="321">
        <v>279.101</v>
      </c>
      <c r="AE254" s="326">
        <v>0.9303366666666667</v>
      </c>
      <c r="AF254" s="326">
        <v>0.9793017543859649</v>
      </c>
      <c r="AG254" s="321">
        <v>279.101</v>
      </c>
      <c r="AH254" s="326">
        <v>0.9303366666666667</v>
      </c>
      <c r="AI254" s="326">
        <v>0.9793017543859649</v>
      </c>
      <c r="AJ254" s="303">
        <v>279.101</v>
      </c>
      <c r="AK254" s="326">
        <v>0.9303366666666667</v>
      </c>
      <c r="AL254" s="326">
        <v>0.9793017543859649</v>
      </c>
      <c r="AM254" s="321">
        <v>279</v>
      </c>
      <c r="AN254" s="326">
        <v>0.93</v>
      </c>
      <c r="AO254" s="326">
        <v>0.97894736842105268</v>
      </c>
      <c r="AP254" s="326"/>
      <c r="AQ254" s="321">
        <v>279</v>
      </c>
      <c r="AR254" s="326">
        <v>0.93</v>
      </c>
      <c r="AS254" s="326">
        <v>0.97894736842105268</v>
      </c>
      <c r="AT254" s="321">
        <v>279</v>
      </c>
      <c r="AU254" s="326">
        <v>0.93</v>
      </c>
      <c r="AV254" s="326">
        <v>0.97894736842105268</v>
      </c>
      <c r="AW254" s="326"/>
      <c r="AX254" s="326"/>
      <c r="AY254" s="326"/>
      <c r="AZ254" s="326"/>
      <c r="BA254" s="326"/>
      <c r="BB254" s="326"/>
      <c r="BC254" s="321">
        <v>279</v>
      </c>
      <c r="BD254" s="326">
        <v>0.93</v>
      </c>
      <c r="BE254" s="326">
        <v>0.97894736842105268</v>
      </c>
      <c r="BF254" s="321">
        <v>279</v>
      </c>
      <c r="BG254" s="321">
        <v>279</v>
      </c>
      <c r="BH254" s="326">
        <v>0.93</v>
      </c>
      <c r="BI254" s="326">
        <v>0.97894736842105268</v>
      </c>
      <c r="BJ254" s="321">
        <f t="shared" si="190"/>
        <v>285</v>
      </c>
      <c r="BK254" s="321">
        <v>279</v>
      </c>
      <c r="BL254" s="326">
        <f t="shared" si="227"/>
        <v>0.93</v>
      </c>
      <c r="BM254" s="326">
        <f t="shared" si="194"/>
        <v>0.97894736842105268</v>
      </c>
      <c r="BN254" s="205">
        <f t="shared" si="183"/>
        <v>-0.10099999999999909</v>
      </c>
      <c r="BO254" s="205"/>
      <c r="BP254" s="227"/>
      <c r="BQ254" s="327">
        <f t="shared" si="195"/>
        <v>0</v>
      </c>
      <c r="BR254" s="227"/>
      <c r="BS254" s="327">
        <f t="shared" si="228"/>
        <v>0</v>
      </c>
      <c r="BT254" s="227">
        <v>285</v>
      </c>
      <c r="BU254" s="224">
        <f t="shared" si="249"/>
        <v>0.95</v>
      </c>
      <c r="BV254" s="227">
        <v>285</v>
      </c>
      <c r="BW254" s="327">
        <f t="shared" si="249"/>
        <v>0.95</v>
      </c>
      <c r="BX254" s="227">
        <v>285</v>
      </c>
      <c r="BY254" s="327">
        <f t="shared" si="231"/>
        <v>0.95</v>
      </c>
      <c r="BZ254" s="227">
        <v>285</v>
      </c>
      <c r="CA254" s="327">
        <f t="shared" si="232"/>
        <v>0.95</v>
      </c>
      <c r="CB254" s="227">
        <v>285</v>
      </c>
      <c r="CC254" s="327">
        <f t="shared" si="233"/>
        <v>0.95</v>
      </c>
      <c r="CD254" s="227">
        <v>285</v>
      </c>
      <c r="CE254" s="327">
        <f t="shared" si="234"/>
        <v>0.95</v>
      </c>
      <c r="CF254" s="227">
        <v>285</v>
      </c>
      <c r="CG254" s="327">
        <f t="shared" si="235"/>
        <v>0.95</v>
      </c>
      <c r="CH254" s="227">
        <v>285</v>
      </c>
      <c r="CI254" s="327">
        <f t="shared" si="236"/>
        <v>0.95</v>
      </c>
      <c r="CJ254" s="227">
        <v>285</v>
      </c>
      <c r="CK254" s="327">
        <f t="shared" si="237"/>
        <v>0.95</v>
      </c>
      <c r="CL254" s="227">
        <v>285</v>
      </c>
      <c r="CM254" s="327">
        <f t="shared" si="238"/>
        <v>0.95</v>
      </c>
      <c r="CN254" s="227">
        <f>BT254</f>
        <v>285</v>
      </c>
      <c r="CO254" s="327">
        <f t="shared" si="239"/>
        <v>0.95</v>
      </c>
      <c r="CP254" s="213" t="str">
        <f t="shared" si="196"/>
        <v>Đạt</v>
      </c>
      <c r="CQ254" s="213" t="str">
        <f t="shared" si="197"/>
        <v>Đạt</v>
      </c>
      <c r="CR254" s="192"/>
      <c r="CS254" s="192"/>
      <c r="CT254" s="223"/>
      <c r="CU254" s="163"/>
      <c r="CW254" s="195"/>
      <c r="CX254" s="196"/>
      <c r="CY254" s="196"/>
      <c r="CZ254" s="197"/>
      <c r="DA254" s="196"/>
      <c r="DB254" s="196"/>
      <c r="DC254" s="196"/>
      <c r="DE254" s="199"/>
      <c r="DF254" s="200"/>
      <c r="DG254" s="181"/>
    </row>
    <row r="255" spans="1:111" outlineLevel="1" x14ac:dyDescent="0.25">
      <c r="A255" s="305" t="s">
        <v>34</v>
      </c>
      <c r="B255" s="306" t="s">
        <v>376</v>
      </c>
      <c r="C255" s="306"/>
      <c r="D255" s="307">
        <f t="shared" si="247"/>
        <v>3000</v>
      </c>
      <c r="E255" s="307"/>
      <c r="F255" s="307">
        <f>G255+H255+K255+M255</f>
        <v>3000</v>
      </c>
      <c r="G255" s="307">
        <v>3000</v>
      </c>
      <c r="H255" s="303"/>
      <c r="I255" s="303"/>
      <c r="J255" s="303"/>
      <c r="K255" s="303"/>
      <c r="L255" s="223"/>
      <c r="M255" s="223"/>
      <c r="N255" s="223"/>
      <c r="O255" s="303">
        <f t="shared" si="251"/>
        <v>3000</v>
      </c>
      <c r="P255" s="303">
        <v>0</v>
      </c>
      <c r="Q255" s="308">
        <f t="shared" si="189"/>
        <v>0</v>
      </c>
      <c r="R255" s="303"/>
      <c r="S255" s="313">
        <v>0</v>
      </c>
      <c r="T255" s="313">
        <v>0</v>
      </c>
      <c r="U255" s="303"/>
      <c r="V255" s="313">
        <v>0</v>
      </c>
      <c r="W255" s="313">
        <v>0</v>
      </c>
      <c r="X255" s="303"/>
      <c r="Y255" s="313">
        <v>0</v>
      </c>
      <c r="Z255" s="313">
        <v>0</v>
      </c>
      <c r="AA255" s="303"/>
      <c r="AB255" s="313">
        <v>0</v>
      </c>
      <c r="AC255" s="313">
        <v>0</v>
      </c>
      <c r="AD255" s="303"/>
      <c r="AE255" s="313">
        <v>0</v>
      </c>
      <c r="AF255" s="313">
        <v>0</v>
      </c>
      <c r="AG255" s="303"/>
      <c r="AH255" s="313">
        <v>0</v>
      </c>
      <c r="AI255" s="313">
        <v>0</v>
      </c>
      <c r="AJ255" s="303"/>
      <c r="AK255" s="313">
        <v>0</v>
      </c>
      <c r="AL255" s="313">
        <v>0</v>
      </c>
      <c r="AM255" s="303">
        <v>320</v>
      </c>
      <c r="AN255" s="313">
        <v>0.10666666666666667</v>
      </c>
      <c r="AO255" s="313">
        <v>0.11228070175438597</v>
      </c>
      <c r="AP255" s="313"/>
      <c r="AQ255" s="303">
        <v>320</v>
      </c>
      <c r="AR255" s="313">
        <v>0.10666666666666667</v>
      </c>
      <c r="AS255" s="313">
        <v>0.11228070175438597</v>
      </c>
      <c r="AT255" s="303">
        <v>795</v>
      </c>
      <c r="AU255" s="313">
        <v>0.26500000000000001</v>
      </c>
      <c r="AV255" s="313">
        <v>0.27894736842105261</v>
      </c>
      <c r="AW255" s="313"/>
      <c r="AX255" s="313"/>
      <c r="AY255" s="313"/>
      <c r="AZ255" s="313"/>
      <c r="BA255" s="313"/>
      <c r="BB255" s="313"/>
      <c r="BC255" s="303">
        <v>795</v>
      </c>
      <c r="BD255" s="313">
        <v>0.26500000000000001</v>
      </c>
      <c r="BE255" s="313">
        <v>0.27894736842105261</v>
      </c>
      <c r="BF255" s="303"/>
      <c r="BG255" s="303">
        <v>1344.6000000000001</v>
      </c>
      <c r="BH255" s="313">
        <v>0.44820000000000004</v>
      </c>
      <c r="BI255" s="313">
        <v>0.47178947368421059</v>
      </c>
      <c r="BJ255" s="303">
        <f t="shared" si="190"/>
        <v>2850</v>
      </c>
      <c r="BK255" s="303">
        <v>1344.6000000000001</v>
      </c>
      <c r="BL255" s="313">
        <f t="shared" si="227"/>
        <v>0.44820000000000004</v>
      </c>
      <c r="BM255" s="313">
        <f t="shared" si="194"/>
        <v>0.47178947368421059</v>
      </c>
      <c r="BN255" s="205">
        <f t="shared" si="183"/>
        <v>1344.6000000000001</v>
      </c>
      <c r="BO255" s="205"/>
      <c r="BP255" s="310"/>
      <c r="BQ255" s="311">
        <f t="shared" si="195"/>
        <v>0</v>
      </c>
      <c r="BR255" s="310">
        <v>370</v>
      </c>
      <c r="BS255" s="311">
        <f t="shared" si="228"/>
        <v>0.12333333333333334</v>
      </c>
      <c r="BT255" s="310">
        <v>370</v>
      </c>
      <c r="BU255" s="308">
        <f t="shared" si="249"/>
        <v>0.12333333333333334</v>
      </c>
      <c r="BV255" s="310">
        <v>370</v>
      </c>
      <c r="BW255" s="311">
        <f t="shared" si="249"/>
        <v>0.12333333333333334</v>
      </c>
      <c r="BX255" s="310">
        <v>370</v>
      </c>
      <c r="BY255" s="311">
        <f t="shared" si="231"/>
        <v>0.12333333333333334</v>
      </c>
      <c r="BZ255" s="310">
        <v>1000</v>
      </c>
      <c r="CA255" s="311">
        <f t="shared" si="232"/>
        <v>0.33333333333333331</v>
      </c>
      <c r="CB255" s="310">
        <v>1000</v>
      </c>
      <c r="CC255" s="311">
        <f t="shared" si="233"/>
        <v>0.33333333333333331</v>
      </c>
      <c r="CD255" s="310">
        <v>1000</v>
      </c>
      <c r="CE255" s="311">
        <f t="shared" si="234"/>
        <v>0.33333333333333331</v>
      </c>
      <c r="CF255" s="310">
        <v>1250</v>
      </c>
      <c r="CG255" s="311">
        <f t="shared" si="235"/>
        <v>0.41666666666666669</v>
      </c>
      <c r="CH255" s="310">
        <v>1250</v>
      </c>
      <c r="CI255" s="311">
        <f t="shared" si="236"/>
        <v>0.41666666666666669</v>
      </c>
      <c r="CJ255" s="310">
        <f>1250+230</f>
        <v>1480</v>
      </c>
      <c r="CK255" s="311">
        <f t="shared" si="237"/>
        <v>0.49333333333333335</v>
      </c>
      <c r="CL255" s="310">
        <v>1480</v>
      </c>
      <c r="CM255" s="311">
        <f t="shared" si="238"/>
        <v>0.49333333333333335</v>
      </c>
      <c r="CN255" s="310">
        <v>2850</v>
      </c>
      <c r="CO255" s="311">
        <f t="shared" si="239"/>
        <v>0.95</v>
      </c>
      <c r="CP255" s="213" t="str">
        <f t="shared" si="196"/>
        <v>Đạt</v>
      </c>
      <c r="CQ255" s="213" t="str">
        <f t="shared" si="197"/>
        <v>Đạt</v>
      </c>
      <c r="CR255" s="312"/>
      <c r="CS255" s="312"/>
      <c r="CT255" s="235"/>
      <c r="CU255" s="163"/>
      <c r="CW255" s="195"/>
      <c r="CX255" s="196"/>
      <c r="CY255" s="196"/>
      <c r="CZ255" s="197"/>
      <c r="DA255" s="196"/>
      <c r="DB255" s="196"/>
      <c r="DC255" s="196"/>
      <c r="DE255" s="199"/>
      <c r="DF255" s="200"/>
      <c r="DG255" s="181"/>
    </row>
    <row r="256" spans="1:111" ht="25.5" outlineLevel="1" x14ac:dyDescent="0.25">
      <c r="A256" s="305" t="s">
        <v>34</v>
      </c>
      <c r="B256" s="306" t="s">
        <v>377</v>
      </c>
      <c r="C256" s="306"/>
      <c r="D256" s="307">
        <f t="shared" si="247"/>
        <v>17100</v>
      </c>
      <c r="E256" s="307"/>
      <c r="F256" s="307">
        <f>G256+H256+K256+M256</f>
        <v>17100</v>
      </c>
      <c r="G256" s="307"/>
      <c r="H256" s="307">
        <v>17100</v>
      </c>
      <c r="I256" s="235"/>
      <c r="J256" s="235"/>
      <c r="K256" s="303"/>
      <c r="L256" s="235"/>
      <c r="M256" s="223"/>
      <c r="N256" s="223"/>
      <c r="O256" s="303"/>
      <c r="P256" s="303">
        <v>0</v>
      </c>
      <c r="Q256" s="308">
        <f t="shared" si="189"/>
        <v>0</v>
      </c>
      <c r="R256" s="303"/>
      <c r="S256" s="313">
        <v>0</v>
      </c>
      <c r="T256" s="313">
        <v>0</v>
      </c>
      <c r="U256" s="303"/>
      <c r="V256" s="313">
        <v>0</v>
      </c>
      <c r="W256" s="313">
        <v>0</v>
      </c>
      <c r="X256" s="303"/>
      <c r="Y256" s="313">
        <v>0</v>
      </c>
      <c r="Z256" s="313">
        <v>0</v>
      </c>
      <c r="AA256" s="303"/>
      <c r="AB256" s="313">
        <v>0</v>
      </c>
      <c r="AC256" s="313">
        <v>0</v>
      </c>
      <c r="AD256" s="303"/>
      <c r="AE256" s="313">
        <v>0</v>
      </c>
      <c r="AF256" s="313">
        <v>0</v>
      </c>
      <c r="AG256" s="303"/>
      <c r="AH256" s="313">
        <v>0</v>
      </c>
      <c r="AI256" s="313">
        <v>0</v>
      </c>
      <c r="AJ256" s="188"/>
      <c r="AK256" s="313">
        <v>0</v>
      </c>
      <c r="AL256" s="313">
        <v>0</v>
      </c>
      <c r="AM256" s="303">
        <v>568.68439999999998</v>
      </c>
      <c r="AN256" s="313">
        <v>3.3256397660818712E-2</v>
      </c>
      <c r="AO256" s="313">
        <v>3.5006734379809168E-2</v>
      </c>
      <c r="AP256" s="313"/>
      <c r="AQ256" s="303">
        <v>568.68439999999998</v>
      </c>
      <c r="AR256" s="313">
        <v>3.3256397660818712E-2</v>
      </c>
      <c r="AS256" s="313">
        <v>3.5006734379809168E-2</v>
      </c>
      <c r="AT256" s="303">
        <v>848</v>
      </c>
      <c r="AU256" s="313">
        <v>4.9590643274853803E-2</v>
      </c>
      <c r="AV256" s="313">
        <v>5.2200677131425052E-2</v>
      </c>
      <c r="AW256" s="313"/>
      <c r="AX256" s="313"/>
      <c r="AY256" s="313"/>
      <c r="AZ256" s="313"/>
      <c r="BA256" s="313"/>
      <c r="BB256" s="313"/>
      <c r="BC256" s="303">
        <v>848</v>
      </c>
      <c r="BD256" s="313">
        <v>4.9590643274853803E-2</v>
      </c>
      <c r="BE256" s="313">
        <v>5.2200677131425052E-2</v>
      </c>
      <c r="BF256" s="303"/>
      <c r="BG256" s="303">
        <v>10396.862999999999</v>
      </c>
      <c r="BH256" s="313">
        <v>0.60800368421052631</v>
      </c>
      <c r="BI256" s="313">
        <v>0.64000387811634341</v>
      </c>
      <c r="BJ256" s="303">
        <f t="shared" si="190"/>
        <v>16245</v>
      </c>
      <c r="BK256" s="303">
        <v>10396.862999999999</v>
      </c>
      <c r="BL256" s="313">
        <f t="shared" si="227"/>
        <v>0.60800368421052631</v>
      </c>
      <c r="BM256" s="313">
        <f t="shared" si="194"/>
        <v>0.64000387811634341</v>
      </c>
      <c r="BN256" s="205">
        <f t="shared" si="183"/>
        <v>10396.862999999999</v>
      </c>
      <c r="BO256" s="205"/>
      <c r="BP256" s="310"/>
      <c r="BQ256" s="311">
        <f t="shared" si="195"/>
        <v>0</v>
      </c>
      <c r="BR256" s="310"/>
      <c r="BS256" s="311">
        <f t="shared" si="228"/>
        <v>0</v>
      </c>
      <c r="BT256" s="310"/>
      <c r="BU256" s="308">
        <f t="shared" si="249"/>
        <v>0</v>
      </c>
      <c r="BV256" s="310"/>
      <c r="BW256" s="311">
        <f t="shared" si="249"/>
        <v>0</v>
      </c>
      <c r="BX256" s="310"/>
      <c r="BY256" s="311">
        <f t="shared" si="231"/>
        <v>0</v>
      </c>
      <c r="BZ256" s="310">
        <v>3000</v>
      </c>
      <c r="CA256" s="311">
        <f t="shared" si="232"/>
        <v>0.17543859649122806</v>
      </c>
      <c r="CB256" s="310">
        <v>3000</v>
      </c>
      <c r="CC256" s="311">
        <f t="shared" si="233"/>
        <v>0.17543859649122806</v>
      </c>
      <c r="CD256" s="310">
        <v>3000</v>
      </c>
      <c r="CE256" s="311">
        <f t="shared" si="234"/>
        <v>0.17543859649122806</v>
      </c>
      <c r="CF256" s="310">
        <v>3000</v>
      </c>
      <c r="CG256" s="311">
        <f t="shared" si="235"/>
        <v>0.17543859649122806</v>
      </c>
      <c r="CH256" s="310">
        <v>3000</v>
      </c>
      <c r="CI256" s="311">
        <f t="shared" si="236"/>
        <v>0.17543859649122806</v>
      </c>
      <c r="CJ256" s="310">
        <v>5000</v>
      </c>
      <c r="CK256" s="311">
        <f t="shared" si="237"/>
        <v>0.29239766081871343</v>
      </c>
      <c r="CL256" s="310">
        <v>5245</v>
      </c>
      <c r="CM256" s="311">
        <f t="shared" si="238"/>
        <v>0.3067251461988304</v>
      </c>
      <c r="CN256" s="310">
        <v>16245</v>
      </c>
      <c r="CO256" s="311">
        <f t="shared" si="239"/>
        <v>0.95</v>
      </c>
      <c r="CP256" s="213" t="str">
        <f t="shared" si="196"/>
        <v>Đạt</v>
      </c>
      <c r="CQ256" s="213" t="str">
        <f t="shared" si="197"/>
        <v>Đạt</v>
      </c>
      <c r="CR256" s="312"/>
      <c r="CS256" s="312"/>
      <c r="CT256" s="235"/>
      <c r="CU256" s="163"/>
      <c r="CW256" s="195"/>
      <c r="CX256" s="196"/>
      <c r="CY256" s="196"/>
      <c r="CZ256" s="197"/>
      <c r="DA256" s="196"/>
      <c r="DB256" s="196"/>
      <c r="DC256" s="196"/>
      <c r="DE256" s="199"/>
      <c r="DF256" s="200"/>
      <c r="DG256" s="181"/>
    </row>
    <row r="257" spans="1:111" ht="18" customHeight="1" x14ac:dyDescent="0.25">
      <c r="A257" s="213">
        <f>MAX(A$243:A255)+1</f>
        <v>5</v>
      </c>
      <c r="B257" s="240" t="s">
        <v>383</v>
      </c>
      <c r="C257" s="240"/>
      <c r="D257" s="188">
        <f t="shared" ref="D257:I257" si="254">D258+D260+D261</f>
        <v>105740</v>
      </c>
      <c r="E257" s="188">
        <f t="shared" si="254"/>
        <v>0</v>
      </c>
      <c r="F257" s="188">
        <f t="shared" si="254"/>
        <v>105740</v>
      </c>
      <c r="G257" s="188">
        <f t="shared" si="254"/>
        <v>3000</v>
      </c>
      <c r="H257" s="188">
        <f t="shared" si="254"/>
        <v>102740</v>
      </c>
      <c r="I257" s="188">
        <f t="shared" si="254"/>
        <v>0</v>
      </c>
      <c r="J257" s="188"/>
      <c r="K257" s="188">
        <f>K258+K260+K261</f>
        <v>0</v>
      </c>
      <c r="L257" s="188">
        <f>L258+L260+L261</f>
        <v>0</v>
      </c>
      <c r="M257" s="188">
        <f>M258+M260+M261</f>
        <v>0</v>
      </c>
      <c r="N257" s="188">
        <f>N258+N260+N261</f>
        <v>0</v>
      </c>
      <c r="O257" s="188">
        <f>O258+O260+O261</f>
        <v>3000</v>
      </c>
      <c r="P257" s="188">
        <v>0</v>
      </c>
      <c r="Q257" s="186">
        <f t="shared" si="189"/>
        <v>0</v>
      </c>
      <c r="R257" s="188">
        <v>0</v>
      </c>
      <c r="S257" s="185">
        <v>0</v>
      </c>
      <c r="T257" s="185">
        <v>0</v>
      </c>
      <c r="U257" s="188">
        <v>0</v>
      </c>
      <c r="V257" s="185">
        <v>0</v>
      </c>
      <c r="W257" s="185">
        <v>0</v>
      </c>
      <c r="X257" s="188">
        <v>0</v>
      </c>
      <c r="Y257" s="185">
        <v>0</v>
      </c>
      <c r="Z257" s="185">
        <v>0</v>
      </c>
      <c r="AA257" s="188">
        <v>0</v>
      </c>
      <c r="AB257" s="185">
        <v>0</v>
      </c>
      <c r="AC257" s="185">
        <v>0</v>
      </c>
      <c r="AD257" s="188">
        <v>0</v>
      </c>
      <c r="AE257" s="185">
        <v>0</v>
      </c>
      <c r="AF257" s="185">
        <v>0</v>
      </c>
      <c r="AG257" s="188">
        <v>0</v>
      </c>
      <c r="AH257" s="185">
        <v>0</v>
      </c>
      <c r="AI257" s="185">
        <v>0</v>
      </c>
      <c r="AJ257" s="317">
        <v>0</v>
      </c>
      <c r="AK257" s="185">
        <v>0</v>
      </c>
      <c r="AL257" s="185">
        <v>0</v>
      </c>
      <c r="AM257" s="314">
        <v>0</v>
      </c>
      <c r="AN257" s="185">
        <v>0</v>
      </c>
      <c r="AO257" s="185">
        <v>0</v>
      </c>
      <c r="AP257" s="185"/>
      <c r="AQ257" s="188">
        <v>0</v>
      </c>
      <c r="AR257" s="185">
        <v>0</v>
      </c>
      <c r="AS257" s="185">
        <v>0</v>
      </c>
      <c r="AT257" s="188">
        <v>0</v>
      </c>
      <c r="AU257" s="185">
        <v>0</v>
      </c>
      <c r="AV257" s="185">
        <v>0</v>
      </c>
      <c r="AW257" s="185"/>
      <c r="AX257" s="185"/>
      <c r="AY257" s="185"/>
      <c r="AZ257" s="185"/>
      <c r="BA257" s="185"/>
      <c r="BB257" s="185"/>
      <c r="BC257" s="188">
        <v>0</v>
      </c>
      <c r="BD257" s="185">
        <v>0</v>
      </c>
      <c r="BE257" s="185">
        <v>0</v>
      </c>
      <c r="BF257" s="188"/>
      <c r="BG257" s="188">
        <v>1435</v>
      </c>
      <c r="BH257" s="185">
        <v>1.357102326461131E-2</v>
      </c>
      <c r="BI257" s="185">
        <v>1.4285287646959275E-2</v>
      </c>
      <c r="BJ257" s="188">
        <f t="shared" si="190"/>
        <v>100453</v>
      </c>
      <c r="BK257" s="188">
        <v>1471</v>
      </c>
      <c r="BL257" s="185">
        <f t="shared" si="227"/>
        <v>1.3911480991110271E-2</v>
      </c>
      <c r="BM257" s="185">
        <f t="shared" si="194"/>
        <v>1.4643664201168706E-2</v>
      </c>
      <c r="BN257" s="205">
        <f t="shared" si="183"/>
        <v>1471</v>
      </c>
      <c r="BO257" s="205"/>
      <c r="BP257" s="189">
        <f>BP258+BP260+BP261</f>
        <v>0</v>
      </c>
      <c r="BQ257" s="186">
        <f t="shared" si="195"/>
        <v>0</v>
      </c>
      <c r="BR257" s="189">
        <f>BR258+BR260+BR261</f>
        <v>0</v>
      </c>
      <c r="BS257" s="186">
        <f t="shared" si="228"/>
        <v>0</v>
      </c>
      <c r="BT257" s="189">
        <f>BT258+BT260+BT261</f>
        <v>10574</v>
      </c>
      <c r="BU257" s="186">
        <f t="shared" si="249"/>
        <v>0.1</v>
      </c>
      <c r="BV257" s="189">
        <f>BV258+BV260+BV261</f>
        <v>21148</v>
      </c>
      <c r="BW257" s="186">
        <f t="shared" si="249"/>
        <v>0.2</v>
      </c>
      <c r="BX257" s="189">
        <f>BX258+BX260+BX261</f>
        <v>31722</v>
      </c>
      <c r="BY257" s="186">
        <f t="shared" si="231"/>
        <v>0.3</v>
      </c>
      <c r="BZ257" s="189">
        <f>BZ258+BZ260+BZ261</f>
        <v>42296</v>
      </c>
      <c r="CA257" s="186">
        <f t="shared" si="232"/>
        <v>0.4</v>
      </c>
      <c r="CB257" s="189">
        <f>CB258+CB260+CB261</f>
        <v>52870</v>
      </c>
      <c r="CC257" s="186">
        <f t="shared" si="233"/>
        <v>0.5</v>
      </c>
      <c r="CD257" s="189">
        <f>CD258+CD260+CD261</f>
        <v>58157.000000000007</v>
      </c>
      <c r="CE257" s="186">
        <f t="shared" si="234"/>
        <v>0.55000000000000004</v>
      </c>
      <c r="CF257" s="189">
        <f>CF258+CF260+CF261</f>
        <v>63514</v>
      </c>
      <c r="CG257" s="186">
        <f t="shared" si="235"/>
        <v>0.60066200113485912</v>
      </c>
      <c r="CH257" s="189">
        <f>CH258+CH260+CH261</f>
        <v>74018</v>
      </c>
      <c r="CI257" s="186">
        <f t="shared" si="236"/>
        <v>0.7</v>
      </c>
      <c r="CJ257" s="189">
        <f>CJ258+CJ260+CJ261</f>
        <v>79305</v>
      </c>
      <c r="CK257" s="186">
        <f t="shared" si="237"/>
        <v>0.75</v>
      </c>
      <c r="CL257" s="189">
        <f>CL258+CL260+CL261</f>
        <v>79305</v>
      </c>
      <c r="CM257" s="186">
        <f t="shared" si="238"/>
        <v>0.75</v>
      </c>
      <c r="CN257" s="189">
        <f>CN258+CN260+CN261</f>
        <v>100453</v>
      </c>
      <c r="CO257" s="186">
        <f t="shared" si="239"/>
        <v>0.95</v>
      </c>
      <c r="CP257" s="213" t="str">
        <f t="shared" si="196"/>
        <v>Không đạt</v>
      </c>
      <c r="CQ257" s="213" t="str">
        <f t="shared" si="197"/>
        <v>Không đạt</v>
      </c>
      <c r="CR257" s="213"/>
      <c r="CS257" s="213"/>
      <c r="CT257" s="231"/>
      <c r="CU257" s="163"/>
      <c r="CW257" s="195"/>
      <c r="CX257" s="196"/>
      <c r="CY257" s="196"/>
      <c r="CZ257" s="197"/>
      <c r="DA257" s="196"/>
      <c r="DB257" s="196"/>
      <c r="DC257" s="196"/>
      <c r="DE257" s="199"/>
      <c r="DF257" s="200"/>
      <c r="DG257" s="181"/>
    </row>
    <row r="258" spans="1:111" s="324" customFormat="1" ht="30" customHeight="1" outlineLevel="1" x14ac:dyDescent="0.25">
      <c r="A258" s="305" t="s">
        <v>34</v>
      </c>
      <c r="B258" s="318" t="s">
        <v>381</v>
      </c>
      <c r="C258" s="306"/>
      <c r="D258" s="317">
        <f t="shared" ref="D258:I258" si="255">D259</f>
        <v>700</v>
      </c>
      <c r="E258" s="317">
        <f t="shared" si="255"/>
        <v>0</v>
      </c>
      <c r="F258" s="317">
        <f t="shared" si="255"/>
        <v>700</v>
      </c>
      <c r="G258" s="317">
        <f t="shared" si="255"/>
        <v>0</v>
      </c>
      <c r="H258" s="317">
        <f t="shared" si="255"/>
        <v>700</v>
      </c>
      <c r="I258" s="214">
        <f t="shared" si="255"/>
        <v>0</v>
      </c>
      <c r="J258" s="214"/>
      <c r="K258" s="317">
        <f>K259</f>
        <v>0</v>
      </c>
      <c r="L258" s="214">
        <f>L259</f>
        <v>0</v>
      </c>
      <c r="M258" s="223"/>
      <c r="N258" s="223"/>
      <c r="O258" s="317">
        <f t="shared" si="251"/>
        <v>0</v>
      </c>
      <c r="P258" s="317">
        <v>0</v>
      </c>
      <c r="Q258" s="319">
        <f t="shared" si="189"/>
        <v>0</v>
      </c>
      <c r="R258" s="317">
        <v>0</v>
      </c>
      <c r="S258" s="187">
        <v>0</v>
      </c>
      <c r="T258" s="187">
        <v>0</v>
      </c>
      <c r="U258" s="317">
        <v>0</v>
      </c>
      <c r="V258" s="187">
        <v>0</v>
      </c>
      <c r="W258" s="187">
        <v>0</v>
      </c>
      <c r="X258" s="317">
        <v>0</v>
      </c>
      <c r="Y258" s="187">
        <v>0</v>
      </c>
      <c r="Z258" s="187">
        <v>0</v>
      </c>
      <c r="AA258" s="317">
        <v>0</v>
      </c>
      <c r="AB258" s="187">
        <v>0</v>
      </c>
      <c r="AC258" s="187">
        <v>0</v>
      </c>
      <c r="AD258" s="317">
        <v>0</v>
      </c>
      <c r="AE258" s="187">
        <v>0</v>
      </c>
      <c r="AF258" s="187">
        <v>0</v>
      </c>
      <c r="AG258" s="317">
        <v>0</v>
      </c>
      <c r="AH258" s="187">
        <v>0</v>
      </c>
      <c r="AI258" s="187">
        <v>0</v>
      </c>
      <c r="AJ258" s="223">
        <v>0</v>
      </c>
      <c r="AK258" s="187">
        <v>0</v>
      </c>
      <c r="AL258" s="187">
        <v>0</v>
      </c>
      <c r="AM258" s="317">
        <v>0</v>
      </c>
      <c r="AN258" s="187">
        <v>0</v>
      </c>
      <c r="AO258" s="187">
        <v>0</v>
      </c>
      <c r="AP258" s="187"/>
      <c r="AQ258" s="317">
        <v>0</v>
      </c>
      <c r="AR258" s="187">
        <v>0</v>
      </c>
      <c r="AS258" s="187">
        <v>0</v>
      </c>
      <c r="AT258" s="317">
        <v>0</v>
      </c>
      <c r="AU258" s="187">
        <v>0</v>
      </c>
      <c r="AV258" s="187">
        <v>0</v>
      </c>
      <c r="AW258" s="187"/>
      <c r="AX258" s="187"/>
      <c r="AY258" s="187"/>
      <c r="AZ258" s="187"/>
      <c r="BA258" s="187"/>
      <c r="BB258" s="187"/>
      <c r="BC258" s="317">
        <v>0</v>
      </c>
      <c r="BD258" s="187">
        <v>0</v>
      </c>
      <c r="BE258" s="187">
        <v>0</v>
      </c>
      <c r="BF258" s="317"/>
      <c r="BG258" s="317">
        <v>335</v>
      </c>
      <c r="BH258" s="187">
        <v>0.47857142857142859</v>
      </c>
      <c r="BI258" s="187">
        <v>0.50375939849624063</v>
      </c>
      <c r="BJ258" s="317">
        <f t="shared" si="190"/>
        <v>665</v>
      </c>
      <c r="BK258" s="317">
        <f>BK259</f>
        <v>335</v>
      </c>
      <c r="BL258" s="187">
        <f t="shared" si="227"/>
        <v>0.47857142857142859</v>
      </c>
      <c r="BM258" s="187">
        <f t="shared" si="194"/>
        <v>0.50375939849624063</v>
      </c>
      <c r="BN258" s="205">
        <f t="shared" si="183"/>
        <v>335</v>
      </c>
      <c r="BO258" s="205"/>
      <c r="BP258" s="307">
        <f>BP259</f>
        <v>0</v>
      </c>
      <c r="BQ258" s="319">
        <f t="shared" si="195"/>
        <v>0</v>
      </c>
      <c r="BR258" s="307">
        <f>BR259</f>
        <v>0</v>
      </c>
      <c r="BS258" s="319">
        <f t="shared" si="228"/>
        <v>0</v>
      </c>
      <c r="BT258" s="307">
        <f>BT259</f>
        <v>70</v>
      </c>
      <c r="BU258" s="319">
        <f t="shared" si="249"/>
        <v>0.1</v>
      </c>
      <c r="BV258" s="307">
        <f>BV259</f>
        <v>140</v>
      </c>
      <c r="BW258" s="319">
        <f t="shared" si="249"/>
        <v>0.2</v>
      </c>
      <c r="BX258" s="307">
        <f>BX259</f>
        <v>210</v>
      </c>
      <c r="BY258" s="319">
        <f t="shared" si="231"/>
        <v>0.3</v>
      </c>
      <c r="BZ258" s="307">
        <f>BZ259</f>
        <v>280</v>
      </c>
      <c r="CA258" s="319">
        <f t="shared" si="232"/>
        <v>0.4</v>
      </c>
      <c r="CB258" s="307">
        <f>CB259</f>
        <v>350</v>
      </c>
      <c r="CC258" s="319">
        <f t="shared" si="233"/>
        <v>0.5</v>
      </c>
      <c r="CD258" s="307">
        <f>CD259</f>
        <v>385.00000000000006</v>
      </c>
      <c r="CE258" s="319">
        <f t="shared" si="234"/>
        <v>0.55000000000000004</v>
      </c>
      <c r="CF258" s="307">
        <v>489.99999999999994</v>
      </c>
      <c r="CG258" s="319">
        <f t="shared" si="235"/>
        <v>0.7</v>
      </c>
      <c r="CH258" s="307">
        <f>CH259</f>
        <v>489.99999999999994</v>
      </c>
      <c r="CI258" s="319">
        <f t="shared" si="236"/>
        <v>0.7</v>
      </c>
      <c r="CJ258" s="307">
        <f>CJ259</f>
        <v>525</v>
      </c>
      <c r="CK258" s="319">
        <f t="shared" si="237"/>
        <v>0.75</v>
      </c>
      <c r="CL258" s="307">
        <f>CL259</f>
        <v>525</v>
      </c>
      <c r="CM258" s="319">
        <f t="shared" si="238"/>
        <v>0.75</v>
      </c>
      <c r="CN258" s="307">
        <f>CN259</f>
        <v>665</v>
      </c>
      <c r="CO258" s="319">
        <f t="shared" si="239"/>
        <v>0.95</v>
      </c>
      <c r="CP258" s="213" t="str">
        <f t="shared" si="196"/>
        <v>Đạt</v>
      </c>
      <c r="CQ258" s="213" t="str">
        <f t="shared" si="197"/>
        <v>Đạt</v>
      </c>
      <c r="CR258" s="312"/>
      <c r="CS258" s="312"/>
      <c r="CT258" s="235"/>
      <c r="CU258" s="163"/>
      <c r="CV258" s="323"/>
      <c r="CW258" s="195"/>
      <c r="CX258" s="196"/>
      <c r="CY258" s="196"/>
      <c r="CZ258" s="197"/>
      <c r="DA258" s="196"/>
      <c r="DB258" s="196"/>
      <c r="DC258" s="196"/>
      <c r="DE258" s="199"/>
      <c r="DF258" s="200"/>
      <c r="DG258" s="181"/>
    </row>
    <row r="259" spans="1:111" ht="38.25" outlineLevel="1" x14ac:dyDescent="0.25">
      <c r="A259" s="192"/>
      <c r="B259" s="325" t="s">
        <v>384</v>
      </c>
      <c r="C259" s="325"/>
      <c r="D259" s="214">
        <f t="shared" si="247"/>
        <v>700</v>
      </c>
      <c r="E259" s="215"/>
      <c r="F259" s="214">
        <f>G259+H259+K259+M259</f>
        <v>700</v>
      </c>
      <c r="G259" s="223"/>
      <c r="H259" s="223">
        <v>700</v>
      </c>
      <c r="I259" s="235"/>
      <c r="J259" s="235"/>
      <c r="K259" s="223"/>
      <c r="L259" s="235"/>
      <c r="M259" s="223"/>
      <c r="N259" s="223"/>
      <c r="O259" s="223">
        <f t="shared" si="251"/>
        <v>0</v>
      </c>
      <c r="P259" s="223">
        <v>0</v>
      </c>
      <c r="Q259" s="224">
        <f t="shared" si="189"/>
        <v>0</v>
      </c>
      <c r="R259" s="223"/>
      <c r="S259" s="225">
        <v>0</v>
      </c>
      <c r="T259" s="225">
        <v>0</v>
      </c>
      <c r="U259" s="223"/>
      <c r="V259" s="225">
        <v>0</v>
      </c>
      <c r="W259" s="225">
        <v>0</v>
      </c>
      <c r="X259" s="223"/>
      <c r="Y259" s="225">
        <v>0</v>
      </c>
      <c r="Z259" s="225">
        <v>0</v>
      </c>
      <c r="AA259" s="223"/>
      <c r="AB259" s="225">
        <v>0</v>
      </c>
      <c r="AC259" s="225">
        <v>0</v>
      </c>
      <c r="AD259" s="223"/>
      <c r="AE259" s="225">
        <v>0</v>
      </c>
      <c r="AF259" s="225">
        <v>0</v>
      </c>
      <c r="AG259" s="223"/>
      <c r="AH259" s="225">
        <v>0</v>
      </c>
      <c r="AI259" s="225">
        <v>0</v>
      </c>
      <c r="AJ259" s="303"/>
      <c r="AK259" s="225">
        <v>0</v>
      </c>
      <c r="AL259" s="225">
        <v>0</v>
      </c>
      <c r="AM259" s="223"/>
      <c r="AN259" s="225">
        <v>0</v>
      </c>
      <c r="AO259" s="225">
        <v>0</v>
      </c>
      <c r="AP259" s="225"/>
      <c r="AQ259" s="223"/>
      <c r="AR259" s="225">
        <v>0</v>
      </c>
      <c r="AS259" s="225">
        <v>0</v>
      </c>
      <c r="AT259" s="223"/>
      <c r="AU259" s="225">
        <v>0</v>
      </c>
      <c r="AV259" s="225">
        <v>0</v>
      </c>
      <c r="AW259" s="225"/>
      <c r="AX259" s="225"/>
      <c r="AY259" s="225"/>
      <c r="AZ259" s="225"/>
      <c r="BA259" s="225"/>
      <c r="BB259" s="225"/>
      <c r="BC259" s="223"/>
      <c r="BD259" s="225">
        <v>0</v>
      </c>
      <c r="BE259" s="225">
        <v>0</v>
      </c>
      <c r="BF259" s="223">
        <v>335</v>
      </c>
      <c r="BG259" s="223">
        <v>335</v>
      </c>
      <c r="BH259" s="225">
        <v>0.47857142857142859</v>
      </c>
      <c r="BI259" s="225">
        <v>0.50375939849624063</v>
      </c>
      <c r="BJ259" s="223">
        <f t="shared" si="190"/>
        <v>665</v>
      </c>
      <c r="BK259" s="223">
        <v>335</v>
      </c>
      <c r="BL259" s="225">
        <f t="shared" si="227"/>
        <v>0.47857142857142859</v>
      </c>
      <c r="BM259" s="225">
        <f t="shared" si="194"/>
        <v>0.50375939849624063</v>
      </c>
      <c r="BN259" s="205">
        <f t="shared" si="183"/>
        <v>335</v>
      </c>
      <c r="BO259" s="205"/>
      <c r="BP259" s="227"/>
      <c r="BQ259" s="224">
        <f t="shared" si="195"/>
        <v>0</v>
      </c>
      <c r="BR259" s="227"/>
      <c r="BS259" s="224">
        <f t="shared" si="228"/>
        <v>0</v>
      </c>
      <c r="BT259" s="227">
        <f>$F259*0.1</f>
        <v>70</v>
      </c>
      <c r="BU259" s="224">
        <f t="shared" si="249"/>
        <v>0.1</v>
      </c>
      <c r="BV259" s="227">
        <f>$F259*0.2</f>
        <v>140</v>
      </c>
      <c r="BW259" s="308">
        <f t="shared" si="249"/>
        <v>0.2</v>
      </c>
      <c r="BX259" s="227">
        <f>$F259*0.3</f>
        <v>210</v>
      </c>
      <c r="BY259" s="308">
        <f t="shared" si="231"/>
        <v>0.3</v>
      </c>
      <c r="BZ259" s="227">
        <f>$F259*0.4</f>
        <v>280</v>
      </c>
      <c r="CA259" s="308">
        <f t="shared" si="232"/>
        <v>0.4</v>
      </c>
      <c r="CB259" s="227">
        <f>$F259*0.5</f>
        <v>350</v>
      </c>
      <c r="CC259" s="308">
        <f t="shared" si="233"/>
        <v>0.5</v>
      </c>
      <c r="CD259" s="227">
        <f>$F259*0.55</f>
        <v>385.00000000000006</v>
      </c>
      <c r="CE259" s="308">
        <f t="shared" si="234"/>
        <v>0.55000000000000004</v>
      </c>
      <c r="CF259" s="227">
        <v>489.99999999999994</v>
      </c>
      <c r="CG259" s="308">
        <f t="shared" si="235"/>
        <v>0.7</v>
      </c>
      <c r="CH259" s="227">
        <f>$F259*0.7</f>
        <v>489.99999999999994</v>
      </c>
      <c r="CI259" s="308">
        <f t="shared" si="236"/>
        <v>0.7</v>
      </c>
      <c r="CJ259" s="227">
        <f>$F259*0.75</f>
        <v>525</v>
      </c>
      <c r="CK259" s="308">
        <f t="shared" si="237"/>
        <v>0.75</v>
      </c>
      <c r="CL259" s="227">
        <f>$F259*0.75</f>
        <v>525</v>
      </c>
      <c r="CM259" s="308">
        <f t="shared" si="238"/>
        <v>0.75</v>
      </c>
      <c r="CN259" s="227">
        <f>$F259*0.95</f>
        <v>665</v>
      </c>
      <c r="CO259" s="308">
        <f t="shared" si="239"/>
        <v>0.95</v>
      </c>
      <c r="CP259" s="213" t="str">
        <f t="shared" si="196"/>
        <v>Đạt</v>
      </c>
      <c r="CQ259" s="213" t="str">
        <f t="shared" si="197"/>
        <v>Đạt</v>
      </c>
      <c r="CR259" s="312"/>
      <c r="CS259" s="312"/>
      <c r="CT259" s="235"/>
      <c r="CU259" s="163"/>
      <c r="CW259" s="195"/>
      <c r="CX259" s="196"/>
      <c r="CY259" s="196"/>
      <c r="CZ259" s="197"/>
      <c r="DA259" s="196"/>
      <c r="DB259" s="196"/>
      <c r="DC259" s="196"/>
      <c r="DE259" s="199"/>
      <c r="DF259" s="200"/>
      <c r="DG259" s="181"/>
    </row>
    <row r="260" spans="1:111" s="324" customFormat="1" outlineLevel="1" x14ac:dyDescent="0.25">
      <c r="A260" s="305" t="s">
        <v>34</v>
      </c>
      <c r="B260" s="318" t="s">
        <v>376</v>
      </c>
      <c r="C260" s="306"/>
      <c r="D260" s="307">
        <f t="shared" si="247"/>
        <v>3000</v>
      </c>
      <c r="E260" s="307"/>
      <c r="F260" s="307">
        <f>G260+H260+K260+M260</f>
        <v>3000</v>
      </c>
      <c r="G260" s="303">
        <v>3000</v>
      </c>
      <c r="H260" s="303"/>
      <c r="I260" s="235"/>
      <c r="J260" s="235"/>
      <c r="K260" s="303"/>
      <c r="L260" s="235"/>
      <c r="M260" s="223"/>
      <c r="N260" s="223"/>
      <c r="O260" s="303">
        <f t="shared" si="251"/>
        <v>3000</v>
      </c>
      <c r="P260" s="303">
        <v>0</v>
      </c>
      <c r="Q260" s="308">
        <f t="shared" si="189"/>
        <v>0</v>
      </c>
      <c r="R260" s="303"/>
      <c r="S260" s="309">
        <v>0</v>
      </c>
      <c r="T260" s="309">
        <v>0</v>
      </c>
      <c r="U260" s="303"/>
      <c r="V260" s="309">
        <v>0</v>
      </c>
      <c r="W260" s="309">
        <v>0</v>
      </c>
      <c r="X260" s="303"/>
      <c r="Y260" s="309">
        <v>0</v>
      </c>
      <c r="Z260" s="309">
        <v>0</v>
      </c>
      <c r="AA260" s="303"/>
      <c r="AB260" s="309">
        <v>0</v>
      </c>
      <c r="AC260" s="309">
        <v>0</v>
      </c>
      <c r="AD260" s="303"/>
      <c r="AE260" s="309">
        <v>0</v>
      </c>
      <c r="AF260" s="309">
        <v>0</v>
      </c>
      <c r="AG260" s="303"/>
      <c r="AH260" s="309">
        <v>0</v>
      </c>
      <c r="AI260" s="309">
        <v>0</v>
      </c>
      <c r="AJ260" s="303"/>
      <c r="AK260" s="309">
        <v>0</v>
      </c>
      <c r="AL260" s="309">
        <v>0</v>
      </c>
      <c r="AM260" s="303"/>
      <c r="AN260" s="309">
        <v>0</v>
      </c>
      <c r="AO260" s="309">
        <v>0</v>
      </c>
      <c r="AP260" s="309"/>
      <c r="AQ260" s="303"/>
      <c r="AR260" s="309">
        <v>0</v>
      </c>
      <c r="AS260" s="309">
        <v>0</v>
      </c>
      <c r="AT260" s="303"/>
      <c r="AU260" s="309">
        <v>0</v>
      </c>
      <c r="AV260" s="309">
        <v>0</v>
      </c>
      <c r="AW260" s="309"/>
      <c r="AX260" s="309"/>
      <c r="AY260" s="309"/>
      <c r="AZ260" s="309"/>
      <c r="BA260" s="309"/>
      <c r="BB260" s="309"/>
      <c r="BC260" s="303"/>
      <c r="BD260" s="309">
        <v>0</v>
      </c>
      <c r="BE260" s="309">
        <v>0</v>
      </c>
      <c r="BF260" s="303"/>
      <c r="BG260" s="303">
        <v>1100</v>
      </c>
      <c r="BH260" s="309">
        <v>0.36666666666666664</v>
      </c>
      <c r="BI260" s="309">
        <v>0.38596491228070173</v>
      </c>
      <c r="BJ260" s="303">
        <f t="shared" si="190"/>
        <v>2850</v>
      </c>
      <c r="BK260" s="303">
        <v>1100</v>
      </c>
      <c r="BL260" s="309">
        <f t="shared" si="227"/>
        <v>0.36666666666666664</v>
      </c>
      <c r="BM260" s="309">
        <f t="shared" si="194"/>
        <v>0.38596491228070173</v>
      </c>
      <c r="BN260" s="205">
        <f t="shared" si="183"/>
        <v>1100</v>
      </c>
      <c r="BO260" s="205"/>
      <c r="BP260" s="310"/>
      <c r="BQ260" s="308">
        <f t="shared" si="195"/>
        <v>0</v>
      </c>
      <c r="BR260" s="310"/>
      <c r="BS260" s="308">
        <f t="shared" si="228"/>
        <v>0</v>
      </c>
      <c r="BT260" s="310">
        <f>$F260*0.1</f>
        <v>300</v>
      </c>
      <c r="BU260" s="308">
        <f t="shared" si="249"/>
        <v>0.1</v>
      </c>
      <c r="BV260" s="310">
        <f>$F260*0.2</f>
        <v>600</v>
      </c>
      <c r="BW260" s="308">
        <f t="shared" si="249"/>
        <v>0.2</v>
      </c>
      <c r="BX260" s="310">
        <f>$F260*0.3</f>
        <v>900</v>
      </c>
      <c r="BY260" s="308">
        <f t="shared" si="231"/>
        <v>0.3</v>
      </c>
      <c r="BZ260" s="310">
        <f>$F260*0.4</f>
        <v>1200</v>
      </c>
      <c r="CA260" s="308">
        <f t="shared" si="232"/>
        <v>0.4</v>
      </c>
      <c r="CB260" s="310">
        <f>$F260*0.5</f>
        <v>1500</v>
      </c>
      <c r="CC260" s="308">
        <f t="shared" si="233"/>
        <v>0.5</v>
      </c>
      <c r="CD260" s="310">
        <f>$F260*0.55</f>
        <v>1650.0000000000002</v>
      </c>
      <c r="CE260" s="308">
        <f t="shared" si="234"/>
        <v>0.55000000000000004</v>
      </c>
      <c r="CF260" s="310">
        <f>$F260*0.6</f>
        <v>1800</v>
      </c>
      <c r="CG260" s="308">
        <f t="shared" si="235"/>
        <v>0.6</v>
      </c>
      <c r="CH260" s="310">
        <f>$F260*0.7</f>
        <v>2100</v>
      </c>
      <c r="CI260" s="308">
        <f t="shared" si="236"/>
        <v>0.7</v>
      </c>
      <c r="CJ260" s="310">
        <f>$F260*0.75</f>
        <v>2250</v>
      </c>
      <c r="CK260" s="308">
        <f t="shared" si="237"/>
        <v>0.75</v>
      </c>
      <c r="CL260" s="310">
        <f>$F260*0.75</f>
        <v>2250</v>
      </c>
      <c r="CM260" s="308">
        <f t="shared" si="238"/>
        <v>0.75</v>
      </c>
      <c r="CN260" s="310">
        <f>$F260*0.95</f>
        <v>2850</v>
      </c>
      <c r="CO260" s="308">
        <f t="shared" si="239"/>
        <v>0.95</v>
      </c>
      <c r="CP260" s="213" t="str">
        <f t="shared" si="196"/>
        <v>Đạt</v>
      </c>
      <c r="CQ260" s="213" t="str">
        <f t="shared" si="197"/>
        <v>Không đạt</v>
      </c>
      <c r="CR260" s="312"/>
      <c r="CS260" s="312"/>
      <c r="CT260" s="235"/>
      <c r="CU260" s="163"/>
      <c r="CV260" s="323"/>
      <c r="CW260" s="195"/>
      <c r="CX260" s="196"/>
      <c r="CY260" s="196"/>
      <c r="CZ260" s="197"/>
      <c r="DA260" s="196"/>
      <c r="DB260" s="196"/>
      <c r="DC260" s="196"/>
      <c r="DE260" s="199"/>
      <c r="DF260" s="200"/>
      <c r="DG260" s="181"/>
    </row>
    <row r="261" spans="1:111" ht="25.5" outlineLevel="1" x14ac:dyDescent="0.25">
      <c r="A261" s="305" t="s">
        <v>34</v>
      </c>
      <c r="B261" s="306" t="s">
        <v>377</v>
      </c>
      <c r="C261" s="306"/>
      <c r="D261" s="307">
        <f t="shared" si="247"/>
        <v>102040</v>
      </c>
      <c r="E261" s="307"/>
      <c r="F261" s="307">
        <f>G261+H261+K261+M261</f>
        <v>102040</v>
      </c>
      <c r="G261" s="307"/>
      <c r="H261" s="307">
        <v>102040</v>
      </c>
      <c r="I261" s="235"/>
      <c r="J261" s="235"/>
      <c r="K261" s="303"/>
      <c r="L261" s="235"/>
      <c r="M261" s="223"/>
      <c r="N261" s="223"/>
      <c r="O261" s="303"/>
      <c r="P261" s="303">
        <v>0</v>
      </c>
      <c r="Q261" s="308">
        <f t="shared" si="189"/>
        <v>0</v>
      </c>
      <c r="R261" s="303"/>
      <c r="S261" s="309">
        <v>0</v>
      </c>
      <c r="T261" s="309">
        <v>0</v>
      </c>
      <c r="U261" s="303"/>
      <c r="V261" s="309">
        <v>0</v>
      </c>
      <c r="W261" s="309">
        <v>0</v>
      </c>
      <c r="X261" s="303"/>
      <c r="Y261" s="309">
        <v>0</v>
      </c>
      <c r="Z261" s="309">
        <v>0</v>
      </c>
      <c r="AA261" s="303"/>
      <c r="AB261" s="309">
        <v>0</v>
      </c>
      <c r="AC261" s="309">
        <v>0</v>
      </c>
      <c r="AD261" s="303"/>
      <c r="AE261" s="309">
        <v>0</v>
      </c>
      <c r="AF261" s="309">
        <v>0</v>
      </c>
      <c r="AG261" s="303"/>
      <c r="AH261" s="309">
        <v>0</v>
      </c>
      <c r="AI261" s="309">
        <v>0</v>
      </c>
      <c r="AJ261" s="189"/>
      <c r="AK261" s="309">
        <v>0</v>
      </c>
      <c r="AL261" s="309">
        <v>0</v>
      </c>
      <c r="AM261" s="303"/>
      <c r="AN261" s="309">
        <v>0</v>
      </c>
      <c r="AO261" s="309">
        <v>0</v>
      </c>
      <c r="AP261" s="309"/>
      <c r="AQ261" s="303"/>
      <c r="AR261" s="309">
        <v>0</v>
      </c>
      <c r="AS261" s="309">
        <v>0</v>
      </c>
      <c r="AT261" s="303"/>
      <c r="AU261" s="309">
        <v>0</v>
      </c>
      <c r="AV261" s="309">
        <v>0</v>
      </c>
      <c r="AW261" s="309"/>
      <c r="AX261" s="309"/>
      <c r="AY261" s="309"/>
      <c r="AZ261" s="309"/>
      <c r="BA261" s="309"/>
      <c r="BB261" s="309"/>
      <c r="BC261" s="303"/>
      <c r="BD261" s="309">
        <v>0</v>
      </c>
      <c r="BE261" s="309">
        <v>0</v>
      </c>
      <c r="BF261" s="303"/>
      <c r="BG261" s="303"/>
      <c r="BH261" s="309">
        <v>0</v>
      </c>
      <c r="BI261" s="309">
        <v>0</v>
      </c>
      <c r="BJ261" s="303">
        <f t="shared" si="190"/>
        <v>96938</v>
      </c>
      <c r="BK261" s="303"/>
      <c r="BL261" s="309">
        <f t="shared" si="227"/>
        <v>0</v>
      </c>
      <c r="BM261" s="309">
        <f t="shared" si="194"/>
        <v>0</v>
      </c>
      <c r="BN261" s="205">
        <f t="shared" si="183"/>
        <v>0</v>
      </c>
      <c r="BO261" s="205"/>
      <c r="BP261" s="310"/>
      <c r="BQ261" s="308">
        <f t="shared" si="195"/>
        <v>0</v>
      </c>
      <c r="BR261" s="310"/>
      <c r="BS261" s="308">
        <f t="shared" si="228"/>
        <v>0</v>
      </c>
      <c r="BT261" s="310">
        <f>$F261*0.1</f>
        <v>10204</v>
      </c>
      <c r="BU261" s="308">
        <f>BT261/$D261</f>
        <v>0.1</v>
      </c>
      <c r="BV261" s="310">
        <f>$F261*0.2</f>
        <v>20408</v>
      </c>
      <c r="BW261" s="308">
        <f>BV261/$D261</f>
        <v>0.2</v>
      </c>
      <c r="BX261" s="310">
        <f>$F261*0.3</f>
        <v>30612</v>
      </c>
      <c r="BY261" s="308">
        <f t="shared" si="231"/>
        <v>0.3</v>
      </c>
      <c r="BZ261" s="310">
        <f>$F261*0.4</f>
        <v>40816</v>
      </c>
      <c r="CA261" s="308">
        <f t="shared" si="232"/>
        <v>0.4</v>
      </c>
      <c r="CB261" s="310">
        <f>$F261*0.5</f>
        <v>51020</v>
      </c>
      <c r="CC261" s="308">
        <f t="shared" si="233"/>
        <v>0.5</v>
      </c>
      <c r="CD261" s="310">
        <f>$F261*0.55</f>
        <v>56122.000000000007</v>
      </c>
      <c r="CE261" s="308">
        <f t="shared" si="234"/>
        <v>0.55000000000000004</v>
      </c>
      <c r="CF261" s="310">
        <f>$F261*0.6</f>
        <v>61224</v>
      </c>
      <c r="CG261" s="308">
        <f t="shared" si="235"/>
        <v>0.6</v>
      </c>
      <c r="CH261" s="310">
        <f>$F261*0.7</f>
        <v>71428</v>
      </c>
      <c r="CI261" s="308">
        <f t="shared" si="236"/>
        <v>0.7</v>
      </c>
      <c r="CJ261" s="310">
        <f>$F261*0.75</f>
        <v>76530</v>
      </c>
      <c r="CK261" s="308">
        <f t="shared" si="237"/>
        <v>0.75</v>
      </c>
      <c r="CL261" s="310">
        <f>$F261*0.75</f>
        <v>76530</v>
      </c>
      <c r="CM261" s="308">
        <f t="shared" si="238"/>
        <v>0.75</v>
      </c>
      <c r="CN261" s="310">
        <f>$F261*0.95</f>
        <v>96938</v>
      </c>
      <c r="CO261" s="308">
        <f t="shared" si="239"/>
        <v>0.95</v>
      </c>
      <c r="CP261" s="213" t="str">
        <f t="shared" si="196"/>
        <v>Không đạt</v>
      </c>
      <c r="CQ261" s="213" t="str">
        <f t="shared" si="197"/>
        <v>Không đạt</v>
      </c>
      <c r="CR261" s="312"/>
      <c r="CS261" s="312"/>
      <c r="CT261" s="235"/>
      <c r="CU261" s="163"/>
      <c r="CW261" s="195"/>
      <c r="CX261" s="196"/>
      <c r="CY261" s="196"/>
      <c r="CZ261" s="197"/>
      <c r="DA261" s="196"/>
      <c r="DB261" s="196"/>
      <c r="DC261" s="196"/>
      <c r="DE261" s="199"/>
      <c r="DF261" s="200"/>
      <c r="DG261" s="181"/>
    </row>
    <row r="262" spans="1:111" ht="18" customHeight="1" x14ac:dyDescent="0.25">
      <c r="A262" s="213">
        <f>MAX(A$243:A260)+1</f>
        <v>6</v>
      </c>
      <c r="B262" s="240" t="s">
        <v>385</v>
      </c>
      <c r="C262" s="240"/>
      <c r="D262" s="188">
        <f t="shared" ref="D262:I262" si="256">D263+D265</f>
        <v>143400.110506</v>
      </c>
      <c r="E262" s="188">
        <f t="shared" si="256"/>
        <v>66500.110505999997</v>
      </c>
      <c r="F262" s="188">
        <f t="shared" si="256"/>
        <v>76900</v>
      </c>
      <c r="G262" s="188">
        <f t="shared" si="256"/>
        <v>33000</v>
      </c>
      <c r="H262" s="188">
        <f t="shared" si="256"/>
        <v>43900</v>
      </c>
      <c r="I262" s="188">
        <f t="shared" si="256"/>
        <v>0</v>
      </c>
      <c r="J262" s="188"/>
      <c r="K262" s="188">
        <f>K263+K265</f>
        <v>0</v>
      </c>
      <c r="L262" s="188">
        <f>L263+L265</f>
        <v>0</v>
      </c>
      <c r="M262" s="188">
        <f>M263+M265</f>
        <v>0</v>
      </c>
      <c r="N262" s="188">
        <f>N263+N265</f>
        <v>0</v>
      </c>
      <c r="O262" s="188">
        <f>O263+O265</f>
        <v>33000</v>
      </c>
      <c r="P262" s="188">
        <v>2461</v>
      </c>
      <c r="Q262" s="186">
        <f t="shared" si="189"/>
        <v>1.7161771991082458E-2</v>
      </c>
      <c r="R262" s="189">
        <v>2736.32</v>
      </c>
      <c r="S262" s="185">
        <v>1.9081714723542767E-2</v>
      </c>
      <c r="T262" s="185">
        <v>1.9607451064161174E-2</v>
      </c>
      <c r="U262" s="189">
        <v>5175.192035</v>
      </c>
      <c r="V262" s="185">
        <v>3.6089177454179611E-2</v>
      </c>
      <c r="W262" s="185">
        <v>3.7083500677515494E-2</v>
      </c>
      <c r="X262" s="189">
        <v>8106.4310349999996</v>
      </c>
      <c r="Y262" s="185">
        <v>5.653015891267963E-2</v>
      </c>
      <c r="Z262" s="185">
        <v>5.8087668775494067E-2</v>
      </c>
      <c r="AA262" s="189">
        <v>8106.4310349999996</v>
      </c>
      <c r="AB262" s="185">
        <v>5.653015891267963E-2</v>
      </c>
      <c r="AC262" s="185">
        <v>5.8087668775494067E-2</v>
      </c>
      <c r="AD262" s="189">
        <v>8657.8545350000004</v>
      </c>
      <c r="AE262" s="185">
        <v>6.03755081111862E-2</v>
      </c>
      <c r="AF262" s="185">
        <v>6.2038964417772194E-2</v>
      </c>
      <c r="AG262" s="189">
        <v>8657.8545350000004</v>
      </c>
      <c r="AH262" s="185">
        <v>6.03755081111862E-2</v>
      </c>
      <c r="AI262" s="185">
        <v>6.2038964417772194E-2</v>
      </c>
      <c r="AJ262" s="189">
        <v>8657.8545350000004</v>
      </c>
      <c r="AK262" s="185">
        <v>6.03755081111862E-2</v>
      </c>
      <c r="AL262" s="185">
        <v>6.2038964417772194E-2</v>
      </c>
      <c r="AM262" s="189">
        <v>8657.8545350000004</v>
      </c>
      <c r="AN262" s="185">
        <v>6.03755081111862E-2</v>
      </c>
      <c r="AO262" s="185">
        <v>6.2038964417772194E-2</v>
      </c>
      <c r="AP262" s="185"/>
      <c r="AQ262" s="189">
        <v>13702.339035000001</v>
      </c>
      <c r="AR262" s="185">
        <v>9.5553197181299815E-2</v>
      </c>
      <c r="AS262" s="185">
        <v>9.8185863529597406E-2</v>
      </c>
      <c r="AT262" s="189">
        <v>13702.339035000001</v>
      </c>
      <c r="AU262" s="185">
        <v>9.5553197181299815E-2</v>
      </c>
      <c r="AV262" s="185">
        <v>9.8185863529597406E-2</v>
      </c>
      <c r="AW262" s="185"/>
      <c r="AX262" s="185"/>
      <c r="AY262" s="185"/>
      <c r="AZ262" s="185"/>
      <c r="BA262" s="185"/>
      <c r="BB262" s="185"/>
      <c r="BC262" s="189">
        <v>13702.339035000001</v>
      </c>
      <c r="BD262" s="185">
        <v>9.5553197181299815E-2</v>
      </c>
      <c r="BE262" s="185">
        <v>9.8185863529597406E-2</v>
      </c>
      <c r="BF262" s="189"/>
      <c r="BG262" s="189">
        <v>13959.064034999999</v>
      </c>
      <c r="BH262" s="185">
        <v>9.7343467768220018E-2</v>
      </c>
      <c r="BI262" s="185">
        <v>0.10002545936431219</v>
      </c>
      <c r="BJ262" s="189">
        <f t="shared" si="190"/>
        <v>139555.110506</v>
      </c>
      <c r="BK262" s="189">
        <v>20704.191035</v>
      </c>
      <c r="BL262" s="185">
        <f t="shared" si="227"/>
        <v>0.1443805793589937</v>
      </c>
      <c r="BM262" s="185">
        <f t="shared" si="194"/>
        <v>0.14835852990213388</v>
      </c>
      <c r="BN262" s="205">
        <f t="shared" si="183"/>
        <v>12046.336499999999</v>
      </c>
      <c r="BO262" s="205"/>
      <c r="BP262" s="189">
        <f>BP263+BP265</f>
        <v>500</v>
      </c>
      <c r="BQ262" s="186">
        <f t="shared" si="195"/>
        <v>3.4867476617396298E-3</v>
      </c>
      <c r="BR262" s="189">
        <f>BR263+BR265</f>
        <v>2100</v>
      </c>
      <c r="BS262" s="186">
        <f t="shared" si="228"/>
        <v>1.4644340179306445E-2</v>
      </c>
      <c r="BT262" s="189">
        <f>BT263+BT265</f>
        <v>22585</v>
      </c>
      <c r="BU262" s="186">
        <f>BT262/$D262</f>
        <v>0.15749639188077907</v>
      </c>
      <c r="BV262" s="189">
        <f>BV263+BV265</f>
        <v>24585</v>
      </c>
      <c r="BW262" s="186">
        <f>BV262/$D262</f>
        <v>0.17144338252773758</v>
      </c>
      <c r="BX262" s="189">
        <f>BX263+BX265</f>
        <v>26585</v>
      </c>
      <c r="BY262" s="186">
        <f t="shared" si="231"/>
        <v>0.18539037317469612</v>
      </c>
      <c r="BZ262" s="189">
        <f>BZ263+BZ265</f>
        <v>67532</v>
      </c>
      <c r="CA262" s="186">
        <f t="shared" si="232"/>
        <v>0.47093408618520133</v>
      </c>
      <c r="CB262" s="189">
        <f>CB263+CB265</f>
        <v>67532</v>
      </c>
      <c r="CC262" s="186">
        <f t="shared" si="233"/>
        <v>0.47093408618520133</v>
      </c>
      <c r="CD262" s="189">
        <f>CD263+CD265</f>
        <v>67532</v>
      </c>
      <c r="CE262" s="186">
        <f t="shared" si="234"/>
        <v>0.47093408618520133</v>
      </c>
      <c r="CF262" s="189">
        <f>CF263+CF265</f>
        <v>95690</v>
      </c>
      <c r="CG262" s="186">
        <f t="shared" si="235"/>
        <v>0.66729376750373037</v>
      </c>
      <c r="CH262" s="189">
        <f>CH263+CH265</f>
        <v>95690</v>
      </c>
      <c r="CI262" s="186">
        <f t="shared" si="236"/>
        <v>0.66729376750373037</v>
      </c>
      <c r="CJ262" s="189">
        <f>CJ263+CJ265</f>
        <v>95690</v>
      </c>
      <c r="CK262" s="186">
        <f t="shared" si="237"/>
        <v>0.66729376750373037</v>
      </c>
      <c r="CL262" s="189">
        <f>CL263+CL265</f>
        <v>128860</v>
      </c>
      <c r="CM262" s="186">
        <f t="shared" si="238"/>
        <v>0.89860460738353742</v>
      </c>
      <c r="CN262" s="189">
        <f>CN263+CN265</f>
        <v>139555.110506</v>
      </c>
      <c r="CO262" s="186">
        <f t="shared" si="239"/>
        <v>0.9731869104812223</v>
      </c>
      <c r="CP262" s="213" t="str">
        <f t="shared" si="196"/>
        <v>Không đạt</v>
      </c>
      <c r="CQ262" s="213" t="str">
        <f t="shared" si="197"/>
        <v>Không đạt</v>
      </c>
      <c r="CR262" s="213"/>
      <c r="CS262" s="213"/>
      <c r="CT262" s="231"/>
      <c r="CU262" s="163"/>
      <c r="CW262" s="195"/>
      <c r="CX262" s="196"/>
      <c r="CY262" s="196"/>
      <c r="CZ262" s="197"/>
      <c r="DA262" s="196"/>
      <c r="DB262" s="196"/>
      <c r="DC262" s="196"/>
      <c r="DE262" s="199"/>
      <c r="DF262" s="200"/>
      <c r="DG262" s="181"/>
    </row>
    <row r="263" spans="1:111" s="160" customFormat="1" ht="12.75" outlineLevel="1" x14ac:dyDescent="0.25">
      <c r="A263" s="191" t="s">
        <v>29</v>
      </c>
      <c r="B263" s="210" t="s">
        <v>155</v>
      </c>
      <c r="C263" s="210"/>
      <c r="D263" s="188">
        <f t="shared" ref="D263:I263" si="257">D264</f>
        <v>66500.110505999997</v>
      </c>
      <c r="E263" s="188">
        <f t="shared" si="257"/>
        <v>66500.110505999997</v>
      </c>
      <c r="F263" s="188">
        <f t="shared" si="257"/>
        <v>0</v>
      </c>
      <c r="G263" s="188">
        <f t="shared" si="257"/>
        <v>0</v>
      </c>
      <c r="H263" s="188">
        <f t="shared" si="257"/>
        <v>0</v>
      </c>
      <c r="I263" s="188">
        <f t="shared" si="257"/>
        <v>0</v>
      </c>
      <c r="J263" s="188"/>
      <c r="K263" s="188">
        <f>K264</f>
        <v>0</v>
      </c>
      <c r="L263" s="188">
        <f>L264</f>
        <v>0</v>
      </c>
      <c r="M263" s="188">
        <f>M264</f>
        <v>0</v>
      </c>
      <c r="N263" s="188">
        <f>N264</f>
        <v>0</v>
      </c>
      <c r="O263" s="188">
        <f>O264</f>
        <v>0</v>
      </c>
      <c r="P263" s="188">
        <v>638.42499999999995</v>
      </c>
      <c r="Q263" s="186">
        <f t="shared" si="189"/>
        <v>9.6003599865055536E-3</v>
      </c>
      <c r="R263" s="189">
        <v>2232</v>
      </c>
      <c r="S263" s="328">
        <v>3.356385399989098E-2</v>
      </c>
      <c r="T263" s="328">
        <v>3.356385399989098E-2</v>
      </c>
      <c r="U263" s="189">
        <v>2231.7740349999999</v>
      </c>
      <c r="V263" s="328">
        <v>3.356045603561271E-2</v>
      </c>
      <c r="W263" s="328">
        <v>3.356045603561271E-2</v>
      </c>
      <c r="X263" s="189">
        <v>5163.0130349999999</v>
      </c>
      <c r="Y263" s="328">
        <v>7.7639164742954306E-2</v>
      </c>
      <c r="Z263" s="328">
        <v>7.7639164742954306E-2</v>
      </c>
      <c r="AA263" s="189">
        <v>5163.0130349999999</v>
      </c>
      <c r="AB263" s="328">
        <v>7.7639164742954306E-2</v>
      </c>
      <c r="AC263" s="328">
        <v>7.7639164742954306E-2</v>
      </c>
      <c r="AD263" s="189">
        <v>5163.0130349999999</v>
      </c>
      <c r="AE263" s="328">
        <v>7.7639164742954306E-2</v>
      </c>
      <c r="AF263" s="328">
        <v>7.7639164742954306E-2</v>
      </c>
      <c r="AG263" s="189">
        <v>5163.0130349999999</v>
      </c>
      <c r="AH263" s="328">
        <v>7.7639164742954306E-2</v>
      </c>
      <c r="AI263" s="328">
        <v>7.7639164742954306E-2</v>
      </c>
      <c r="AJ263" s="214">
        <v>5163.0130349999999</v>
      </c>
      <c r="AK263" s="328">
        <v>7.7639164742954306E-2</v>
      </c>
      <c r="AL263" s="328">
        <v>7.7639164742954306E-2</v>
      </c>
      <c r="AM263" s="189">
        <v>5163.0130349999999</v>
      </c>
      <c r="AN263" s="328">
        <v>7.7639164742954306E-2</v>
      </c>
      <c r="AO263" s="328">
        <v>7.7639164742954306E-2</v>
      </c>
      <c r="AP263" s="328"/>
      <c r="AQ263" s="189">
        <v>6326.2980349999998</v>
      </c>
      <c r="AR263" s="328">
        <v>9.5132143192892996E-2</v>
      </c>
      <c r="AS263" s="328">
        <v>9.5132143192892996E-2</v>
      </c>
      <c r="AT263" s="189">
        <v>6326.2980349999998</v>
      </c>
      <c r="AU263" s="328">
        <v>9.5132143192892996E-2</v>
      </c>
      <c r="AV263" s="328">
        <v>9.5132143192892996E-2</v>
      </c>
      <c r="AW263" s="328"/>
      <c r="AX263" s="328"/>
      <c r="AY263" s="328"/>
      <c r="AZ263" s="328"/>
      <c r="BA263" s="328"/>
      <c r="BB263" s="328"/>
      <c r="BC263" s="189">
        <v>6326.2980349999998</v>
      </c>
      <c r="BD263" s="328">
        <v>9.5132143192892996E-2</v>
      </c>
      <c r="BE263" s="328">
        <v>9.5132143192892996E-2</v>
      </c>
      <c r="BF263" s="189"/>
      <c r="BG263" s="189">
        <v>6583.0230350000002</v>
      </c>
      <c r="BH263" s="328">
        <v>9.8992663093485297E-2</v>
      </c>
      <c r="BI263" s="328">
        <v>9.8992663093485297E-2</v>
      </c>
      <c r="BJ263" s="189">
        <f t="shared" si="190"/>
        <v>66500.110505999997</v>
      </c>
      <c r="BK263" s="189">
        <v>11086.455034999999</v>
      </c>
      <c r="BL263" s="328">
        <f t="shared" si="227"/>
        <v>0.16671333251393197</v>
      </c>
      <c r="BM263" s="328">
        <f t="shared" si="194"/>
        <v>0.16671333251393197</v>
      </c>
      <c r="BN263" s="205">
        <f t="shared" si="183"/>
        <v>5923.4419999999991</v>
      </c>
      <c r="BO263" s="205"/>
      <c r="BP263" s="189">
        <f>BP264</f>
        <v>0</v>
      </c>
      <c r="BQ263" s="329">
        <f t="shared" si="195"/>
        <v>0</v>
      </c>
      <c r="BR263" s="189">
        <f>BR264</f>
        <v>0</v>
      </c>
      <c r="BS263" s="329">
        <f t="shared" si="228"/>
        <v>0</v>
      </c>
      <c r="BT263" s="189">
        <f>BT264</f>
        <v>10000</v>
      </c>
      <c r="BU263" s="186">
        <f>BT263/$D263</f>
        <v>0.15037568996366926</v>
      </c>
      <c r="BV263" s="189">
        <f>BV264</f>
        <v>10000</v>
      </c>
      <c r="BW263" s="329">
        <f>BV263/$D263</f>
        <v>0.15037568996366926</v>
      </c>
      <c r="BX263" s="189">
        <f>BX264</f>
        <v>10000</v>
      </c>
      <c r="BY263" s="329">
        <f t="shared" si="231"/>
        <v>0.15037568996366926</v>
      </c>
      <c r="BZ263" s="189">
        <f>BZ264</f>
        <v>25000</v>
      </c>
      <c r="CA263" s="329">
        <f t="shared" si="232"/>
        <v>0.37593922490917314</v>
      </c>
      <c r="CB263" s="189">
        <f>CB264</f>
        <v>25000</v>
      </c>
      <c r="CC263" s="329">
        <f t="shared" si="233"/>
        <v>0.37593922490917314</v>
      </c>
      <c r="CD263" s="189">
        <f>CD264</f>
        <v>25000</v>
      </c>
      <c r="CE263" s="329">
        <f t="shared" si="234"/>
        <v>0.37593922490917314</v>
      </c>
      <c r="CF263" s="189">
        <f>CF264</f>
        <v>40000</v>
      </c>
      <c r="CG263" s="329">
        <f t="shared" si="235"/>
        <v>0.60150275985467705</v>
      </c>
      <c r="CH263" s="189">
        <f>CH264</f>
        <v>40000</v>
      </c>
      <c r="CI263" s="329">
        <f t="shared" si="236"/>
        <v>0.60150275985467705</v>
      </c>
      <c r="CJ263" s="189">
        <f>CJ264</f>
        <v>40000</v>
      </c>
      <c r="CK263" s="329">
        <f t="shared" si="237"/>
        <v>0.60150275985467705</v>
      </c>
      <c r="CL263" s="189">
        <f>CL264</f>
        <v>60000</v>
      </c>
      <c r="CM263" s="329">
        <f t="shared" si="238"/>
        <v>0.90225413978201552</v>
      </c>
      <c r="CN263" s="189">
        <f>CN264</f>
        <v>66500.110505999997</v>
      </c>
      <c r="CO263" s="329">
        <f t="shared" si="239"/>
        <v>1</v>
      </c>
      <c r="CP263" s="213" t="str">
        <f t="shared" si="196"/>
        <v>Không đạt</v>
      </c>
      <c r="CQ263" s="213" t="str">
        <f t="shared" si="197"/>
        <v>Không đạt</v>
      </c>
      <c r="CR263" s="213"/>
      <c r="CS263" s="213"/>
      <c r="CT263" s="231"/>
      <c r="CU263" s="163"/>
      <c r="CV263" s="291"/>
      <c r="CW263" s="218"/>
      <c r="CX263" s="196"/>
      <c r="CY263" s="196"/>
      <c r="CZ263" s="197"/>
      <c r="DA263" s="196"/>
      <c r="DB263" s="196"/>
      <c r="DC263" s="196"/>
      <c r="DE263" s="199"/>
      <c r="DF263" s="200"/>
      <c r="DG263" s="181"/>
    </row>
    <row r="264" spans="1:111" ht="59.25" customHeight="1" outlineLevel="1" x14ac:dyDescent="0.25">
      <c r="A264" s="221">
        <v>1</v>
      </c>
      <c r="B264" s="222" t="s">
        <v>386</v>
      </c>
      <c r="C264" s="222">
        <v>7919705</v>
      </c>
      <c r="D264" s="214">
        <f t="shared" si="247"/>
        <v>66500.110505999997</v>
      </c>
      <c r="E264" s="214">
        <v>66500.110505999997</v>
      </c>
      <c r="F264" s="188"/>
      <c r="G264" s="188"/>
      <c r="H264" s="188"/>
      <c r="I264" s="188"/>
      <c r="J264" s="188"/>
      <c r="K264" s="188"/>
      <c r="L264" s="188"/>
      <c r="M264" s="231"/>
      <c r="N264" s="231"/>
      <c r="O264" s="188"/>
      <c r="P264" s="188">
        <v>2232</v>
      </c>
      <c r="Q264" s="212">
        <f t="shared" si="189"/>
        <v>3.356385399989098E-2</v>
      </c>
      <c r="R264" s="214">
        <v>2232</v>
      </c>
      <c r="S264" s="330">
        <v>0</v>
      </c>
      <c r="T264" s="330">
        <v>3.356385399989098E-2</v>
      </c>
      <c r="U264" s="214">
        <v>2231.7740349999999</v>
      </c>
      <c r="V264" s="330">
        <v>0</v>
      </c>
      <c r="W264" s="330">
        <v>3.356045603561271E-2</v>
      </c>
      <c r="X264" s="214">
        <v>5163.0130349999999</v>
      </c>
      <c r="Y264" s="330">
        <v>0</v>
      </c>
      <c r="Z264" s="330">
        <v>7.7639164742954306E-2</v>
      </c>
      <c r="AA264" s="214">
        <v>5163.0130349999999</v>
      </c>
      <c r="AB264" s="330">
        <v>0</v>
      </c>
      <c r="AC264" s="330">
        <v>7.7639164742954306E-2</v>
      </c>
      <c r="AD264" s="214">
        <v>5163.0130349999999</v>
      </c>
      <c r="AE264" s="330">
        <v>0</v>
      </c>
      <c r="AF264" s="330">
        <v>7.7639164742954306E-2</v>
      </c>
      <c r="AG264" s="214">
        <v>5163.0130349999999</v>
      </c>
      <c r="AH264" s="330">
        <v>0</v>
      </c>
      <c r="AI264" s="330">
        <v>7.7639164742954306E-2</v>
      </c>
      <c r="AJ264" s="226">
        <v>5163.0130349999999</v>
      </c>
      <c r="AK264" s="330">
        <v>0</v>
      </c>
      <c r="AL264" s="330">
        <v>7.7639164742954306E-2</v>
      </c>
      <c r="AM264" s="214">
        <v>5163.0130349999999</v>
      </c>
      <c r="AN264" s="330">
        <v>0</v>
      </c>
      <c r="AO264" s="330">
        <v>7.7639164742954306E-2</v>
      </c>
      <c r="AP264" s="330"/>
      <c r="AQ264" s="214">
        <v>6326.2980349999998</v>
      </c>
      <c r="AR264" s="330">
        <v>0</v>
      </c>
      <c r="AS264" s="330">
        <v>9.5132143192892996E-2</v>
      </c>
      <c r="AT264" s="214">
        <v>6326.2980349999998</v>
      </c>
      <c r="AU264" s="330">
        <v>0</v>
      </c>
      <c r="AV264" s="330">
        <v>9.5132143192892996E-2</v>
      </c>
      <c r="AW264" s="330"/>
      <c r="AX264" s="330"/>
      <c r="AY264" s="330"/>
      <c r="AZ264" s="330"/>
      <c r="BA264" s="330"/>
      <c r="BB264" s="330"/>
      <c r="BC264" s="214">
        <v>6326.2980349999998</v>
      </c>
      <c r="BD264" s="330">
        <v>0</v>
      </c>
      <c r="BE264" s="330">
        <v>9.5132143192892996E-2</v>
      </c>
      <c r="BF264" s="214"/>
      <c r="BG264" s="214">
        <v>6583.0230350000002</v>
      </c>
      <c r="BH264" s="309">
        <v>9.8992663093485297E-2</v>
      </c>
      <c r="BI264" s="326">
        <v>9.8992663093485297E-2</v>
      </c>
      <c r="BJ264" s="214">
        <f t="shared" si="190"/>
        <v>66500.110505999997</v>
      </c>
      <c r="BK264" s="214">
        <v>11086.455034999999</v>
      </c>
      <c r="BL264" s="309">
        <f t="shared" si="227"/>
        <v>0.16671333251393197</v>
      </c>
      <c r="BM264" s="326">
        <f t="shared" si="194"/>
        <v>0.16671333251393197</v>
      </c>
      <c r="BN264" s="205">
        <f t="shared" si="183"/>
        <v>5923.4419999999991</v>
      </c>
      <c r="BO264" s="205"/>
      <c r="BP264" s="230"/>
      <c r="BQ264" s="331">
        <v>0</v>
      </c>
      <c r="BR264" s="230"/>
      <c r="BS264" s="331">
        <v>0</v>
      </c>
      <c r="BT264" s="230">
        <v>10000</v>
      </c>
      <c r="BU264" s="212">
        <v>0.15</v>
      </c>
      <c r="BV264" s="230">
        <v>10000</v>
      </c>
      <c r="BW264" s="331">
        <v>0.15</v>
      </c>
      <c r="BX264" s="230">
        <v>10000</v>
      </c>
      <c r="BY264" s="331">
        <v>0.15</v>
      </c>
      <c r="BZ264" s="230">
        <v>25000</v>
      </c>
      <c r="CA264" s="327">
        <v>0.38</v>
      </c>
      <c r="CB264" s="230">
        <v>25000</v>
      </c>
      <c r="CC264" s="331">
        <v>0.38</v>
      </c>
      <c r="CD264" s="230">
        <v>25000</v>
      </c>
      <c r="CE264" s="331">
        <v>0.38</v>
      </c>
      <c r="CF264" s="230">
        <v>40000</v>
      </c>
      <c r="CG264" s="327">
        <v>0.6</v>
      </c>
      <c r="CH264" s="230">
        <v>40000</v>
      </c>
      <c r="CI264" s="331">
        <v>0.6</v>
      </c>
      <c r="CJ264" s="230">
        <v>40000</v>
      </c>
      <c r="CK264" s="331">
        <v>0.6</v>
      </c>
      <c r="CL264" s="230">
        <v>60000</v>
      </c>
      <c r="CM264" s="327">
        <v>0.9</v>
      </c>
      <c r="CN264" s="230">
        <v>66500.110505999997</v>
      </c>
      <c r="CO264" s="327">
        <v>0.95</v>
      </c>
      <c r="CP264" s="213" t="str">
        <f t="shared" si="196"/>
        <v>Không đạt</v>
      </c>
      <c r="CQ264" s="213" t="str">
        <f t="shared" si="197"/>
        <v>Không đạt</v>
      </c>
      <c r="CR264" s="213"/>
      <c r="CS264" s="213"/>
      <c r="CT264" s="231"/>
      <c r="CU264" s="163"/>
      <c r="CW264" s="195"/>
      <c r="CX264" s="196"/>
      <c r="CY264" s="196"/>
      <c r="CZ264" s="197"/>
      <c r="DA264" s="196"/>
      <c r="DB264" s="196"/>
      <c r="DC264" s="196"/>
      <c r="DE264" s="199"/>
      <c r="DF264" s="200"/>
      <c r="DG264" s="181"/>
    </row>
    <row r="265" spans="1:111" outlineLevel="1" x14ac:dyDescent="0.25">
      <c r="A265" s="263" t="s">
        <v>29</v>
      </c>
      <c r="B265" s="264" t="s">
        <v>157</v>
      </c>
      <c r="C265" s="265"/>
      <c r="D265" s="226">
        <f t="shared" ref="D265:I265" si="258">D266+D269+D270</f>
        <v>76900</v>
      </c>
      <c r="E265" s="226">
        <f t="shared" si="258"/>
        <v>0</v>
      </c>
      <c r="F265" s="226">
        <f t="shared" si="258"/>
        <v>76900</v>
      </c>
      <c r="G265" s="226">
        <f t="shared" si="258"/>
        <v>33000</v>
      </c>
      <c r="H265" s="226">
        <f t="shared" si="258"/>
        <v>43900</v>
      </c>
      <c r="I265" s="226">
        <f t="shared" si="258"/>
        <v>0</v>
      </c>
      <c r="J265" s="226"/>
      <c r="K265" s="226">
        <f>K266+K269+K270</f>
        <v>0</v>
      </c>
      <c r="L265" s="226">
        <f>L266+L269+L270</f>
        <v>0</v>
      </c>
      <c r="M265" s="226">
        <f>M266+M269+M270</f>
        <v>0</v>
      </c>
      <c r="N265" s="226">
        <f>N266+N269+N270</f>
        <v>0</v>
      </c>
      <c r="O265" s="226">
        <f>O266+O269+O270</f>
        <v>33000</v>
      </c>
      <c r="P265" s="226">
        <v>27078.295252</v>
      </c>
      <c r="Q265" s="212">
        <f t="shared" si="189"/>
        <v>0.35212347531859556</v>
      </c>
      <c r="R265" s="226">
        <v>504.32</v>
      </c>
      <c r="S265" s="330">
        <v>6.5581274382314697E-3</v>
      </c>
      <c r="T265" s="330">
        <v>6.9032920402436523E-3</v>
      </c>
      <c r="U265" s="226">
        <v>2943.4180000000001</v>
      </c>
      <c r="V265" s="330">
        <v>3.827591677503251E-2</v>
      </c>
      <c r="W265" s="330">
        <v>4.0290438710560539E-2</v>
      </c>
      <c r="X265" s="226">
        <v>2943.4180000000001</v>
      </c>
      <c r="Y265" s="330">
        <v>3.827591677503251E-2</v>
      </c>
      <c r="Z265" s="330">
        <v>4.0290438710560539E-2</v>
      </c>
      <c r="AA265" s="226">
        <v>2943.4180000000001</v>
      </c>
      <c r="AB265" s="330">
        <v>3.827591677503251E-2</v>
      </c>
      <c r="AC265" s="330">
        <v>4.0290438710560539E-2</v>
      </c>
      <c r="AD265" s="226">
        <v>3494.8415</v>
      </c>
      <c r="AE265" s="330">
        <v>4.5446573472041611E-2</v>
      </c>
      <c r="AF265" s="330">
        <v>4.7838498391622748E-2</v>
      </c>
      <c r="AG265" s="226">
        <v>3494.8415</v>
      </c>
      <c r="AH265" s="330">
        <v>4.5446573472041611E-2</v>
      </c>
      <c r="AI265" s="330">
        <v>4.7838498391622748E-2</v>
      </c>
      <c r="AJ265" s="317">
        <v>3494.8415</v>
      </c>
      <c r="AK265" s="330">
        <v>4.5446573472041611E-2</v>
      </c>
      <c r="AL265" s="330">
        <v>4.7838498391622748E-2</v>
      </c>
      <c r="AM265" s="226">
        <v>3494.8415</v>
      </c>
      <c r="AN265" s="330">
        <v>4.5446573472041611E-2</v>
      </c>
      <c r="AO265" s="330">
        <v>4.7838498391622748E-2</v>
      </c>
      <c r="AP265" s="330"/>
      <c r="AQ265" s="226">
        <v>7376.0410000000002</v>
      </c>
      <c r="AR265" s="330">
        <v>9.5917308192457737E-2</v>
      </c>
      <c r="AS265" s="330">
        <v>0.10096558757100815</v>
      </c>
      <c r="AT265" s="226">
        <v>7376.0410000000002</v>
      </c>
      <c r="AU265" s="330">
        <v>9.5917308192457737E-2</v>
      </c>
      <c r="AV265" s="330">
        <v>0.10096558757100815</v>
      </c>
      <c r="AW265" s="330"/>
      <c r="AX265" s="330"/>
      <c r="AY265" s="330"/>
      <c r="AZ265" s="330"/>
      <c r="BA265" s="330"/>
      <c r="BB265" s="330"/>
      <c r="BC265" s="226">
        <v>7376.0410000000002</v>
      </c>
      <c r="BD265" s="330">
        <v>9.5917308192457737E-2</v>
      </c>
      <c r="BE265" s="330">
        <v>0.10096558757100815</v>
      </c>
      <c r="BF265" s="226"/>
      <c r="BG265" s="226">
        <v>7376.0410000000002</v>
      </c>
      <c r="BH265" s="330">
        <v>9.5917308192457737E-2</v>
      </c>
      <c r="BI265" s="330">
        <v>0.10096558757100815</v>
      </c>
      <c r="BJ265" s="226">
        <f t="shared" si="190"/>
        <v>73055</v>
      </c>
      <c r="BK265" s="226">
        <v>8661.098</v>
      </c>
      <c r="BL265" s="330">
        <f>BK265/$D265</f>
        <v>0.11262806241872561</v>
      </c>
      <c r="BM265" s="330">
        <f t="shared" si="194"/>
        <v>0.11855585517760592</v>
      </c>
      <c r="BN265" s="205">
        <f t="shared" si="183"/>
        <v>5166.2564999999995</v>
      </c>
      <c r="BO265" s="205"/>
      <c r="BP265" s="230">
        <f>BP266+BP269+BP270</f>
        <v>500</v>
      </c>
      <c r="BQ265" s="331">
        <f>BP265/$D265</f>
        <v>6.5019505851755524E-3</v>
      </c>
      <c r="BR265" s="230">
        <f>BR266+BR269+BR270</f>
        <v>2100</v>
      </c>
      <c r="BS265" s="331">
        <f>BR265/$D265</f>
        <v>2.7308192457737322E-2</v>
      </c>
      <c r="BT265" s="230">
        <f>BT266+BT269+BT270</f>
        <v>12585</v>
      </c>
      <c r="BU265" s="212">
        <f>BT265/$D265</f>
        <v>0.16365409622886867</v>
      </c>
      <c r="BV265" s="230">
        <f>BV266+BV269+BV270</f>
        <v>14585</v>
      </c>
      <c r="BW265" s="331">
        <f>BV265/$D265</f>
        <v>0.18966189856957086</v>
      </c>
      <c r="BX265" s="230">
        <f>BX266+BX269+BX270</f>
        <v>16585</v>
      </c>
      <c r="BY265" s="331">
        <f>BX265/$D265</f>
        <v>0.21566970091027307</v>
      </c>
      <c r="BZ265" s="230">
        <f>BZ266+BZ269+BZ270</f>
        <v>42532</v>
      </c>
      <c r="CA265" s="331">
        <f>BZ265/$D265</f>
        <v>0.55308192457737326</v>
      </c>
      <c r="CB265" s="230">
        <f>CB266+CB269+CB270</f>
        <v>42532</v>
      </c>
      <c r="CC265" s="331">
        <f>CB265/$D265</f>
        <v>0.55308192457737326</v>
      </c>
      <c r="CD265" s="230">
        <f>CD266+CD269+CD270</f>
        <v>42532</v>
      </c>
      <c r="CE265" s="331">
        <f>CD265/$D265</f>
        <v>0.55308192457737326</v>
      </c>
      <c r="CF265" s="230">
        <f>CF266+CF269+CF270</f>
        <v>55690</v>
      </c>
      <c r="CG265" s="331">
        <f>CF265/$D265</f>
        <v>0.72418725617685309</v>
      </c>
      <c r="CH265" s="230">
        <f>CH266+CH269+CH270</f>
        <v>55690</v>
      </c>
      <c r="CI265" s="331">
        <f>CH265/$D265</f>
        <v>0.72418725617685309</v>
      </c>
      <c r="CJ265" s="230">
        <f>CJ266+CJ269+CJ270</f>
        <v>55690</v>
      </c>
      <c r="CK265" s="331">
        <f>CJ265/$D265</f>
        <v>0.72418725617685309</v>
      </c>
      <c r="CL265" s="230">
        <f>CL266+CL269+CL270</f>
        <v>68860</v>
      </c>
      <c r="CM265" s="331">
        <f>CL265/$D265</f>
        <v>0.89544863459037716</v>
      </c>
      <c r="CN265" s="230">
        <f>CN266+CN269+CN270</f>
        <v>73055</v>
      </c>
      <c r="CO265" s="331">
        <f>CN265/$D265</f>
        <v>0.95</v>
      </c>
      <c r="CP265" s="213" t="str">
        <f t="shared" si="196"/>
        <v>Không đạt</v>
      </c>
      <c r="CQ265" s="213" t="str">
        <f t="shared" si="197"/>
        <v>Không đạt</v>
      </c>
      <c r="CR265" s="332"/>
      <c r="CS265" s="332"/>
      <c r="CT265" s="226"/>
      <c r="CU265" s="163"/>
      <c r="CW265" s="195"/>
      <c r="CX265" s="196"/>
      <c r="CY265" s="196"/>
      <c r="CZ265" s="197"/>
      <c r="DA265" s="196"/>
      <c r="DB265" s="196"/>
      <c r="DC265" s="196"/>
      <c r="DE265" s="199"/>
      <c r="DF265" s="200"/>
      <c r="DG265" s="181"/>
    </row>
    <row r="266" spans="1:111" s="324" customFormat="1" outlineLevel="1" x14ac:dyDescent="0.25">
      <c r="A266" s="305" t="s">
        <v>34</v>
      </c>
      <c r="B266" s="318" t="s">
        <v>381</v>
      </c>
      <c r="C266" s="306"/>
      <c r="D266" s="317">
        <f>SUM(D267:D268)</f>
        <v>30000</v>
      </c>
      <c r="E266" s="317">
        <f t="shared" ref="E266:L266" si="259">SUM(E267:E268)</f>
        <v>0</v>
      </c>
      <c r="F266" s="317">
        <f t="shared" si="259"/>
        <v>30000</v>
      </c>
      <c r="G266" s="317">
        <f t="shared" si="259"/>
        <v>30000</v>
      </c>
      <c r="H266" s="317">
        <f t="shared" si="259"/>
        <v>0</v>
      </c>
      <c r="I266" s="214">
        <f t="shared" si="259"/>
        <v>0</v>
      </c>
      <c r="J266" s="214"/>
      <c r="K266" s="317">
        <f t="shared" si="259"/>
        <v>0</v>
      </c>
      <c r="L266" s="214">
        <f t="shared" si="259"/>
        <v>0</v>
      </c>
      <c r="M266" s="223"/>
      <c r="N266" s="223"/>
      <c r="O266" s="317">
        <f t="shared" si="251"/>
        <v>30000</v>
      </c>
      <c r="P266" s="317">
        <v>0</v>
      </c>
      <c r="Q266" s="319">
        <f t="shared" si="189"/>
        <v>0</v>
      </c>
      <c r="R266" s="317">
        <v>0</v>
      </c>
      <c r="S266" s="320">
        <v>0</v>
      </c>
      <c r="T266" s="320">
        <v>0</v>
      </c>
      <c r="U266" s="317">
        <v>0</v>
      </c>
      <c r="V266" s="320">
        <v>0</v>
      </c>
      <c r="W266" s="320">
        <v>0</v>
      </c>
      <c r="X266" s="317">
        <v>0</v>
      </c>
      <c r="Y266" s="320">
        <v>0</v>
      </c>
      <c r="Z266" s="320">
        <v>0</v>
      </c>
      <c r="AA266" s="317">
        <v>0</v>
      </c>
      <c r="AB266" s="320">
        <v>0</v>
      </c>
      <c r="AC266" s="320">
        <v>0</v>
      </c>
      <c r="AD266" s="317">
        <v>500</v>
      </c>
      <c r="AE266" s="320">
        <v>1.6666666666666666E-2</v>
      </c>
      <c r="AF266" s="320">
        <v>1.7543859649122806E-2</v>
      </c>
      <c r="AG266" s="317">
        <v>500</v>
      </c>
      <c r="AH266" s="320">
        <v>1.6666666666666666E-2</v>
      </c>
      <c r="AI266" s="320">
        <v>1.7543859649122806E-2</v>
      </c>
      <c r="AJ266" s="223">
        <v>500</v>
      </c>
      <c r="AK266" s="320">
        <v>1.6666666666666666E-2</v>
      </c>
      <c r="AL266" s="320">
        <v>1.7543859649122806E-2</v>
      </c>
      <c r="AM266" s="317">
        <v>500</v>
      </c>
      <c r="AN266" s="320">
        <v>1.6666666666666666E-2</v>
      </c>
      <c r="AO266" s="320">
        <v>1.7543859649122806E-2</v>
      </c>
      <c r="AP266" s="320"/>
      <c r="AQ266" s="317">
        <v>500</v>
      </c>
      <c r="AR266" s="320">
        <v>1.6666666666666666E-2</v>
      </c>
      <c r="AS266" s="320">
        <v>1.7543859649122806E-2</v>
      </c>
      <c r="AT266" s="317">
        <v>500</v>
      </c>
      <c r="AU266" s="320">
        <v>1.6666666666666666E-2</v>
      </c>
      <c r="AV266" s="320">
        <v>1.7543859649122806E-2</v>
      </c>
      <c r="AW266" s="320"/>
      <c r="AX266" s="320"/>
      <c r="AY266" s="320"/>
      <c r="AZ266" s="320"/>
      <c r="BA266" s="320"/>
      <c r="BB266" s="320"/>
      <c r="BC266" s="317">
        <v>500</v>
      </c>
      <c r="BD266" s="320">
        <v>1.6666666666666666E-2</v>
      </c>
      <c r="BE266" s="320">
        <v>1.7543859649122806E-2</v>
      </c>
      <c r="BF266" s="317"/>
      <c r="BG266" s="317">
        <v>500</v>
      </c>
      <c r="BH266" s="320">
        <v>1.6666666666666666E-2</v>
      </c>
      <c r="BI266" s="320">
        <v>1.7543859649122806E-2</v>
      </c>
      <c r="BJ266" s="317">
        <f t="shared" si="190"/>
        <v>28500</v>
      </c>
      <c r="BK266" s="317">
        <v>500</v>
      </c>
      <c r="BL266" s="320">
        <f>BK266/$D266</f>
        <v>1.6666666666666666E-2</v>
      </c>
      <c r="BM266" s="320">
        <f t="shared" si="194"/>
        <v>1.7543859649122806E-2</v>
      </c>
      <c r="BN266" s="205">
        <f t="shared" si="183"/>
        <v>0</v>
      </c>
      <c r="BO266" s="205"/>
      <c r="BP266" s="307">
        <f>SUM(BP267:BP268)</f>
        <v>500</v>
      </c>
      <c r="BQ266" s="322">
        <f>BP266/$D266</f>
        <v>1.6666666666666666E-2</v>
      </c>
      <c r="BR266" s="307">
        <f>SUM(BR267:BR268)</f>
        <v>1800</v>
      </c>
      <c r="BS266" s="322">
        <f>BR266/$D266</f>
        <v>0.06</v>
      </c>
      <c r="BT266" s="307">
        <f>SUM(BT267:BT268)</f>
        <v>5000</v>
      </c>
      <c r="BU266" s="319">
        <f>BT266/$D266</f>
        <v>0.16666666666666666</v>
      </c>
      <c r="BV266" s="307">
        <f>SUM(BV267:BV268)</f>
        <v>7000</v>
      </c>
      <c r="BW266" s="322">
        <f>BV266/$D266</f>
        <v>0.23333333333333334</v>
      </c>
      <c r="BX266" s="307">
        <f>SUM(BX267:BX268)</f>
        <v>9000</v>
      </c>
      <c r="BY266" s="322">
        <f>BX266/$D266</f>
        <v>0.3</v>
      </c>
      <c r="BZ266" s="307">
        <f>SUM(BZ267:BZ268)</f>
        <v>23000</v>
      </c>
      <c r="CA266" s="322">
        <f>BZ266/$D266</f>
        <v>0.76666666666666672</v>
      </c>
      <c r="CB266" s="307">
        <f>SUM(CB267:CB268)</f>
        <v>23000</v>
      </c>
      <c r="CC266" s="322">
        <f>CB266/$D266</f>
        <v>0.76666666666666672</v>
      </c>
      <c r="CD266" s="307">
        <f>SUM(CD267:CD268)</f>
        <v>23000</v>
      </c>
      <c r="CE266" s="322">
        <f>CD266/$D266</f>
        <v>0.76666666666666672</v>
      </c>
      <c r="CF266" s="307">
        <f>SUM(CF267:CF268)</f>
        <v>26500</v>
      </c>
      <c r="CG266" s="322">
        <f>CF266/$D266</f>
        <v>0.8833333333333333</v>
      </c>
      <c r="CH266" s="307">
        <f>SUM(CH267:CH268)</f>
        <v>26500</v>
      </c>
      <c r="CI266" s="322">
        <f>CH266/$D266</f>
        <v>0.8833333333333333</v>
      </c>
      <c r="CJ266" s="307">
        <f>SUM(CJ267:CJ268)</f>
        <v>26500</v>
      </c>
      <c r="CK266" s="322">
        <f>CJ266/$D266</f>
        <v>0.8833333333333333</v>
      </c>
      <c r="CL266" s="307">
        <f>SUM(CL267:CL268)</f>
        <v>26500</v>
      </c>
      <c r="CM266" s="322">
        <f>CL266/$D266</f>
        <v>0.8833333333333333</v>
      </c>
      <c r="CN266" s="307">
        <f>SUM(CN267:CN268)</f>
        <v>28500</v>
      </c>
      <c r="CO266" s="322">
        <f>CN266/$D266</f>
        <v>0.95</v>
      </c>
      <c r="CP266" s="213" t="str">
        <f t="shared" si="196"/>
        <v>Không đạt</v>
      </c>
      <c r="CQ266" s="213" t="str">
        <f t="shared" si="197"/>
        <v>Không đạt</v>
      </c>
      <c r="CR266" s="312"/>
      <c r="CS266" s="312"/>
      <c r="CT266" s="235"/>
      <c r="CU266" s="163"/>
      <c r="CV266" s="323"/>
      <c r="CW266" s="195"/>
      <c r="CX266" s="196"/>
      <c r="CY266" s="196"/>
      <c r="CZ266" s="197"/>
      <c r="DA266" s="196"/>
      <c r="DB266" s="196"/>
      <c r="DC266" s="196"/>
      <c r="DE266" s="199"/>
      <c r="DF266" s="200"/>
      <c r="DG266" s="181"/>
    </row>
    <row r="267" spans="1:111" ht="63.75" outlineLevel="1" x14ac:dyDescent="0.25">
      <c r="A267" s="192">
        <v>2</v>
      </c>
      <c r="B267" s="325" t="s">
        <v>387</v>
      </c>
      <c r="C267" s="325"/>
      <c r="D267" s="214">
        <f t="shared" si="247"/>
        <v>10000</v>
      </c>
      <c r="E267" s="215"/>
      <c r="F267" s="214">
        <f>G267+H267+K267+M267</f>
        <v>10000</v>
      </c>
      <c r="G267" s="333">
        <v>10000</v>
      </c>
      <c r="H267" s="223"/>
      <c r="I267" s="235"/>
      <c r="J267" s="235"/>
      <c r="K267" s="223"/>
      <c r="L267" s="235"/>
      <c r="M267" s="223"/>
      <c r="N267" s="223"/>
      <c r="O267" s="223">
        <f t="shared" si="251"/>
        <v>10000</v>
      </c>
      <c r="P267" s="223">
        <v>0</v>
      </c>
      <c r="Q267" s="224">
        <f t="shared" si="189"/>
        <v>0</v>
      </c>
      <c r="R267" s="223"/>
      <c r="S267" s="326"/>
      <c r="T267" s="326">
        <v>0</v>
      </c>
      <c r="U267" s="223"/>
      <c r="V267" s="326"/>
      <c r="W267" s="326">
        <v>0</v>
      </c>
      <c r="X267" s="223"/>
      <c r="Y267" s="326"/>
      <c r="Z267" s="326">
        <v>0</v>
      </c>
      <c r="AA267" s="223"/>
      <c r="AB267" s="326"/>
      <c r="AC267" s="326">
        <v>0</v>
      </c>
      <c r="AD267" s="223"/>
      <c r="AE267" s="326"/>
      <c r="AF267" s="326">
        <v>0</v>
      </c>
      <c r="AG267" s="223"/>
      <c r="AH267" s="326"/>
      <c r="AI267" s="326">
        <v>0</v>
      </c>
      <c r="AJ267" s="214"/>
      <c r="AK267" s="326"/>
      <c r="AL267" s="326">
        <v>0</v>
      </c>
      <c r="AM267" s="223"/>
      <c r="AN267" s="326"/>
      <c r="AO267" s="326">
        <v>0</v>
      </c>
      <c r="AP267" s="326"/>
      <c r="AQ267" s="223"/>
      <c r="AR267" s="326"/>
      <c r="AS267" s="326">
        <v>0</v>
      </c>
      <c r="AT267" s="223"/>
      <c r="AU267" s="326"/>
      <c r="AV267" s="326">
        <v>0</v>
      </c>
      <c r="AW267" s="326"/>
      <c r="AX267" s="326"/>
      <c r="AY267" s="326"/>
      <c r="AZ267" s="326"/>
      <c r="BA267" s="326"/>
      <c r="BB267" s="326"/>
      <c r="BC267" s="223"/>
      <c r="BD267" s="326"/>
      <c r="BE267" s="326">
        <v>0</v>
      </c>
      <c r="BF267" s="223"/>
      <c r="BG267" s="223"/>
      <c r="BH267" s="326"/>
      <c r="BI267" s="326">
        <v>0</v>
      </c>
      <c r="BJ267" s="223">
        <f t="shared" si="190"/>
        <v>9500</v>
      </c>
      <c r="BK267" s="223"/>
      <c r="BL267" s="326"/>
      <c r="BM267" s="326">
        <f t="shared" si="194"/>
        <v>0</v>
      </c>
      <c r="BN267" s="205">
        <f t="shared" ref="BN267:BN330" si="260">BK267-AD267</f>
        <v>0</v>
      </c>
      <c r="BO267" s="205"/>
      <c r="BP267" s="227">
        <v>500</v>
      </c>
      <c r="BQ267" s="327">
        <v>0.05</v>
      </c>
      <c r="BR267" s="227">
        <v>1500</v>
      </c>
      <c r="BS267" s="327">
        <v>0.15</v>
      </c>
      <c r="BT267" s="227">
        <v>3500</v>
      </c>
      <c r="BU267" s="224">
        <v>0.35</v>
      </c>
      <c r="BV267" s="227">
        <v>5500</v>
      </c>
      <c r="BW267" s="327">
        <v>0.55000000000000004</v>
      </c>
      <c r="BX267" s="227">
        <v>7500</v>
      </c>
      <c r="BY267" s="327">
        <v>0.75</v>
      </c>
      <c r="BZ267" s="227">
        <v>9500</v>
      </c>
      <c r="CA267" s="327">
        <v>0.95</v>
      </c>
      <c r="CB267" s="227">
        <v>9500</v>
      </c>
      <c r="CC267" s="327">
        <v>0.95</v>
      </c>
      <c r="CD267" s="227">
        <v>9500</v>
      </c>
      <c r="CE267" s="327">
        <v>0.95</v>
      </c>
      <c r="CF267" s="227">
        <v>9500</v>
      </c>
      <c r="CG267" s="327">
        <v>0.95</v>
      </c>
      <c r="CH267" s="227">
        <v>9500</v>
      </c>
      <c r="CI267" s="327">
        <v>0.95</v>
      </c>
      <c r="CJ267" s="227">
        <v>9500</v>
      </c>
      <c r="CK267" s="327">
        <v>0.95</v>
      </c>
      <c r="CL267" s="227">
        <v>9500</v>
      </c>
      <c r="CM267" s="327">
        <v>0.95</v>
      </c>
      <c r="CN267" s="227">
        <v>9500</v>
      </c>
      <c r="CO267" s="327">
        <v>0.95</v>
      </c>
      <c r="CP267" s="213" t="str">
        <f t="shared" si="196"/>
        <v>Không đạt</v>
      </c>
      <c r="CQ267" s="213" t="str">
        <f t="shared" si="197"/>
        <v>Không đạt</v>
      </c>
      <c r="CR267" s="192"/>
      <c r="CS267" s="192"/>
      <c r="CT267" s="223"/>
      <c r="CU267" s="163"/>
      <c r="CW267" s="195"/>
      <c r="CX267" s="196"/>
      <c r="CY267" s="196"/>
      <c r="CZ267" s="197"/>
      <c r="DA267" s="196"/>
      <c r="DB267" s="196"/>
      <c r="DC267" s="196"/>
      <c r="DE267" s="199"/>
      <c r="DF267" s="200"/>
      <c r="DG267" s="181"/>
    </row>
    <row r="268" spans="1:111" ht="38.25" outlineLevel="1" x14ac:dyDescent="0.25">
      <c r="A268" s="192">
        <v>3</v>
      </c>
      <c r="B268" s="325" t="s">
        <v>388</v>
      </c>
      <c r="C268" s="325">
        <v>7930648</v>
      </c>
      <c r="D268" s="214">
        <f t="shared" si="247"/>
        <v>20000</v>
      </c>
      <c r="E268" s="215"/>
      <c r="F268" s="214">
        <f>G268+H268+K268+M268</f>
        <v>20000</v>
      </c>
      <c r="G268" s="333">
        <v>20000</v>
      </c>
      <c r="H268" s="223"/>
      <c r="I268" s="235"/>
      <c r="J268" s="235"/>
      <c r="K268" s="223"/>
      <c r="L268" s="235"/>
      <c r="M268" s="223"/>
      <c r="N268" s="223"/>
      <c r="O268" s="223">
        <f t="shared" si="251"/>
        <v>20000</v>
      </c>
      <c r="P268" s="223">
        <v>0</v>
      </c>
      <c r="Q268" s="224">
        <f t="shared" si="189"/>
        <v>0</v>
      </c>
      <c r="R268" s="223"/>
      <c r="S268" s="326">
        <v>0</v>
      </c>
      <c r="T268" s="326">
        <v>0</v>
      </c>
      <c r="U268" s="223"/>
      <c r="V268" s="326">
        <v>0</v>
      </c>
      <c r="W268" s="326">
        <v>0</v>
      </c>
      <c r="X268" s="223"/>
      <c r="Y268" s="326">
        <v>0</v>
      </c>
      <c r="Z268" s="326">
        <v>0</v>
      </c>
      <c r="AA268" s="223"/>
      <c r="AB268" s="326">
        <v>0</v>
      </c>
      <c r="AC268" s="326">
        <v>0</v>
      </c>
      <c r="AD268" s="223">
        <v>500</v>
      </c>
      <c r="AE268" s="326">
        <v>0</v>
      </c>
      <c r="AF268" s="326">
        <v>2.6315789473684209E-2</v>
      </c>
      <c r="AG268" s="214">
        <v>500</v>
      </c>
      <c r="AH268" s="326">
        <v>0</v>
      </c>
      <c r="AI268" s="326">
        <v>2.6315789473684209E-2</v>
      </c>
      <c r="AJ268" s="303">
        <v>500</v>
      </c>
      <c r="AK268" s="326">
        <v>0</v>
      </c>
      <c r="AL268" s="326">
        <v>2.6315789473684209E-2</v>
      </c>
      <c r="AM268" s="214">
        <v>500</v>
      </c>
      <c r="AN268" s="326">
        <v>0</v>
      </c>
      <c r="AO268" s="326">
        <v>2.6315789473684209E-2</v>
      </c>
      <c r="AP268" s="326"/>
      <c r="AQ268" s="214">
        <v>500</v>
      </c>
      <c r="AR268" s="326">
        <v>0</v>
      </c>
      <c r="AS268" s="326">
        <v>2.6315789473684209E-2</v>
      </c>
      <c r="AT268" s="214">
        <v>500</v>
      </c>
      <c r="AU268" s="326">
        <v>0</v>
      </c>
      <c r="AV268" s="326">
        <v>2.6315789473684209E-2</v>
      </c>
      <c r="AW268" s="326"/>
      <c r="AX268" s="326"/>
      <c r="AY268" s="326"/>
      <c r="AZ268" s="326"/>
      <c r="BA268" s="326"/>
      <c r="BB268" s="326"/>
      <c r="BC268" s="214">
        <v>500</v>
      </c>
      <c r="BD268" s="326">
        <v>0</v>
      </c>
      <c r="BE268" s="326">
        <v>2.6315789473684209E-2</v>
      </c>
      <c r="BF268" s="214"/>
      <c r="BG268" s="214">
        <v>500</v>
      </c>
      <c r="BH268" s="326">
        <v>0</v>
      </c>
      <c r="BI268" s="326">
        <v>2.6315789473684209E-2</v>
      </c>
      <c r="BJ268" s="214">
        <f t="shared" si="190"/>
        <v>19000</v>
      </c>
      <c r="BK268" s="214">
        <v>500</v>
      </c>
      <c r="BL268" s="326">
        <v>0</v>
      </c>
      <c r="BM268" s="326">
        <f t="shared" si="194"/>
        <v>2.6315789473684209E-2</v>
      </c>
      <c r="BN268" s="205">
        <f t="shared" si="260"/>
        <v>0</v>
      </c>
      <c r="BO268" s="205"/>
      <c r="BP268" s="227"/>
      <c r="BQ268" s="327">
        <v>0</v>
      </c>
      <c r="BR268" s="227">
        <v>300</v>
      </c>
      <c r="BS268" s="327">
        <v>0.02</v>
      </c>
      <c r="BT268" s="227">
        <v>1500</v>
      </c>
      <c r="BU268" s="224">
        <v>7.0000000000000007E-2</v>
      </c>
      <c r="BV268" s="227">
        <v>1500</v>
      </c>
      <c r="BW268" s="327">
        <v>0.08</v>
      </c>
      <c r="BX268" s="227">
        <v>1500</v>
      </c>
      <c r="BY268" s="327">
        <v>0.08</v>
      </c>
      <c r="BZ268" s="227">
        <v>13500</v>
      </c>
      <c r="CA268" s="327">
        <v>0.68</v>
      </c>
      <c r="CB268" s="227">
        <v>13500</v>
      </c>
      <c r="CC268" s="327">
        <v>0.68</v>
      </c>
      <c r="CD268" s="227">
        <v>13500</v>
      </c>
      <c r="CE268" s="327">
        <v>0.68</v>
      </c>
      <c r="CF268" s="227">
        <v>17000</v>
      </c>
      <c r="CG268" s="327">
        <v>0.85</v>
      </c>
      <c r="CH268" s="227">
        <v>17000</v>
      </c>
      <c r="CI268" s="327">
        <v>0.85</v>
      </c>
      <c r="CJ268" s="227">
        <v>17000</v>
      </c>
      <c r="CK268" s="327">
        <v>0.85</v>
      </c>
      <c r="CL268" s="227">
        <v>17000</v>
      </c>
      <c r="CM268" s="327">
        <v>0.85</v>
      </c>
      <c r="CN268" s="227">
        <v>19000</v>
      </c>
      <c r="CO268" s="327">
        <v>0.95</v>
      </c>
      <c r="CP268" s="213" t="str">
        <f t="shared" si="196"/>
        <v>Không đạt</v>
      </c>
      <c r="CQ268" s="213" t="str">
        <f t="shared" si="197"/>
        <v>Không đạt</v>
      </c>
      <c r="CR268" s="192"/>
      <c r="CS268" s="192"/>
      <c r="CT268" s="223"/>
      <c r="CU268" s="163"/>
      <c r="CW268" s="195"/>
      <c r="CX268" s="196"/>
      <c r="CY268" s="196"/>
      <c r="CZ268" s="197"/>
      <c r="DA268" s="196"/>
      <c r="DB268" s="196"/>
      <c r="DC268" s="196"/>
      <c r="DE268" s="199"/>
      <c r="DF268" s="200"/>
      <c r="DG268" s="181"/>
    </row>
    <row r="269" spans="1:111" s="324" customFormat="1" outlineLevel="1" x14ac:dyDescent="0.25">
      <c r="A269" s="305" t="s">
        <v>34</v>
      </c>
      <c r="B269" s="318" t="s">
        <v>376</v>
      </c>
      <c r="C269" s="306"/>
      <c r="D269" s="307">
        <f t="shared" si="247"/>
        <v>3000</v>
      </c>
      <c r="E269" s="307"/>
      <c r="F269" s="307">
        <f>G269+H269+K269+M269</f>
        <v>3000</v>
      </c>
      <c r="G269" s="307">
        <v>3000</v>
      </c>
      <c r="H269" s="303"/>
      <c r="I269" s="235"/>
      <c r="J269" s="235"/>
      <c r="K269" s="303"/>
      <c r="L269" s="235"/>
      <c r="M269" s="223"/>
      <c r="N269" s="223"/>
      <c r="O269" s="303">
        <f t="shared" si="251"/>
        <v>3000</v>
      </c>
      <c r="P269" s="303">
        <v>0</v>
      </c>
      <c r="Q269" s="308">
        <f t="shared" si="189"/>
        <v>0</v>
      </c>
      <c r="R269" s="303">
        <v>495.32</v>
      </c>
      <c r="S269" s="313">
        <v>0</v>
      </c>
      <c r="T269" s="313">
        <v>0.17379649122807017</v>
      </c>
      <c r="U269" s="303">
        <v>2379.8415</v>
      </c>
      <c r="V269" s="313">
        <v>0</v>
      </c>
      <c r="W269" s="313">
        <v>0.83503210526315785</v>
      </c>
      <c r="X269" s="303">
        <v>2379.8415</v>
      </c>
      <c r="Y269" s="313">
        <v>0</v>
      </c>
      <c r="Z269" s="313">
        <v>0.83503210526315785</v>
      </c>
      <c r="AA269" s="303">
        <v>2379.8415</v>
      </c>
      <c r="AB269" s="313">
        <v>0</v>
      </c>
      <c r="AC269" s="313">
        <v>0.83503210526315785</v>
      </c>
      <c r="AD269" s="303">
        <v>2379.8415</v>
      </c>
      <c r="AE269" s="313">
        <v>0</v>
      </c>
      <c r="AF269" s="313">
        <v>0.83503210526315785</v>
      </c>
      <c r="AG269" s="303">
        <v>2379.8415</v>
      </c>
      <c r="AH269" s="313">
        <v>0</v>
      </c>
      <c r="AI269" s="313">
        <v>0.83503210526315785</v>
      </c>
      <c r="AJ269" s="307">
        <v>2379.8415</v>
      </c>
      <c r="AK269" s="313">
        <v>0</v>
      </c>
      <c r="AL269" s="313">
        <v>0.83503210526315785</v>
      </c>
      <c r="AM269" s="303">
        <v>2379.8415</v>
      </c>
      <c r="AN269" s="313">
        <v>0</v>
      </c>
      <c r="AO269" s="313">
        <v>0.83503210526315785</v>
      </c>
      <c r="AP269" s="313"/>
      <c r="AQ269" s="303">
        <v>2850</v>
      </c>
      <c r="AR269" s="313">
        <v>0</v>
      </c>
      <c r="AS269" s="313">
        <v>1</v>
      </c>
      <c r="AT269" s="303">
        <v>2850</v>
      </c>
      <c r="AU269" s="313">
        <v>0</v>
      </c>
      <c r="AV269" s="313">
        <v>1</v>
      </c>
      <c r="AW269" s="313"/>
      <c r="AX269" s="313"/>
      <c r="AY269" s="313"/>
      <c r="AZ269" s="313"/>
      <c r="BA269" s="313"/>
      <c r="BB269" s="313"/>
      <c r="BC269" s="303">
        <v>2850</v>
      </c>
      <c r="BD269" s="313">
        <v>0</v>
      </c>
      <c r="BE269" s="313">
        <v>1</v>
      </c>
      <c r="BF269" s="303"/>
      <c r="BG269" s="303">
        <v>2850</v>
      </c>
      <c r="BH269" s="313">
        <v>0</v>
      </c>
      <c r="BI269" s="313">
        <v>1</v>
      </c>
      <c r="BJ269" s="303">
        <f t="shared" si="190"/>
        <v>2850</v>
      </c>
      <c r="BK269" s="303">
        <v>2850</v>
      </c>
      <c r="BL269" s="313">
        <v>0</v>
      </c>
      <c r="BM269" s="313">
        <f t="shared" si="194"/>
        <v>1</v>
      </c>
      <c r="BN269" s="205">
        <f t="shared" si="260"/>
        <v>470.1585</v>
      </c>
      <c r="BO269" s="205"/>
      <c r="BP269" s="310"/>
      <c r="BQ269" s="311">
        <v>0</v>
      </c>
      <c r="BR269" s="310">
        <v>300</v>
      </c>
      <c r="BS269" s="311">
        <v>0.1</v>
      </c>
      <c r="BT269" s="310">
        <v>1000</v>
      </c>
      <c r="BU269" s="308">
        <v>0.33</v>
      </c>
      <c r="BV269" s="310">
        <v>1000</v>
      </c>
      <c r="BW269" s="311">
        <v>0.33</v>
      </c>
      <c r="BX269" s="310">
        <v>1000</v>
      </c>
      <c r="BY269" s="311">
        <v>0.33</v>
      </c>
      <c r="BZ269" s="310">
        <v>2850</v>
      </c>
      <c r="CA269" s="311">
        <v>0.95</v>
      </c>
      <c r="CB269" s="310">
        <v>2850</v>
      </c>
      <c r="CC269" s="311">
        <v>0.95</v>
      </c>
      <c r="CD269" s="310">
        <v>2850</v>
      </c>
      <c r="CE269" s="311">
        <v>0.95</v>
      </c>
      <c r="CF269" s="310">
        <v>2850</v>
      </c>
      <c r="CG269" s="311">
        <v>0.95</v>
      </c>
      <c r="CH269" s="310">
        <v>2850</v>
      </c>
      <c r="CI269" s="311">
        <v>0.95</v>
      </c>
      <c r="CJ269" s="310">
        <v>2850</v>
      </c>
      <c r="CK269" s="311">
        <v>0.95</v>
      </c>
      <c r="CL269" s="310">
        <v>2850</v>
      </c>
      <c r="CM269" s="311">
        <v>0.95</v>
      </c>
      <c r="CN269" s="310">
        <v>2850</v>
      </c>
      <c r="CO269" s="311">
        <v>0.95</v>
      </c>
      <c r="CP269" s="213" t="str">
        <f t="shared" si="196"/>
        <v>Đạt</v>
      </c>
      <c r="CQ269" s="213" t="str">
        <f t="shared" si="197"/>
        <v>Đạt</v>
      </c>
      <c r="CR269" s="312"/>
      <c r="CS269" s="312"/>
      <c r="CT269" s="235"/>
      <c r="CU269" s="163"/>
      <c r="CV269" s="323"/>
      <c r="CW269" s="195"/>
      <c r="CX269" s="196"/>
      <c r="CY269" s="196"/>
      <c r="CZ269" s="197"/>
      <c r="DA269" s="196"/>
      <c r="DB269" s="196"/>
      <c r="DC269" s="196"/>
      <c r="DE269" s="199"/>
      <c r="DF269" s="200"/>
      <c r="DG269" s="181"/>
    </row>
    <row r="270" spans="1:111" ht="45" customHeight="1" outlineLevel="1" x14ac:dyDescent="0.25">
      <c r="A270" s="305" t="s">
        <v>34</v>
      </c>
      <c r="B270" s="306" t="s">
        <v>377</v>
      </c>
      <c r="C270" s="306"/>
      <c r="D270" s="307">
        <f t="shared" si="247"/>
        <v>43900</v>
      </c>
      <c r="E270" s="307"/>
      <c r="F270" s="307">
        <f>G270+H270+K270+M270</f>
        <v>43900</v>
      </c>
      <c r="G270" s="307"/>
      <c r="H270" s="307">
        <v>43900</v>
      </c>
      <c r="I270" s="235"/>
      <c r="J270" s="235"/>
      <c r="K270" s="303"/>
      <c r="L270" s="235"/>
      <c r="M270" s="223"/>
      <c r="N270" s="223"/>
      <c r="O270" s="303"/>
      <c r="P270" s="303">
        <v>0</v>
      </c>
      <c r="Q270" s="308">
        <f t="shared" si="189"/>
        <v>0</v>
      </c>
      <c r="R270" s="303">
        <v>9</v>
      </c>
      <c r="S270" s="313">
        <v>0</v>
      </c>
      <c r="T270" s="313">
        <v>2.15801462654358E-4</v>
      </c>
      <c r="U270" s="303">
        <v>563.57650000000001</v>
      </c>
      <c r="V270" s="313">
        <v>0</v>
      </c>
      <c r="W270" s="313">
        <v>1.3513403668624866E-2</v>
      </c>
      <c r="X270" s="303">
        <v>563.57650000000001</v>
      </c>
      <c r="Y270" s="313">
        <v>0</v>
      </c>
      <c r="Z270" s="313">
        <v>1.3513403668624866E-2</v>
      </c>
      <c r="AA270" s="303">
        <v>563.57650000000001</v>
      </c>
      <c r="AB270" s="313">
        <v>0</v>
      </c>
      <c r="AC270" s="313">
        <v>1.3513403668624866E-2</v>
      </c>
      <c r="AD270" s="303">
        <v>615</v>
      </c>
      <c r="AE270" s="313">
        <v>0</v>
      </c>
      <c r="AF270" s="313">
        <v>1.474643328138113E-2</v>
      </c>
      <c r="AG270" s="307">
        <v>615</v>
      </c>
      <c r="AH270" s="313">
        <v>0</v>
      </c>
      <c r="AI270" s="313">
        <v>1.474643328138113E-2</v>
      </c>
      <c r="AJ270" s="188">
        <v>615</v>
      </c>
      <c r="AK270" s="313">
        <v>0</v>
      </c>
      <c r="AL270" s="313">
        <v>1.474643328138113E-2</v>
      </c>
      <c r="AM270" s="307">
        <v>615</v>
      </c>
      <c r="AN270" s="313">
        <v>0</v>
      </c>
      <c r="AO270" s="313">
        <v>1.474643328138113E-2</v>
      </c>
      <c r="AP270" s="313"/>
      <c r="AQ270" s="307">
        <v>4026.0410000000002</v>
      </c>
      <c r="AR270" s="313">
        <v>0</v>
      </c>
      <c r="AS270" s="313">
        <v>9.6536170722934897E-2</v>
      </c>
      <c r="AT270" s="307">
        <v>4026.0410000000002</v>
      </c>
      <c r="AU270" s="313">
        <v>0</v>
      </c>
      <c r="AV270" s="313">
        <v>9.6536170722934897E-2</v>
      </c>
      <c r="AW270" s="313"/>
      <c r="AX270" s="313"/>
      <c r="AY270" s="313"/>
      <c r="AZ270" s="313"/>
      <c r="BA270" s="313"/>
      <c r="BB270" s="313"/>
      <c r="BC270" s="307">
        <v>4026.0410000000002</v>
      </c>
      <c r="BD270" s="313">
        <v>0</v>
      </c>
      <c r="BE270" s="313">
        <v>9.6536170722934897E-2</v>
      </c>
      <c r="BF270" s="307"/>
      <c r="BG270" s="307">
        <v>4026.0410000000002</v>
      </c>
      <c r="BH270" s="313">
        <v>0</v>
      </c>
      <c r="BI270" s="313">
        <v>9.6536170722934897E-2</v>
      </c>
      <c r="BJ270" s="307">
        <f t="shared" si="190"/>
        <v>41705</v>
      </c>
      <c r="BK270" s="307">
        <v>5311.098</v>
      </c>
      <c r="BL270" s="313">
        <v>0</v>
      </c>
      <c r="BM270" s="313">
        <f t="shared" si="194"/>
        <v>0.12734919074451503</v>
      </c>
      <c r="BN270" s="205">
        <f t="shared" si="260"/>
        <v>4696.098</v>
      </c>
      <c r="BO270" s="205"/>
      <c r="BP270" s="310">
        <v>0</v>
      </c>
      <c r="BQ270" s="311">
        <v>0</v>
      </c>
      <c r="BR270" s="310">
        <v>0</v>
      </c>
      <c r="BS270" s="311">
        <v>0</v>
      </c>
      <c r="BT270" s="310">
        <v>6585</v>
      </c>
      <c r="BU270" s="308">
        <v>0.15</v>
      </c>
      <c r="BV270" s="310">
        <v>6585</v>
      </c>
      <c r="BW270" s="311">
        <v>0.15</v>
      </c>
      <c r="BX270" s="310">
        <v>6585</v>
      </c>
      <c r="BY270" s="311">
        <v>0.15</v>
      </c>
      <c r="BZ270" s="310">
        <v>16682</v>
      </c>
      <c r="CA270" s="311">
        <v>0.38</v>
      </c>
      <c r="CB270" s="310">
        <v>16682</v>
      </c>
      <c r="CC270" s="311">
        <v>0.38</v>
      </c>
      <c r="CD270" s="310">
        <v>16682</v>
      </c>
      <c r="CE270" s="311">
        <v>0.38</v>
      </c>
      <c r="CF270" s="310">
        <v>26340</v>
      </c>
      <c r="CG270" s="311">
        <v>0.6</v>
      </c>
      <c r="CH270" s="310">
        <v>26340</v>
      </c>
      <c r="CI270" s="311">
        <v>0.6</v>
      </c>
      <c r="CJ270" s="310">
        <v>26340</v>
      </c>
      <c r="CK270" s="311">
        <v>0.6</v>
      </c>
      <c r="CL270" s="310">
        <v>39510</v>
      </c>
      <c r="CM270" s="311">
        <v>0.9</v>
      </c>
      <c r="CN270" s="310">
        <v>41705</v>
      </c>
      <c r="CO270" s="311">
        <v>0.95</v>
      </c>
      <c r="CP270" s="213" t="str">
        <f t="shared" si="196"/>
        <v>Không đạt</v>
      </c>
      <c r="CQ270" s="213" t="str">
        <f t="shared" si="197"/>
        <v>Không đạt</v>
      </c>
      <c r="CR270" s="312"/>
      <c r="CS270" s="312"/>
      <c r="CT270" s="235"/>
      <c r="CU270" s="163"/>
      <c r="CW270" s="195"/>
      <c r="CX270" s="196"/>
      <c r="CY270" s="196"/>
      <c r="CZ270" s="197"/>
      <c r="DA270" s="196"/>
      <c r="DB270" s="196"/>
      <c r="DC270" s="196"/>
      <c r="DE270" s="199"/>
      <c r="DF270" s="200"/>
      <c r="DG270" s="181"/>
    </row>
    <row r="271" spans="1:111" ht="18" customHeight="1" x14ac:dyDescent="0.25">
      <c r="A271" s="213">
        <f>MAX(A$243:A269)+1</f>
        <v>7</v>
      </c>
      <c r="B271" s="240" t="s">
        <v>389</v>
      </c>
      <c r="C271" s="240"/>
      <c r="D271" s="188">
        <f>D272</f>
        <v>3000</v>
      </c>
      <c r="E271" s="188">
        <f t="shared" ref="E271:L271" si="261">E272</f>
        <v>0</v>
      </c>
      <c r="F271" s="188">
        <f t="shared" si="261"/>
        <v>3000</v>
      </c>
      <c r="G271" s="188">
        <f t="shared" si="261"/>
        <v>3000</v>
      </c>
      <c r="H271" s="188">
        <f t="shared" si="261"/>
        <v>0</v>
      </c>
      <c r="I271" s="188">
        <f t="shared" si="261"/>
        <v>0</v>
      </c>
      <c r="J271" s="188"/>
      <c r="K271" s="188">
        <f t="shared" si="261"/>
        <v>0</v>
      </c>
      <c r="L271" s="188">
        <f t="shared" si="261"/>
        <v>0</v>
      </c>
      <c r="M271" s="231"/>
      <c r="N271" s="231"/>
      <c r="O271" s="188">
        <f t="shared" si="251"/>
        <v>3000</v>
      </c>
      <c r="P271" s="188">
        <v>0</v>
      </c>
      <c r="Q271" s="186">
        <f t="shared" si="189"/>
        <v>0</v>
      </c>
      <c r="R271" s="188">
        <v>0</v>
      </c>
      <c r="S271" s="185">
        <v>0</v>
      </c>
      <c r="T271" s="185">
        <v>0</v>
      </c>
      <c r="U271" s="188">
        <v>0</v>
      </c>
      <c r="V271" s="185">
        <v>0</v>
      </c>
      <c r="W271" s="185">
        <v>0</v>
      </c>
      <c r="X271" s="188">
        <v>0</v>
      </c>
      <c r="Y271" s="185">
        <v>0</v>
      </c>
      <c r="Z271" s="185">
        <v>0</v>
      </c>
      <c r="AA271" s="188">
        <v>0</v>
      </c>
      <c r="AB271" s="185">
        <v>0</v>
      </c>
      <c r="AC271" s="185">
        <v>0</v>
      </c>
      <c r="AD271" s="188">
        <v>0</v>
      </c>
      <c r="AE271" s="185">
        <v>0</v>
      </c>
      <c r="AF271" s="185">
        <v>0</v>
      </c>
      <c r="AG271" s="188">
        <v>0</v>
      </c>
      <c r="AH271" s="185">
        <v>0</v>
      </c>
      <c r="AI271" s="185">
        <v>0</v>
      </c>
      <c r="AJ271" s="303">
        <v>0</v>
      </c>
      <c r="AK271" s="185">
        <v>0</v>
      </c>
      <c r="AL271" s="185">
        <v>0</v>
      </c>
      <c r="AM271" s="188">
        <v>0</v>
      </c>
      <c r="AN271" s="185">
        <v>0</v>
      </c>
      <c r="AO271" s="185">
        <v>0</v>
      </c>
      <c r="AP271" s="185"/>
      <c r="AQ271" s="188">
        <v>503.98</v>
      </c>
      <c r="AR271" s="185">
        <v>0.16799333333333333</v>
      </c>
      <c r="AS271" s="185">
        <v>0.17683508771929826</v>
      </c>
      <c r="AT271" s="188">
        <v>503.98</v>
      </c>
      <c r="AU271" s="185">
        <v>0.16799333333333333</v>
      </c>
      <c r="AV271" s="185">
        <v>0.17683508771929826</v>
      </c>
      <c r="AW271" s="185"/>
      <c r="AX271" s="185"/>
      <c r="AY271" s="185"/>
      <c r="AZ271" s="185"/>
      <c r="BA271" s="185"/>
      <c r="BB271" s="185"/>
      <c r="BC271" s="188">
        <v>503.98</v>
      </c>
      <c r="BD271" s="185">
        <v>0.16799333333333333</v>
      </c>
      <c r="BE271" s="185">
        <v>0.17683508771929826</v>
      </c>
      <c r="BF271" s="188"/>
      <c r="BG271" s="188">
        <v>1230.6559999999999</v>
      </c>
      <c r="BH271" s="185">
        <v>0.41021866666666668</v>
      </c>
      <c r="BI271" s="185">
        <v>0.43180912280701755</v>
      </c>
      <c r="BJ271" s="188">
        <f t="shared" si="190"/>
        <v>2850</v>
      </c>
      <c r="BK271" s="188">
        <v>2618.4969999999998</v>
      </c>
      <c r="BL271" s="185">
        <f t="shared" ref="BL271:BL334" si="262">BK271/$D271</f>
        <v>0.87283233333333332</v>
      </c>
      <c r="BM271" s="185">
        <f t="shared" si="194"/>
        <v>0.91877087719298245</v>
      </c>
      <c r="BN271" s="205">
        <f t="shared" si="260"/>
        <v>2618.4969999999998</v>
      </c>
      <c r="BO271" s="205"/>
      <c r="BP271" s="189">
        <f>BP272</f>
        <v>0</v>
      </c>
      <c r="BQ271" s="186">
        <f t="shared" ref="BQ271:BQ334" si="263">BP271/$D271</f>
        <v>0</v>
      </c>
      <c r="BR271" s="189">
        <f>BR272</f>
        <v>0</v>
      </c>
      <c r="BS271" s="186">
        <f t="shared" ref="BS271:BS334" si="264">BR271/$D271</f>
        <v>0</v>
      </c>
      <c r="BT271" s="189">
        <f>BT272</f>
        <v>0</v>
      </c>
      <c r="BU271" s="186">
        <f t="shared" ref="BU271:BU334" si="265">BT271/$D271</f>
        <v>0</v>
      </c>
      <c r="BV271" s="189">
        <f>BV272</f>
        <v>500</v>
      </c>
      <c r="BW271" s="186">
        <f t="shared" ref="BW271:BW334" si="266">BV271/$D271</f>
        <v>0.16666666666666666</v>
      </c>
      <c r="BX271" s="189">
        <f>BX272</f>
        <v>500</v>
      </c>
      <c r="BY271" s="186">
        <f t="shared" ref="BY271:BY334" si="267">BX271/$D271</f>
        <v>0.16666666666666666</v>
      </c>
      <c r="BZ271" s="189">
        <f>BZ272</f>
        <v>1500</v>
      </c>
      <c r="CA271" s="186">
        <f t="shared" ref="CA271:CA334" si="268">BZ271/$D271</f>
        <v>0.5</v>
      </c>
      <c r="CB271" s="189">
        <f>CB272</f>
        <v>1500</v>
      </c>
      <c r="CC271" s="186">
        <f t="shared" ref="CC271:CC334" si="269">CB271/$D271</f>
        <v>0.5</v>
      </c>
      <c r="CD271" s="189">
        <f>CD272</f>
        <v>1500</v>
      </c>
      <c r="CE271" s="186">
        <f t="shared" ref="CE271:CE334" si="270">CD271/$D271</f>
        <v>0.5</v>
      </c>
      <c r="CF271" s="189">
        <f>CF272</f>
        <v>2850</v>
      </c>
      <c r="CG271" s="186">
        <f t="shared" ref="CG271:CG334" si="271">CF271/$D271</f>
        <v>0.95</v>
      </c>
      <c r="CH271" s="189">
        <f>CH272</f>
        <v>2850</v>
      </c>
      <c r="CI271" s="186">
        <f t="shared" ref="CI271:CI334" si="272">CH271/$D271</f>
        <v>0.95</v>
      </c>
      <c r="CJ271" s="189">
        <f>CJ272</f>
        <v>2850</v>
      </c>
      <c r="CK271" s="186">
        <f t="shared" ref="CK271:CK334" si="273">CJ271/$D271</f>
        <v>0.95</v>
      </c>
      <c r="CL271" s="189">
        <f>CL272</f>
        <v>2850</v>
      </c>
      <c r="CM271" s="186">
        <f t="shared" ref="CM271:CM334" si="274">CL271/$D271</f>
        <v>0.95</v>
      </c>
      <c r="CN271" s="189">
        <f>CN272</f>
        <v>2850</v>
      </c>
      <c r="CO271" s="186">
        <f t="shared" ref="CO271:CO334" si="275">CN271/$D271</f>
        <v>0.95</v>
      </c>
      <c r="CP271" s="213" t="str">
        <f t="shared" si="196"/>
        <v>Đạt</v>
      </c>
      <c r="CQ271" s="213" t="str">
        <f t="shared" si="197"/>
        <v>Đạt</v>
      </c>
      <c r="CR271" s="213"/>
      <c r="CS271" s="213"/>
      <c r="CT271" s="231"/>
      <c r="CU271" s="163"/>
      <c r="CW271" s="195"/>
      <c r="CX271" s="196"/>
      <c r="CY271" s="196"/>
      <c r="CZ271" s="197"/>
      <c r="DA271" s="196"/>
      <c r="DB271" s="196"/>
      <c r="DC271" s="196"/>
      <c r="DE271" s="199"/>
      <c r="DF271" s="200"/>
      <c r="DG271" s="181"/>
    </row>
    <row r="272" spans="1:111" s="324" customFormat="1" outlineLevel="1" x14ac:dyDescent="0.25">
      <c r="A272" s="305" t="s">
        <v>34</v>
      </c>
      <c r="B272" s="306" t="s">
        <v>376</v>
      </c>
      <c r="C272" s="306"/>
      <c r="D272" s="307">
        <f t="shared" si="247"/>
        <v>3000</v>
      </c>
      <c r="E272" s="307"/>
      <c r="F272" s="307">
        <f>G272+H272+K272+M272</f>
        <v>3000</v>
      </c>
      <c r="G272" s="303">
        <v>3000</v>
      </c>
      <c r="H272" s="303"/>
      <c r="I272" s="235"/>
      <c r="J272" s="235"/>
      <c r="K272" s="303"/>
      <c r="L272" s="235"/>
      <c r="M272" s="223"/>
      <c r="N272" s="223"/>
      <c r="O272" s="303">
        <f t="shared" si="251"/>
        <v>3000</v>
      </c>
      <c r="P272" s="303">
        <v>0</v>
      </c>
      <c r="Q272" s="308">
        <f t="shared" ref="Q272:Q335" si="276">P272/$D272</f>
        <v>0</v>
      </c>
      <c r="R272" s="303"/>
      <c r="S272" s="313">
        <v>0</v>
      </c>
      <c r="T272" s="313">
        <v>0</v>
      </c>
      <c r="U272" s="303"/>
      <c r="V272" s="313">
        <v>0</v>
      </c>
      <c r="W272" s="313">
        <v>0</v>
      </c>
      <c r="X272" s="303"/>
      <c r="Y272" s="313">
        <v>0</v>
      </c>
      <c r="Z272" s="313">
        <v>0</v>
      </c>
      <c r="AA272" s="303"/>
      <c r="AB272" s="313">
        <v>0</v>
      </c>
      <c r="AC272" s="313">
        <v>0</v>
      </c>
      <c r="AD272" s="303"/>
      <c r="AE272" s="313">
        <v>0</v>
      </c>
      <c r="AF272" s="313">
        <v>0</v>
      </c>
      <c r="AG272" s="303"/>
      <c r="AH272" s="313">
        <v>0</v>
      </c>
      <c r="AI272" s="313">
        <v>0</v>
      </c>
      <c r="AJ272" s="188"/>
      <c r="AK272" s="313">
        <v>0</v>
      </c>
      <c r="AL272" s="313">
        <v>0</v>
      </c>
      <c r="AM272" s="303"/>
      <c r="AN272" s="313">
        <v>0</v>
      </c>
      <c r="AO272" s="313">
        <v>0</v>
      </c>
      <c r="AP272" s="313"/>
      <c r="AQ272" s="303">
        <v>503.98</v>
      </c>
      <c r="AR272" s="313">
        <v>0.16799333333333333</v>
      </c>
      <c r="AS272" s="313">
        <v>0.17683508771929826</v>
      </c>
      <c r="AT272" s="303">
        <v>503.98</v>
      </c>
      <c r="AU272" s="313">
        <v>0.16799333333333333</v>
      </c>
      <c r="AV272" s="313">
        <v>0.17683508771929826</v>
      </c>
      <c r="AW272" s="313"/>
      <c r="AX272" s="313"/>
      <c r="AY272" s="313"/>
      <c r="AZ272" s="313"/>
      <c r="BA272" s="313"/>
      <c r="BB272" s="313"/>
      <c r="BC272" s="303">
        <v>503.98</v>
      </c>
      <c r="BD272" s="313">
        <v>0.16799333333333333</v>
      </c>
      <c r="BE272" s="313">
        <v>0.17683508771929826</v>
      </c>
      <c r="BF272" s="303"/>
      <c r="BG272" s="303">
        <v>1230.6559999999999</v>
      </c>
      <c r="BH272" s="313">
        <v>0.41021866666666668</v>
      </c>
      <c r="BI272" s="313">
        <v>0.43180912280701755</v>
      </c>
      <c r="BJ272" s="303">
        <f t="shared" ref="BJ272:BJ335" si="277">E272+(F272*0.95)</f>
        <v>2850</v>
      </c>
      <c r="BK272" s="303">
        <v>2618.4969999999998</v>
      </c>
      <c r="BL272" s="313">
        <f t="shared" si="262"/>
        <v>0.87283233333333332</v>
      </c>
      <c r="BM272" s="313">
        <f t="shared" si="194"/>
        <v>0.91877087719298245</v>
      </c>
      <c r="BN272" s="205">
        <f t="shared" si="260"/>
        <v>2618.4969999999998</v>
      </c>
      <c r="BO272" s="205"/>
      <c r="BP272" s="310"/>
      <c r="BQ272" s="311">
        <f t="shared" si="263"/>
        <v>0</v>
      </c>
      <c r="BR272" s="310"/>
      <c r="BS272" s="311">
        <f t="shared" si="264"/>
        <v>0</v>
      </c>
      <c r="BT272" s="310"/>
      <c r="BU272" s="308">
        <f t="shared" si="265"/>
        <v>0</v>
      </c>
      <c r="BV272" s="310">
        <v>500</v>
      </c>
      <c r="BW272" s="311">
        <f t="shared" si="266"/>
        <v>0.16666666666666666</v>
      </c>
      <c r="BX272" s="310">
        <v>500</v>
      </c>
      <c r="BY272" s="311">
        <f t="shared" si="267"/>
        <v>0.16666666666666666</v>
      </c>
      <c r="BZ272" s="310">
        <v>1500</v>
      </c>
      <c r="CA272" s="311">
        <f t="shared" si="268"/>
        <v>0.5</v>
      </c>
      <c r="CB272" s="310">
        <v>1500</v>
      </c>
      <c r="CC272" s="311">
        <f t="shared" si="269"/>
        <v>0.5</v>
      </c>
      <c r="CD272" s="310">
        <v>1500</v>
      </c>
      <c r="CE272" s="311">
        <f t="shared" si="270"/>
        <v>0.5</v>
      </c>
      <c r="CF272" s="310">
        <v>2850</v>
      </c>
      <c r="CG272" s="311">
        <f t="shared" si="271"/>
        <v>0.95</v>
      </c>
      <c r="CH272" s="310">
        <v>2850</v>
      </c>
      <c r="CI272" s="311">
        <f t="shared" si="272"/>
        <v>0.95</v>
      </c>
      <c r="CJ272" s="310">
        <v>2850</v>
      </c>
      <c r="CK272" s="311">
        <f t="shared" si="273"/>
        <v>0.95</v>
      </c>
      <c r="CL272" s="310">
        <v>2850</v>
      </c>
      <c r="CM272" s="311">
        <f t="shared" si="274"/>
        <v>0.95</v>
      </c>
      <c r="CN272" s="310">
        <v>2850</v>
      </c>
      <c r="CO272" s="311">
        <f t="shared" si="275"/>
        <v>0.95</v>
      </c>
      <c r="CP272" s="213" t="str">
        <f t="shared" si="196"/>
        <v>Đạt</v>
      </c>
      <c r="CQ272" s="213" t="str">
        <f t="shared" si="197"/>
        <v>Đạt</v>
      </c>
      <c r="CR272" s="312"/>
      <c r="CS272" s="312"/>
      <c r="CT272" s="235"/>
      <c r="CU272" s="163"/>
      <c r="CV272" s="323"/>
      <c r="CW272" s="195"/>
      <c r="CX272" s="196"/>
      <c r="CY272" s="196"/>
      <c r="CZ272" s="197"/>
      <c r="DA272" s="196"/>
      <c r="DB272" s="196"/>
      <c r="DC272" s="196"/>
      <c r="DE272" s="199"/>
      <c r="DF272" s="200"/>
      <c r="DG272" s="181"/>
    </row>
    <row r="273" spans="1:111" ht="18" customHeight="1" x14ac:dyDescent="0.25">
      <c r="A273" s="316">
        <f>MAX(A$243:A272)+1</f>
        <v>8</v>
      </c>
      <c r="B273" s="240" t="s">
        <v>390</v>
      </c>
      <c r="C273" s="240"/>
      <c r="D273" s="188">
        <f t="shared" ref="D273:I273" si="278">D274+D275</f>
        <v>3425</v>
      </c>
      <c r="E273" s="188">
        <f t="shared" si="278"/>
        <v>0</v>
      </c>
      <c r="F273" s="188">
        <f t="shared" si="278"/>
        <v>3425</v>
      </c>
      <c r="G273" s="188">
        <f t="shared" si="278"/>
        <v>3000</v>
      </c>
      <c r="H273" s="188">
        <f t="shared" si="278"/>
        <v>425</v>
      </c>
      <c r="I273" s="188">
        <f t="shared" si="278"/>
        <v>0</v>
      </c>
      <c r="J273" s="188"/>
      <c r="K273" s="188">
        <f>K274+K275</f>
        <v>0</v>
      </c>
      <c r="L273" s="188">
        <f>L274+L275</f>
        <v>0</v>
      </c>
      <c r="M273" s="188">
        <f>M274+M275</f>
        <v>0</v>
      </c>
      <c r="N273" s="188">
        <f>N274+N275</f>
        <v>0</v>
      </c>
      <c r="O273" s="188">
        <f>O274+O275</f>
        <v>3000</v>
      </c>
      <c r="P273" s="188">
        <v>0</v>
      </c>
      <c r="Q273" s="186">
        <f t="shared" si="276"/>
        <v>0</v>
      </c>
      <c r="R273" s="188">
        <v>0</v>
      </c>
      <c r="S273" s="185">
        <v>0</v>
      </c>
      <c r="T273" s="185">
        <v>0</v>
      </c>
      <c r="U273" s="188">
        <v>0</v>
      </c>
      <c r="V273" s="185">
        <v>0</v>
      </c>
      <c r="W273" s="185">
        <v>0</v>
      </c>
      <c r="X273" s="188">
        <v>0</v>
      </c>
      <c r="Y273" s="185">
        <v>0</v>
      </c>
      <c r="Z273" s="185">
        <v>0</v>
      </c>
      <c r="AA273" s="188">
        <v>0</v>
      </c>
      <c r="AB273" s="185">
        <v>0</v>
      </c>
      <c r="AC273" s="185">
        <v>0</v>
      </c>
      <c r="AD273" s="188">
        <v>295.38400000000001</v>
      </c>
      <c r="AE273" s="185">
        <v>0.54510948905109491</v>
      </c>
      <c r="AF273" s="185">
        <v>0.5737994621590472</v>
      </c>
      <c r="AG273" s="188">
        <v>1867</v>
      </c>
      <c r="AH273" s="185">
        <v>0.54510948905109491</v>
      </c>
      <c r="AI273" s="185">
        <v>0.5737994621590472</v>
      </c>
      <c r="AJ273" s="303">
        <v>1867</v>
      </c>
      <c r="AK273" s="185">
        <v>0.54510948905109491</v>
      </c>
      <c r="AL273" s="185">
        <v>0.5737994621590472</v>
      </c>
      <c r="AM273" s="188">
        <v>295.38400000000001</v>
      </c>
      <c r="AN273" s="185">
        <v>8.6243503649635039E-2</v>
      </c>
      <c r="AO273" s="185">
        <v>9.0782635420668459E-2</v>
      </c>
      <c r="AP273" s="185"/>
      <c r="AQ273" s="188">
        <v>295.38400000000001</v>
      </c>
      <c r="AR273" s="185">
        <v>8.6243503649635039E-2</v>
      </c>
      <c r="AS273" s="185">
        <v>9.0782635420668459E-2</v>
      </c>
      <c r="AT273" s="188">
        <v>295.38400000000001</v>
      </c>
      <c r="AU273" s="185">
        <v>8.6243503649635039E-2</v>
      </c>
      <c r="AV273" s="185">
        <v>9.0782635420668459E-2</v>
      </c>
      <c r="AW273" s="185"/>
      <c r="AX273" s="185"/>
      <c r="AY273" s="185"/>
      <c r="AZ273" s="185"/>
      <c r="BA273" s="185"/>
      <c r="BB273" s="185"/>
      <c r="BC273" s="188">
        <v>295.38400000000001</v>
      </c>
      <c r="BD273" s="185">
        <v>8.6243503649635039E-2</v>
      </c>
      <c r="BE273" s="185">
        <v>9.0782635420668459E-2</v>
      </c>
      <c r="BF273" s="188"/>
      <c r="BG273" s="188">
        <v>1940.269</v>
      </c>
      <c r="BH273" s="185">
        <v>0.56650189781021898</v>
      </c>
      <c r="BI273" s="185">
        <v>0.59631778716865158</v>
      </c>
      <c r="BJ273" s="188">
        <f t="shared" si="277"/>
        <v>3253.75</v>
      </c>
      <c r="BK273" s="188">
        <v>2326.86</v>
      </c>
      <c r="BL273" s="185">
        <f t="shared" si="262"/>
        <v>0.67937518248175188</v>
      </c>
      <c r="BM273" s="185">
        <f t="shared" si="194"/>
        <v>0.71513177103342296</v>
      </c>
      <c r="BN273" s="205">
        <f t="shared" si="260"/>
        <v>2031.4760000000001</v>
      </c>
      <c r="BO273" s="205"/>
      <c r="BP273" s="189">
        <f>BP274+BP275</f>
        <v>0</v>
      </c>
      <c r="BQ273" s="186">
        <f t="shared" si="263"/>
        <v>0</v>
      </c>
      <c r="BR273" s="189">
        <f>BR274+BR275</f>
        <v>0</v>
      </c>
      <c r="BS273" s="186">
        <f t="shared" si="264"/>
        <v>0</v>
      </c>
      <c r="BT273" s="189">
        <f>BT274+BT275</f>
        <v>0</v>
      </c>
      <c r="BU273" s="186">
        <f t="shared" si="265"/>
        <v>0</v>
      </c>
      <c r="BV273" s="189">
        <f>BV274+BV275</f>
        <v>0</v>
      </c>
      <c r="BW273" s="186">
        <f t="shared" si="266"/>
        <v>0</v>
      </c>
      <c r="BX273" s="189">
        <f>BX274+BX275</f>
        <v>200</v>
      </c>
      <c r="BY273" s="186">
        <f t="shared" si="267"/>
        <v>5.8394160583941604E-2</v>
      </c>
      <c r="BZ273" s="189">
        <f>BZ274+BZ275</f>
        <v>1000</v>
      </c>
      <c r="CA273" s="186">
        <f t="shared" si="268"/>
        <v>0.29197080291970801</v>
      </c>
      <c r="CB273" s="189">
        <f>CB274+CB275</f>
        <v>1500</v>
      </c>
      <c r="CC273" s="186">
        <f t="shared" si="269"/>
        <v>0.43795620437956206</v>
      </c>
      <c r="CD273" s="189">
        <f>CD274+CD275</f>
        <v>1850</v>
      </c>
      <c r="CE273" s="186">
        <f t="shared" si="270"/>
        <v>0.54014598540145986</v>
      </c>
      <c r="CF273" s="189">
        <f>CF274+CF275</f>
        <v>2850</v>
      </c>
      <c r="CG273" s="186">
        <f t="shared" si="271"/>
        <v>0.83211678832116787</v>
      </c>
      <c r="CH273" s="189">
        <f>CH274+CH275</f>
        <v>2950</v>
      </c>
      <c r="CI273" s="186">
        <f t="shared" si="272"/>
        <v>0.86131386861313863</v>
      </c>
      <c r="CJ273" s="189">
        <f>CJ274+CJ275</f>
        <v>3050</v>
      </c>
      <c r="CK273" s="186">
        <f t="shared" si="273"/>
        <v>0.89051094890510951</v>
      </c>
      <c r="CL273" s="189">
        <f>CL274+CL275</f>
        <v>3253.75</v>
      </c>
      <c r="CM273" s="186">
        <f t="shared" si="274"/>
        <v>0.95</v>
      </c>
      <c r="CN273" s="189">
        <f>CN274+CN275</f>
        <v>3253.75</v>
      </c>
      <c r="CO273" s="186">
        <f t="shared" si="275"/>
        <v>0.95</v>
      </c>
      <c r="CP273" s="213" t="str">
        <f t="shared" si="196"/>
        <v>Đạt</v>
      </c>
      <c r="CQ273" s="213" t="str">
        <f t="shared" si="197"/>
        <v>Đạt</v>
      </c>
      <c r="CR273" s="213"/>
      <c r="CS273" s="213"/>
      <c r="CT273" s="231"/>
      <c r="CU273" s="163"/>
      <c r="CW273" s="195"/>
      <c r="CX273" s="196"/>
      <c r="CY273" s="196"/>
      <c r="CZ273" s="197"/>
      <c r="DA273" s="196"/>
      <c r="DB273" s="196"/>
      <c r="DC273" s="196"/>
      <c r="DE273" s="199"/>
      <c r="DF273" s="200"/>
      <c r="DG273" s="181"/>
    </row>
    <row r="274" spans="1:111" s="324" customFormat="1" outlineLevel="1" x14ac:dyDescent="0.25">
      <c r="A274" s="305" t="s">
        <v>34</v>
      </c>
      <c r="B274" s="306" t="s">
        <v>376</v>
      </c>
      <c r="C274" s="306"/>
      <c r="D274" s="307">
        <f t="shared" si="247"/>
        <v>3000</v>
      </c>
      <c r="E274" s="307"/>
      <c r="F274" s="307">
        <f>G274+H274+K274+M274</f>
        <v>3000</v>
      </c>
      <c r="G274" s="303">
        <v>3000</v>
      </c>
      <c r="H274" s="303"/>
      <c r="I274" s="235"/>
      <c r="J274" s="235"/>
      <c r="K274" s="303"/>
      <c r="L274" s="235"/>
      <c r="M274" s="223"/>
      <c r="N274" s="223"/>
      <c r="O274" s="303">
        <f t="shared" si="251"/>
        <v>3000</v>
      </c>
      <c r="P274" s="303">
        <v>0</v>
      </c>
      <c r="Q274" s="308">
        <f t="shared" si="276"/>
        <v>0</v>
      </c>
      <c r="R274" s="303"/>
      <c r="S274" s="313">
        <v>0</v>
      </c>
      <c r="T274" s="313">
        <v>0</v>
      </c>
      <c r="U274" s="303"/>
      <c r="V274" s="313">
        <v>0</v>
      </c>
      <c r="W274" s="313">
        <v>0</v>
      </c>
      <c r="X274" s="303"/>
      <c r="Y274" s="313">
        <v>0</v>
      </c>
      <c r="Z274" s="313">
        <v>0</v>
      </c>
      <c r="AA274" s="303"/>
      <c r="AB274" s="313">
        <v>0</v>
      </c>
      <c r="AC274" s="313">
        <v>0</v>
      </c>
      <c r="AD274" s="303">
        <v>295.38400000000001</v>
      </c>
      <c r="AE274" s="313">
        <v>0.62233333333333329</v>
      </c>
      <c r="AF274" s="313">
        <v>0.65508771929824561</v>
      </c>
      <c r="AG274" s="303">
        <v>295.38400000000001</v>
      </c>
      <c r="AH274" s="313">
        <v>0.62233333333333329</v>
      </c>
      <c r="AI274" s="313">
        <v>0.65508771929824561</v>
      </c>
      <c r="AJ274" s="303">
        <v>295.38400000000001</v>
      </c>
      <c r="AK274" s="313">
        <v>0.62233333333333329</v>
      </c>
      <c r="AL274" s="313">
        <v>0.65508771929824561</v>
      </c>
      <c r="AM274" s="303">
        <v>295.38400000000001</v>
      </c>
      <c r="AN274" s="313">
        <v>9.8461333333333331E-2</v>
      </c>
      <c r="AO274" s="313">
        <v>0.10364350877192983</v>
      </c>
      <c r="AP274" s="313"/>
      <c r="AQ274" s="303">
        <v>295.38400000000001</v>
      </c>
      <c r="AR274" s="313">
        <v>9.8461333333333331E-2</v>
      </c>
      <c r="AS274" s="313">
        <v>0.10364350877192983</v>
      </c>
      <c r="AT274" s="303">
        <v>295.38400000000001</v>
      </c>
      <c r="AU274" s="313">
        <v>9.8461333333333331E-2</v>
      </c>
      <c r="AV274" s="313">
        <v>0.10364350877192983</v>
      </c>
      <c r="AW274" s="313"/>
      <c r="AX274" s="313"/>
      <c r="AY274" s="313"/>
      <c r="AZ274" s="313"/>
      <c r="BA274" s="313"/>
      <c r="BB274" s="313"/>
      <c r="BC274" s="303">
        <v>295.38400000000001</v>
      </c>
      <c r="BD274" s="313">
        <v>9.8461333333333331E-2</v>
      </c>
      <c r="BE274" s="313">
        <v>0.10364350877192983</v>
      </c>
      <c r="BF274" s="303"/>
      <c r="BG274" s="303">
        <v>1940.269</v>
      </c>
      <c r="BH274" s="313">
        <v>0.64675633333333338</v>
      </c>
      <c r="BI274" s="313">
        <v>0.68079614035087721</v>
      </c>
      <c r="BJ274" s="303">
        <f t="shared" si="277"/>
        <v>2850</v>
      </c>
      <c r="BK274" s="303">
        <v>1940.269</v>
      </c>
      <c r="BL274" s="313">
        <f t="shared" si="262"/>
        <v>0.64675633333333338</v>
      </c>
      <c r="BM274" s="313">
        <f t="shared" ref="BM274:BM337" si="279">BK274/(E274+0.95*F274)</f>
        <v>0.68079614035087721</v>
      </c>
      <c r="BN274" s="205">
        <f t="shared" si="260"/>
        <v>1644.885</v>
      </c>
      <c r="BO274" s="205"/>
      <c r="BP274" s="310"/>
      <c r="BQ274" s="311">
        <f t="shared" si="263"/>
        <v>0</v>
      </c>
      <c r="BR274" s="310"/>
      <c r="BS274" s="311">
        <f t="shared" si="264"/>
        <v>0</v>
      </c>
      <c r="BT274" s="310"/>
      <c r="BU274" s="308">
        <f t="shared" si="265"/>
        <v>0</v>
      </c>
      <c r="BV274" s="310"/>
      <c r="BW274" s="311">
        <f t="shared" si="266"/>
        <v>0</v>
      </c>
      <c r="BX274" s="310">
        <v>200</v>
      </c>
      <c r="BY274" s="311">
        <f t="shared" si="267"/>
        <v>6.6666666666666666E-2</v>
      </c>
      <c r="BZ274" s="310">
        <v>1000</v>
      </c>
      <c r="CA274" s="311">
        <f t="shared" si="268"/>
        <v>0.33333333333333331</v>
      </c>
      <c r="CB274" s="310">
        <v>1500</v>
      </c>
      <c r="CC274" s="311">
        <f t="shared" si="269"/>
        <v>0.5</v>
      </c>
      <c r="CD274" s="310">
        <v>1850</v>
      </c>
      <c r="CE274" s="311">
        <f t="shared" si="270"/>
        <v>0.6166666666666667</v>
      </c>
      <c r="CF274" s="310">
        <v>2850</v>
      </c>
      <c r="CG274" s="311">
        <f t="shared" si="271"/>
        <v>0.95</v>
      </c>
      <c r="CH274" s="310">
        <v>2850</v>
      </c>
      <c r="CI274" s="311">
        <f t="shared" si="272"/>
        <v>0.95</v>
      </c>
      <c r="CJ274" s="310">
        <v>2850</v>
      </c>
      <c r="CK274" s="311">
        <f t="shared" si="273"/>
        <v>0.95</v>
      </c>
      <c r="CL274" s="310">
        <v>2850</v>
      </c>
      <c r="CM274" s="311">
        <f t="shared" si="274"/>
        <v>0.95</v>
      </c>
      <c r="CN274" s="310">
        <v>2850</v>
      </c>
      <c r="CO274" s="311">
        <f t="shared" si="275"/>
        <v>0.95</v>
      </c>
      <c r="CP274" s="213" t="str">
        <f t="shared" ref="CP274:CP337" si="280">IF(BM274&gt;34.7%,"Đạt","Không đạt")</f>
        <v>Đạt</v>
      </c>
      <c r="CQ274" s="213" t="str">
        <f t="shared" ref="CQ274:CQ337" si="281">IF(BM274&gt;43.8%,"Đạt","Không đạt")</f>
        <v>Đạt</v>
      </c>
      <c r="CR274" s="312"/>
      <c r="CS274" s="312"/>
      <c r="CT274" s="235"/>
      <c r="CU274" s="163"/>
      <c r="CV274" s="323"/>
      <c r="CW274" s="195"/>
      <c r="CX274" s="196"/>
      <c r="CY274" s="196"/>
      <c r="CZ274" s="197"/>
      <c r="DA274" s="196"/>
      <c r="DB274" s="196"/>
      <c r="DC274" s="196"/>
      <c r="DE274" s="199"/>
      <c r="DF274" s="200"/>
      <c r="DG274" s="181"/>
    </row>
    <row r="275" spans="1:111" ht="25.5" outlineLevel="1" x14ac:dyDescent="0.25">
      <c r="A275" s="305" t="s">
        <v>34</v>
      </c>
      <c r="B275" s="306" t="s">
        <v>377</v>
      </c>
      <c r="C275" s="306"/>
      <c r="D275" s="307">
        <f t="shared" si="247"/>
        <v>425</v>
      </c>
      <c r="E275" s="307"/>
      <c r="F275" s="307">
        <f>G275+H275+K275+M275</f>
        <v>425</v>
      </c>
      <c r="G275" s="307"/>
      <c r="H275" s="307">
        <v>425</v>
      </c>
      <c r="I275" s="235"/>
      <c r="J275" s="235"/>
      <c r="K275" s="303"/>
      <c r="L275" s="235"/>
      <c r="M275" s="223"/>
      <c r="N275" s="223"/>
      <c r="O275" s="303"/>
      <c r="P275" s="303">
        <v>0</v>
      </c>
      <c r="Q275" s="308">
        <f t="shared" si="276"/>
        <v>0</v>
      </c>
      <c r="R275" s="303"/>
      <c r="S275" s="313">
        <v>0</v>
      </c>
      <c r="T275" s="313">
        <v>0</v>
      </c>
      <c r="U275" s="303"/>
      <c r="V275" s="313">
        <v>0</v>
      </c>
      <c r="W275" s="313">
        <v>0</v>
      </c>
      <c r="X275" s="303"/>
      <c r="Y275" s="313">
        <v>0</v>
      </c>
      <c r="Z275" s="313">
        <v>0</v>
      </c>
      <c r="AA275" s="303"/>
      <c r="AB275" s="313">
        <v>0</v>
      </c>
      <c r="AC275" s="313">
        <v>0</v>
      </c>
      <c r="AD275" s="303"/>
      <c r="AE275" s="313">
        <v>0</v>
      </c>
      <c r="AF275" s="313">
        <v>0</v>
      </c>
      <c r="AG275" s="303"/>
      <c r="AH275" s="313">
        <v>0</v>
      </c>
      <c r="AI275" s="313">
        <v>0</v>
      </c>
      <c r="AJ275" s="188"/>
      <c r="AK275" s="313">
        <v>0</v>
      </c>
      <c r="AL275" s="313">
        <v>0</v>
      </c>
      <c r="AM275" s="303"/>
      <c r="AN275" s="313">
        <v>0</v>
      </c>
      <c r="AO275" s="313">
        <v>0</v>
      </c>
      <c r="AP275" s="313"/>
      <c r="AQ275" s="303"/>
      <c r="AR275" s="313">
        <v>0</v>
      </c>
      <c r="AS275" s="313">
        <v>0</v>
      </c>
      <c r="AT275" s="303"/>
      <c r="AU275" s="313">
        <v>0</v>
      </c>
      <c r="AV275" s="313">
        <v>0</v>
      </c>
      <c r="AW275" s="313"/>
      <c r="AX275" s="313"/>
      <c r="AY275" s="313"/>
      <c r="AZ275" s="313"/>
      <c r="BA275" s="313"/>
      <c r="BB275" s="313"/>
      <c r="BC275" s="303"/>
      <c r="BD275" s="313">
        <v>0</v>
      </c>
      <c r="BE275" s="313">
        <v>0</v>
      </c>
      <c r="BF275" s="303"/>
      <c r="BG275" s="303"/>
      <c r="BH275" s="313">
        <v>0</v>
      </c>
      <c r="BI275" s="313">
        <v>0</v>
      </c>
      <c r="BJ275" s="303">
        <f t="shared" si="277"/>
        <v>403.75</v>
      </c>
      <c r="BK275" s="303"/>
      <c r="BL275" s="313">
        <f t="shared" si="262"/>
        <v>0</v>
      </c>
      <c r="BM275" s="313">
        <f t="shared" si="279"/>
        <v>0</v>
      </c>
      <c r="BN275" s="205">
        <f t="shared" si="260"/>
        <v>0</v>
      </c>
      <c r="BO275" s="205"/>
      <c r="BP275" s="310"/>
      <c r="BQ275" s="311">
        <f t="shared" si="263"/>
        <v>0</v>
      </c>
      <c r="BR275" s="310"/>
      <c r="BS275" s="311">
        <f t="shared" si="264"/>
        <v>0</v>
      </c>
      <c r="BT275" s="310"/>
      <c r="BU275" s="308">
        <f t="shared" si="265"/>
        <v>0</v>
      </c>
      <c r="BV275" s="310"/>
      <c r="BW275" s="311">
        <f t="shared" si="266"/>
        <v>0</v>
      </c>
      <c r="BX275" s="310"/>
      <c r="BY275" s="311">
        <f t="shared" si="267"/>
        <v>0</v>
      </c>
      <c r="BZ275" s="310"/>
      <c r="CA275" s="311">
        <f t="shared" si="268"/>
        <v>0</v>
      </c>
      <c r="CB275" s="310"/>
      <c r="CC275" s="311">
        <f t="shared" si="269"/>
        <v>0</v>
      </c>
      <c r="CD275" s="310"/>
      <c r="CE275" s="311">
        <f t="shared" si="270"/>
        <v>0</v>
      </c>
      <c r="CF275" s="310"/>
      <c r="CG275" s="311">
        <f t="shared" si="271"/>
        <v>0</v>
      </c>
      <c r="CH275" s="310">
        <v>100</v>
      </c>
      <c r="CI275" s="311">
        <f t="shared" si="272"/>
        <v>0.23529411764705882</v>
      </c>
      <c r="CJ275" s="310">
        <v>200</v>
      </c>
      <c r="CK275" s="311">
        <f t="shared" si="273"/>
        <v>0.47058823529411764</v>
      </c>
      <c r="CL275" s="310">
        <v>403.75</v>
      </c>
      <c r="CM275" s="311">
        <f t="shared" si="274"/>
        <v>0.95</v>
      </c>
      <c r="CN275" s="310">
        <v>403.75</v>
      </c>
      <c r="CO275" s="311">
        <f t="shared" si="275"/>
        <v>0.95</v>
      </c>
      <c r="CP275" s="213" t="str">
        <f t="shared" si="280"/>
        <v>Không đạt</v>
      </c>
      <c r="CQ275" s="213" t="str">
        <f t="shared" si="281"/>
        <v>Không đạt</v>
      </c>
      <c r="CR275" s="312"/>
      <c r="CS275" s="312"/>
      <c r="CT275" s="235"/>
      <c r="CU275" s="163"/>
      <c r="CW275" s="195"/>
      <c r="CX275" s="196"/>
      <c r="CY275" s="196"/>
      <c r="CZ275" s="197"/>
      <c r="DA275" s="196"/>
      <c r="DB275" s="196"/>
      <c r="DC275" s="196"/>
      <c r="DE275" s="199"/>
      <c r="DF275" s="200"/>
      <c r="DG275" s="181"/>
    </row>
    <row r="276" spans="1:111" ht="18" customHeight="1" x14ac:dyDescent="0.25">
      <c r="A276" s="213">
        <f>MAX(A$243:A274)+1</f>
        <v>9</v>
      </c>
      <c r="B276" s="240" t="s">
        <v>391</v>
      </c>
      <c r="C276" s="240"/>
      <c r="D276" s="188">
        <f t="shared" ref="D276:I276" si="282">D277+D278</f>
        <v>3127</v>
      </c>
      <c r="E276" s="188">
        <f t="shared" si="282"/>
        <v>0</v>
      </c>
      <c r="F276" s="188">
        <f t="shared" si="282"/>
        <v>3127</v>
      </c>
      <c r="G276" s="188">
        <f t="shared" si="282"/>
        <v>3000</v>
      </c>
      <c r="H276" s="188">
        <f t="shared" si="282"/>
        <v>127</v>
      </c>
      <c r="I276" s="188">
        <f t="shared" si="282"/>
        <v>0</v>
      </c>
      <c r="J276" s="188"/>
      <c r="K276" s="188">
        <f>K277+K278</f>
        <v>0</v>
      </c>
      <c r="L276" s="188">
        <f>L277+L278</f>
        <v>0</v>
      </c>
      <c r="M276" s="188">
        <f>M277+M278</f>
        <v>0</v>
      </c>
      <c r="N276" s="188">
        <f>N277+N278</f>
        <v>0</v>
      </c>
      <c r="O276" s="188">
        <f>O277+O278</f>
        <v>3000</v>
      </c>
      <c r="P276" s="188">
        <v>0</v>
      </c>
      <c r="Q276" s="186">
        <f t="shared" si="276"/>
        <v>0</v>
      </c>
      <c r="R276" s="188">
        <v>0</v>
      </c>
      <c r="S276" s="185">
        <v>0</v>
      </c>
      <c r="T276" s="185">
        <v>0</v>
      </c>
      <c r="U276" s="188">
        <v>466.25856299999998</v>
      </c>
      <c r="V276" s="185">
        <v>0.14910731148065237</v>
      </c>
      <c r="W276" s="185">
        <v>0.15695506471647622</v>
      </c>
      <c r="X276" s="188">
        <v>466.25856299999998</v>
      </c>
      <c r="Y276" s="185">
        <v>0.14910731148065237</v>
      </c>
      <c r="Z276" s="185">
        <v>0.15695506471647622</v>
      </c>
      <c r="AA276" s="188">
        <v>466.25856299999998</v>
      </c>
      <c r="AB276" s="185">
        <v>0.14910731148065237</v>
      </c>
      <c r="AC276" s="185">
        <v>0.15695506471647622</v>
      </c>
      <c r="AD276" s="188">
        <v>1161.5790000000002</v>
      </c>
      <c r="AE276" s="185">
        <v>0.78829549088583306</v>
      </c>
      <c r="AF276" s="185">
        <v>0.82978472724824548</v>
      </c>
      <c r="AG276" s="188">
        <v>2465</v>
      </c>
      <c r="AH276" s="185">
        <v>0.78829549088583306</v>
      </c>
      <c r="AI276" s="185">
        <v>0.82978472724824548</v>
      </c>
      <c r="AJ276" s="303">
        <v>2465</v>
      </c>
      <c r="AK276" s="185">
        <v>0.78829549088583306</v>
      </c>
      <c r="AL276" s="185">
        <v>0.82978472724824548</v>
      </c>
      <c r="AM276" s="314">
        <v>2465</v>
      </c>
      <c r="AN276" s="185">
        <v>0.78829549088583306</v>
      </c>
      <c r="AO276" s="185">
        <v>0.82978472724824548</v>
      </c>
      <c r="AP276" s="185"/>
      <c r="AQ276" s="188">
        <v>1161.5790000000002</v>
      </c>
      <c r="AR276" s="185">
        <v>0.37146754077390476</v>
      </c>
      <c r="AS276" s="185">
        <v>0.39101846397253137</v>
      </c>
      <c r="AT276" s="188">
        <v>1161.5790000000002</v>
      </c>
      <c r="AU276" s="185">
        <v>0.37146754077390476</v>
      </c>
      <c r="AV276" s="185">
        <v>0.39101846397253137</v>
      </c>
      <c r="AW276" s="185"/>
      <c r="AX276" s="185"/>
      <c r="AY276" s="185"/>
      <c r="AZ276" s="185"/>
      <c r="BA276" s="185"/>
      <c r="BB276" s="185"/>
      <c r="BC276" s="188">
        <v>1161.5790000000002</v>
      </c>
      <c r="BD276" s="185">
        <v>0.37146754077390476</v>
      </c>
      <c r="BE276" s="185">
        <v>0.39101846397253137</v>
      </c>
      <c r="BF276" s="188"/>
      <c r="BG276" s="188">
        <v>2266.9879999999998</v>
      </c>
      <c r="BH276" s="185">
        <v>0.72497217780620393</v>
      </c>
      <c r="BI276" s="185">
        <v>0.76312860821705686</v>
      </c>
      <c r="BJ276" s="188">
        <f t="shared" si="277"/>
        <v>2970.6499999999996</v>
      </c>
      <c r="BK276" s="188">
        <f>BK277+BK278</f>
        <v>2266.9879999999998</v>
      </c>
      <c r="BL276" s="185">
        <f t="shared" si="262"/>
        <v>0.72497217780620393</v>
      </c>
      <c r="BM276" s="185">
        <f t="shared" si="279"/>
        <v>0.76312860821705686</v>
      </c>
      <c r="BN276" s="205">
        <f t="shared" si="260"/>
        <v>1105.4089999999997</v>
      </c>
      <c r="BO276" s="205"/>
      <c r="BP276" s="189">
        <f>BP277+BP278</f>
        <v>0</v>
      </c>
      <c r="BQ276" s="186">
        <f t="shared" si="263"/>
        <v>0</v>
      </c>
      <c r="BR276" s="189">
        <f>BR277+BR278</f>
        <v>0</v>
      </c>
      <c r="BS276" s="186">
        <f t="shared" si="264"/>
        <v>0</v>
      </c>
      <c r="BT276" s="189">
        <f>BT277+BT278</f>
        <v>0</v>
      </c>
      <c r="BU276" s="186">
        <f t="shared" si="265"/>
        <v>0</v>
      </c>
      <c r="BV276" s="189">
        <f>BV277+BV278</f>
        <v>0</v>
      </c>
      <c r="BW276" s="186">
        <f t="shared" si="266"/>
        <v>0</v>
      </c>
      <c r="BX276" s="189">
        <f>BX277+BX278</f>
        <v>300</v>
      </c>
      <c r="BY276" s="186">
        <f t="shared" si="267"/>
        <v>9.5938599296450267E-2</v>
      </c>
      <c r="BZ276" s="189">
        <f>BZ277+BZ278</f>
        <v>504</v>
      </c>
      <c r="CA276" s="186">
        <f t="shared" si="268"/>
        <v>0.16117684681803646</v>
      </c>
      <c r="CB276" s="189">
        <f>CB277+CB278</f>
        <v>804</v>
      </c>
      <c r="CC276" s="186">
        <f t="shared" si="269"/>
        <v>0.25711544611448672</v>
      </c>
      <c r="CD276" s="189">
        <f>CD277+CD278</f>
        <v>954</v>
      </c>
      <c r="CE276" s="186">
        <f t="shared" si="270"/>
        <v>0.30508474576271188</v>
      </c>
      <c r="CF276" s="189">
        <f>CF277+CF278</f>
        <v>1417</v>
      </c>
      <c r="CG276" s="186">
        <f t="shared" si="271"/>
        <v>0.45314998401023343</v>
      </c>
      <c r="CH276" s="189">
        <f>CH277+CH278</f>
        <v>1867</v>
      </c>
      <c r="CI276" s="186">
        <f t="shared" si="272"/>
        <v>0.5970578829549088</v>
      </c>
      <c r="CJ276" s="189">
        <f>CJ277+CJ278</f>
        <v>2317</v>
      </c>
      <c r="CK276" s="186">
        <f t="shared" si="273"/>
        <v>0.74096578189958429</v>
      </c>
      <c r="CL276" s="189">
        <f>CL277+CL278</f>
        <v>2820.65</v>
      </c>
      <c r="CM276" s="186">
        <f t="shared" si="274"/>
        <v>0.90203070035177491</v>
      </c>
      <c r="CN276" s="189">
        <f>CN277+CN278</f>
        <v>2970.65</v>
      </c>
      <c r="CO276" s="186">
        <f t="shared" si="275"/>
        <v>0.95000000000000007</v>
      </c>
      <c r="CP276" s="213" t="str">
        <f t="shared" si="280"/>
        <v>Đạt</v>
      </c>
      <c r="CQ276" s="213" t="str">
        <f t="shared" si="281"/>
        <v>Đạt</v>
      </c>
      <c r="CR276" s="213"/>
      <c r="CS276" s="213"/>
      <c r="CT276" s="231"/>
      <c r="CU276" s="163"/>
      <c r="CW276" s="195"/>
      <c r="CX276" s="196"/>
      <c r="CY276" s="196"/>
      <c r="CZ276" s="197"/>
      <c r="DA276" s="196"/>
      <c r="DB276" s="196"/>
      <c r="DC276" s="196"/>
      <c r="DE276" s="199"/>
      <c r="DF276" s="200"/>
      <c r="DG276" s="181"/>
    </row>
    <row r="277" spans="1:111" s="324" customFormat="1" outlineLevel="1" x14ac:dyDescent="0.25">
      <c r="A277" s="305" t="s">
        <v>34</v>
      </c>
      <c r="B277" s="306" t="s">
        <v>376</v>
      </c>
      <c r="C277" s="306"/>
      <c r="D277" s="307">
        <f t="shared" si="247"/>
        <v>3000</v>
      </c>
      <c r="E277" s="307"/>
      <c r="F277" s="307">
        <f>G277+H277+K277+M277</f>
        <v>3000</v>
      </c>
      <c r="G277" s="303">
        <v>3000</v>
      </c>
      <c r="H277" s="303"/>
      <c r="I277" s="235"/>
      <c r="J277" s="235"/>
      <c r="K277" s="303"/>
      <c r="L277" s="235"/>
      <c r="M277" s="223"/>
      <c r="N277" s="223"/>
      <c r="O277" s="303">
        <f t="shared" si="251"/>
        <v>3000</v>
      </c>
      <c r="P277" s="303">
        <v>0</v>
      </c>
      <c r="Q277" s="308">
        <f t="shared" si="276"/>
        <v>0</v>
      </c>
      <c r="R277" s="303"/>
      <c r="S277" s="313">
        <v>0</v>
      </c>
      <c r="T277" s="313">
        <v>0</v>
      </c>
      <c r="U277" s="303">
        <v>466.25856299999998</v>
      </c>
      <c r="V277" s="313">
        <v>0.155419521</v>
      </c>
      <c r="W277" s="313">
        <v>0.16359949578947366</v>
      </c>
      <c r="X277" s="303">
        <v>466.25856299999998</v>
      </c>
      <c r="Y277" s="313">
        <v>0.155419521</v>
      </c>
      <c r="Z277" s="313">
        <v>0.16359949578947366</v>
      </c>
      <c r="AA277" s="303">
        <v>466.25856299999998</v>
      </c>
      <c r="AB277" s="313">
        <v>0.155419521</v>
      </c>
      <c r="AC277" s="313">
        <v>0.16359949578947366</v>
      </c>
      <c r="AD277" s="303">
        <v>1040.9290000000001</v>
      </c>
      <c r="AE277" s="313">
        <v>0.82166666666666666</v>
      </c>
      <c r="AF277" s="313">
        <v>0.86491228070175441</v>
      </c>
      <c r="AG277" s="303">
        <v>2465</v>
      </c>
      <c r="AH277" s="313">
        <v>0.82166666666666666</v>
      </c>
      <c r="AI277" s="313">
        <v>0.86491228070175441</v>
      </c>
      <c r="AJ277" s="303">
        <v>2465</v>
      </c>
      <c r="AK277" s="313">
        <v>0.82166666666666666</v>
      </c>
      <c r="AL277" s="313">
        <v>0.86491228070175441</v>
      </c>
      <c r="AM277" s="303">
        <v>2465</v>
      </c>
      <c r="AN277" s="313">
        <v>0.82166666666666666</v>
      </c>
      <c r="AO277" s="313">
        <v>0.86491228070175441</v>
      </c>
      <c r="AP277" s="313"/>
      <c r="AQ277" s="303">
        <v>1040.9290000000001</v>
      </c>
      <c r="AR277" s="313">
        <v>0.34697633333333339</v>
      </c>
      <c r="AS277" s="313">
        <v>0.36523824561403512</v>
      </c>
      <c r="AT277" s="303">
        <v>1040.9290000000001</v>
      </c>
      <c r="AU277" s="313">
        <v>0.34697633333333339</v>
      </c>
      <c r="AV277" s="313">
        <v>0.36523824561403512</v>
      </c>
      <c r="AW277" s="313"/>
      <c r="AX277" s="313"/>
      <c r="AY277" s="313"/>
      <c r="AZ277" s="313"/>
      <c r="BA277" s="313"/>
      <c r="BB277" s="313"/>
      <c r="BC277" s="303">
        <v>1040.9290000000001</v>
      </c>
      <c r="BD277" s="313">
        <v>0.34697633333333339</v>
      </c>
      <c r="BE277" s="313">
        <v>0.36523824561403512</v>
      </c>
      <c r="BF277" s="303"/>
      <c r="BG277" s="303">
        <v>2146.3379999999997</v>
      </c>
      <c r="BH277" s="313">
        <v>0.71544599999999992</v>
      </c>
      <c r="BI277" s="313">
        <v>0.75310105263157889</v>
      </c>
      <c r="BJ277" s="303">
        <f t="shared" si="277"/>
        <v>2850</v>
      </c>
      <c r="BK277" s="303">
        <v>2146.3379999999997</v>
      </c>
      <c r="BL277" s="313">
        <f t="shared" si="262"/>
        <v>0.71544599999999992</v>
      </c>
      <c r="BM277" s="313">
        <f t="shared" si="279"/>
        <v>0.75310105263157889</v>
      </c>
      <c r="BN277" s="205">
        <f t="shared" si="260"/>
        <v>1105.4089999999997</v>
      </c>
      <c r="BO277" s="205"/>
      <c r="BP277" s="310"/>
      <c r="BQ277" s="311">
        <f t="shared" si="263"/>
        <v>0</v>
      </c>
      <c r="BR277" s="310"/>
      <c r="BS277" s="311">
        <f t="shared" si="264"/>
        <v>0</v>
      </c>
      <c r="BT277" s="310"/>
      <c r="BU277" s="308">
        <f t="shared" si="265"/>
        <v>0</v>
      </c>
      <c r="BV277" s="310"/>
      <c r="BW277" s="311">
        <f t="shared" si="266"/>
        <v>0</v>
      </c>
      <c r="BX277" s="310">
        <v>300</v>
      </c>
      <c r="BY277" s="311">
        <f t="shared" si="267"/>
        <v>0.1</v>
      </c>
      <c r="BZ277" s="310">
        <v>450</v>
      </c>
      <c r="CA277" s="311">
        <f t="shared" si="268"/>
        <v>0.15</v>
      </c>
      <c r="CB277" s="310">
        <v>750</v>
      </c>
      <c r="CC277" s="311">
        <f t="shared" si="269"/>
        <v>0.25</v>
      </c>
      <c r="CD277" s="310">
        <v>900</v>
      </c>
      <c r="CE277" s="311">
        <f t="shared" si="270"/>
        <v>0.3</v>
      </c>
      <c r="CF277" s="310">
        <v>1350</v>
      </c>
      <c r="CG277" s="311">
        <f t="shared" si="271"/>
        <v>0.45</v>
      </c>
      <c r="CH277" s="310">
        <v>1800</v>
      </c>
      <c r="CI277" s="311">
        <f t="shared" si="272"/>
        <v>0.6</v>
      </c>
      <c r="CJ277" s="310">
        <v>2250</v>
      </c>
      <c r="CK277" s="311">
        <f t="shared" si="273"/>
        <v>0.75</v>
      </c>
      <c r="CL277" s="310">
        <v>2700</v>
      </c>
      <c r="CM277" s="311">
        <f t="shared" si="274"/>
        <v>0.9</v>
      </c>
      <c r="CN277" s="310">
        <v>2850</v>
      </c>
      <c r="CO277" s="311">
        <f t="shared" si="275"/>
        <v>0.95</v>
      </c>
      <c r="CP277" s="213" t="str">
        <f t="shared" si="280"/>
        <v>Đạt</v>
      </c>
      <c r="CQ277" s="213" t="str">
        <f t="shared" si="281"/>
        <v>Đạt</v>
      </c>
      <c r="CR277" s="312"/>
      <c r="CS277" s="312"/>
      <c r="CT277" s="235"/>
      <c r="CU277" s="163"/>
      <c r="CV277" s="323"/>
      <c r="CW277" s="195"/>
      <c r="CX277" s="196"/>
      <c r="CY277" s="196"/>
      <c r="CZ277" s="197"/>
      <c r="DA277" s="196"/>
      <c r="DB277" s="196"/>
      <c r="DC277" s="196"/>
      <c r="DE277" s="199"/>
      <c r="DF277" s="200"/>
      <c r="DG277" s="181"/>
    </row>
    <row r="278" spans="1:111" ht="25.5" outlineLevel="1" x14ac:dyDescent="0.25">
      <c r="A278" s="305" t="s">
        <v>34</v>
      </c>
      <c r="B278" s="306" t="s">
        <v>377</v>
      </c>
      <c r="C278" s="306"/>
      <c r="D278" s="307">
        <f t="shared" si="247"/>
        <v>127</v>
      </c>
      <c r="E278" s="307"/>
      <c r="F278" s="307">
        <f>G278+H278+K278+M278</f>
        <v>127</v>
      </c>
      <c r="G278" s="307"/>
      <c r="H278" s="307">
        <v>127</v>
      </c>
      <c r="I278" s="235"/>
      <c r="J278" s="235"/>
      <c r="K278" s="303"/>
      <c r="L278" s="235"/>
      <c r="M278" s="223"/>
      <c r="N278" s="223"/>
      <c r="O278" s="303"/>
      <c r="P278" s="303">
        <v>0</v>
      </c>
      <c r="Q278" s="308">
        <f t="shared" si="276"/>
        <v>0</v>
      </c>
      <c r="R278" s="303"/>
      <c r="S278" s="313">
        <v>0</v>
      </c>
      <c r="T278" s="313">
        <v>0</v>
      </c>
      <c r="U278" s="303"/>
      <c r="V278" s="313">
        <v>0</v>
      </c>
      <c r="W278" s="313">
        <v>0</v>
      </c>
      <c r="X278" s="303"/>
      <c r="Y278" s="313">
        <v>0</v>
      </c>
      <c r="Z278" s="313">
        <v>0</v>
      </c>
      <c r="AA278" s="303"/>
      <c r="AB278" s="313">
        <v>0</v>
      </c>
      <c r="AC278" s="313">
        <v>0</v>
      </c>
      <c r="AD278" s="303">
        <v>120.65</v>
      </c>
      <c r="AE278" s="313">
        <v>0</v>
      </c>
      <c r="AF278" s="313">
        <v>0</v>
      </c>
      <c r="AG278" s="303"/>
      <c r="AH278" s="313">
        <v>0</v>
      </c>
      <c r="AI278" s="313">
        <v>0</v>
      </c>
      <c r="AJ278" s="188"/>
      <c r="AK278" s="313">
        <v>0</v>
      </c>
      <c r="AL278" s="313">
        <v>0</v>
      </c>
      <c r="AM278" s="303"/>
      <c r="AN278" s="313">
        <v>0</v>
      </c>
      <c r="AO278" s="313">
        <v>0</v>
      </c>
      <c r="AP278" s="313"/>
      <c r="AQ278" s="303">
        <v>120.65</v>
      </c>
      <c r="AR278" s="313">
        <v>0.95000000000000007</v>
      </c>
      <c r="AS278" s="313">
        <v>1.0000000000000002</v>
      </c>
      <c r="AT278" s="303">
        <v>120.65</v>
      </c>
      <c r="AU278" s="313">
        <v>0.95000000000000007</v>
      </c>
      <c r="AV278" s="313">
        <v>1.0000000000000002</v>
      </c>
      <c r="AW278" s="313"/>
      <c r="AX278" s="313"/>
      <c r="AY278" s="313"/>
      <c r="AZ278" s="313"/>
      <c r="BA278" s="313"/>
      <c r="BB278" s="313"/>
      <c r="BC278" s="303">
        <v>120.65</v>
      </c>
      <c r="BD278" s="313">
        <v>0.95000000000000007</v>
      </c>
      <c r="BE278" s="313">
        <v>1.0000000000000002</v>
      </c>
      <c r="BF278" s="303"/>
      <c r="BG278" s="303">
        <v>120.65</v>
      </c>
      <c r="BH278" s="313">
        <v>0.95000000000000007</v>
      </c>
      <c r="BI278" s="313">
        <v>1.0000000000000002</v>
      </c>
      <c r="BJ278" s="303">
        <f t="shared" si="277"/>
        <v>120.64999999999999</v>
      </c>
      <c r="BK278" s="303">
        <v>120.65</v>
      </c>
      <c r="BL278" s="313">
        <f t="shared" si="262"/>
        <v>0.95000000000000007</v>
      </c>
      <c r="BM278" s="313">
        <f t="shared" si="279"/>
        <v>1.0000000000000002</v>
      </c>
      <c r="BN278" s="205">
        <f t="shared" si="260"/>
        <v>0</v>
      </c>
      <c r="BO278" s="205"/>
      <c r="BP278" s="310"/>
      <c r="BQ278" s="311">
        <f t="shared" si="263"/>
        <v>0</v>
      </c>
      <c r="BR278" s="310"/>
      <c r="BS278" s="311">
        <f t="shared" si="264"/>
        <v>0</v>
      </c>
      <c r="BT278" s="310"/>
      <c r="BU278" s="308">
        <f t="shared" si="265"/>
        <v>0</v>
      </c>
      <c r="BV278" s="310"/>
      <c r="BW278" s="311">
        <f t="shared" si="266"/>
        <v>0</v>
      </c>
      <c r="BX278" s="310"/>
      <c r="BY278" s="311">
        <f t="shared" si="267"/>
        <v>0</v>
      </c>
      <c r="BZ278" s="310">
        <v>54</v>
      </c>
      <c r="CA278" s="311">
        <f t="shared" si="268"/>
        <v>0.42519685039370081</v>
      </c>
      <c r="CB278" s="310">
        <v>54</v>
      </c>
      <c r="CC278" s="311">
        <f t="shared" si="269"/>
        <v>0.42519685039370081</v>
      </c>
      <c r="CD278" s="310">
        <v>54</v>
      </c>
      <c r="CE278" s="311">
        <f t="shared" si="270"/>
        <v>0.42519685039370081</v>
      </c>
      <c r="CF278" s="310">
        <v>67</v>
      </c>
      <c r="CG278" s="311">
        <f t="shared" si="271"/>
        <v>0.52755905511811019</v>
      </c>
      <c r="CH278" s="310">
        <v>67</v>
      </c>
      <c r="CI278" s="311">
        <f t="shared" si="272"/>
        <v>0.52755905511811019</v>
      </c>
      <c r="CJ278" s="310">
        <v>67</v>
      </c>
      <c r="CK278" s="311">
        <f t="shared" si="273"/>
        <v>0.52755905511811019</v>
      </c>
      <c r="CL278" s="310">
        <f>127*0.95</f>
        <v>120.64999999999999</v>
      </c>
      <c r="CM278" s="311">
        <f t="shared" si="274"/>
        <v>0.95</v>
      </c>
      <c r="CN278" s="310">
        <f>127*0.95</f>
        <v>120.64999999999999</v>
      </c>
      <c r="CO278" s="311">
        <f t="shared" si="275"/>
        <v>0.95</v>
      </c>
      <c r="CP278" s="213" t="str">
        <f t="shared" si="280"/>
        <v>Đạt</v>
      </c>
      <c r="CQ278" s="213" t="str">
        <f t="shared" si="281"/>
        <v>Đạt</v>
      </c>
      <c r="CR278" s="312"/>
      <c r="CS278" s="312"/>
      <c r="CT278" s="235"/>
      <c r="CU278" s="163"/>
      <c r="CW278" s="195"/>
      <c r="CX278" s="196"/>
      <c r="CY278" s="196"/>
      <c r="CZ278" s="197"/>
      <c r="DA278" s="196"/>
      <c r="DB278" s="196"/>
      <c r="DC278" s="196"/>
      <c r="DE278" s="199"/>
      <c r="DF278" s="200"/>
      <c r="DG278" s="181"/>
    </row>
    <row r="279" spans="1:111" ht="18" customHeight="1" x14ac:dyDescent="0.25">
      <c r="A279" s="213">
        <f>MAX(A$243:A277)+1</f>
        <v>10</v>
      </c>
      <c r="B279" s="240" t="s">
        <v>392</v>
      </c>
      <c r="C279" s="240"/>
      <c r="D279" s="188">
        <f t="shared" ref="D279:I279" si="283">D280+D281</f>
        <v>3425</v>
      </c>
      <c r="E279" s="188">
        <f t="shared" si="283"/>
        <v>0</v>
      </c>
      <c r="F279" s="188">
        <f t="shared" si="283"/>
        <v>3425</v>
      </c>
      <c r="G279" s="188">
        <f t="shared" si="283"/>
        <v>3000</v>
      </c>
      <c r="H279" s="188">
        <f t="shared" si="283"/>
        <v>425</v>
      </c>
      <c r="I279" s="188">
        <f t="shared" si="283"/>
        <v>0</v>
      </c>
      <c r="J279" s="188"/>
      <c r="K279" s="188">
        <f>K280+K281</f>
        <v>0</v>
      </c>
      <c r="L279" s="188">
        <f>L280+L281</f>
        <v>0</v>
      </c>
      <c r="M279" s="188">
        <f>M280+M281</f>
        <v>0</v>
      </c>
      <c r="N279" s="188">
        <f>N280+N281</f>
        <v>0</v>
      </c>
      <c r="O279" s="188">
        <f>O280+O281</f>
        <v>3000</v>
      </c>
      <c r="P279" s="188">
        <v>0</v>
      </c>
      <c r="Q279" s="186">
        <f t="shared" si="276"/>
        <v>0</v>
      </c>
      <c r="R279" s="188">
        <v>0</v>
      </c>
      <c r="S279" s="185">
        <v>0</v>
      </c>
      <c r="T279" s="185">
        <v>0</v>
      </c>
      <c r="U279" s="188">
        <v>339.39300000000003</v>
      </c>
      <c r="V279" s="185">
        <v>9.9092846715328475E-2</v>
      </c>
      <c r="W279" s="185">
        <v>0.10430825970034577</v>
      </c>
      <c r="X279" s="188">
        <v>339.39300000000003</v>
      </c>
      <c r="Y279" s="185">
        <v>9.9092846715328475E-2</v>
      </c>
      <c r="Z279" s="185">
        <v>0.10430825970034577</v>
      </c>
      <c r="AA279" s="188">
        <v>339.39300000000003</v>
      </c>
      <c r="AB279" s="185">
        <v>9.9092846715328475E-2</v>
      </c>
      <c r="AC279" s="185">
        <v>0.10430825970034577</v>
      </c>
      <c r="AD279" s="188">
        <v>506</v>
      </c>
      <c r="AE279" s="185">
        <v>0.14773722627737226</v>
      </c>
      <c r="AF279" s="185">
        <v>0.15551286976565501</v>
      </c>
      <c r="AG279" s="188">
        <v>506</v>
      </c>
      <c r="AH279" s="185">
        <v>0.14773722627737226</v>
      </c>
      <c r="AI279" s="185">
        <v>0.15551286976565501</v>
      </c>
      <c r="AJ279" s="303">
        <v>506</v>
      </c>
      <c r="AK279" s="185">
        <v>0.14773722627737226</v>
      </c>
      <c r="AL279" s="185">
        <v>0.15551286976565501</v>
      </c>
      <c r="AM279" s="188">
        <v>506</v>
      </c>
      <c r="AN279" s="185">
        <v>0.14773722627737226</v>
      </c>
      <c r="AO279" s="185">
        <v>0.15551286976565501</v>
      </c>
      <c r="AP279" s="185"/>
      <c r="AQ279" s="188">
        <v>506</v>
      </c>
      <c r="AR279" s="185">
        <v>0.14773722627737226</v>
      </c>
      <c r="AS279" s="185">
        <v>0.15551286976565501</v>
      </c>
      <c r="AT279" s="188">
        <v>506</v>
      </c>
      <c r="AU279" s="185">
        <v>0.14773722627737226</v>
      </c>
      <c r="AV279" s="185">
        <v>0.15551286976565501</v>
      </c>
      <c r="AW279" s="185"/>
      <c r="AX279" s="185"/>
      <c r="AY279" s="185"/>
      <c r="AZ279" s="185"/>
      <c r="BA279" s="185"/>
      <c r="BB279" s="185"/>
      <c r="BC279" s="188">
        <v>506</v>
      </c>
      <c r="BD279" s="185">
        <v>0.14773722627737226</v>
      </c>
      <c r="BE279" s="185">
        <v>0.15551286976565501</v>
      </c>
      <c r="BF279" s="188"/>
      <c r="BG279" s="188">
        <v>538</v>
      </c>
      <c r="BH279" s="185">
        <v>0.15708029197080292</v>
      </c>
      <c r="BI279" s="185">
        <v>0.1653476757587399</v>
      </c>
      <c r="BJ279" s="188">
        <f t="shared" si="277"/>
        <v>3253.75</v>
      </c>
      <c r="BK279" s="188">
        <f>BK280+BK281</f>
        <v>538</v>
      </c>
      <c r="BL279" s="185">
        <f t="shared" si="262"/>
        <v>0.15708029197080292</v>
      </c>
      <c r="BM279" s="185">
        <f t="shared" si="279"/>
        <v>0.1653476757587399</v>
      </c>
      <c r="BN279" s="205">
        <f t="shared" si="260"/>
        <v>32</v>
      </c>
      <c r="BO279" s="205"/>
      <c r="BP279" s="189">
        <f>BP280+BP281</f>
        <v>0</v>
      </c>
      <c r="BQ279" s="186">
        <f t="shared" si="263"/>
        <v>0</v>
      </c>
      <c r="BR279" s="189">
        <f>BR280+BR281</f>
        <v>0</v>
      </c>
      <c r="BS279" s="186">
        <f t="shared" si="264"/>
        <v>0</v>
      </c>
      <c r="BT279" s="189">
        <f>BT280+BT281</f>
        <v>342.5</v>
      </c>
      <c r="BU279" s="186">
        <f t="shared" si="265"/>
        <v>0.1</v>
      </c>
      <c r="BV279" s="189">
        <f>BV280+BV281</f>
        <v>685</v>
      </c>
      <c r="BW279" s="186">
        <f t="shared" si="266"/>
        <v>0.2</v>
      </c>
      <c r="BX279" s="189">
        <f>BX280+BX281</f>
        <v>1027.5</v>
      </c>
      <c r="BY279" s="186">
        <f t="shared" si="267"/>
        <v>0.3</v>
      </c>
      <c r="BZ279" s="189">
        <f>BZ280+BZ281</f>
        <v>1370</v>
      </c>
      <c r="CA279" s="186">
        <f t="shared" si="268"/>
        <v>0.4</v>
      </c>
      <c r="CB279" s="189">
        <f>CB280+CB281</f>
        <v>1712.5</v>
      </c>
      <c r="CC279" s="186">
        <f t="shared" si="269"/>
        <v>0.5</v>
      </c>
      <c r="CD279" s="189">
        <f>CD280+CD281</f>
        <v>1883.7500000000002</v>
      </c>
      <c r="CE279" s="186">
        <f t="shared" si="270"/>
        <v>0.55000000000000004</v>
      </c>
      <c r="CF279" s="189">
        <f>CF280+CF281</f>
        <v>2397.5</v>
      </c>
      <c r="CG279" s="186">
        <f t="shared" si="271"/>
        <v>0.7</v>
      </c>
      <c r="CH279" s="189">
        <f>CH280+CH281</f>
        <v>2397.5</v>
      </c>
      <c r="CI279" s="186">
        <f t="shared" si="272"/>
        <v>0.7</v>
      </c>
      <c r="CJ279" s="189">
        <f>CJ280+CJ281</f>
        <v>2568.75</v>
      </c>
      <c r="CK279" s="186">
        <f t="shared" si="273"/>
        <v>0.75</v>
      </c>
      <c r="CL279" s="189">
        <f>CL280+CL281</f>
        <v>2568.75</v>
      </c>
      <c r="CM279" s="186">
        <f t="shared" si="274"/>
        <v>0.75</v>
      </c>
      <c r="CN279" s="189">
        <f>CN280+CN281</f>
        <v>3253.75</v>
      </c>
      <c r="CO279" s="186">
        <f t="shared" si="275"/>
        <v>0.95</v>
      </c>
      <c r="CP279" s="213" t="str">
        <f t="shared" si="280"/>
        <v>Không đạt</v>
      </c>
      <c r="CQ279" s="213" t="str">
        <f t="shared" si="281"/>
        <v>Không đạt</v>
      </c>
      <c r="CR279" s="213"/>
      <c r="CS279" s="213"/>
      <c r="CT279" s="231"/>
      <c r="CU279" s="163"/>
      <c r="CW279" s="195"/>
      <c r="CX279" s="196"/>
      <c r="CY279" s="196"/>
      <c r="CZ279" s="197"/>
      <c r="DA279" s="196"/>
      <c r="DB279" s="196"/>
      <c r="DC279" s="196"/>
      <c r="DE279" s="199"/>
      <c r="DF279" s="200"/>
      <c r="DG279" s="181"/>
    </row>
    <row r="280" spans="1:111" s="324" customFormat="1" outlineLevel="1" x14ac:dyDescent="0.25">
      <c r="A280" s="305" t="s">
        <v>34</v>
      </c>
      <c r="B280" s="306" t="s">
        <v>376</v>
      </c>
      <c r="C280" s="306"/>
      <c r="D280" s="307">
        <f t="shared" si="247"/>
        <v>3000</v>
      </c>
      <c r="E280" s="307"/>
      <c r="F280" s="307">
        <f>G280+H280+K280+M280</f>
        <v>3000</v>
      </c>
      <c r="G280" s="303">
        <v>3000</v>
      </c>
      <c r="H280" s="303"/>
      <c r="I280" s="235"/>
      <c r="J280" s="235"/>
      <c r="K280" s="303"/>
      <c r="L280" s="235"/>
      <c r="M280" s="223"/>
      <c r="N280" s="223"/>
      <c r="O280" s="303">
        <f t="shared" si="251"/>
        <v>3000</v>
      </c>
      <c r="P280" s="303">
        <v>0</v>
      </c>
      <c r="Q280" s="308">
        <f t="shared" si="276"/>
        <v>0</v>
      </c>
      <c r="R280" s="303"/>
      <c r="S280" s="309">
        <v>0</v>
      </c>
      <c r="T280" s="309">
        <v>0</v>
      </c>
      <c r="U280" s="303">
        <v>339.39300000000003</v>
      </c>
      <c r="V280" s="309">
        <v>0.11313100000000001</v>
      </c>
      <c r="W280" s="309">
        <v>0.11908526315789475</v>
      </c>
      <c r="X280" s="303">
        <v>339.39300000000003</v>
      </c>
      <c r="Y280" s="309">
        <v>0.11313100000000001</v>
      </c>
      <c r="Z280" s="309">
        <v>0.11908526315789475</v>
      </c>
      <c r="AA280" s="303">
        <v>339.39300000000003</v>
      </c>
      <c r="AB280" s="309">
        <v>0.11313100000000001</v>
      </c>
      <c r="AC280" s="309">
        <v>0.11908526315789475</v>
      </c>
      <c r="AD280" s="303">
        <v>506</v>
      </c>
      <c r="AE280" s="309">
        <v>0.16866666666666666</v>
      </c>
      <c r="AF280" s="309">
        <v>0.17754385964912281</v>
      </c>
      <c r="AG280" s="303">
        <v>506</v>
      </c>
      <c r="AH280" s="309">
        <v>0.16866666666666666</v>
      </c>
      <c r="AI280" s="309">
        <v>0.17754385964912281</v>
      </c>
      <c r="AJ280" s="303">
        <v>506</v>
      </c>
      <c r="AK280" s="309">
        <v>0.16866666666666666</v>
      </c>
      <c r="AL280" s="309">
        <v>0.17754385964912281</v>
      </c>
      <c r="AM280" s="303">
        <v>506</v>
      </c>
      <c r="AN280" s="309">
        <v>0.16866666666666666</v>
      </c>
      <c r="AO280" s="309">
        <v>0.17754385964912281</v>
      </c>
      <c r="AP280" s="309"/>
      <c r="AQ280" s="303">
        <v>506</v>
      </c>
      <c r="AR280" s="309">
        <v>0.16866666666666666</v>
      </c>
      <c r="AS280" s="309">
        <v>0.17754385964912281</v>
      </c>
      <c r="AT280" s="303">
        <v>506</v>
      </c>
      <c r="AU280" s="309">
        <v>0.16866666666666666</v>
      </c>
      <c r="AV280" s="309">
        <v>0.17754385964912281</v>
      </c>
      <c r="AW280" s="309"/>
      <c r="AX280" s="309"/>
      <c r="AY280" s="309"/>
      <c r="AZ280" s="309"/>
      <c r="BA280" s="309"/>
      <c r="BB280" s="309"/>
      <c r="BC280" s="303">
        <v>506</v>
      </c>
      <c r="BD280" s="309">
        <v>0.16866666666666666</v>
      </c>
      <c r="BE280" s="309">
        <v>0.17754385964912281</v>
      </c>
      <c r="BF280" s="303"/>
      <c r="BG280" s="303">
        <v>538</v>
      </c>
      <c r="BH280" s="309">
        <v>0.17933333333333334</v>
      </c>
      <c r="BI280" s="309">
        <v>0.1887719298245614</v>
      </c>
      <c r="BJ280" s="303">
        <f t="shared" si="277"/>
        <v>2850</v>
      </c>
      <c r="BK280" s="303">
        <v>538</v>
      </c>
      <c r="BL280" s="309">
        <f t="shared" si="262"/>
        <v>0.17933333333333334</v>
      </c>
      <c r="BM280" s="309">
        <f t="shared" si="279"/>
        <v>0.1887719298245614</v>
      </c>
      <c r="BN280" s="205">
        <f t="shared" si="260"/>
        <v>32</v>
      </c>
      <c r="BO280" s="205"/>
      <c r="BP280" s="310"/>
      <c r="BQ280" s="308">
        <f t="shared" si="263"/>
        <v>0</v>
      </c>
      <c r="BR280" s="310"/>
      <c r="BS280" s="308">
        <f t="shared" si="264"/>
        <v>0</v>
      </c>
      <c r="BT280" s="310">
        <f>$F280*0.1</f>
        <v>300</v>
      </c>
      <c r="BU280" s="308">
        <f t="shared" si="265"/>
        <v>0.1</v>
      </c>
      <c r="BV280" s="310">
        <f>$F280*0.2</f>
        <v>600</v>
      </c>
      <c r="BW280" s="308">
        <f t="shared" si="266"/>
        <v>0.2</v>
      </c>
      <c r="BX280" s="310">
        <f>$F280*0.3</f>
        <v>900</v>
      </c>
      <c r="BY280" s="308">
        <f t="shared" si="267"/>
        <v>0.3</v>
      </c>
      <c r="BZ280" s="310">
        <f>$F280*0.4</f>
        <v>1200</v>
      </c>
      <c r="CA280" s="308">
        <f t="shared" si="268"/>
        <v>0.4</v>
      </c>
      <c r="CB280" s="310">
        <f>$F280*0.5</f>
        <v>1500</v>
      </c>
      <c r="CC280" s="308">
        <f t="shared" si="269"/>
        <v>0.5</v>
      </c>
      <c r="CD280" s="310">
        <f>$F280*0.55</f>
        <v>1650.0000000000002</v>
      </c>
      <c r="CE280" s="308">
        <f t="shared" si="270"/>
        <v>0.55000000000000004</v>
      </c>
      <c r="CF280" s="310">
        <v>2100</v>
      </c>
      <c r="CG280" s="308">
        <f t="shared" si="271"/>
        <v>0.7</v>
      </c>
      <c r="CH280" s="310">
        <f>$F280*0.7</f>
        <v>2100</v>
      </c>
      <c r="CI280" s="308">
        <f t="shared" si="272"/>
        <v>0.7</v>
      </c>
      <c r="CJ280" s="310">
        <f>$F280*0.75</f>
        <v>2250</v>
      </c>
      <c r="CK280" s="308">
        <f t="shared" si="273"/>
        <v>0.75</v>
      </c>
      <c r="CL280" s="310">
        <f>$F280*0.75</f>
        <v>2250</v>
      </c>
      <c r="CM280" s="308">
        <f t="shared" si="274"/>
        <v>0.75</v>
      </c>
      <c r="CN280" s="310">
        <f>$F280*0.95</f>
        <v>2850</v>
      </c>
      <c r="CO280" s="308">
        <f t="shared" si="275"/>
        <v>0.95</v>
      </c>
      <c r="CP280" s="213" t="str">
        <f t="shared" si="280"/>
        <v>Không đạt</v>
      </c>
      <c r="CQ280" s="213" t="str">
        <f t="shared" si="281"/>
        <v>Không đạt</v>
      </c>
      <c r="CR280" s="312"/>
      <c r="CS280" s="312"/>
      <c r="CT280" s="235"/>
      <c r="CU280" s="163"/>
      <c r="CV280" s="323"/>
      <c r="CW280" s="195"/>
      <c r="CX280" s="196"/>
      <c r="CY280" s="196"/>
      <c r="CZ280" s="197"/>
      <c r="DA280" s="196"/>
      <c r="DB280" s="196"/>
      <c r="DC280" s="196"/>
      <c r="DE280" s="199"/>
      <c r="DF280" s="200"/>
      <c r="DG280" s="181"/>
    </row>
    <row r="281" spans="1:111" ht="25.5" outlineLevel="1" x14ac:dyDescent="0.25">
      <c r="A281" s="305" t="s">
        <v>34</v>
      </c>
      <c r="B281" s="306" t="s">
        <v>377</v>
      </c>
      <c r="C281" s="306"/>
      <c r="D281" s="307">
        <f t="shared" si="247"/>
        <v>425</v>
      </c>
      <c r="E281" s="307"/>
      <c r="F281" s="307">
        <f>G281+H281+K281+M281</f>
        <v>425</v>
      </c>
      <c r="G281" s="307"/>
      <c r="H281" s="307">
        <v>425</v>
      </c>
      <c r="I281" s="235"/>
      <c r="J281" s="235"/>
      <c r="K281" s="303"/>
      <c r="L281" s="235"/>
      <c r="M281" s="223"/>
      <c r="N281" s="223"/>
      <c r="O281" s="303"/>
      <c r="P281" s="303">
        <v>0</v>
      </c>
      <c r="Q281" s="308">
        <f t="shared" si="276"/>
        <v>0</v>
      </c>
      <c r="R281" s="303"/>
      <c r="S281" s="309">
        <v>0</v>
      </c>
      <c r="T281" s="309">
        <v>0</v>
      </c>
      <c r="U281" s="303"/>
      <c r="V281" s="309">
        <v>0</v>
      </c>
      <c r="W281" s="309">
        <v>0</v>
      </c>
      <c r="X281" s="303"/>
      <c r="Y281" s="309">
        <v>0</v>
      </c>
      <c r="Z281" s="309">
        <v>0</v>
      </c>
      <c r="AA281" s="303"/>
      <c r="AB281" s="309">
        <v>0</v>
      </c>
      <c r="AC281" s="309">
        <v>0</v>
      </c>
      <c r="AD281" s="303"/>
      <c r="AE281" s="309">
        <v>0</v>
      </c>
      <c r="AF281" s="309">
        <v>0</v>
      </c>
      <c r="AG281" s="303"/>
      <c r="AH281" s="309">
        <v>0</v>
      </c>
      <c r="AI281" s="309">
        <v>0</v>
      </c>
      <c r="AJ281" s="189"/>
      <c r="AK281" s="309">
        <v>0</v>
      </c>
      <c r="AL281" s="309">
        <v>0</v>
      </c>
      <c r="AM281" s="303"/>
      <c r="AN281" s="309">
        <v>0</v>
      </c>
      <c r="AO281" s="309">
        <v>0</v>
      </c>
      <c r="AP281" s="309"/>
      <c r="AQ281" s="303"/>
      <c r="AR281" s="309">
        <v>0</v>
      </c>
      <c r="AS281" s="309">
        <v>0</v>
      </c>
      <c r="AT281" s="303"/>
      <c r="AU281" s="309">
        <v>0</v>
      </c>
      <c r="AV281" s="309">
        <v>0</v>
      </c>
      <c r="AW281" s="309"/>
      <c r="AX281" s="309"/>
      <c r="AY281" s="309"/>
      <c r="AZ281" s="309"/>
      <c r="BA281" s="309"/>
      <c r="BB281" s="309"/>
      <c r="BC281" s="303"/>
      <c r="BD281" s="309">
        <v>0</v>
      </c>
      <c r="BE281" s="309">
        <v>0</v>
      </c>
      <c r="BF281" s="303"/>
      <c r="BG281" s="303"/>
      <c r="BH281" s="309">
        <v>0</v>
      </c>
      <c r="BI281" s="309">
        <v>0</v>
      </c>
      <c r="BJ281" s="303">
        <f t="shared" si="277"/>
        <v>403.75</v>
      </c>
      <c r="BK281" s="303"/>
      <c r="BL281" s="309">
        <f t="shared" si="262"/>
        <v>0</v>
      </c>
      <c r="BM281" s="309">
        <f t="shared" si="279"/>
        <v>0</v>
      </c>
      <c r="BN281" s="205">
        <f t="shared" si="260"/>
        <v>0</v>
      </c>
      <c r="BO281" s="205"/>
      <c r="BP281" s="310"/>
      <c r="BQ281" s="308">
        <f t="shared" si="263"/>
        <v>0</v>
      </c>
      <c r="BR281" s="310"/>
      <c r="BS281" s="308">
        <f t="shared" si="264"/>
        <v>0</v>
      </c>
      <c r="BT281" s="310">
        <f>$F281*0.1</f>
        <v>42.5</v>
      </c>
      <c r="BU281" s="308">
        <f t="shared" si="265"/>
        <v>0.1</v>
      </c>
      <c r="BV281" s="310">
        <f>$F281*0.2</f>
        <v>85</v>
      </c>
      <c r="BW281" s="308">
        <f t="shared" si="266"/>
        <v>0.2</v>
      </c>
      <c r="BX281" s="310">
        <f>$F281*0.3</f>
        <v>127.5</v>
      </c>
      <c r="BY281" s="308">
        <f t="shared" si="267"/>
        <v>0.3</v>
      </c>
      <c r="BZ281" s="310">
        <f>$F281*0.4</f>
        <v>170</v>
      </c>
      <c r="CA281" s="308">
        <f t="shared" si="268"/>
        <v>0.4</v>
      </c>
      <c r="CB281" s="310">
        <f>$F281*0.5</f>
        <v>212.5</v>
      </c>
      <c r="CC281" s="308">
        <f t="shared" si="269"/>
        <v>0.5</v>
      </c>
      <c r="CD281" s="310">
        <f>$F281*0.55</f>
        <v>233.75000000000003</v>
      </c>
      <c r="CE281" s="308">
        <f t="shared" si="270"/>
        <v>0.55000000000000004</v>
      </c>
      <c r="CF281" s="310">
        <v>297.5</v>
      </c>
      <c r="CG281" s="308">
        <f t="shared" si="271"/>
        <v>0.7</v>
      </c>
      <c r="CH281" s="310">
        <f>$F281*0.7</f>
        <v>297.5</v>
      </c>
      <c r="CI281" s="308">
        <f t="shared" si="272"/>
        <v>0.7</v>
      </c>
      <c r="CJ281" s="310">
        <f>$F281*0.75</f>
        <v>318.75</v>
      </c>
      <c r="CK281" s="308">
        <f t="shared" si="273"/>
        <v>0.75</v>
      </c>
      <c r="CL281" s="310">
        <f>$F281*0.75</f>
        <v>318.75</v>
      </c>
      <c r="CM281" s="308">
        <f t="shared" si="274"/>
        <v>0.75</v>
      </c>
      <c r="CN281" s="310">
        <f>$F281*0.95</f>
        <v>403.75</v>
      </c>
      <c r="CO281" s="308">
        <f t="shared" si="275"/>
        <v>0.95</v>
      </c>
      <c r="CP281" s="213" t="str">
        <f t="shared" si="280"/>
        <v>Không đạt</v>
      </c>
      <c r="CQ281" s="213" t="str">
        <f t="shared" si="281"/>
        <v>Không đạt</v>
      </c>
      <c r="CR281" s="312"/>
      <c r="CS281" s="312"/>
      <c r="CT281" s="235"/>
      <c r="CU281" s="163"/>
      <c r="CW281" s="195"/>
      <c r="CX281" s="196"/>
      <c r="CY281" s="196"/>
      <c r="CZ281" s="197"/>
      <c r="DA281" s="196"/>
      <c r="DB281" s="196"/>
      <c r="DC281" s="196"/>
      <c r="DE281" s="199"/>
      <c r="DF281" s="200"/>
      <c r="DG281" s="181"/>
    </row>
    <row r="282" spans="1:111" ht="18" customHeight="1" x14ac:dyDescent="0.25">
      <c r="A282" s="316">
        <f>MAX(A$243:A280)+1</f>
        <v>11</v>
      </c>
      <c r="B282" s="240" t="s">
        <v>393</v>
      </c>
      <c r="C282" s="240"/>
      <c r="D282" s="188">
        <f t="shared" ref="D282:I282" si="284">D283+D284</f>
        <v>4275</v>
      </c>
      <c r="E282" s="188">
        <f t="shared" si="284"/>
        <v>0</v>
      </c>
      <c r="F282" s="188">
        <f t="shared" si="284"/>
        <v>4275</v>
      </c>
      <c r="G282" s="188">
        <f t="shared" si="284"/>
        <v>3000</v>
      </c>
      <c r="H282" s="188">
        <f t="shared" si="284"/>
        <v>1275</v>
      </c>
      <c r="I282" s="188">
        <f t="shared" si="284"/>
        <v>0</v>
      </c>
      <c r="J282" s="188"/>
      <c r="K282" s="188">
        <f>K283+K284</f>
        <v>0</v>
      </c>
      <c r="L282" s="188">
        <f>L283+L284</f>
        <v>0</v>
      </c>
      <c r="M282" s="188">
        <f>M283+M284</f>
        <v>0</v>
      </c>
      <c r="N282" s="188">
        <f>N283+N284</f>
        <v>0</v>
      </c>
      <c r="O282" s="188">
        <f>O283+O284</f>
        <v>3000</v>
      </c>
      <c r="P282" s="188">
        <v>0</v>
      </c>
      <c r="Q282" s="186">
        <f t="shared" si="276"/>
        <v>0</v>
      </c>
      <c r="R282" s="189">
        <v>1412.84</v>
      </c>
      <c r="S282" s="185">
        <v>0.33048888888888889</v>
      </c>
      <c r="T282" s="185">
        <v>0.34788304093567252</v>
      </c>
      <c r="U282" s="189">
        <v>1877.2779999999998</v>
      </c>
      <c r="V282" s="185">
        <v>0.43912935672514614</v>
      </c>
      <c r="W282" s="185">
        <v>0.4622414281317328</v>
      </c>
      <c r="X282" s="189">
        <v>1877.2779999999998</v>
      </c>
      <c r="Y282" s="185">
        <v>0.43912935672514614</v>
      </c>
      <c r="Z282" s="185">
        <v>0.4622414281317328</v>
      </c>
      <c r="AA282" s="189">
        <v>1877.2779999999998</v>
      </c>
      <c r="AB282" s="185">
        <v>0.43912935672514614</v>
      </c>
      <c r="AC282" s="185">
        <v>0.4622414281317328</v>
      </c>
      <c r="AD282" s="189">
        <v>2238</v>
      </c>
      <c r="AE282" s="185">
        <v>0.52350877192982459</v>
      </c>
      <c r="AF282" s="185">
        <v>0.55106186518928901</v>
      </c>
      <c r="AG282" s="189">
        <v>2238</v>
      </c>
      <c r="AH282" s="185">
        <v>0.52350877192982459</v>
      </c>
      <c r="AI282" s="185">
        <v>0.55106186518928901</v>
      </c>
      <c r="AJ282" s="303">
        <v>2238</v>
      </c>
      <c r="AK282" s="185">
        <v>0.52350877192982459</v>
      </c>
      <c r="AL282" s="185">
        <v>0.55106186518928901</v>
      </c>
      <c r="AM282" s="189">
        <v>2238</v>
      </c>
      <c r="AN282" s="185">
        <v>0.52350877192982459</v>
      </c>
      <c r="AO282" s="185">
        <v>0.55106186518928901</v>
      </c>
      <c r="AP282" s="185"/>
      <c r="AQ282" s="189">
        <v>2353.1880000000001</v>
      </c>
      <c r="AR282" s="185">
        <v>0.55045333333333335</v>
      </c>
      <c r="AS282" s="185">
        <v>0.57942456140350884</v>
      </c>
      <c r="AT282" s="189">
        <v>2362.0340000000001</v>
      </c>
      <c r="AU282" s="185">
        <v>0.55252257309941522</v>
      </c>
      <c r="AV282" s="185">
        <v>0.58160270852570028</v>
      </c>
      <c r="AW282" s="185"/>
      <c r="AX282" s="185"/>
      <c r="AY282" s="185"/>
      <c r="AZ282" s="185"/>
      <c r="BA282" s="185"/>
      <c r="BB282" s="185"/>
      <c r="BC282" s="189">
        <v>2362.0340000000001</v>
      </c>
      <c r="BD282" s="185">
        <v>0.55252257309941522</v>
      </c>
      <c r="BE282" s="185">
        <v>0.58160270852570028</v>
      </c>
      <c r="BF282" s="189"/>
      <c r="BG282" s="189">
        <v>3133.5990000000002</v>
      </c>
      <c r="BH282" s="185">
        <v>0.73300561403508779</v>
      </c>
      <c r="BI282" s="185">
        <v>0.77158485687903977</v>
      </c>
      <c r="BJ282" s="189">
        <f t="shared" si="277"/>
        <v>4061.25</v>
      </c>
      <c r="BK282" s="189">
        <f>BK283+BK284</f>
        <v>3590</v>
      </c>
      <c r="BL282" s="185">
        <f t="shared" si="262"/>
        <v>0.83976608187134505</v>
      </c>
      <c r="BM282" s="185">
        <f t="shared" si="279"/>
        <v>0.88396429670667898</v>
      </c>
      <c r="BN282" s="205">
        <f t="shared" si="260"/>
        <v>1352</v>
      </c>
      <c r="BO282" s="205"/>
      <c r="BP282" s="189">
        <f>BP283+BP284</f>
        <v>0</v>
      </c>
      <c r="BQ282" s="186">
        <f t="shared" si="263"/>
        <v>0</v>
      </c>
      <c r="BR282" s="189">
        <f>BR283+BR284</f>
        <v>0</v>
      </c>
      <c r="BS282" s="186">
        <f t="shared" si="264"/>
        <v>0</v>
      </c>
      <c r="BT282" s="189">
        <f>BT283+BT284</f>
        <v>0</v>
      </c>
      <c r="BU282" s="186">
        <f t="shared" si="265"/>
        <v>0</v>
      </c>
      <c r="BV282" s="189">
        <f>BV283+BV284</f>
        <v>750</v>
      </c>
      <c r="BW282" s="186">
        <f t="shared" si="266"/>
        <v>0.17543859649122806</v>
      </c>
      <c r="BX282" s="189">
        <f>BX283+BX284</f>
        <v>1200</v>
      </c>
      <c r="BY282" s="186">
        <f t="shared" si="267"/>
        <v>0.2807017543859649</v>
      </c>
      <c r="BZ282" s="189">
        <f>BZ283+BZ284</f>
        <v>1450</v>
      </c>
      <c r="CA282" s="186">
        <f t="shared" si="268"/>
        <v>0.33918128654970758</v>
      </c>
      <c r="CB282" s="189">
        <f>CB283+CB284</f>
        <v>1800</v>
      </c>
      <c r="CC282" s="186">
        <f t="shared" si="269"/>
        <v>0.42105263157894735</v>
      </c>
      <c r="CD282" s="189">
        <f>CD283+CD284</f>
        <v>2089</v>
      </c>
      <c r="CE282" s="186">
        <f t="shared" si="270"/>
        <v>0.4886549707602339</v>
      </c>
      <c r="CF282" s="189">
        <f>CF283+CF284</f>
        <v>2540</v>
      </c>
      <c r="CG282" s="186">
        <f t="shared" si="271"/>
        <v>0.59415204678362576</v>
      </c>
      <c r="CH282" s="189">
        <f>CH283+CH284</f>
        <v>3500</v>
      </c>
      <c r="CI282" s="186">
        <f t="shared" si="272"/>
        <v>0.81871345029239762</v>
      </c>
      <c r="CJ282" s="189">
        <f>CJ283+CJ284</f>
        <v>3690</v>
      </c>
      <c r="CK282" s="186">
        <f t="shared" si="273"/>
        <v>0.86315789473684212</v>
      </c>
      <c r="CL282" s="189">
        <f>CL283+CL284</f>
        <v>3964</v>
      </c>
      <c r="CM282" s="186">
        <f t="shared" si="274"/>
        <v>0.9272514619883041</v>
      </c>
      <c r="CN282" s="189">
        <f>CN283+CN284</f>
        <v>4061.25</v>
      </c>
      <c r="CO282" s="186">
        <f t="shared" si="275"/>
        <v>0.95</v>
      </c>
      <c r="CP282" s="213" t="str">
        <f t="shared" si="280"/>
        <v>Đạt</v>
      </c>
      <c r="CQ282" s="213" t="str">
        <f t="shared" si="281"/>
        <v>Đạt</v>
      </c>
      <c r="CR282" s="213"/>
      <c r="CS282" s="213"/>
      <c r="CT282" s="231"/>
      <c r="CU282" s="163"/>
      <c r="CW282" s="195"/>
      <c r="CX282" s="196"/>
      <c r="CY282" s="196"/>
      <c r="CZ282" s="197"/>
      <c r="DA282" s="196"/>
      <c r="DB282" s="196"/>
      <c r="DC282" s="196"/>
      <c r="DE282" s="199"/>
      <c r="DF282" s="200"/>
      <c r="DG282" s="181"/>
    </row>
    <row r="283" spans="1:111" s="324" customFormat="1" outlineLevel="1" x14ac:dyDescent="0.25">
      <c r="A283" s="305" t="s">
        <v>34</v>
      </c>
      <c r="B283" s="306" t="s">
        <v>376</v>
      </c>
      <c r="C283" s="306"/>
      <c r="D283" s="307">
        <f t="shared" si="247"/>
        <v>3000</v>
      </c>
      <c r="E283" s="307"/>
      <c r="F283" s="307">
        <f>G283+H283+K283+M283</f>
        <v>3000</v>
      </c>
      <c r="G283" s="303">
        <v>3000</v>
      </c>
      <c r="H283" s="303"/>
      <c r="I283" s="235"/>
      <c r="J283" s="235"/>
      <c r="K283" s="303"/>
      <c r="L283" s="235"/>
      <c r="M283" s="223"/>
      <c r="N283" s="223"/>
      <c r="O283" s="303">
        <f t="shared" si="251"/>
        <v>3000</v>
      </c>
      <c r="P283" s="303">
        <v>0</v>
      </c>
      <c r="Q283" s="308">
        <f t="shared" si="276"/>
        <v>0</v>
      </c>
      <c r="R283" s="303">
        <v>1412.84</v>
      </c>
      <c r="S283" s="313">
        <v>0.47094666666666662</v>
      </c>
      <c r="T283" s="313">
        <v>0.4957333333333333</v>
      </c>
      <c r="U283" s="303">
        <v>1877.2779999999998</v>
      </c>
      <c r="V283" s="313">
        <v>0.62575933333333322</v>
      </c>
      <c r="W283" s="313">
        <v>0.65869403508771918</v>
      </c>
      <c r="X283" s="303">
        <v>1877.2779999999998</v>
      </c>
      <c r="Y283" s="313">
        <v>0.62575933333333322</v>
      </c>
      <c r="Z283" s="313">
        <v>0.65869403508771918</v>
      </c>
      <c r="AA283" s="303">
        <v>1877.2779999999998</v>
      </c>
      <c r="AB283" s="313">
        <v>0.62575933333333322</v>
      </c>
      <c r="AC283" s="313">
        <v>0.65869403508771918</v>
      </c>
      <c r="AD283" s="303">
        <v>2238</v>
      </c>
      <c r="AE283" s="313">
        <v>0.746</v>
      </c>
      <c r="AF283" s="313">
        <v>0.78526315789473689</v>
      </c>
      <c r="AG283" s="303">
        <v>2238</v>
      </c>
      <c r="AH283" s="313">
        <v>0.746</v>
      </c>
      <c r="AI283" s="313">
        <v>0.78526315789473689</v>
      </c>
      <c r="AJ283" s="303">
        <v>2238</v>
      </c>
      <c r="AK283" s="313">
        <v>0.746</v>
      </c>
      <c r="AL283" s="313">
        <v>0.78526315789473689</v>
      </c>
      <c r="AM283" s="303">
        <v>2238</v>
      </c>
      <c r="AN283" s="313">
        <v>0.746</v>
      </c>
      <c r="AO283" s="313">
        <v>0.78526315789473689</v>
      </c>
      <c r="AP283" s="313"/>
      <c r="AQ283" s="303">
        <v>2353.1880000000001</v>
      </c>
      <c r="AR283" s="313">
        <v>0.78439599999999998</v>
      </c>
      <c r="AS283" s="313">
        <v>0.82568000000000008</v>
      </c>
      <c r="AT283" s="303">
        <v>2362.0340000000001</v>
      </c>
      <c r="AU283" s="313">
        <v>0.78734466666666669</v>
      </c>
      <c r="AV283" s="313">
        <v>0.82878385964912282</v>
      </c>
      <c r="AW283" s="313"/>
      <c r="AX283" s="313"/>
      <c r="AY283" s="313"/>
      <c r="AZ283" s="313"/>
      <c r="BA283" s="313"/>
      <c r="BB283" s="313"/>
      <c r="BC283" s="303">
        <v>2362.0340000000001</v>
      </c>
      <c r="BD283" s="313">
        <v>0.78734466666666669</v>
      </c>
      <c r="BE283" s="313">
        <v>0.82878385964912282</v>
      </c>
      <c r="BF283" s="303"/>
      <c r="BG283" s="303">
        <v>2836.7400000000002</v>
      </c>
      <c r="BH283" s="313">
        <v>0.94558000000000009</v>
      </c>
      <c r="BI283" s="313">
        <v>0.99534736842105276</v>
      </c>
      <c r="BJ283" s="303">
        <f t="shared" si="277"/>
        <v>2850</v>
      </c>
      <c r="BK283" s="303">
        <v>2844</v>
      </c>
      <c r="BL283" s="313">
        <f t="shared" si="262"/>
        <v>0.94799999999999995</v>
      </c>
      <c r="BM283" s="313">
        <f t="shared" si="279"/>
        <v>0.99789473684210528</v>
      </c>
      <c r="BN283" s="205">
        <f t="shared" si="260"/>
        <v>606</v>
      </c>
      <c r="BO283" s="205"/>
      <c r="BP283" s="310"/>
      <c r="BQ283" s="311">
        <f t="shared" si="263"/>
        <v>0</v>
      </c>
      <c r="BR283" s="310"/>
      <c r="BS283" s="311">
        <f t="shared" si="264"/>
        <v>0</v>
      </c>
      <c r="BT283" s="310"/>
      <c r="BU283" s="308">
        <f t="shared" si="265"/>
        <v>0</v>
      </c>
      <c r="BV283" s="310">
        <v>750</v>
      </c>
      <c r="BW283" s="311">
        <f t="shared" si="266"/>
        <v>0.25</v>
      </c>
      <c r="BX283" s="310">
        <v>1200</v>
      </c>
      <c r="BY283" s="311">
        <f t="shared" si="267"/>
        <v>0.4</v>
      </c>
      <c r="BZ283" s="310">
        <v>1450</v>
      </c>
      <c r="CA283" s="311">
        <f t="shared" si="268"/>
        <v>0.48333333333333334</v>
      </c>
      <c r="CB283" s="310">
        <v>1800</v>
      </c>
      <c r="CC283" s="311">
        <f t="shared" si="269"/>
        <v>0.6</v>
      </c>
      <c r="CD283" s="310">
        <v>2000</v>
      </c>
      <c r="CE283" s="311">
        <f t="shared" si="270"/>
        <v>0.66666666666666663</v>
      </c>
      <c r="CF283" s="310">
        <v>2300</v>
      </c>
      <c r="CG283" s="311">
        <f t="shared" si="271"/>
        <v>0.76666666666666672</v>
      </c>
      <c r="CH283" s="310">
        <v>2850</v>
      </c>
      <c r="CI283" s="311">
        <f t="shared" si="272"/>
        <v>0.95</v>
      </c>
      <c r="CJ283" s="310">
        <v>2850</v>
      </c>
      <c r="CK283" s="311">
        <f t="shared" si="273"/>
        <v>0.95</v>
      </c>
      <c r="CL283" s="310">
        <v>2850</v>
      </c>
      <c r="CM283" s="311">
        <f t="shared" si="274"/>
        <v>0.95</v>
      </c>
      <c r="CN283" s="310">
        <v>2850</v>
      </c>
      <c r="CO283" s="311">
        <f t="shared" si="275"/>
        <v>0.95</v>
      </c>
      <c r="CP283" s="213" t="str">
        <f t="shared" si="280"/>
        <v>Đạt</v>
      </c>
      <c r="CQ283" s="213" t="str">
        <f t="shared" si="281"/>
        <v>Đạt</v>
      </c>
      <c r="CR283" s="312"/>
      <c r="CS283" s="312"/>
      <c r="CT283" s="235"/>
      <c r="CU283" s="163"/>
      <c r="CV283" s="323"/>
      <c r="CW283" s="195"/>
      <c r="CX283" s="196"/>
      <c r="CY283" s="196"/>
      <c r="CZ283" s="197"/>
      <c r="DA283" s="196"/>
      <c r="DB283" s="196"/>
      <c r="DC283" s="196"/>
      <c r="DE283" s="199"/>
      <c r="DF283" s="200"/>
      <c r="DG283" s="181"/>
    </row>
    <row r="284" spans="1:111" ht="25.5" outlineLevel="1" x14ac:dyDescent="0.25">
      <c r="A284" s="305" t="s">
        <v>34</v>
      </c>
      <c r="B284" s="306" t="s">
        <v>377</v>
      </c>
      <c r="C284" s="306"/>
      <c r="D284" s="307">
        <f t="shared" si="247"/>
        <v>1275</v>
      </c>
      <c r="E284" s="307"/>
      <c r="F284" s="307">
        <f>G284+H284+K284+M284</f>
        <v>1275</v>
      </c>
      <c r="G284" s="307"/>
      <c r="H284" s="307">
        <v>1275</v>
      </c>
      <c r="I284" s="235"/>
      <c r="J284" s="235"/>
      <c r="K284" s="303"/>
      <c r="L284" s="235"/>
      <c r="M284" s="223"/>
      <c r="N284" s="223"/>
      <c r="O284" s="303"/>
      <c r="P284" s="303">
        <v>0</v>
      </c>
      <c r="Q284" s="308">
        <f t="shared" si="276"/>
        <v>0</v>
      </c>
      <c r="R284" s="303"/>
      <c r="S284" s="313">
        <v>0</v>
      </c>
      <c r="T284" s="313">
        <v>0</v>
      </c>
      <c r="U284" s="303"/>
      <c r="V284" s="313">
        <v>0</v>
      </c>
      <c r="W284" s="313">
        <v>0</v>
      </c>
      <c r="X284" s="303"/>
      <c r="Y284" s="313">
        <v>0</v>
      </c>
      <c r="Z284" s="313">
        <v>0</v>
      </c>
      <c r="AA284" s="303"/>
      <c r="AB284" s="313">
        <v>0</v>
      </c>
      <c r="AC284" s="313">
        <v>0</v>
      </c>
      <c r="AD284" s="303"/>
      <c r="AE284" s="313">
        <v>0</v>
      </c>
      <c r="AF284" s="313">
        <v>0</v>
      </c>
      <c r="AG284" s="303"/>
      <c r="AH284" s="313">
        <v>0</v>
      </c>
      <c r="AI284" s="313">
        <v>0</v>
      </c>
      <c r="AJ284" s="188"/>
      <c r="AK284" s="313">
        <v>0</v>
      </c>
      <c r="AL284" s="313">
        <v>0</v>
      </c>
      <c r="AM284" s="303"/>
      <c r="AN284" s="313">
        <v>0</v>
      </c>
      <c r="AO284" s="313">
        <v>0</v>
      </c>
      <c r="AP284" s="313"/>
      <c r="AQ284" s="303"/>
      <c r="AR284" s="313">
        <v>0</v>
      </c>
      <c r="AS284" s="313">
        <v>0</v>
      </c>
      <c r="AT284" s="303"/>
      <c r="AU284" s="313">
        <v>0</v>
      </c>
      <c r="AV284" s="313">
        <v>0</v>
      </c>
      <c r="AW284" s="313"/>
      <c r="AX284" s="313"/>
      <c r="AY284" s="313"/>
      <c r="AZ284" s="313"/>
      <c r="BA284" s="313"/>
      <c r="BB284" s="313"/>
      <c r="BC284" s="303"/>
      <c r="BD284" s="313">
        <v>0</v>
      </c>
      <c r="BE284" s="313">
        <v>0</v>
      </c>
      <c r="BF284" s="303"/>
      <c r="BG284" s="303">
        <v>296.85900000000004</v>
      </c>
      <c r="BH284" s="313">
        <v>0.23283058823529415</v>
      </c>
      <c r="BI284" s="313">
        <v>0.24508482972136225</v>
      </c>
      <c r="BJ284" s="303">
        <f t="shared" si="277"/>
        <v>1211.25</v>
      </c>
      <c r="BK284" s="303">
        <v>746</v>
      </c>
      <c r="BL284" s="313">
        <f t="shared" si="262"/>
        <v>0.58509803921568626</v>
      </c>
      <c r="BM284" s="313">
        <f t="shared" si="279"/>
        <v>0.61589267285861715</v>
      </c>
      <c r="BN284" s="205">
        <f t="shared" si="260"/>
        <v>746</v>
      </c>
      <c r="BO284" s="205"/>
      <c r="BP284" s="310"/>
      <c r="BQ284" s="311">
        <f t="shared" si="263"/>
        <v>0</v>
      </c>
      <c r="BR284" s="310"/>
      <c r="BS284" s="311">
        <f t="shared" si="264"/>
        <v>0</v>
      </c>
      <c r="BT284" s="310"/>
      <c r="BU284" s="308">
        <f t="shared" si="265"/>
        <v>0</v>
      </c>
      <c r="BV284" s="310"/>
      <c r="BW284" s="311">
        <f t="shared" si="266"/>
        <v>0</v>
      </c>
      <c r="BX284" s="310"/>
      <c r="BY284" s="311">
        <f t="shared" si="267"/>
        <v>0</v>
      </c>
      <c r="BZ284" s="310"/>
      <c r="CA284" s="311">
        <f t="shared" si="268"/>
        <v>0</v>
      </c>
      <c r="CB284" s="310"/>
      <c r="CC284" s="311">
        <f t="shared" si="269"/>
        <v>0</v>
      </c>
      <c r="CD284" s="310">
        <v>89</v>
      </c>
      <c r="CE284" s="311">
        <f t="shared" si="270"/>
        <v>6.9803921568627456E-2</v>
      </c>
      <c r="CF284" s="310">
        <v>240</v>
      </c>
      <c r="CG284" s="311">
        <f t="shared" si="271"/>
        <v>0.18823529411764706</v>
      </c>
      <c r="CH284" s="310">
        <v>650</v>
      </c>
      <c r="CI284" s="311">
        <f t="shared" si="272"/>
        <v>0.50980392156862742</v>
      </c>
      <c r="CJ284" s="310">
        <v>840</v>
      </c>
      <c r="CK284" s="311">
        <f t="shared" si="273"/>
        <v>0.6588235294117647</v>
      </c>
      <c r="CL284" s="310">
        <v>1114</v>
      </c>
      <c r="CM284" s="311">
        <f t="shared" si="274"/>
        <v>0.87372549019607848</v>
      </c>
      <c r="CN284" s="310">
        <f>0.95*1275</f>
        <v>1211.25</v>
      </c>
      <c r="CO284" s="311">
        <f t="shared" si="275"/>
        <v>0.95</v>
      </c>
      <c r="CP284" s="213" t="str">
        <f t="shared" si="280"/>
        <v>Đạt</v>
      </c>
      <c r="CQ284" s="213" t="str">
        <f t="shared" si="281"/>
        <v>Đạt</v>
      </c>
      <c r="CR284" s="312"/>
      <c r="CS284" s="312"/>
      <c r="CT284" s="235"/>
      <c r="CU284" s="163"/>
      <c r="CW284" s="195"/>
      <c r="CX284" s="196"/>
      <c r="CY284" s="196"/>
      <c r="CZ284" s="197"/>
      <c r="DA284" s="196"/>
      <c r="DB284" s="196"/>
      <c r="DC284" s="196"/>
      <c r="DE284" s="199"/>
      <c r="DF284" s="200"/>
      <c r="DG284" s="181"/>
    </row>
    <row r="285" spans="1:111" ht="18" customHeight="1" x14ac:dyDescent="0.25">
      <c r="A285" s="213">
        <f>MAX(A$243:A283)+1</f>
        <v>12</v>
      </c>
      <c r="B285" s="240" t="s">
        <v>394</v>
      </c>
      <c r="C285" s="240"/>
      <c r="D285" s="188">
        <f t="shared" ref="D285:I285" si="285">D286+D287</f>
        <v>3187</v>
      </c>
      <c r="E285" s="188">
        <f t="shared" si="285"/>
        <v>0</v>
      </c>
      <c r="F285" s="188">
        <f t="shared" si="285"/>
        <v>3187</v>
      </c>
      <c r="G285" s="188">
        <f t="shared" si="285"/>
        <v>3000</v>
      </c>
      <c r="H285" s="188">
        <f t="shared" si="285"/>
        <v>187</v>
      </c>
      <c r="I285" s="188">
        <f t="shared" si="285"/>
        <v>0</v>
      </c>
      <c r="J285" s="188"/>
      <c r="K285" s="188">
        <f>K286+K287</f>
        <v>0</v>
      </c>
      <c r="L285" s="188">
        <f>L286+L287</f>
        <v>0</v>
      </c>
      <c r="M285" s="188">
        <f>M286+M287</f>
        <v>0</v>
      </c>
      <c r="N285" s="188">
        <f>N286+N287</f>
        <v>0</v>
      </c>
      <c r="O285" s="188">
        <f>O286+O287</f>
        <v>3000</v>
      </c>
      <c r="P285" s="188">
        <v>0</v>
      </c>
      <c r="Q285" s="186">
        <f t="shared" si="276"/>
        <v>0</v>
      </c>
      <c r="R285" s="188">
        <v>0</v>
      </c>
      <c r="S285" s="185">
        <v>0</v>
      </c>
      <c r="T285" s="185">
        <v>0</v>
      </c>
      <c r="U285" s="188">
        <v>0</v>
      </c>
      <c r="V285" s="185">
        <v>0</v>
      </c>
      <c r="W285" s="185">
        <v>0</v>
      </c>
      <c r="X285" s="188">
        <v>0</v>
      </c>
      <c r="Y285" s="185">
        <v>0</v>
      </c>
      <c r="Z285" s="185">
        <v>0</v>
      </c>
      <c r="AA285" s="188">
        <v>0</v>
      </c>
      <c r="AB285" s="185">
        <v>0</v>
      </c>
      <c r="AC285" s="185">
        <v>0</v>
      </c>
      <c r="AD285" s="188">
        <v>215</v>
      </c>
      <c r="AE285" s="185">
        <v>6.7461562598054595E-2</v>
      </c>
      <c r="AF285" s="185">
        <v>7.1012171155846959E-2</v>
      </c>
      <c r="AG285" s="188">
        <v>215</v>
      </c>
      <c r="AH285" s="185">
        <v>6.7461562598054595E-2</v>
      </c>
      <c r="AI285" s="185">
        <v>7.1012171155846959E-2</v>
      </c>
      <c r="AJ285" s="214">
        <v>215</v>
      </c>
      <c r="AK285" s="185">
        <v>6.7461562598054595E-2</v>
      </c>
      <c r="AL285" s="185">
        <v>7.1012171155846959E-2</v>
      </c>
      <c r="AM285" s="314">
        <v>215</v>
      </c>
      <c r="AN285" s="185">
        <v>6.7461562598054595E-2</v>
      </c>
      <c r="AO285" s="185">
        <v>7.1012171155846959E-2</v>
      </c>
      <c r="AP285" s="185"/>
      <c r="AQ285" s="188">
        <v>1040</v>
      </c>
      <c r="AR285" s="185">
        <v>0.32632569814872919</v>
      </c>
      <c r="AS285" s="185">
        <v>0.34350073489339922</v>
      </c>
      <c r="AT285" s="188">
        <v>1040</v>
      </c>
      <c r="AU285" s="185">
        <v>0.32632569814872919</v>
      </c>
      <c r="AV285" s="185">
        <v>0.34350073489339922</v>
      </c>
      <c r="AW285" s="185"/>
      <c r="AX285" s="185"/>
      <c r="AY285" s="185"/>
      <c r="AZ285" s="185"/>
      <c r="BA285" s="185"/>
      <c r="BB285" s="185"/>
      <c r="BC285" s="188">
        <v>1040</v>
      </c>
      <c r="BD285" s="185">
        <v>0.32632569814872919</v>
      </c>
      <c r="BE285" s="185">
        <v>0.34350073489339922</v>
      </c>
      <c r="BF285" s="188"/>
      <c r="BG285" s="188">
        <v>1351.37</v>
      </c>
      <c r="BH285" s="185">
        <v>0.42402572952620016</v>
      </c>
      <c r="BI285" s="185">
        <v>0.44634287318547389</v>
      </c>
      <c r="BJ285" s="188">
        <f t="shared" si="277"/>
        <v>3027.6499999999996</v>
      </c>
      <c r="BK285" s="188">
        <f>BK286+BK287</f>
        <v>1351.37</v>
      </c>
      <c r="BL285" s="185">
        <f t="shared" si="262"/>
        <v>0.42402572952620016</v>
      </c>
      <c r="BM285" s="185">
        <f t="shared" si="279"/>
        <v>0.44634287318547389</v>
      </c>
      <c r="BN285" s="205">
        <f t="shared" si="260"/>
        <v>1136.3699999999999</v>
      </c>
      <c r="BO285" s="205"/>
      <c r="BP285" s="189">
        <f>BP286+BP287</f>
        <v>0</v>
      </c>
      <c r="BQ285" s="186">
        <f t="shared" si="263"/>
        <v>0</v>
      </c>
      <c r="BR285" s="189">
        <f>BR286+BR287</f>
        <v>0</v>
      </c>
      <c r="BS285" s="186">
        <f t="shared" si="264"/>
        <v>0</v>
      </c>
      <c r="BT285" s="189">
        <f>BT286+BT287</f>
        <v>318.7</v>
      </c>
      <c r="BU285" s="186">
        <f t="shared" si="265"/>
        <v>9.9999999999999992E-2</v>
      </c>
      <c r="BV285" s="189">
        <f>BV286+BV287</f>
        <v>637.4</v>
      </c>
      <c r="BW285" s="186">
        <f t="shared" si="266"/>
        <v>0.19999999999999998</v>
      </c>
      <c r="BX285" s="189">
        <f>BX286+BX287</f>
        <v>956.1</v>
      </c>
      <c r="BY285" s="186">
        <f t="shared" si="267"/>
        <v>0.3</v>
      </c>
      <c r="BZ285" s="189">
        <f>BZ286+BZ287</f>
        <v>1274.8</v>
      </c>
      <c r="CA285" s="186">
        <f t="shared" si="268"/>
        <v>0.39999999999999997</v>
      </c>
      <c r="CB285" s="189">
        <f>CB286+CB287</f>
        <v>1593.5</v>
      </c>
      <c r="CC285" s="186">
        <f t="shared" si="269"/>
        <v>0.5</v>
      </c>
      <c r="CD285" s="189">
        <f>CD286+CD287</f>
        <v>1752.8500000000001</v>
      </c>
      <c r="CE285" s="186">
        <f t="shared" si="270"/>
        <v>0.55000000000000004</v>
      </c>
      <c r="CF285" s="189">
        <f>CF286+CF287</f>
        <v>2230.9</v>
      </c>
      <c r="CG285" s="186">
        <f t="shared" si="271"/>
        <v>0.70000000000000007</v>
      </c>
      <c r="CH285" s="189">
        <f>CH286+CH287</f>
        <v>2230.9</v>
      </c>
      <c r="CI285" s="186">
        <f t="shared" si="272"/>
        <v>0.70000000000000007</v>
      </c>
      <c r="CJ285" s="189">
        <f>CJ286+CJ287</f>
        <v>2390.25</v>
      </c>
      <c r="CK285" s="186">
        <f t="shared" si="273"/>
        <v>0.75</v>
      </c>
      <c r="CL285" s="189">
        <f>CL286+CL287</f>
        <v>2390.25</v>
      </c>
      <c r="CM285" s="186">
        <f t="shared" si="274"/>
        <v>0.75</v>
      </c>
      <c r="CN285" s="189">
        <f>CN286+CN287</f>
        <v>3027.65</v>
      </c>
      <c r="CO285" s="186">
        <f t="shared" si="275"/>
        <v>0.95000000000000007</v>
      </c>
      <c r="CP285" s="213" t="str">
        <f t="shared" si="280"/>
        <v>Đạt</v>
      </c>
      <c r="CQ285" s="213" t="str">
        <f t="shared" si="281"/>
        <v>Đạt</v>
      </c>
      <c r="CR285" s="213"/>
      <c r="CS285" s="213"/>
      <c r="CT285" s="231"/>
      <c r="CU285" s="163"/>
      <c r="CW285" s="195"/>
      <c r="CX285" s="196"/>
      <c r="CY285" s="196"/>
      <c r="CZ285" s="197"/>
      <c r="DA285" s="196"/>
      <c r="DB285" s="196"/>
      <c r="DC285" s="196"/>
      <c r="DE285" s="199"/>
      <c r="DF285" s="200"/>
      <c r="DG285" s="181"/>
    </row>
    <row r="286" spans="1:111" s="324" customFormat="1" outlineLevel="1" x14ac:dyDescent="0.25">
      <c r="A286" s="305" t="s">
        <v>34</v>
      </c>
      <c r="B286" s="306" t="s">
        <v>376</v>
      </c>
      <c r="C286" s="306"/>
      <c r="D286" s="307">
        <f t="shared" si="247"/>
        <v>3000</v>
      </c>
      <c r="E286" s="307"/>
      <c r="F286" s="307">
        <f>G286+H286+K286+M286</f>
        <v>3000</v>
      </c>
      <c r="G286" s="303">
        <v>3000</v>
      </c>
      <c r="H286" s="303"/>
      <c r="I286" s="235"/>
      <c r="J286" s="235"/>
      <c r="K286" s="303"/>
      <c r="L286" s="235"/>
      <c r="M286" s="223"/>
      <c r="N286" s="223"/>
      <c r="O286" s="303">
        <f t="shared" si="251"/>
        <v>3000</v>
      </c>
      <c r="P286" s="303">
        <v>0</v>
      </c>
      <c r="Q286" s="308">
        <f t="shared" si="276"/>
        <v>0</v>
      </c>
      <c r="R286" s="303"/>
      <c r="S286" s="309">
        <v>0</v>
      </c>
      <c r="T286" s="309">
        <v>0</v>
      </c>
      <c r="U286" s="303"/>
      <c r="V286" s="309">
        <v>0</v>
      </c>
      <c r="W286" s="309">
        <v>0</v>
      </c>
      <c r="X286" s="303"/>
      <c r="Y286" s="309">
        <v>0</v>
      </c>
      <c r="Z286" s="309">
        <v>0</v>
      </c>
      <c r="AA286" s="303"/>
      <c r="AB286" s="309">
        <v>0</v>
      </c>
      <c r="AC286" s="309">
        <v>0</v>
      </c>
      <c r="AD286" s="303">
        <v>215</v>
      </c>
      <c r="AE286" s="309">
        <v>7.166666666666667E-2</v>
      </c>
      <c r="AF286" s="309">
        <v>7.5438596491228069E-2</v>
      </c>
      <c r="AG286" s="214">
        <v>215</v>
      </c>
      <c r="AH286" s="309">
        <v>7.166666666666667E-2</v>
      </c>
      <c r="AI286" s="309">
        <v>7.5438596491228069E-2</v>
      </c>
      <c r="AJ286" s="303">
        <v>873.82399999999996</v>
      </c>
      <c r="AK286" s="309">
        <v>7.166666666666667E-2</v>
      </c>
      <c r="AL286" s="309">
        <v>7.5438596491228069E-2</v>
      </c>
      <c r="AM286" s="214">
        <v>873.82399999999996</v>
      </c>
      <c r="AN286" s="309">
        <v>7.166666666666667E-2</v>
      </c>
      <c r="AO286" s="309">
        <v>7.5438596491228069E-2</v>
      </c>
      <c r="AP286" s="309"/>
      <c r="AQ286" s="214">
        <v>1040</v>
      </c>
      <c r="AR286" s="309">
        <v>0.34666666666666668</v>
      </c>
      <c r="AS286" s="309">
        <v>0.36491228070175441</v>
      </c>
      <c r="AT286" s="214">
        <v>1040</v>
      </c>
      <c r="AU286" s="309">
        <v>0.34666666666666668</v>
      </c>
      <c r="AV286" s="309">
        <v>0.36491228070175441</v>
      </c>
      <c r="AW286" s="309"/>
      <c r="AX286" s="309"/>
      <c r="AY286" s="309"/>
      <c r="AZ286" s="309"/>
      <c r="BA286" s="309"/>
      <c r="BB286" s="309"/>
      <c r="BC286" s="214">
        <v>1040</v>
      </c>
      <c r="BD286" s="309">
        <v>0.34666666666666668</v>
      </c>
      <c r="BE286" s="309">
        <v>0.36491228070175441</v>
      </c>
      <c r="BF286" s="214"/>
      <c r="BG286" s="214">
        <v>1351.37</v>
      </c>
      <c r="BH286" s="309">
        <v>0.45045666666666662</v>
      </c>
      <c r="BI286" s="309">
        <v>0.47416491228070173</v>
      </c>
      <c r="BJ286" s="214">
        <f t="shared" si="277"/>
        <v>2850</v>
      </c>
      <c r="BK286" s="214">
        <v>1351.37</v>
      </c>
      <c r="BL286" s="309">
        <f t="shared" si="262"/>
        <v>0.45045666666666662</v>
      </c>
      <c r="BM286" s="309">
        <f t="shared" si="279"/>
        <v>0.47416491228070173</v>
      </c>
      <c r="BN286" s="205">
        <f t="shared" si="260"/>
        <v>1136.3699999999999</v>
      </c>
      <c r="BO286" s="205"/>
      <c r="BP286" s="310"/>
      <c r="BQ286" s="308">
        <f t="shared" si="263"/>
        <v>0</v>
      </c>
      <c r="BR286" s="310"/>
      <c r="BS286" s="308">
        <f t="shared" si="264"/>
        <v>0</v>
      </c>
      <c r="BT286" s="310">
        <f>$F286*0.1</f>
        <v>300</v>
      </c>
      <c r="BU286" s="308">
        <f t="shared" si="265"/>
        <v>0.1</v>
      </c>
      <c r="BV286" s="310">
        <f>$F286*0.2</f>
        <v>600</v>
      </c>
      <c r="BW286" s="308">
        <f t="shared" si="266"/>
        <v>0.2</v>
      </c>
      <c r="BX286" s="310">
        <f>$F286*0.3</f>
        <v>900</v>
      </c>
      <c r="BY286" s="308">
        <f t="shared" si="267"/>
        <v>0.3</v>
      </c>
      <c r="BZ286" s="310">
        <f>$F286*0.4</f>
        <v>1200</v>
      </c>
      <c r="CA286" s="308">
        <f t="shared" si="268"/>
        <v>0.4</v>
      </c>
      <c r="CB286" s="310">
        <f>$F286*0.5</f>
        <v>1500</v>
      </c>
      <c r="CC286" s="308">
        <f t="shared" si="269"/>
        <v>0.5</v>
      </c>
      <c r="CD286" s="310">
        <f>$F286*0.55</f>
        <v>1650.0000000000002</v>
      </c>
      <c r="CE286" s="308">
        <f t="shared" si="270"/>
        <v>0.55000000000000004</v>
      </c>
      <c r="CF286" s="310">
        <v>2100</v>
      </c>
      <c r="CG286" s="308">
        <f t="shared" si="271"/>
        <v>0.7</v>
      </c>
      <c r="CH286" s="310">
        <f>$F286*0.7</f>
        <v>2100</v>
      </c>
      <c r="CI286" s="308">
        <f t="shared" si="272"/>
        <v>0.7</v>
      </c>
      <c r="CJ286" s="310">
        <f>$F286*0.75</f>
        <v>2250</v>
      </c>
      <c r="CK286" s="308">
        <f t="shared" si="273"/>
        <v>0.75</v>
      </c>
      <c r="CL286" s="310">
        <f>$F286*0.75</f>
        <v>2250</v>
      </c>
      <c r="CM286" s="308">
        <f t="shared" si="274"/>
        <v>0.75</v>
      </c>
      <c r="CN286" s="310">
        <f>$F286*0.95</f>
        <v>2850</v>
      </c>
      <c r="CO286" s="308">
        <f t="shared" si="275"/>
        <v>0.95</v>
      </c>
      <c r="CP286" s="213" t="str">
        <f t="shared" si="280"/>
        <v>Đạt</v>
      </c>
      <c r="CQ286" s="213" t="str">
        <f t="shared" si="281"/>
        <v>Đạt</v>
      </c>
      <c r="CR286" s="312"/>
      <c r="CS286" s="312"/>
      <c r="CT286" s="235"/>
      <c r="CU286" s="163"/>
      <c r="CV286" s="323"/>
      <c r="CW286" s="195"/>
      <c r="CX286" s="196"/>
      <c r="CY286" s="196"/>
      <c r="CZ286" s="197"/>
      <c r="DA286" s="196"/>
      <c r="DB286" s="196"/>
      <c r="DC286" s="196"/>
      <c r="DE286" s="199"/>
      <c r="DF286" s="200"/>
      <c r="DG286" s="181"/>
    </row>
    <row r="287" spans="1:111" ht="25.5" outlineLevel="1" x14ac:dyDescent="0.25">
      <c r="A287" s="305" t="s">
        <v>34</v>
      </c>
      <c r="B287" s="306" t="s">
        <v>377</v>
      </c>
      <c r="C287" s="306"/>
      <c r="D287" s="307">
        <f t="shared" si="247"/>
        <v>187</v>
      </c>
      <c r="E287" s="307"/>
      <c r="F287" s="307">
        <f>G287+H287+K287+M287</f>
        <v>187</v>
      </c>
      <c r="G287" s="307"/>
      <c r="H287" s="307">
        <v>187</v>
      </c>
      <c r="I287" s="235"/>
      <c r="J287" s="235"/>
      <c r="K287" s="303"/>
      <c r="L287" s="235"/>
      <c r="M287" s="223"/>
      <c r="N287" s="223"/>
      <c r="O287" s="303"/>
      <c r="P287" s="303">
        <v>0</v>
      </c>
      <c r="Q287" s="308">
        <f t="shared" si="276"/>
        <v>0</v>
      </c>
      <c r="R287" s="303"/>
      <c r="S287" s="309">
        <v>0</v>
      </c>
      <c r="T287" s="309">
        <v>0</v>
      </c>
      <c r="U287" s="303"/>
      <c r="V287" s="309">
        <v>0</v>
      </c>
      <c r="W287" s="309">
        <v>0</v>
      </c>
      <c r="X287" s="303"/>
      <c r="Y287" s="309">
        <v>0</v>
      </c>
      <c r="Z287" s="309">
        <v>0</v>
      </c>
      <c r="AA287" s="303"/>
      <c r="AB287" s="309">
        <v>0</v>
      </c>
      <c r="AC287" s="309">
        <v>0</v>
      </c>
      <c r="AD287" s="303"/>
      <c r="AE287" s="309">
        <v>0</v>
      </c>
      <c r="AF287" s="309">
        <v>0</v>
      </c>
      <c r="AG287" s="303"/>
      <c r="AH287" s="309">
        <v>0</v>
      </c>
      <c r="AI287" s="309">
        <v>0</v>
      </c>
      <c r="AJ287" s="189"/>
      <c r="AK287" s="309">
        <v>0</v>
      </c>
      <c r="AL287" s="309">
        <v>0</v>
      </c>
      <c r="AM287" s="303"/>
      <c r="AN287" s="309">
        <v>0</v>
      </c>
      <c r="AO287" s="309">
        <v>0</v>
      </c>
      <c r="AP287" s="309"/>
      <c r="AQ287" s="303"/>
      <c r="AR287" s="309">
        <v>0</v>
      </c>
      <c r="AS287" s="309">
        <v>0</v>
      </c>
      <c r="AT287" s="303"/>
      <c r="AU287" s="309">
        <v>0</v>
      </c>
      <c r="AV287" s="309">
        <v>0</v>
      </c>
      <c r="AW287" s="309"/>
      <c r="AX287" s="309"/>
      <c r="AY287" s="309"/>
      <c r="AZ287" s="309"/>
      <c r="BA287" s="309"/>
      <c r="BB287" s="309"/>
      <c r="BC287" s="303"/>
      <c r="BD287" s="309">
        <v>0</v>
      </c>
      <c r="BE287" s="309">
        <v>0</v>
      </c>
      <c r="BF287" s="303"/>
      <c r="BG287" s="303"/>
      <c r="BH287" s="309">
        <v>0</v>
      </c>
      <c r="BI287" s="309">
        <v>0</v>
      </c>
      <c r="BJ287" s="303">
        <f t="shared" si="277"/>
        <v>177.65</v>
      </c>
      <c r="BK287" s="303"/>
      <c r="BL287" s="309">
        <f t="shared" si="262"/>
        <v>0</v>
      </c>
      <c r="BM287" s="309">
        <f t="shared" si="279"/>
        <v>0</v>
      </c>
      <c r="BN287" s="205">
        <f t="shared" si="260"/>
        <v>0</v>
      </c>
      <c r="BO287" s="205"/>
      <c r="BP287" s="310"/>
      <c r="BQ287" s="308">
        <f t="shared" si="263"/>
        <v>0</v>
      </c>
      <c r="BR287" s="310"/>
      <c r="BS287" s="308">
        <f t="shared" si="264"/>
        <v>0</v>
      </c>
      <c r="BT287" s="310">
        <f>$F287*0.1</f>
        <v>18.7</v>
      </c>
      <c r="BU287" s="308">
        <f t="shared" si="265"/>
        <v>9.9999999999999992E-2</v>
      </c>
      <c r="BV287" s="310">
        <f>$F287*0.2</f>
        <v>37.4</v>
      </c>
      <c r="BW287" s="308">
        <f t="shared" si="266"/>
        <v>0.19999999999999998</v>
      </c>
      <c r="BX287" s="310">
        <f>$F287*0.3</f>
        <v>56.1</v>
      </c>
      <c r="BY287" s="308">
        <f t="shared" si="267"/>
        <v>0.3</v>
      </c>
      <c r="BZ287" s="310">
        <f>$F287*0.4</f>
        <v>74.8</v>
      </c>
      <c r="CA287" s="308">
        <f t="shared" si="268"/>
        <v>0.39999999999999997</v>
      </c>
      <c r="CB287" s="310">
        <f>$F287*0.5</f>
        <v>93.5</v>
      </c>
      <c r="CC287" s="308">
        <f t="shared" si="269"/>
        <v>0.5</v>
      </c>
      <c r="CD287" s="310">
        <f>$F287*0.55</f>
        <v>102.85000000000001</v>
      </c>
      <c r="CE287" s="308">
        <f t="shared" si="270"/>
        <v>0.55000000000000004</v>
      </c>
      <c r="CF287" s="310">
        <v>130.9</v>
      </c>
      <c r="CG287" s="308">
        <f t="shared" si="271"/>
        <v>0.70000000000000007</v>
      </c>
      <c r="CH287" s="310">
        <f>$F287*0.7</f>
        <v>130.9</v>
      </c>
      <c r="CI287" s="308">
        <f t="shared" si="272"/>
        <v>0.70000000000000007</v>
      </c>
      <c r="CJ287" s="310">
        <f>$F287*0.75</f>
        <v>140.25</v>
      </c>
      <c r="CK287" s="308">
        <f t="shared" si="273"/>
        <v>0.75</v>
      </c>
      <c r="CL287" s="310">
        <f>$F287*0.75</f>
        <v>140.25</v>
      </c>
      <c r="CM287" s="308">
        <f t="shared" si="274"/>
        <v>0.75</v>
      </c>
      <c r="CN287" s="310">
        <f>$F287*0.95</f>
        <v>177.65</v>
      </c>
      <c r="CO287" s="308">
        <f t="shared" si="275"/>
        <v>0.95000000000000007</v>
      </c>
      <c r="CP287" s="213" t="str">
        <f t="shared" si="280"/>
        <v>Không đạt</v>
      </c>
      <c r="CQ287" s="213" t="str">
        <f t="shared" si="281"/>
        <v>Không đạt</v>
      </c>
      <c r="CR287" s="312"/>
      <c r="CS287" s="312"/>
      <c r="CT287" s="235"/>
      <c r="CU287" s="163"/>
      <c r="CW287" s="195"/>
      <c r="CX287" s="196"/>
      <c r="CY287" s="196"/>
      <c r="CZ287" s="197"/>
      <c r="DA287" s="196"/>
      <c r="DB287" s="196"/>
      <c r="DC287" s="196"/>
      <c r="DE287" s="199"/>
      <c r="DF287" s="200"/>
      <c r="DG287" s="181"/>
    </row>
    <row r="288" spans="1:111" ht="18" customHeight="1" x14ac:dyDescent="0.25">
      <c r="A288" s="316">
        <f>MAX(A$243:A286)+1</f>
        <v>13</v>
      </c>
      <c r="B288" s="240" t="s">
        <v>395</v>
      </c>
      <c r="C288" s="240"/>
      <c r="D288" s="188">
        <f t="shared" ref="D288:I288" si="286">D289+D290</f>
        <v>3161</v>
      </c>
      <c r="E288" s="188">
        <f t="shared" si="286"/>
        <v>0</v>
      </c>
      <c r="F288" s="188">
        <f t="shared" si="286"/>
        <v>3161</v>
      </c>
      <c r="G288" s="188">
        <f t="shared" si="286"/>
        <v>3000</v>
      </c>
      <c r="H288" s="188">
        <f t="shared" si="286"/>
        <v>161</v>
      </c>
      <c r="I288" s="188">
        <f t="shared" si="286"/>
        <v>0</v>
      </c>
      <c r="J288" s="188"/>
      <c r="K288" s="188">
        <f>K289+K290</f>
        <v>0</v>
      </c>
      <c r="L288" s="188">
        <f>L289+L290</f>
        <v>0</v>
      </c>
      <c r="M288" s="188">
        <f>M289+M290</f>
        <v>0</v>
      </c>
      <c r="N288" s="188">
        <f>N289+N290</f>
        <v>0</v>
      </c>
      <c r="O288" s="188">
        <f>O289+O290</f>
        <v>3000</v>
      </c>
      <c r="P288" s="188">
        <v>0</v>
      </c>
      <c r="Q288" s="186">
        <f t="shared" si="276"/>
        <v>0</v>
      </c>
      <c r="R288" s="189">
        <v>306.108</v>
      </c>
      <c r="S288" s="185">
        <v>9.683897500790889E-2</v>
      </c>
      <c r="T288" s="185">
        <v>0.1019357631662199</v>
      </c>
      <c r="U288" s="189">
        <v>1128.873</v>
      </c>
      <c r="V288" s="185">
        <v>0.35712527681113571</v>
      </c>
      <c r="W288" s="185">
        <v>0.37592134401172184</v>
      </c>
      <c r="X288" s="189">
        <v>1128.873</v>
      </c>
      <c r="Y288" s="185">
        <v>0.35712527681113571</v>
      </c>
      <c r="Z288" s="185">
        <v>0.37592134401172184</v>
      </c>
      <c r="AA288" s="189">
        <v>1128.873</v>
      </c>
      <c r="AB288" s="185">
        <v>0.35712527681113571</v>
      </c>
      <c r="AC288" s="185">
        <v>0.37592134401172184</v>
      </c>
      <c r="AD288" s="189">
        <v>1133</v>
      </c>
      <c r="AE288" s="185">
        <v>0.35843087630496678</v>
      </c>
      <c r="AF288" s="185">
        <v>0.3772956592683861</v>
      </c>
      <c r="AG288" s="189">
        <v>1133</v>
      </c>
      <c r="AH288" s="185">
        <v>0.35843087630496678</v>
      </c>
      <c r="AI288" s="185">
        <v>0.3772956592683861</v>
      </c>
      <c r="AJ288" s="303">
        <v>1133</v>
      </c>
      <c r="AK288" s="185">
        <v>0.35843087630496678</v>
      </c>
      <c r="AL288" s="185">
        <v>0.3772956592683861</v>
      </c>
      <c r="AM288" s="189">
        <v>1133</v>
      </c>
      <c r="AN288" s="185">
        <v>0.35843087630496678</v>
      </c>
      <c r="AO288" s="185">
        <v>0.3772956592683861</v>
      </c>
      <c r="AP288" s="185"/>
      <c r="AQ288" s="189">
        <v>1133</v>
      </c>
      <c r="AR288" s="185">
        <v>0.35843087630496678</v>
      </c>
      <c r="AS288" s="185">
        <v>0.3772956592683861</v>
      </c>
      <c r="AT288" s="189">
        <v>1133</v>
      </c>
      <c r="AU288" s="185">
        <v>0.35843087630496678</v>
      </c>
      <c r="AV288" s="185">
        <v>0.3772956592683861</v>
      </c>
      <c r="AW288" s="185"/>
      <c r="AX288" s="185"/>
      <c r="AY288" s="185"/>
      <c r="AZ288" s="185"/>
      <c r="BA288" s="185"/>
      <c r="BB288" s="185"/>
      <c r="BC288" s="189">
        <v>1133</v>
      </c>
      <c r="BD288" s="185">
        <v>0.35843087630496678</v>
      </c>
      <c r="BE288" s="185">
        <v>0.3772956592683861</v>
      </c>
      <c r="BF288" s="189"/>
      <c r="BG288" s="189">
        <v>1501.126</v>
      </c>
      <c r="BH288" s="185">
        <v>0.47488959190129704</v>
      </c>
      <c r="BI288" s="185">
        <v>0.49988378094873376</v>
      </c>
      <c r="BJ288" s="189">
        <f t="shared" si="277"/>
        <v>3002.95</v>
      </c>
      <c r="BK288" s="189">
        <f>BK289+BK290</f>
        <v>1501.126</v>
      </c>
      <c r="BL288" s="185">
        <f t="shared" si="262"/>
        <v>0.47488959190129704</v>
      </c>
      <c r="BM288" s="185">
        <f t="shared" si="279"/>
        <v>0.49988378094873376</v>
      </c>
      <c r="BN288" s="205">
        <f t="shared" si="260"/>
        <v>368.12599999999998</v>
      </c>
      <c r="BO288" s="205"/>
      <c r="BP288" s="189">
        <f>BP289+BP290</f>
        <v>0</v>
      </c>
      <c r="BQ288" s="186">
        <f t="shared" si="263"/>
        <v>0</v>
      </c>
      <c r="BR288" s="189">
        <f>BR289+BR290</f>
        <v>0</v>
      </c>
      <c r="BS288" s="186">
        <f t="shared" si="264"/>
        <v>0</v>
      </c>
      <c r="BT288" s="189">
        <f>BT289+BT290</f>
        <v>314</v>
      </c>
      <c r="BU288" s="186">
        <f t="shared" si="265"/>
        <v>9.9335653274280289E-2</v>
      </c>
      <c r="BV288" s="189">
        <f>BV289+BV290</f>
        <v>375</v>
      </c>
      <c r="BW288" s="186">
        <f t="shared" si="266"/>
        <v>0.11863334387851945</v>
      </c>
      <c r="BX288" s="189">
        <f>BX289+BX290</f>
        <v>520</v>
      </c>
      <c r="BY288" s="186">
        <f t="shared" si="267"/>
        <v>0.16450490351154698</v>
      </c>
      <c r="BZ288" s="189">
        <f>BZ289+BZ290</f>
        <v>596</v>
      </c>
      <c r="CA288" s="186">
        <f t="shared" si="268"/>
        <v>0.18854792787092692</v>
      </c>
      <c r="CB288" s="189">
        <f>CB289+CB290</f>
        <v>820</v>
      </c>
      <c r="CC288" s="186">
        <f t="shared" si="269"/>
        <v>0.25941157861436254</v>
      </c>
      <c r="CD288" s="189">
        <f>CD289+CD290</f>
        <v>1330</v>
      </c>
      <c r="CE288" s="186">
        <f t="shared" si="270"/>
        <v>0.42075292628914901</v>
      </c>
      <c r="CF288" s="189">
        <f>CF289+CF290</f>
        <v>1330</v>
      </c>
      <c r="CG288" s="186">
        <f t="shared" si="271"/>
        <v>0.42075292628914901</v>
      </c>
      <c r="CH288" s="189">
        <f>CH289+CH290</f>
        <v>1760</v>
      </c>
      <c r="CI288" s="186">
        <f t="shared" si="272"/>
        <v>0.55678582726985126</v>
      </c>
      <c r="CJ288" s="189">
        <f>CJ289+CJ290</f>
        <v>2258</v>
      </c>
      <c r="CK288" s="186">
        <f t="shared" si="273"/>
        <v>0.71433090794052512</v>
      </c>
      <c r="CL288" s="189">
        <f>CL289+CL290</f>
        <v>3002.95</v>
      </c>
      <c r="CM288" s="186">
        <f t="shared" si="274"/>
        <v>0.95</v>
      </c>
      <c r="CN288" s="189">
        <f>CN289+CN290</f>
        <v>3002.95</v>
      </c>
      <c r="CO288" s="186">
        <f t="shared" si="275"/>
        <v>0.95</v>
      </c>
      <c r="CP288" s="213" t="str">
        <f t="shared" si="280"/>
        <v>Đạt</v>
      </c>
      <c r="CQ288" s="213" t="str">
        <f t="shared" si="281"/>
        <v>Đạt</v>
      </c>
      <c r="CR288" s="213"/>
      <c r="CS288" s="213"/>
      <c r="CT288" s="231"/>
      <c r="CU288" s="163"/>
      <c r="CW288" s="195"/>
      <c r="CX288" s="196"/>
      <c r="CY288" s="196"/>
      <c r="CZ288" s="197"/>
      <c r="DA288" s="196"/>
      <c r="DB288" s="196"/>
      <c r="DC288" s="196"/>
      <c r="DE288" s="199"/>
      <c r="DF288" s="200"/>
      <c r="DG288" s="181"/>
    </row>
    <row r="289" spans="1:112" s="324" customFormat="1" outlineLevel="1" x14ac:dyDescent="0.25">
      <c r="A289" s="305" t="s">
        <v>34</v>
      </c>
      <c r="B289" s="306" t="s">
        <v>376</v>
      </c>
      <c r="C289" s="306"/>
      <c r="D289" s="307">
        <f t="shared" si="247"/>
        <v>3000</v>
      </c>
      <c r="E289" s="307"/>
      <c r="F289" s="307">
        <f>G289+H289+K289+M289</f>
        <v>3000</v>
      </c>
      <c r="G289" s="303">
        <v>3000</v>
      </c>
      <c r="H289" s="303"/>
      <c r="I289" s="235"/>
      <c r="J289" s="235"/>
      <c r="K289" s="303"/>
      <c r="L289" s="235"/>
      <c r="M289" s="223"/>
      <c r="N289" s="223"/>
      <c r="O289" s="303">
        <f t="shared" si="251"/>
        <v>3000</v>
      </c>
      <c r="P289" s="303">
        <v>0</v>
      </c>
      <c r="Q289" s="308">
        <f t="shared" si="276"/>
        <v>0</v>
      </c>
      <c r="R289" s="303">
        <v>306.108</v>
      </c>
      <c r="S289" s="313">
        <v>0.102036</v>
      </c>
      <c r="T289" s="313">
        <v>0.10740631578947368</v>
      </c>
      <c r="U289" s="303">
        <v>1128.873</v>
      </c>
      <c r="V289" s="313">
        <v>0.37629100000000004</v>
      </c>
      <c r="W289" s="313">
        <v>0.39609578947368423</v>
      </c>
      <c r="X289" s="303">
        <v>1128.873</v>
      </c>
      <c r="Y289" s="313">
        <v>0.37629100000000004</v>
      </c>
      <c r="Z289" s="313">
        <v>0.39609578947368423</v>
      </c>
      <c r="AA289" s="303">
        <v>1128.873</v>
      </c>
      <c r="AB289" s="313">
        <v>0.37629100000000004</v>
      </c>
      <c r="AC289" s="313">
        <v>0.39609578947368423</v>
      </c>
      <c r="AD289" s="303">
        <v>1133</v>
      </c>
      <c r="AE289" s="313">
        <v>0.37766666666666665</v>
      </c>
      <c r="AF289" s="313">
        <v>0.39754385964912281</v>
      </c>
      <c r="AG289" s="303">
        <v>1133</v>
      </c>
      <c r="AH289" s="313">
        <v>0.37766666666666665</v>
      </c>
      <c r="AI289" s="313">
        <v>0.39754385964912281</v>
      </c>
      <c r="AJ289" s="303">
        <v>1133</v>
      </c>
      <c r="AK289" s="313">
        <v>0.37766666666666665</v>
      </c>
      <c r="AL289" s="313">
        <v>0.39754385964912281</v>
      </c>
      <c r="AM289" s="303">
        <v>1133</v>
      </c>
      <c r="AN289" s="313">
        <v>0.37766666666666665</v>
      </c>
      <c r="AO289" s="313">
        <v>0.39754385964912281</v>
      </c>
      <c r="AP289" s="313"/>
      <c r="AQ289" s="303">
        <v>1133</v>
      </c>
      <c r="AR289" s="313">
        <v>0.37766666666666665</v>
      </c>
      <c r="AS289" s="313">
        <v>0.39754385964912281</v>
      </c>
      <c r="AT289" s="303">
        <v>1133</v>
      </c>
      <c r="AU289" s="313">
        <v>0.37766666666666665</v>
      </c>
      <c r="AV289" s="313">
        <v>0.39754385964912281</v>
      </c>
      <c r="AW289" s="313"/>
      <c r="AX289" s="313"/>
      <c r="AY289" s="313"/>
      <c r="AZ289" s="313"/>
      <c r="BA289" s="313"/>
      <c r="BB289" s="313"/>
      <c r="BC289" s="303">
        <v>1133</v>
      </c>
      <c r="BD289" s="313">
        <v>0.37766666666666665</v>
      </c>
      <c r="BE289" s="313">
        <v>0.39754385964912281</v>
      </c>
      <c r="BF289" s="303"/>
      <c r="BG289" s="303">
        <v>1501.126</v>
      </c>
      <c r="BH289" s="313">
        <v>0.50037533333333328</v>
      </c>
      <c r="BI289" s="313">
        <v>0.52671087719298249</v>
      </c>
      <c r="BJ289" s="303">
        <f t="shared" si="277"/>
        <v>2850</v>
      </c>
      <c r="BK289" s="303">
        <v>1501.126</v>
      </c>
      <c r="BL289" s="313">
        <f t="shared" si="262"/>
        <v>0.50037533333333328</v>
      </c>
      <c r="BM289" s="313">
        <f t="shared" si="279"/>
        <v>0.52671087719298249</v>
      </c>
      <c r="BN289" s="205">
        <f t="shared" si="260"/>
        <v>368.12599999999998</v>
      </c>
      <c r="BO289" s="205"/>
      <c r="BP289" s="310"/>
      <c r="BQ289" s="311">
        <f t="shared" si="263"/>
        <v>0</v>
      </c>
      <c r="BR289" s="310"/>
      <c r="BS289" s="311">
        <f t="shared" si="264"/>
        <v>0</v>
      </c>
      <c r="BT289" s="310">
        <v>300</v>
      </c>
      <c r="BU289" s="308">
        <f t="shared" si="265"/>
        <v>0.1</v>
      </c>
      <c r="BV289" s="310">
        <v>355</v>
      </c>
      <c r="BW289" s="311">
        <f t="shared" si="266"/>
        <v>0.11833333333333333</v>
      </c>
      <c r="BX289" s="310">
        <v>500</v>
      </c>
      <c r="BY289" s="311">
        <f t="shared" si="267"/>
        <v>0.16666666666666666</v>
      </c>
      <c r="BZ289" s="310">
        <v>576</v>
      </c>
      <c r="CA289" s="311">
        <f t="shared" si="268"/>
        <v>0.192</v>
      </c>
      <c r="CB289" s="310">
        <v>800</v>
      </c>
      <c r="CC289" s="311">
        <f t="shared" si="269"/>
        <v>0.26666666666666666</v>
      </c>
      <c r="CD289" s="310">
        <v>1250</v>
      </c>
      <c r="CE289" s="311">
        <f t="shared" si="270"/>
        <v>0.41666666666666669</v>
      </c>
      <c r="CF289" s="310">
        <v>1250</v>
      </c>
      <c r="CG289" s="311">
        <f t="shared" si="271"/>
        <v>0.41666666666666669</v>
      </c>
      <c r="CH289" s="310">
        <v>1680</v>
      </c>
      <c r="CI289" s="311">
        <f t="shared" si="272"/>
        <v>0.56000000000000005</v>
      </c>
      <c r="CJ289" s="310">
        <v>2150</v>
      </c>
      <c r="CK289" s="311">
        <f t="shared" si="273"/>
        <v>0.71666666666666667</v>
      </c>
      <c r="CL289" s="310">
        <v>2850</v>
      </c>
      <c r="CM289" s="311">
        <f t="shared" si="274"/>
        <v>0.95</v>
      </c>
      <c r="CN289" s="310">
        <v>2850</v>
      </c>
      <c r="CO289" s="311">
        <f t="shared" si="275"/>
        <v>0.95</v>
      </c>
      <c r="CP289" s="213" t="str">
        <f t="shared" si="280"/>
        <v>Đạt</v>
      </c>
      <c r="CQ289" s="213" t="str">
        <f t="shared" si="281"/>
        <v>Đạt</v>
      </c>
      <c r="CR289" s="312"/>
      <c r="CS289" s="312"/>
      <c r="CT289" s="235"/>
      <c r="CU289" s="163"/>
      <c r="CV289" s="323"/>
      <c r="CW289" s="195"/>
      <c r="CX289" s="196"/>
      <c r="CY289" s="196"/>
      <c r="CZ289" s="197"/>
      <c r="DA289" s="196"/>
      <c r="DB289" s="196"/>
      <c r="DC289" s="196"/>
      <c r="DE289" s="199"/>
      <c r="DF289" s="200"/>
      <c r="DG289" s="181"/>
    </row>
    <row r="290" spans="1:112" ht="25.5" outlineLevel="1" x14ac:dyDescent="0.25">
      <c r="A290" s="305" t="s">
        <v>34</v>
      </c>
      <c r="B290" s="306" t="s">
        <v>377</v>
      </c>
      <c r="C290" s="306"/>
      <c r="D290" s="307">
        <f t="shared" si="247"/>
        <v>161</v>
      </c>
      <c r="E290" s="307"/>
      <c r="F290" s="307">
        <f>G290+H290+K290+M290</f>
        <v>161</v>
      </c>
      <c r="G290" s="307"/>
      <c r="H290" s="307">
        <v>161</v>
      </c>
      <c r="I290" s="235"/>
      <c r="J290" s="235"/>
      <c r="K290" s="303"/>
      <c r="L290" s="235"/>
      <c r="M290" s="223"/>
      <c r="N290" s="223"/>
      <c r="O290" s="303"/>
      <c r="P290" s="303">
        <v>0</v>
      </c>
      <c r="Q290" s="308">
        <f t="shared" si="276"/>
        <v>0</v>
      </c>
      <c r="R290" s="303"/>
      <c r="S290" s="313">
        <v>0</v>
      </c>
      <c r="T290" s="313">
        <v>0</v>
      </c>
      <c r="U290" s="303"/>
      <c r="V290" s="313">
        <v>0</v>
      </c>
      <c r="W290" s="313">
        <v>0</v>
      </c>
      <c r="X290" s="303"/>
      <c r="Y290" s="313">
        <v>0</v>
      </c>
      <c r="Z290" s="313">
        <v>0</v>
      </c>
      <c r="AA290" s="303"/>
      <c r="AB290" s="313">
        <v>0</v>
      </c>
      <c r="AC290" s="313">
        <v>0</v>
      </c>
      <c r="AD290" s="303"/>
      <c r="AE290" s="313">
        <v>0</v>
      </c>
      <c r="AF290" s="313">
        <v>0</v>
      </c>
      <c r="AG290" s="303"/>
      <c r="AH290" s="313">
        <v>0</v>
      </c>
      <c r="AI290" s="313">
        <v>0</v>
      </c>
      <c r="AJ290" s="188"/>
      <c r="AK290" s="313">
        <v>0</v>
      </c>
      <c r="AL290" s="313">
        <v>0</v>
      </c>
      <c r="AM290" s="303"/>
      <c r="AN290" s="313">
        <v>0</v>
      </c>
      <c r="AO290" s="313">
        <v>0</v>
      </c>
      <c r="AP290" s="313"/>
      <c r="AQ290" s="303"/>
      <c r="AR290" s="313">
        <v>0</v>
      </c>
      <c r="AS290" s="313">
        <v>0</v>
      </c>
      <c r="AT290" s="303"/>
      <c r="AU290" s="313">
        <v>0</v>
      </c>
      <c r="AV290" s="313">
        <v>0</v>
      </c>
      <c r="AW290" s="313"/>
      <c r="AX290" s="313"/>
      <c r="AY290" s="313"/>
      <c r="AZ290" s="313"/>
      <c r="BA290" s="313"/>
      <c r="BB290" s="313"/>
      <c r="BC290" s="303"/>
      <c r="BD290" s="313">
        <v>0</v>
      </c>
      <c r="BE290" s="313">
        <v>0</v>
      </c>
      <c r="BF290" s="303"/>
      <c r="BG290" s="303"/>
      <c r="BH290" s="313">
        <v>0</v>
      </c>
      <c r="BI290" s="313">
        <v>0</v>
      </c>
      <c r="BJ290" s="303">
        <f t="shared" si="277"/>
        <v>152.94999999999999</v>
      </c>
      <c r="BK290" s="303"/>
      <c r="BL290" s="313">
        <f t="shared" si="262"/>
        <v>0</v>
      </c>
      <c r="BM290" s="313">
        <f t="shared" si="279"/>
        <v>0</v>
      </c>
      <c r="BN290" s="205">
        <f t="shared" si="260"/>
        <v>0</v>
      </c>
      <c r="BO290" s="205"/>
      <c r="BP290" s="310"/>
      <c r="BQ290" s="311">
        <f t="shared" si="263"/>
        <v>0</v>
      </c>
      <c r="BR290" s="310"/>
      <c r="BS290" s="311">
        <f t="shared" si="264"/>
        <v>0</v>
      </c>
      <c r="BT290" s="310">
        <v>14</v>
      </c>
      <c r="BU290" s="308">
        <f t="shared" si="265"/>
        <v>8.6956521739130432E-2</v>
      </c>
      <c r="BV290" s="310">
        <v>20</v>
      </c>
      <c r="BW290" s="311">
        <f t="shared" si="266"/>
        <v>0.12422360248447205</v>
      </c>
      <c r="BX290" s="310">
        <v>20</v>
      </c>
      <c r="BY290" s="311">
        <f t="shared" si="267"/>
        <v>0.12422360248447205</v>
      </c>
      <c r="BZ290" s="310">
        <v>20</v>
      </c>
      <c r="CA290" s="311">
        <f t="shared" si="268"/>
        <v>0.12422360248447205</v>
      </c>
      <c r="CB290" s="310">
        <v>20</v>
      </c>
      <c r="CC290" s="311">
        <f t="shared" si="269"/>
        <v>0.12422360248447205</v>
      </c>
      <c r="CD290" s="310">
        <v>80</v>
      </c>
      <c r="CE290" s="311">
        <f t="shared" si="270"/>
        <v>0.49689440993788819</v>
      </c>
      <c r="CF290" s="310">
        <v>80</v>
      </c>
      <c r="CG290" s="311">
        <f t="shared" si="271"/>
        <v>0.49689440993788819</v>
      </c>
      <c r="CH290" s="310">
        <v>80</v>
      </c>
      <c r="CI290" s="311">
        <f t="shared" si="272"/>
        <v>0.49689440993788819</v>
      </c>
      <c r="CJ290" s="310">
        <v>108</v>
      </c>
      <c r="CK290" s="311">
        <f t="shared" si="273"/>
        <v>0.67080745341614911</v>
      </c>
      <c r="CL290" s="310">
        <v>152.94999999999999</v>
      </c>
      <c r="CM290" s="311">
        <f t="shared" si="274"/>
        <v>0.95</v>
      </c>
      <c r="CN290" s="310">
        <v>152.94999999999999</v>
      </c>
      <c r="CO290" s="311">
        <f t="shared" si="275"/>
        <v>0.95</v>
      </c>
      <c r="CP290" s="213" t="str">
        <f t="shared" si="280"/>
        <v>Không đạt</v>
      </c>
      <c r="CQ290" s="213" t="str">
        <f t="shared" si="281"/>
        <v>Không đạt</v>
      </c>
      <c r="CR290" s="312"/>
      <c r="CS290" s="312"/>
      <c r="CT290" s="235"/>
      <c r="CU290" s="163"/>
      <c r="CW290" s="195"/>
      <c r="CX290" s="196"/>
      <c r="CY290" s="196"/>
      <c r="CZ290" s="197"/>
      <c r="DA290" s="196"/>
      <c r="DB290" s="196"/>
      <c r="DC290" s="196"/>
      <c r="DE290" s="199"/>
      <c r="DF290" s="200"/>
      <c r="DG290" s="181"/>
    </row>
    <row r="291" spans="1:112" ht="18" customHeight="1" x14ac:dyDescent="0.25">
      <c r="A291" s="213">
        <f>MAX(A$243:A289)+1</f>
        <v>14</v>
      </c>
      <c r="B291" s="240" t="s">
        <v>396</v>
      </c>
      <c r="C291" s="240"/>
      <c r="D291" s="188">
        <f>D292</f>
        <v>3000</v>
      </c>
      <c r="E291" s="188">
        <f t="shared" ref="E291:L291" si="287">E292</f>
        <v>0</v>
      </c>
      <c r="F291" s="188">
        <f t="shared" si="287"/>
        <v>3000</v>
      </c>
      <c r="G291" s="188">
        <f t="shared" si="287"/>
        <v>3000</v>
      </c>
      <c r="H291" s="188">
        <f t="shared" si="287"/>
        <v>0</v>
      </c>
      <c r="I291" s="188">
        <f t="shared" si="287"/>
        <v>0</v>
      </c>
      <c r="J291" s="188"/>
      <c r="K291" s="188">
        <f t="shared" si="287"/>
        <v>0</v>
      </c>
      <c r="L291" s="188">
        <f t="shared" si="287"/>
        <v>0</v>
      </c>
      <c r="M291" s="231"/>
      <c r="N291" s="231"/>
      <c r="O291" s="188">
        <f t="shared" si="251"/>
        <v>3000</v>
      </c>
      <c r="P291" s="188">
        <v>0</v>
      </c>
      <c r="Q291" s="186">
        <f t="shared" si="276"/>
        <v>0</v>
      </c>
      <c r="R291" s="188">
        <v>0</v>
      </c>
      <c r="S291" s="185">
        <v>0</v>
      </c>
      <c r="T291" s="185">
        <v>0</v>
      </c>
      <c r="U291" s="188">
        <v>0</v>
      </c>
      <c r="V291" s="185">
        <v>0</v>
      </c>
      <c r="W291" s="185">
        <v>0</v>
      </c>
      <c r="X291" s="188">
        <v>0</v>
      </c>
      <c r="Y291" s="185">
        <v>0</v>
      </c>
      <c r="Z291" s="185">
        <v>0</v>
      </c>
      <c r="AA291" s="188">
        <v>0</v>
      </c>
      <c r="AB291" s="185">
        <v>0</v>
      </c>
      <c r="AC291" s="185">
        <v>0</v>
      </c>
      <c r="AD291" s="188">
        <v>748</v>
      </c>
      <c r="AE291" s="185">
        <v>0.24933333333333332</v>
      </c>
      <c r="AF291" s="185">
        <v>0.26245614035087722</v>
      </c>
      <c r="AG291" s="188">
        <v>748</v>
      </c>
      <c r="AH291" s="185">
        <v>0.24933333333333332</v>
      </c>
      <c r="AI291" s="185">
        <v>0.26245614035087722</v>
      </c>
      <c r="AJ291" s="303">
        <v>748</v>
      </c>
      <c r="AK291" s="185">
        <v>0.24933333333333332</v>
      </c>
      <c r="AL291" s="185">
        <v>0.26245614035087722</v>
      </c>
      <c r="AM291" s="188">
        <v>884</v>
      </c>
      <c r="AN291" s="185">
        <v>0.29466666666666669</v>
      </c>
      <c r="AO291" s="185">
        <v>0.31017543859649122</v>
      </c>
      <c r="AP291" s="185"/>
      <c r="AQ291" s="188">
        <v>884</v>
      </c>
      <c r="AR291" s="185">
        <v>0.29466666666666669</v>
      </c>
      <c r="AS291" s="185">
        <v>0.31017543859649122</v>
      </c>
      <c r="AT291" s="188">
        <v>884</v>
      </c>
      <c r="AU291" s="185">
        <v>0.29466666666666669</v>
      </c>
      <c r="AV291" s="185">
        <v>0.31017543859649122</v>
      </c>
      <c r="AW291" s="185"/>
      <c r="AX291" s="185"/>
      <c r="AY291" s="185"/>
      <c r="AZ291" s="185"/>
      <c r="BA291" s="185"/>
      <c r="BB291" s="185"/>
      <c r="BC291" s="188">
        <v>884</v>
      </c>
      <c r="BD291" s="185">
        <v>0.29466666666666669</v>
      </c>
      <c r="BE291" s="185">
        <v>0.31017543859649122</v>
      </c>
      <c r="BF291" s="188"/>
      <c r="BG291" s="188">
        <v>1516.27</v>
      </c>
      <c r="BH291" s="185">
        <v>0.50542333333333334</v>
      </c>
      <c r="BI291" s="185">
        <v>0.53202456140350873</v>
      </c>
      <c r="BJ291" s="188">
        <f t="shared" si="277"/>
        <v>2850</v>
      </c>
      <c r="BK291" s="188">
        <v>1711</v>
      </c>
      <c r="BL291" s="185">
        <f t="shared" si="262"/>
        <v>0.57033333333333336</v>
      </c>
      <c r="BM291" s="185">
        <f t="shared" si="279"/>
        <v>0.60035087719298241</v>
      </c>
      <c r="BN291" s="205">
        <f t="shared" si="260"/>
        <v>963</v>
      </c>
      <c r="BO291" s="205"/>
      <c r="BP291" s="189">
        <f>BP292</f>
        <v>0</v>
      </c>
      <c r="BQ291" s="186">
        <f t="shared" si="263"/>
        <v>0</v>
      </c>
      <c r="BR291" s="189">
        <f>BR292</f>
        <v>0</v>
      </c>
      <c r="BS291" s="186">
        <f t="shared" si="264"/>
        <v>0</v>
      </c>
      <c r="BT291" s="189">
        <f>BT292</f>
        <v>300</v>
      </c>
      <c r="BU291" s="186">
        <f t="shared" si="265"/>
        <v>0.1</v>
      </c>
      <c r="BV291" s="189">
        <f>BV292</f>
        <v>600</v>
      </c>
      <c r="BW291" s="186">
        <f t="shared" si="266"/>
        <v>0.2</v>
      </c>
      <c r="BX291" s="189">
        <f>BX292</f>
        <v>900</v>
      </c>
      <c r="BY291" s="186">
        <f t="shared" si="267"/>
        <v>0.3</v>
      </c>
      <c r="BZ291" s="189">
        <f>BZ292</f>
        <v>1200</v>
      </c>
      <c r="CA291" s="186">
        <f t="shared" si="268"/>
        <v>0.4</v>
      </c>
      <c r="CB291" s="189">
        <f>CB292</f>
        <v>1500</v>
      </c>
      <c r="CC291" s="186">
        <f t="shared" si="269"/>
        <v>0.5</v>
      </c>
      <c r="CD291" s="189">
        <f>CD292</f>
        <v>1650.0000000000002</v>
      </c>
      <c r="CE291" s="186">
        <f t="shared" si="270"/>
        <v>0.55000000000000004</v>
      </c>
      <c r="CF291" s="189">
        <f>CF292</f>
        <v>2100</v>
      </c>
      <c r="CG291" s="186">
        <f t="shared" si="271"/>
        <v>0.7</v>
      </c>
      <c r="CH291" s="189">
        <f>CH292</f>
        <v>2100</v>
      </c>
      <c r="CI291" s="186">
        <f t="shared" si="272"/>
        <v>0.7</v>
      </c>
      <c r="CJ291" s="189">
        <f>CJ292</f>
        <v>2250</v>
      </c>
      <c r="CK291" s="186">
        <f t="shared" si="273"/>
        <v>0.75</v>
      </c>
      <c r="CL291" s="189">
        <f>CL292</f>
        <v>2250</v>
      </c>
      <c r="CM291" s="186">
        <f t="shared" si="274"/>
        <v>0.75</v>
      </c>
      <c r="CN291" s="189">
        <f>CN292</f>
        <v>2850</v>
      </c>
      <c r="CO291" s="186">
        <f t="shared" si="275"/>
        <v>0.95</v>
      </c>
      <c r="CP291" s="213" t="str">
        <f t="shared" si="280"/>
        <v>Đạt</v>
      </c>
      <c r="CQ291" s="213" t="str">
        <f t="shared" si="281"/>
        <v>Đạt</v>
      </c>
      <c r="CR291" s="213"/>
      <c r="CS291" s="213"/>
      <c r="CT291" s="231"/>
      <c r="CU291" s="163"/>
      <c r="CW291" s="195"/>
      <c r="CX291" s="196"/>
      <c r="CY291" s="196"/>
      <c r="CZ291" s="197"/>
      <c r="DA291" s="196"/>
      <c r="DB291" s="196"/>
      <c r="DC291" s="196"/>
      <c r="DE291" s="199"/>
      <c r="DF291" s="200"/>
      <c r="DG291" s="181"/>
    </row>
    <row r="292" spans="1:112" s="324" customFormat="1" outlineLevel="1" x14ac:dyDescent="0.25">
      <c r="A292" s="305" t="s">
        <v>34</v>
      </c>
      <c r="B292" s="306" t="s">
        <v>376</v>
      </c>
      <c r="C292" s="306"/>
      <c r="D292" s="307">
        <f t="shared" si="247"/>
        <v>3000</v>
      </c>
      <c r="E292" s="307"/>
      <c r="F292" s="307">
        <f>G292+H292+K292+M292</f>
        <v>3000</v>
      </c>
      <c r="G292" s="303">
        <v>3000</v>
      </c>
      <c r="H292" s="303"/>
      <c r="I292" s="235"/>
      <c r="J292" s="235"/>
      <c r="K292" s="303"/>
      <c r="L292" s="235"/>
      <c r="M292" s="223"/>
      <c r="N292" s="223"/>
      <c r="O292" s="303">
        <f t="shared" si="251"/>
        <v>3000</v>
      </c>
      <c r="P292" s="303">
        <v>0</v>
      </c>
      <c r="Q292" s="308">
        <f t="shared" si="276"/>
        <v>0</v>
      </c>
      <c r="R292" s="303"/>
      <c r="S292" s="309">
        <v>0</v>
      </c>
      <c r="T292" s="309">
        <v>0</v>
      </c>
      <c r="U292" s="303"/>
      <c r="V292" s="309">
        <v>0</v>
      </c>
      <c r="W292" s="309">
        <v>0</v>
      </c>
      <c r="X292" s="303"/>
      <c r="Y292" s="309">
        <v>0</v>
      </c>
      <c r="Z292" s="309">
        <v>0</v>
      </c>
      <c r="AA292" s="303"/>
      <c r="AB292" s="309">
        <v>0</v>
      </c>
      <c r="AC292" s="309">
        <v>0</v>
      </c>
      <c r="AD292" s="303">
        <v>748</v>
      </c>
      <c r="AE292" s="309">
        <v>0.24933333333333332</v>
      </c>
      <c r="AF292" s="309">
        <v>0.26245614035087722</v>
      </c>
      <c r="AG292" s="303">
        <v>748</v>
      </c>
      <c r="AH292" s="309">
        <v>0.24933333333333332</v>
      </c>
      <c r="AI292" s="309">
        <v>0.26245614035087722</v>
      </c>
      <c r="AJ292" s="188">
        <v>748</v>
      </c>
      <c r="AK292" s="309">
        <v>0.24933333333333332</v>
      </c>
      <c r="AL292" s="309">
        <v>0.26245614035087722</v>
      </c>
      <c r="AM292" s="303">
        <v>884</v>
      </c>
      <c r="AN292" s="309">
        <v>0.29466666666666669</v>
      </c>
      <c r="AO292" s="309">
        <v>0.31017543859649122</v>
      </c>
      <c r="AP292" s="309"/>
      <c r="AQ292" s="303">
        <v>884</v>
      </c>
      <c r="AR292" s="309">
        <v>0.29466666666666669</v>
      </c>
      <c r="AS292" s="309">
        <v>0.31017543859649122</v>
      </c>
      <c r="AT292" s="303">
        <v>884</v>
      </c>
      <c r="AU292" s="309">
        <v>0.29466666666666669</v>
      </c>
      <c r="AV292" s="309">
        <v>0.31017543859649122</v>
      </c>
      <c r="AW292" s="309"/>
      <c r="AX292" s="309"/>
      <c r="AY292" s="309"/>
      <c r="AZ292" s="309"/>
      <c r="BA292" s="309"/>
      <c r="BB292" s="309"/>
      <c r="BC292" s="303">
        <v>884</v>
      </c>
      <c r="BD292" s="309">
        <v>0.29466666666666669</v>
      </c>
      <c r="BE292" s="309">
        <v>0.31017543859649122</v>
      </c>
      <c r="BF292" s="303"/>
      <c r="BG292" s="303">
        <v>1516.27</v>
      </c>
      <c r="BH292" s="309">
        <v>0.50542333333333334</v>
      </c>
      <c r="BI292" s="309">
        <v>0.53202456140350873</v>
      </c>
      <c r="BJ292" s="303">
        <f t="shared" si="277"/>
        <v>2850</v>
      </c>
      <c r="BK292" s="303">
        <v>1516.27</v>
      </c>
      <c r="BL292" s="309">
        <f t="shared" si="262"/>
        <v>0.50542333333333334</v>
      </c>
      <c r="BM292" s="309">
        <f t="shared" si="279"/>
        <v>0.53202456140350873</v>
      </c>
      <c r="BN292" s="205">
        <f t="shared" si="260"/>
        <v>768.27</v>
      </c>
      <c r="BO292" s="205"/>
      <c r="BP292" s="310"/>
      <c r="BQ292" s="308">
        <f t="shared" si="263"/>
        <v>0</v>
      </c>
      <c r="BR292" s="310"/>
      <c r="BS292" s="308">
        <f t="shared" si="264"/>
        <v>0</v>
      </c>
      <c r="BT292" s="310">
        <f>$F292*0.1</f>
        <v>300</v>
      </c>
      <c r="BU292" s="308">
        <f t="shared" si="265"/>
        <v>0.1</v>
      </c>
      <c r="BV292" s="310">
        <f>$F292*0.2</f>
        <v>600</v>
      </c>
      <c r="BW292" s="308">
        <f t="shared" si="266"/>
        <v>0.2</v>
      </c>
      <c r="BX292" s="310">
        <f>$F292*0.3</f>
        <v>900</v>
      </c>
      <c r="BY292" s="308">
        <f t="shared" si="267"/>
        <v>0.3</v>
      </c>
      <c r="BZ292" s="310">
        <f>$F292*0.4</f>
        <v>1200</v>
      </c>
      <c r="CA292" s="308">
        <f t="shared" si="268"/>
        <v>0.4</v>
      </c>
      <c r="CB292" s="310">
        <f>$F292*0.5</f>
        <v>1500</v>
      </c>
      <c r="CC292" s="308">
        <f t="shared" si="269"/>
        <v>0.5</v>
      </c>
      <c r="CD292" s="310">
        <f>$F292*0.55</f>
        <v>1650.0000000000002</v>
      </c>
      <c r="CE292" s="308">
        <f t="shared" si="270"/>
        <v>0.55000000000000004</v>
      </c>
      <c r="CF292" s="310">
        <v>2100</v>
      </c>
      <c r="CG292" s="308">
        <f t="shared" si="271"/>
        <v>0.7</v>
      </c>
      <c r="CH292" s="310">
        <f>$F292*0.7</f>
        <v>2100</v>
      </c>
      <c r="CI292" s="308">
        <f t="shared" si="272"/>
        <v>0.7</v>
      </c>
      <c r="CJ292" s="310">
        <f>$F292*0.75</f>
        <v>2250</v>
      </c>
      <c r="CK292" s="308">
        <f t="shared" si="273"/>
        <v>0.75</v>
      </c>
      <c r="CL292" s="310">
        <f>$F292*0.75</f>
        <v>2250</v>
      </c>
      <c r="CM292" s="308">
        <f t="shared" si="274"/>
        <v>0.75</v>
      </c>
      <c r="CN292" s="310">
        <f>$F292*0.95</f>
        <v>2850</v>
      </c>
      <c r="CO292" s="308">
        <f t="shared" si="275"/>
        <v>0.95</v>
      </c>
      <c r="CP292" s="213" t="str">
        <f t="shared" si="280"/>
        <v>Đạt</v>
      </c>
      <c r="CQ292" s="213" t="str">
        <f t="shared" si="281"/>
        <v>Đạt</v>
      </c>
      <c r="CR292" s="312"/>
      <c r="CS292" s="312"/>
      <c r="CT292" s="235"/>
      <c r="CU292" s="163"/>
      <c r="CV292" s="323"/>
      <c r="CW292" s="195"/>
      <c r="CX292" s="196"/>
      <c r="CY292" s="196"/>
      <c r="CZ292" s="197"/>
      <c r="DA292" s="196"/>
      <c r="DB292" s="196"/>
      <c r="DC292" s="196"/>
      <c r="DE292" s="199"/>
      <c r="DF292" s="200"/>
      <c r="DG292" s="181"/>
    </row>
    <row r="293" spans="1:112" ht="18" customHeight="1" x14ac:dyDescent="0.25">
      <c r="A293" s="213">
        <f>MAX(A$243:A292)+1</f>
        <v>15</v>
      </c>
      <c r="B293" s="240" t="s">
        <v>397</v>
      </c>
      <c r="C293" s="240"/>
      <c r="D293" s="188">
        <f t="shared" ref="D293:I293" si="288">D294+D295</f>
        <v>3017</v>
      </c>
      <c r="E293" s="188">
        <f t="shared" si="288"/>
        <v>0</v>
      </c>
      <c r="F293" s="188">
        <f t="shared" si="288"/>
        <v>3017</v>
      </c>
      <c r="G293" s="188">
        <f t="shared" si="288"/>
        <v>3000</v>
      </c>
      <c r="H293" s="188">
        <f t="shared" si="288"/>
        <v>17</v>
      </c>
      <c r="I293" s="188">
        <f t="shared" si="288"/>
        <v>0</v>
      </c>
      <c r="J293" s="188"/>
      <c r="K293" s="188">
        <f>K294+K295</f>
        <v>0</v>
      </c>
      <c r="L293" s="188">
        <f>L294+L295</f>
        <v>0</v>
      </c>
      <c r="M293" s="188">
        <f>M294+M295</f>
        <v>0</v>
      </c>
      <c r="N293" s="188">
        <f>N294+N295</f>
        <v>0</v>
      </c>
      <c r="O293" s="188">
        <f>O294+O295</f>
        <v>3000</v>
      </c>
      <c r="P293" s="188">
        <v>0</v>
      </c>
      <c r="Q293" s="186">
        <f t="shared" si="276"/>
        <v>0</v>
      </c>
      <c r="R293" s="188">
        <v>0</v>
      </c>
      <c r="S293" s="185">
        <v>0</v>
      </c>
      <c r="T293" s="185">
        <v>0</v>
      </c>
      <c r="U293" s="188">
        <v>0</v>
      </c>
      <c r="V293" s="185">
        <v>0</v>
      </c>
      <c r="W293" s="185">
        <v>0</v>
      </c>
      <c r="X293" s="188">
        <v>0</v>
      </c>
      <c r="Y293" s="185">
        <v>0</v>
      </c>
      <c r="Z293" s="185">
        <v>0</v>
      </c>
      <c r="AA293" s="188">
        <v>0</v>
      </c>
      <c r="AB293" s="185">
        <v>0</v>
      </c>
      <c r="AC293" s="185">
        <v>0</v>
      </c>
      <c r="AD293" s="188">
        <v>657</v>
      </c>
      <c r="AE293" s="185">
        <v>0.21776599270798808</v>
      </c>
      <c r="AF293" s="185">
        <v>0.2292273607452506</v>
      </c>
      <c r="AG293" s="188">
        <v>657</v>
      </c>
      <c r="AH293" s="185">
        <v>0.21776599270798808</v>
      </c>
      <c r="AI293" s="185">
        <v>0.2292273607452506</v>
      </c>
      <c r="AJ293" s="214">
        <v>657</v>
      </c>
      <c r="AK293" s="185">
        <v>0.21776599270798808</v>
      </c>
      <c r="AL293" s="185">
        <v>0.2292273607452506</v>
      </c>
      <c r="AM293" s="314">
        <v>657</v>
      </c>
      <c r="AN293" s="185">
        <v>0.21776599270798808</v>
      </c>
      <c r="AO293" s="185">
        <v>0.2292273607452506</v>
      </c>
      <c r="AP293" s="185"/>
      <c r="AQ293" s="188">
        <v>1269</v>
      </c>
      <c r="AR293" s="185">
        <v>0.42061650646337423</v>
      </c>
      <c r="AS293" s="185">
        <v>0.44275421732986758</v>
      </c>
      <c r="AT293" s="188">
        <v>1269</v>
      </c>
      <c r="AU293" s="185">
        <v>0.42061650646337423</v>
      </c>
      <c r="AV293" s="185">
        <v>0.44275421732986758</v>
      </c>
      <c r="AW293" s="185"/>
      <c r="AX293" s="185"/>
      <c r="AY293" s="185"/>
      <c r="AZ293" s="185"/>
      <c r="BA293" s="185"/>
      <c r="BB293" s="185"/>
      <c r="BC293" s="188">
        <v>1269</v>
      </c>
      <c r="BD293" s="185">
        <v>0.42061650646337423</v>
      </c>
      <c r="BE293" s="185">
        <v>0.44275421732986758</v>
      </c>
      <c r="BF293" s="188"/>
      <c r="BG293" s="188">
        <v>1269</v>
      </c>
      <c r="BH293" s="185">
        <v>0.42061650646337423</v>
      </c>
      <c r="BI293" s="185">
        <v>0.44275421732986758</v>
      </c>
      <c r="BJ293" s="188">
        <f t="shared" si="277"/>
        <v>2866.15</v>
      </c>
      <c r="BK293" s="188">
        <v>2060.84</v>
      </c>
      <c r="BL293" s="185">
        <f t="shared" si="262"/>
        <v>0.68307590321511436</v>
      </c>
      <c r="BM293" s="185">
        <f t="shared" si="279"/>
        <v>0.71902726654222571</v>
      </c>
      <c r="BN293" s="205">
        <f t="shared" si="260"/>
        <v>1403.8400000000001</v>
      </c>
      <c r="BO293" s="205"/>
      <c r="BP293" s="189">
        <f>BP294+BP295</f>
        <v>0</v>
      </c>
      <c r="BQ293" s="186">
        <f t="shared" si="263"/>
        <v>0</v>
      </c>
      <c r="BR293" s="189">
        <f>BR294+BR295</f>
        <v>0</v>
      </c>
      <c r="BS293" s="186">
        <f t="shared" si="264"/>
        <v>0</v>
      </c>
      <c r="BT293" s="189">
        <f>BT294+BT295</f>
        <v>301.7</v>
      </c>
      <c r="BU293" s="186">
        <f t="shared" si="265"/>
        <v>9.9999999999999992E-2</v>
      </c>
      <c r="BV293" s="189">
        <f>BV294+BV295</f>
        <v>603.4</v>
      </c>
      <c r="BW293" s="186">
        <f t="shared" si="266"/>
        <v>0.19999999999999998</v>
      </c>
      <c r="BX293" s="189">
        <f>BX294+BX295</f>
        <v>905.1</v>
      </c>
      <c r="BY293" s="186">
        <f t="shared" si="267"/>
        <v>0.3</v>
      </c>
      <c r="BZ293" s="189">
        <f>BZ294+BZ295</f>
        <v>1206.8</v>
      </c>
      <c r="CA293" s="186">
        <f t="shared" si="268"/>
        <v>0.39999999999999997</v>
      </c>
      <c r="CB293" s="189">
        <f>CB294+CB295</f>
        <v>1508.5</v>
      </c>
      <c r="CC293" s="186">
        <f t="shared" si="269"/>
        <v>0.5</v>
      </c>
      <c r="CD293" s="189">
        <f>CD294+CD295</f>
        <v>1659.3500000000001</v>
      </c>
      <c r="CE293" s="186">
        <f t="shared" si="270"/>
        <v>0.55000000000000004</v>
      </c>
      <c r="CF293" s="189">
        <f>CF294+CF295</f>
        <v>2111.9</v>
      </c>
      <c r="CG293" s="186">
        <f t="shared" si="271"/>
        <v>0.70000000000000007</v>
      </c>
      <c r="CH293" s="189">
        <f>CH294+CH295</f>
        <v>2111.9</v>
      </c>
      <c r="CI293" s="186">
        <f t="shared" si="272"/>
        <v>0.70000000000000007</v>
      </c>
      <c r="CJ293" s="189">
        <f>CJ294+CJ295</f>
        <v>2262.75</v>
      </c>
      <c r="CK293" s="186">
        <f t="shared" si="273"/>
        <v>0.75</v>
      </c>
      <c r="CL293" s="189">
        <f>CL294+CL295</f>
        <v>2262.75</v>
      </c>
      <c r="CM293" s="186">
        <f t="shared" si="274"/>
        <v>0.75</v>
      </c>
      <c r="CN293" s="189">
        <f>CN294+CN295</f>
        <v>2866.15</v>
      </c>
      <c r="CO293" s="186">
        <f t="shared" si="275"/>
        <v>0.95000000000000007</v>
      </c>
      <c r="CP293" s="213" t="str">
        <f t="shared" si="280"/>
        <v>Đạt</v>
      </c>
      <c r="CQ293" s="213" t="str">
        <f t="shared" si="281"/>
        <v>Đạt</v>
      </c>
      <c r="CR293" s="213"/>
      <c r="CS293" s="213"/>
      <c r="CT293" s="231"/>
      <c r="CU293" s="163"/>
      <c r="CW293" s="195"/>
      <c r="CX293" s="196"/>
      <c r="CY293" s="196"/>
      <c r="CZ293" s="197"/>
      <c r="DA293" s="196"/>
      <c r="DB293" s="196"/>
      <c r="DC293" s="196"/>
      <c r="DE293" s="199"/>
      <c r="DF293" s="200"/>
      <c r="DG293" s="181"/>
    </row>
    <row r="294" spans="1:112" s="324" customFormat="1" outlineLevel="1" x14ac:dyDescent="0.25">
      <c r="A294" s="305" t="s">
        <v>34</v>
      </c>
      <c r="B294" s="306" t="s">
        <v>376</v>
      </c>
      <c r="C294" s="306"/>
      <c r="D294" s="307">
        <f t="shared" si="247"/>
        <v>3000</v>
      </c>
      <c r="E294" s="307"/>
      <c r="F294" s="307">
        <f>G294+H294+K294+M294</f>
        <v>3000</v>
      </c>
      <c r="G294" s="303">
        <v>3000</v>
      </c>
      <c r="H294" s="303"/>
      <c r="I294" s="235"/>
      <c r="J294" s="235"/>
      <c r="K294" s="303"/>
      <c r="L294" s="235"/>
      <c r="M294" s="223"/>
      <c r="N294" s="223"/>
      <c r="O294" s="303">
        <f t="shared" ref="O294:O333" si="289">G294+I294+L294+N294</f>
        <v>3000</v>
      </c>
      <c r="P294" s="303">
        <v>0</v>
      </c>
      <c r="Q294" s="308">
        <f t="shared" si="276"/>
        <v>0</v>
      </c>
      <c r="R294" s="303"/>
      <c r="S294" s="309">
        <v>0</v>
      </c>
      <c r="T294" s="309">
        <v>0</v>
      </c>
      <c r="U294" s="303"/>
      <c r="V294" s="309">
        <v>0</v>
      </c>
      <c r="W294" s="309">
        <v>0</v>
      </c>
      <c r="X294" s="303"/>
      <c r="Y294" s="309">
        <v>0</v>
      </c>
      <c r="Z294" s="309">
        <v>0</v>
      </c>
      <c r="AA294" s="303"/>
      <c r="AB294" s="309">
        <v>0</v>
      </c>
      <c r="AC294" s="309">
        <v>0</v>
      </c>
      <c r="AD294" s="303">
        <v>657</v>
      </c>
      <c r="AE294" s="309">
        <v>0.219</v>
      </c>
      <c r="AF294" s="309">
        <v>0.23052631578947369</v>
      </c>
      <c r="AG294" s="214">
        <v>657</v>
      </c>
      <c r="AH294" s="309">
        <v>0.219</v>
      </c>
      <c r="AI294" s="309">
        <v>0.23052631578947369</v>
      </c>
      <c r="AJ294" s="303">
        <v>657</v>
      </c>
      <c r="AK294" s="309">
        <v>0.219</v>
      </c>
      <c r="AL294" s="309">
        <v>0.23052631578947369</v>
      </c>
      <c r="AM294" s="214">
        <v>657</v>
      </c>
      <c r="AN294" s="309">
        <v>0.219</v>
      </c>
      <c r="AO294" s="309">
        <v>0.23052631578947369</v>
      </c>
      <c r="AP294" s="309"/>
      <c r="AQ294" s="214">
        <v>1269</v>
      </c>
      <c r="AR294" s="309">
        <v>0.42299999999999999</v>
      </c>
      <c r="AS294" s="309">
        <v>0.44526315789473686</v>
      </c>
      <c r="AT294" s="214">
        <v>1269</v>
      </c>
      <c r="AU294" s="309">
        <v>0.42299999999999999</v>
      </c>
      <c r="AV294" s="309">
        <v>0.44526315789473686</v>
      </c>
      <c r="AW294" s="309"/>
      <c r="AX294" s="309"/>
      <c r="AY294" s="309"/>
      <c r="AZ294" s="309"/>
      <c r="BA294" s="309"/>
      <c r="BB294" s="309"/>
      <c r="BC294" s="214">
        <v>1269</v>
      </c>
      <c r="BD294" s="309">
        <v>0.42299999999999999</v>
      </c>
      <c r="BE294" s="309">
        <v>0.44526315789473686</v>
      </c>
      <c r="BF294" s="214"/>
      <c r="BG294" s="214">
        <v>1269</v>
      </c>
      <c r="BH294" s="309">
        <v>0.42299999999999999</v>
      </c>
      <c r="BI294" s="309">
        <v>0.44526315789473686</v>
      </c>
      <c r="BJ294" s="214">
        <f t="shared" si="277"/>
        <v>2850</v>
      </c>
      <c r="BK294" s="214">
        <v>1522</v>
      </c>
      <c r="BL294" s="309">
        <f t="shared" si="262"/>
        <v>0.5073333333333333</v>
      </c>
      <c r="BM294" s="309">
        <f t="shared" si="279"/>
        <v>0.5340350877192982</v>
      </c>
      <c r="BN294" s="205">
        <f t="shared" si="260"/>
        <v>865</v>
      </c>
      <c r="BO294" s="205"/>
      <c r="BP294" s="310"/>
      <c r="BQ294" s="308">
        <f t="shared" si="263"/>
        <v>0</v>
      </c>
      <c r="BR294" s="310"/>
      <c r="BS294" s="308">
        <f t="shared" si="264"/>
        <v>0</v>
      </c>
      <c r="BT294" s="310">
        <f>$F294*0.1</f>
        <v>300</v>
      </c>
      <c r="BU294" s="308">
        <f t="shared" si="265"/>
        <v>0.1</v>
      </c>
      <c r="BV294" s="310">
        <f>$F294*0.2</f>
        <v>600</v>
      </c>
      <c r="BW294" s="308">
        <f t="shared" si="266"/>
        <v>0.2</v>
      </c>
      <c r="BX294" s="310">
        <f>$F294*0.3</f>
        <v>900</v>
      </c>
      <c r="BY294" s="308">
        <f t="shared" si="267"/>
        <v>0.3</v>
      </c>
      <c r="BZ294" s="310">
        <f>$F294*0.4</f>
        <v>1200</v>
      </c>
      <c r="CA294" s="308">
        <f t="shared" si="268"/>
        <v>0.4</v>
      </c>
      <c r="CB294" s="310">
        <f>$F294*0.5</f>
        <v>1500</v>
      </c>
      <c r="CC294" s="308">
        <f t="shared" si="269"/>
        <v>0.5</v>
      </c>
      <c r="CD294" s="310">
        <f>$F294*0.55</f>
        <v>1650.0000000000002</v>
      </c>
      <c r="CE294" s="308">
        <f t="shared" si="270"/>
        <v>0.55000000000000004</v>
      </c>
      <c r="CF294" s="310">
        <v>2100</v>
      </c>
      <c r="CG294" s="308">
        <f t="shared" si="271"/>
        <v>0.7</v>
      </c>
      <c r="CH294" s="310">
        <f>$F294*0.7</f>
        <v>2100</v>
      </c>
      <c r="CI294" s="308">
        <f t="shared" si="272"/>
        <v>0.7</v>
      </c>
      <c r="CJ294" s="310">
        <f>$F294*0.75</f>
        <v>2250</v>
      </c>
      <c r="CK294" s="308">
        <f t="shared" si="273"/>
        <v>0.75</v>
      </c>
      <c r="CL294" s="310">
        <f>$F294*0.75</f>
        <v>2250</v>
      </c>
      <c r="CM294" s="308">
        <f t="shared" si="274"/>
        <v>0.75</v>
      </c>
      <c r="CN294" s="310">
        <f>$F294*0.95</f>
        <v>2850</v>
      </c>
      <c r="CO294" s="308">
        <f t="shared" si="275"/>
        <v>0.95</v>
      </c>
      <c r="CP294" s="213" t="str">
        <f t="shared" si="280"/>
        <v>Đạt</v>
      </c>
      <c r="CQ294" s="213" t="str">
        <f t="shared" si="281"/>
        <v>Đạt</v>
      </c>
      <c r="CR294" s="312"/>
      <c r="CS294" s="312"/>
      <c r="CT294" s="235"/>
      <c r="CU294" s="163"/>
      <c r="CV294" s="323"/>
      <c r="CW294" s="195"/>
      <c r="CX294" s="196"/>
      <c r="CY294" s="196"/>
      <c r="CZ294" s="197"/>
      <c r="DA294" s="196"/>
      <c r="DB294" s="196"/>
      <c r="DC294" s="196"/>
      <c r="DE294" s="199"/>
      <c r="DF294" s="200"/>
      <c r="DG294" s="181"/>
    </row>
    <row r="295" spans="1:112" ht="25.5" outlineLevel="1" x14ac:dyDescent="0.25">
      <c r="A295" s="305" t="s">
        <v>34</v>
      </c>
      <c r="B295" s="306" t="s">
        <v>377</v>
      </c>
      <c r="C295" s="306"/>
      <c r="D295" s="307">
        <f t="shared" si="247"/>
        <v>17</v>
      </c>
      <c r="E295" s="307"/>
      <c r="F295" s="307">
        <f>G295+H295+K295+M295</f>
        <v>17</v>
      </c>
      <c r="G295" s="307"/>
      <c r="H295" s="307">
        <v>17</v>
      </c>
      <c r="I295" s="235"/>
      <c r="J295" s="235"/>
      <c r="K295" s="303"/>
      <c r="L295" s="235"/>
      <c r="M295" s="223"/>
      <c r="N295" s="223"/>
      <c r="O295" s="303"/>
      <c r="P295" s="303">
        <v>0</v>
      </c>
      <c r="Q295" s="308">
        <f t="shared" si="276"/>
        <v>0</v>
      </c>
      <c r="R295" s="303"/>
      <c r="S295" s="309">
        <v>0</v>
      </c>
      <c r="T295" s="309">
        <v>0</v>
      </c>
      <c r="U295" s="303"/>
      <c r="V295" s="309">
        <v>0</v>
      </c>
      <c r="W295" s="309">
        <v>0</v>
      </c>
      <c r="X295" s="303"/>
      <c r="Y295" s="309">
        <v>0</v>
      </c>
      <c r="Z295" s="309">
        <v>0</v>
      </c>
      <c r="AA295" s="303"/>
      <c r="AB295" s="309">
        <v>0</v>
      </c>
      <c r="AC295" s="309">
        <v>0</v>
      </c>
      <c r="AD295" s="303"/>
      <c r="AE295" s="309">
        <v>0</v>
      </c>
      <c r="AF295" s="309">
        <v>0</v>
      </c>
      <c r="AG295" s="303"/>
      <c r="AH295" s="309">
        <v>0</v>
      </c>
      <c r="AI295" s="309">
        <v>0</v>
      </c>
      <c r="AJ295" s="188"/>
      <c r="AK295" s="309">
        <v>0</v>
      </c>
      <c r="AL295" s="309">
        <v>0</v>
      </c>
      <c r="AM295" s="303"/>
      <c r="AN295" s="309">
        <v>0</v>
      </c>
      <c r="AO295" s="309">
        <v>0</v>
      </c>
      <c r="AP295" s="309"/>
      <c r="AQ295" s="303"/>
      <c r="AR295" s="309">
        <v>0</v>
      </c>
      <c r="AS295" s="309">
        <v>0</v>
      </c>
      <c r="AT295" s="303"/>
      <c r="AU295" s="309">
        <v>0</v>
      </c>
      <c r="AV295" s="309">
        <v>0</v>
      </c>
      <c r="AW295" s="309"/>
      <c r="AX295" s="309"/>
      <c r="AY295" s="309"/>
      <c r="AZ295" s="309"/>
      <c r="BA295" s="309"/>
      <c r="BB295" s="309"/>
      <c r="BC295" s="303"/>
      <c r="BD295" s="309">
        <v>0</v>
      </c>
      <c r="BE295" s="309">
        <v>0</v>
      </c>
      <c r="BF295" s="303"/>
      <c r="BG295" s="303"/>
      <c r="BH295" s="309">
        <v>0</v>
      </c>
      <c r="BI295" s="309">
        <v>0</v>
      </c>
      <c r="BJ295" s="303">
        <f t="shared" si="277"/>
        <v>16.149999999999999</v>
      </c>
      <c r="BK295" s="303"/>
      <c r="BL295" s="309">
        <f t="shared" si="262"/>
        <v>0</v>
      </c>
      <c r="BM295" s="309">
        <f t="shared" si="279"/>
        <v>0</v>
      </c>
      <c r="BN295" s="205">
        <f t="shared" si="260"/>
        <v>0</v>
      </c>
      <c r="BO295" s="205"/>
      <c r="BP295" s="310"/>
      <c r="BQ295" s="308">
        <f t="shared" si="263"/>
        <v>0</v>
      </c>
      <c r="BR295" s="310"/>
      <c r="BS295" s="308">
        <f t="shared" si="264"/>
        <v>0</v>
      </c>
      <c r="BT295" s="310">
        <f>$F295*0.1</f>
        <v>1.7000000000000002</v>
      </c>
      <c r="BU295" s="308">
        <f t="shared" si="265"/>
        <v>0.1</v>
      </c>
      <c r="BV295" s="310">
        <f>$F295*0.2</f>
        <v>3.4000000000000004</v>
      </c>
      <c r="BW295" s="308">
        <f t="shared" si="266"/>
        <v>0.2</v>
      </c>
      <c r="BX295" s="310">
        <f>$F295*0.3</f>
        <v>5.0999999999999996</v>
      </c>
      <c r="BY295" s="308">
        <f t="shared" si="267"/>
        <v>0.3</v>
      </c>
      <c r="BZ295" s="310">
        <f>$F295*0.4</f>
        <v>6.8000000000000007</v>
      </c>
      <c r="CA295" s="308">
        <f t="shared" si="268"/>
        <v>0.4</v>
      </c>
      <c r="CB295" s="310">
        <f>$F295*0.5</f>
        <v>8.5</v>
      </c>
      <c r="CC295" s="308">
        <f t="shared" si="269"/>
        <v>0.5</v>
      </c>
      <c r="CD295" s="310">
        <f>$F295*0.55</f>
        <v>9.3500000000000014</v>
      </c>
      <c r="CE295" s="308">
        <f t="shared" si="270"/>
        <v>0.55000000000000004</v>
      </c>
      <c r="CF295" s="310">
        <v>11.899999999999999</v>
      </c>
      <c r="CG295" s="308">
        <f t="shared" si="271"/>
        <v>0.7</v>
      </c>
      <c r="CH295" s="310">
        <f>$F295*0.7</f>
        <v>11.899999999999999</v>
      </c>
      <c r="CI295" s="308">
        <f t="shared" si="272"/>
        <v>0.7</v>
      </c>
      <c r="CJ295" s="310">
        <f>$F295*0.75</f>
        <v>12.75</v>
      </c>
      <c r="CK295" s="308">
        <f t="shared" si="273"/>
        <v>0.75</v>
      </c>
      <c r="CL295" s="310">
        <f>$F295*0.75</f>
        <v>12.75</v>
      </c>
      <c r="CM295" s="308">
        <f t="shared" si="274"/>
        <v>0.75</v>
      </c>
      <c r="CN295" s="310">
        <f>$F295*0.95</f>
        <v>16.149999999999999</v>
      </c>
      <c r="CO295" s="308">
        <f t="shared" si="275"/>
        <v>0.95</v>
      </c>
      <c r="CP295" s="213" t="str">
        <f t="shared" si="280"/>
        <v>Không đạt</v>
      </c>
      <c r="CQ295" s="213" t="str">
        <f t="shared" si="281"/>
        <v>Không đạt</v>
      </c>
      <c r="CR295" s="312"/>
      <c r="CS295" s="312"/>
      <c r="CT295" s="235"/>
      <c r="CU295" s="163"/>
      <c r="CW295" s="195"/>
      <c r="CX295" s="196"/>
      <c r="CY295" s="196"/>
      <c r="CZ295" s="197"/>
      <c r="DA295" s="196"/>
      <c r="DB295" s="196"/>
      <c r="DC295" s="196"/>
      <c r="DE295" s="199"/>
      <c r="DF295" s="200"/>
      <c r="DG295" s="181"/>
    </row>
    <row r="296" spans="1:112" ht="18" customHeight="1" x14ac:dyDescent="0.25">
      <c r="A296" s="213">
        <f>MAX(A$243:A294)+1</f>
        <v>16</v>
      </c>
      <c r="B296" s="240" t="s">
        <v>398</v>
      </c>
      <c r="C296" s="240"/>
      <c r="D296" s="188">
        <f>D297</f>
        <v>3000</v>
      </c>
      <c r="E296" s="188">
        <f t="shared" ref="E296:L296" si="290">E297</f>
        <v>0</v>
      </c>
      <c r="F296" s="188">
        <f t="shared" si="290"/>
        <v>3000</v>
      </c>
      <c r="G296" s="188">
        <f t="shared" si="290"/>
        <v>3000</v>
      </c>
      <c r="H296" s="188">
        <f t="shared" si="290"/>
        <v>0</v>
      </c>
      <c r="I296" s="188">
        <f t="shared" si="290"/>
        <v>0</v>
      </c>
      <c r="J296" s="188"/>
      <c r="K296" s="188">
        <f t="shared" si="290"/>
        <v>0</v>
      </c>
      <c r="L296" s="188">
        <f t="shared" si="290"/>
        <v>0</v>
      </c>
      <c r="M296" s="231"/>
      <c r="N296" s="231"/>
      <c r="O296" s="188">
        <f t="shared" si="289"/>
        <v>3000</v>
      </c>
      <c r="P296" s="188">
        <v>0</v>
      </c>
      <c r="Q296" s="186">
        <f t="shared" si="276"/>
        <v>0</v>
      </c>
      <c r="R296" s="188">
        <v>0</v>
      </c>
      <c r="S296" s="185">
        <v>0</v>
      </c>
      <c r="T296" s="185">
        <v>0</v>
      </c>
      <c r="U296" s="188">
        <v>0</v>
      </c>
      <c r="V296" s="185">
        <v>0</v>
      </c>
      <c r="W296" s="185">
        <v>0</v>
      </c>
      <c r="X296" s="188">
        <v>0</v>
      </c>
      <c r="Y296" s="185">
        <v>0</v>
      </c>
      <c r="Z296" s="185">
        <v>0</v>
      </c>
      <c r="AA296" s="188">
        <v>0</v>
      </c>
      <c r="AB296" s="185">
        <v>0</v>
      </c>
      <c r="AC296" s="185">
        <v>0</v>
      </c>
      <c r="AD296" s="188">
        <v>340</v>
      </c>
      <c r="AE296" s="185">
        <v>0.11333333333333333</v>
      </c>
      <c r="AF296" s="185">
        <v>0.11929824561403508</v>
      </c>
      <c r="AG296" s="188">
        <v>340</v>
      </c>
      <c r="AH296" s="185">
        <v>0.11333333333333333</v>
      </c>
      <c r="AI296" s="185">
        <v>0.11929824561403508</v>
      </c>
      <c r="AJ296" s="214">
        <v>340</v>
      </c>
      <c r="AK296" s="185">
        <v>0.11333333333333333</v>
      </c>
      <c r="AL296" s="185">
        <v>0.11929824561403508</v>
      </c>
      <c r="AM296" s="188">
        <v>340</v>
      </c>
      <c r="AN296" s="185">
        <v>0.11333333333333333</v>
      </c>
      <c r="AO296" s="185">
        <v>0.11929824561403508</v>
      </c>
      <c r="AP296" s="185"/>
      <c r="AQ296" s="188">
        <v>1180</v>
      </c>
      <c r="AR296" s="185">
        <v>0.39333333333333331</v>
      </c>
      <c r="AS296" s="185">
        <v>0.41403508771929826</v>
      </c>
      <c r="AT296" s="188">
        <v>1180</v>
      </c>
      <c r="AU296" s="185">
        <v>0.39333333333333331</v>
      </c>
      <c r="AV296" s="185">
        <v>0.41403508771929826</v>
      </c>
      <c r="AW296" s="185"/>
      <c r="AX296" s="185"/>
      <c r="AY296" s="185"/>
      <c r="AZ296" s="185"/>
      <c r="BA296" s="185"/>
      <c r="BB296" s="185"/>
      <c r="BC296" s="188">
        <v>1180</v>
      </c>
      <c r="BD296" s="185">
        <v>0.39333333333333331</v>
      </c>
      <c r="BE296" s="185">
        <v>0.41403508771929826</v>
      </c>
      <c r="BF296" s="188"/>
      <c r="BG296" s="188">
        <v>1180</v>
      </c>
      <c r="BH296" s="185">
        <v>0.39333333333333331</v>
      </c>
      <c r="BI296" s="185">
        <v>0.41403508771929826</v>
      </c>
      <c r="BJ296" s="188">
        <f t="shared" si="277"/>
        <v>2850</v>
      </c>
      <c r="BK296" s="188">
        <v>2281.8850000000002</v>
      </c>
      <c r="BL296" s="185">
        <f t="shared" si="262"/>
        <v>0.76062833333333335</v>
      </c>
      <c r="BM296" s="185">
        <f t="shared" si="279"/>
        <v>0.80066140350877202</v>
      </c>
      <c r="BN296" s="205">
        <f t="shared" si="260"/>
        <v>1941.8850000000002</v>
      </c>
      <c r="BO296" s="205"/>
      <c r="BP296" s="189">
        <f>BP297</f>
        <v>0</v>
      </c>
      <c r="BQ296" s="186">
        <f t="shared" si="263"/>
        <v>0</v>
      </c>
      <c r="BR296" s="189">
        <f>BR297</f>
        <v>0</v>
      </c>
      <c r="BS296" s="186">
        <f t="shared" si="264"/>
        <v>0</v>
      </c>
      <c r="BT296" s="189">
        <f>BT297</f>
        <v>300</v>
      </c>
      <c r="BU296" s="186">
        <f t="shared" si="265"/>
        <v>0.1</v>
      </c>
      <c r="BV296" s="189">
        <f>BV297</f>
        <v>600</v>
      </c>
      <c r="BW296" s="186">
        <f t="shared" si="266"/>
        <v>0.2</v>
      </c>
      <c r="BX296" s="189">
        <f>BX297</f>
        <v>900</v>
      </c>
      <c r="BY296" s="186">
        <f t="shared" si="267"/>
        <v>0.3</v>
      </c>
      <c r="BZ296" s="189">
        <f>BZ297</f>
        <v>1200</v>
      </c>
      <c r="CA296" s="186">
        <f t="shared" si="268"/>
        <v>0.4</v>
      </c>
      <c r="CB296" s="189">
        <f>CB297</f>
        <v>1500</v>
      </c>
      <c r="CC296" s="186">
        <f t="shared" si="269"/>
        <v>0.5</v>
      </c>
      <c r="CD296" s="189">
        <f>CD297</f>
        <v>1650.0000000000002</v>
      </c>
      <c r="CE296" s="186">
        <f t="shared" si="270"/>
        <v>0.55000000000000004</v>
      </c>
      <c r="CF296" s="189">
        <f>CF297</f>
        <v>2100</v>
      </c>
      <c r="CG296" s="186">
        <f t="shared" si="271"/>
        <v>0.7</v>
      </c>
      <c r="CH296" s="189">
        <f>CH297</f>
        <v>2100</v>
      </c>
      <c r="CI296" s="186">
        <f t="shared" si="272"/>
        <v>0.7</v>
      </c>
      <c r="CJ296" s="189">
        <f>CJ297</f>
        <v>2250</v>
      </c>
      <c r="CK296" s="186">
        <f t="shared" si="273"/>
        <v>0.75</v>
      </c>
      <c r="CL296" s="189">
        <f>CL297</f>
        <v>2250</v>
      </c>
      <c r="CM296" s="186">
        <f t="shared" si="274"/>
        <v>0.75</v>
      </c>
      <c r="CN296" s="189">
        <f>CN297</f>
        <v>2850</v>
      </c>
      <c r="CO296" s="186">
        <f t="shared" si="275"/>
        <v>0.95</v>
      </c>
      <c r="CP296" s="213" t="str">
        <f t="shared" si="280"/>
        <v>Đạt</v>
      </c>
      <c r="CQ296" s="213" t="str">
        <f t="shared" si="281"/>
        <v>Đạt</v>
      </c>
      <c r="CR296" s="213"/>
      <c r="CS296" s="213"/>
      <c r="CT296" s="231"/>
      <c r="CU296" s="163"/>
      <c r="CW296" s="195"/>
      <c r="CX296" s="196"/>
      <c r="CY296" s="196"/>
      <c r="CZ296" s="197"/>
      <c r="DA296" s="196"/>
      <c r="DB296" s="196"/>
      <c r="DC296" s="196"/>
      <c r="DE296" s="199"/>
      <c r="DF296" s="200"/>
      <c r="DG296" s="181"/>
    </row>
    <row r="297" spans="1:112" s="324" customFormat="1" outlineLevel="1" x14ac:dyDescent="0.25">
      <c r="A297" s="305" t="s">
        <v>34</v>
      </c>
      <c r="B297" s="306" t="s">
        <v>376</v>
      </c>
      <c r="C297" s="306"/>
      <c r="D297" s="307">
        <f t="shared" si="247"/>
        <v>3000</v>
      </c>
      <c r="E297" s="307"/>
      <c r="F297" s="307">
        <f>G297+H297+K297+M297</f>
        <v>3000</v>
      </c>
      <c r="G297" s="303">
        <v>3000</v>
      </c>
      <c r="H297" s="303"/>
      <c r="I297" s="235"/>
      <c r="J297" s="235"/>
      <c r="K297" s="303"/>
      <c r="L297" s="235"/>
      <c r="M297" s="223"/>
      <c r="N297" s="223"/>
      <c r="O297" s="303">
        <f t="shared" si="289"/>
        <v>3000</v>
      </c>
      <c r="P297" s="303">
        <v>0</v>
      </c>
      <c r="Q297" s="308">
        <f t="shared" si="276"/>
        <v>0</v>
      </c>
      <c r="R297" s="303"/>
      <c r="S297" s="309">
        <v>0</v>
      </c>
      <c r="T297" s="309">
        <v>0</v>
      </c>
      <c r="U297" s="303"/>
      <c r="V297" s="309">
        <v>0</v>
      </c>
      <c r="W297" s="309">
        <v>0</v>
      </c>
      <c r="X297" s="303"/>
      <c r="Y297" s="309">
        <v>0</v>
      </c>
      <c r="Z297" s="309">
        <v>0</v>
      </c>
      <c r="AA297" s="303"/>
      <c r="AB297" s="309">
        <v>0</v>
      </c>
      <c r="AC297" s="309">
        <v>0</v>
      </c>
      <c r="AD297" s="303">
        <v>340</v>
      </c>
      <c r="AE297" s="309">
        <v>0.11333333333333333</v>
      </c>
      <c r="AF297" s="309">
        <v>0.11929824561403508</v>
      </c>
      <c r="AG297" s="214">
        <v>340</v>
      </c>
      <c r="AH297" s="309">
        <v>0.11333333333333333</v>
      </c>
      <c r="AI297" s="309">
        <v>0.11929824561403508</v>
      </c>
      <c r="AJ297" s="189">
        <v>340</v>
      </c>
      <c r="AK297" s="309">
        <v>0.11333333333333333</v>
      </c>
      <c r="AL297" s="309">
        <v>0.11929824561403508</v>
      </c>
      <c r="AM297" s="214">
        <v>340</v>
      </c>
      <c r="AN297" s="309">
        <v>0.11333333333333333</v>
      </c>
      <c r="AO297" s="309">
        <v>0.11929824561403508</v>
      </c>
      <c r="AP297" s="309"/>
      <c r="AQ297" s="214">
        <v>1180</v>
      </c>
      <c r="AR297" s="309">
        <v>0.39333333333333331</v>
      </c>
      <c r="AS297" s="309">
        <v>0.41403508771929826</v>
      </c>
      <c r="AT297" s="214">
        <v>1180</v>
      </c>
      <c r="AU297" s="309">
        <v>0.39333333333333331</v>
      </c>
      <c r="AV297" s="309">
        <v>0.41403508771929826</v>
      </c>
      <c r="AW297" s="309"/>
      <c r="AX297" s="309"/>
      <c r="AY297" s="309"/>
      <c r="AZ297" s="309"/>
      <c r="BA297" s="309"/>
      <c r="BB297" s="309"/>
      <c r="BC297" s="214">
        <v>1180</v>
      </c>
      <c r="BD297" s="309">
        <v>0.39333333333333331</v>
      </c>
      <c r="BE297" s="309">
        <v>0.41403508771929826</v>
      </c>
      <c r="BF297" s="214"/>
      <c r="BG297" s="214">
        <v>1180</v>
      </c>
      <c r="BH297" s="309">
        <v>0.39333333333333331</v>
      </c>
      <c r="BI297" s="309">
        <v>0.41403508771929826</v>
      </c>
      <c r="BJ297" s="214">
        <f t="shared" si="277"/>
        <v>2850</v>
      </c>
      <c r="BK297" s="214">
        <v>1245.0060000000001</v>
      </c>
      <c r="BL297" s="309">
        <f t="shared" si="262"/>
        <v>0.41500200000000004</v>
      </c>
      <c r="BM297" s="309">
        <f t="shared" si="279"/>
        <v>0.43684421052631583</v>
      </c>
      <c r="BN297" s="205">
        <f t="shared" si="260"/>
        <v>905.00600000000009</v>
      </c>
      <c r="BO297" s="205"/>
      <c r="BP297" s="310"/>
      <c r="BQ297" s="308">
        <f t="shared" si="263"/>
        <v>0</v>
      </c>
      <c r="BR297" s="310"/>
      <c r="BS297" s="308">
        <f t="shared" si="264"/>
        <v>0</v>
      </c>
      <c r="BT297" s="310">
        <f>$F297*0.1</f>
        <v>300</v>
      </c>
      <c r="BU297" s="308">
        <f t="shared" si="265"/>
        <v>0.1</v>
      </c>
      <c r="BV297" s="310">
        <f>$F297*0.2</f>
        <v>600</v>
      </c>
      <c r="BW297" s="308">
        <f t="shared" si="266"/>
        <v>0.2</v>
      </c>
      <c r="BX297" s="310">
        <f>$F297*0.3</f>
        <v>900</v>
      </c>
      <c r="BY297" s="308">
        <f t="shared" si="267"/>
        <v>0.3</v>
      </c>
      <c r="BZ297" s="310">
        <f>$F297*0.4</f>
        <v>1200</v>
      </c>
      <c r="CA297" s="308">
        <f t="shared" si="268"/>
        <v>0.4</v>
      </c>
      <c r="CB297" s="310">
        <f>$F297*0.5</f>
        <v>1500</v>
      </c>
      <c r="CC297" s="308">
        <f t="shared" si="269"/>
        <v>0.5</v>
      </c>
      <c r="CD297" s="310">
        <f>$F297*0.55</f>
        <v>1650.0000000000002</v>
      </c>
      <c r="CE297" s="308">
        <f t="shared" si="270"/>
        <v>0.55000000000000004</v>
      </c>
      <c r="CF297" s="310">
        <v>2100</v>
      </c>
      <c r="CG297" s="308">
        <f t="shared" si="271"/>
        <v>0.7</v>
      </c>
      <c r="CH297" s="310">
        <f>$F297*0.7</f>
        <v>2100</v>
      </c>
      <c r="CI297" s="308">
        <f t="shared" si="272"/>
        <v>0.7</v>
      </c>
      <c r="CJ297" s="310">
        <f>$F297*0.75</f>
        <v>2250</v>
      </c>
      <c r="CK297" s="308">
        <f t="shared" si="273"/>
        <v>0.75</v>
      </c>
      <c r="CL297" s="310">
        <f>$F297*0.75</f>
        <v>2250</v>
      </c>
      <c r="CM297" s="308">
        <f t="shared" si="274"/>
        <v>0.75</v>
      </c>
      <c r="CN297" s="310">
        <f>$F297*0.95</f>
        <v>2850</v>
      </c>
      <c r="CO297" s="308">
        <f t="shared" si="275"/>
        <v>0.95</v>
      </c>
      <c r="CP297" s="213" t="str">
        <f t="shared" si="280"/>
        <v>Đạt</v>
      </c>
      <c r="CQ297" s="213" t="str">
        <f t="shared" si="281"/>
        <v>Không đạt</v>
      </c>
      <c r="CR297" s="312"/>
      <c r="CS297" s="312"/>
      <c r="CT297" s="235"/>
      <c r="CU297" s="163"/>
      <c r="CV297" s="323"/>
      <c r="CW297" s="195"/>
      <c r="CX297" s="196"/>
      <c r="CY297" s="196"/>
      <c r="CZ297" s="197"/>
      <c r="DA297" s="196"/>
      <c r="DB297" s="196"/>
      <c r="DC297" s="196"/>
      <c r="DE297" s="199"/>
      <c r="DF297" s="200"/>
      <c r="DG297" s="181"/>
    </row>
    <row r="298" spans="1:112" ht="18" customHeight="1" x14ac:dyDescent="0.25">
      <c r="A298" s="316">
        <f>MAX(A$243:A297)+1</f>
        <v>17</v>
      </c>
      <c r="B298" s="240" t="s">
        <v>399</v>
      </c>
      <c r="C298" s="240"/>
      <c r="D298" s="188">
        <f t="shared" ref="D298:I298" si="291">D299+D303+D304</f>
        <v>6700</v>
      </c>
      <c r="E298" s="188">
        <f t="shared" si="291"/>
        <v>0</v>
      </c>
      <c r="F298" s="188">
        <f t="shared" si="291"/>
        <v>6700</v>
      </c>
      <c r="G298" s="188">
        <f t="shared" si="291"/>
        <v>3000</v>
      </c>
      <c r="H298" s="188">
        <f t="shared" si="291"/>
        <v>3700</v>
      </c>
      <c r="I298" s="188">
        <f t="shared" si="291"/>
        <v>1900</v>
      </c>
      <c r="J298" s="188"/>
      <c r="K298" s="188">
        <f>K299+K303+K304</f>
        <v>0</v>
      </c>
      <c r="L298" s="188">
        <f>L299+L303+L304</f>
        <v>0</v>
      </c>
      <c r="M298" s="188">
        <f>M299+M303+M304</f>
        <v>0</v>
      </c>
      <c r="N298" s="188">
        <f>N299+N303+N304</f>
        <v>0</v>
      </c>
      <c r="O298" s="188">
        <f>O299+O303+O304</f>
        <v>4900</v>
      </c>
      <c r="P298" s="188">
        <v>0</v>
      </c>
      <c r="Q298" s="186">
        <f t="shared" si="276"/>
        <v>0</v>
      </c>
      <c r="R298" s="189">
        <v>800.19299999999998</v>
      </c>
      <c r="S298" s="185">
        <v>0.11943179104477612</v>
      </c>
      <c r="T298" s="185">
        <v>0.12571767478397486</v>
      </c>
      <c r="U298" s="189">
        <v>1735.1179999999999</v>
      </c>
      <c r="V298" s="185">
        <v>0.25897283582089553</v>
      </c>
      <c r="W298" s="185">
        <v>0.27260298507462688</v>
      </c>
      <c r="X298" s="189">
        <v>1735.1179999999999</v>
      </c>
      <c r="Y298" s="185">
        <v>0.25897283582089553</v>
      </c>
      <c r="Z298" s="185">
        <v>0.27260298507462688</v>
      </c>
      <c r="AA298" s="189">
        <v>1776.664</v>
      </c>
      <c r="AB298" s="185">
        <v>0.26517373134328359</v>
      </c>
      <c r="AC298" s="185">
        <v>0.27913024351924587</v>
      </c>
      <c r="AD298" s="189">
        <v>2317.6639999999998</v>
      </c>
      <c r="AE298" s="185">
        <v>0.34591999999999995</v>
      </c>
      <c r="AF298" s="185">
        <v>0.36412631578947363</v>
      </c>
      <c r="AG298" s="189">
        <v>2317.6639999999998</v>
      </c>
      <c r="AH298" s="185">
        <v>0.34591999999999995</v>
      </c>
      <c r="AI298" s="185">
        <v>0.36412631578947363</v>
      </c>
      <c r="AJ298" s="317">
        <v>2317.6639999999998</v>
      </c>
      <c r="AK298" s="185">
        <v>0.34591999999999995</v>
      </c>
      <c r="AL298" s="185">
        <v>0.36412631578947363</v>
      </c>
      <c r="AM298" s="334">
        <v>2317.6639999999998</v>
      </c>
      <c r="AN298" s="185">
        <v>0.34591999999999995</v>
      </c>
      <c r="AO298" s="185">
        <v>0.36412631578947363</v>
      </c>
      <c r="AP298" s="185"/>
      <c r="AQ298" s="189">
        <v>3110.6639999999998</v>
      </c>
      <c r="AR298" s="185">
        <v>0.46427820895522387</v>
      </c>
      <c r="AS298" s="185">
        <v>0.4887139041633935</v>
      </c>
      <c r="AT298" s="189">
        <v>3110.6639999999998</v>
      </c>
      <c r="AU298" s="185">
        <v>0.46427820895522387</v>
      </c>
      <c r="AV298" s="185">
        <v>0.4887139041633935</v>
      </c>
      <c r="AW298" s="185"/>
      <c r="AX298" s="185"/>
      <c r="AY298" s="185"/>
      <c r="AZ298" s="185"/>
      <c r="BA298" s="185"/>
      <c r="BB298" s="185"/>
      <c r="BC298" s="189">
        <v>3110.6639999999998</v>
      </c>
      <c r="BD298" s="185">
        <v>0.46427820895522387</v>
      </c>
      <c r="BE298" s="185">
        <v>0.4887139041633935</v>
      </c>
      <c r="BF298" s="189"/>
      <c r="BG298" s="189">
        <v>3391.192</v>
      </c>
      <c r="BH298" s="185">
        <v>0.50614805970149257</v>
      </c>
      <c r="BI298" s="185">
        <v>0.53278743126472894</v>
      </c>
      <c r="BJ298" s="189">
        <f t="shared" si="277"/>
        <v>6365</v>
      </c>
      <c r="BK298" s="189">
        <f>BK299+BK303+BK304</f>
        <v>3391.192</v>
      </c>
      <c r="BL298" s="185">
        <f t="shared" si="262"/>
        <v>0.50614805970149257</v>
      </c>
      <c r="BM298" s="185">
        <f t="shared" si="279"/>
        <v>0.53278743126472894</v>
      </c>
      <c r="BN298" s="205">
        <f t="shared" si="260"/>
        <v>1073.5280000000002</v>
      </c>
      <c r="BO298" s="205"/>
      <c r="BP298" s="189">
        <f>BP299+BP303+BP304</f>
        <v>0</v>
      </c>
      <c r="BQ298" s="186">
        <f t="shared" si="263"/>
        <v>0</v>
      </c>
      <c r="BR298" s="189">
        <f>BR299+BR303+BR304</f>
        <v>0</v>
      </c>
      <c r="BS298" s="186">
        <f t="shared" si="264"/>
        <v>0</v>
      </c>
      <c r="BT298" s="189">
        <f>BT299+BT303+BT304</f>
        <v>2515</v>
      </c>
      <c r="BU298" s="186">
        <f t="shared" si="265"/>
        <v>0.37537313432835823</v>
      </c>
      <c r="BV298" s="189">
        <f>BV299+BV303+BV304</f>
        <v>2515</v>
      </c>
      <c r="BW298" s="186">
        <f t="shared" si="266"/>
        <v>0.37537313432835823</v>
      </c>
      <c r="BX298" s="189">
        <f>BX299+BX303+BX304</f>
        <v>2515</v>
      </c>
      <c r="BY298" s="186">
        <f t="shared" si="267"/>
        <v>0.37537313432835823</v>
      </c>
      <c r="BZ298" s="189">
        <f>BZ299+BZ303+BZ304</f>
        <v>4465</v>
      </c>
      <c r="CA298" s="186">
        <f t="shared" si="268"/>
        <v>0.66641791044776122</v>
      </c>
      <c r="CB298" s="189">
        <f>CB299+CB303+CB304</f>
        <v>4465</v>
      </c>
      <c r="CC298" s="186">
        <f t="shared" si="269"/>
        <v>0.66641791044776122</v>
      </c>
      <c r="CD298" s="189">
        <f>CD299+CD303+CD304</f>
        <v>4465</v>
      </c>
      <c r="CE298" s="186">
        <f t="shared" si="270"/>
        <v>0.66641791044776122</v>
      </c>
      <c r="CF298" s="189">
        <f>CF299+CF303+CF304</f>
        <v>5015</v>
      </c>
      <c r="CG298" s="186">
        <f t="shared" si="271"/>
        <v>0.7485074626865672</v>
      </c>
      <c r="CH298" s="189">
        <f>CH299+CH303+CH304</f>
        <v>5515</v>
      </c>
      <c r="CI298" s="186">
        <f t="shared" si="272"/>
        <v>0.82313432835820899</v>
      </c>
      <c r="CJ298" s="189">
        <f>CJ299+CJ303+CJ304</f>
        <v>5515</v>
      </c>
      <c r="CK298" s="186">
        <f t="shared" si="273"/>
        <v>0.82313432835820899</v>
      </c>
      <c r="CL298" s="189">
        <f>CL299+CL303+CL304</f>
        <v>6365</v>
      </c>
      <c r="CM298" s="186">
        <f t="shared" si="274"/>
        <v>0.95</v>
      </c>
      <c r="CN298" s="189">
        <f>CN299+CN303+CN304</f>
        <v>6365</v>
      </c>
      <c r="CO298" s="186">
        <f t="shared" si="275"/>
        <v>0.95</v>
      </c>
      <c r="CP298" s="213" t="str">
        <f t="shared" si="280"/>
        <v>Đạt</v>
      </c>
      <c r="CQ298" s="213" t="str">
        <f t="shared" si="281"/>
        <v>Đạt</v>
      </c>
      <c r="CR298" s="213"/>
      <c r="CS298" s="213"/>
      <c r="CT298" s="231"/>
      <c r="CU298" s="163"/>
      <c r="CW298" s="195"/>
      <c r="CX298" s="196"/>
      <c r="CY298" s="196"/>
      <c r="CZ298" s="197"/>
      <c r="DA298" s="196"/>
      <c r="DB298" s="196"/>
      <c r="DC298" s="196"/>
      <c r="DE298" s="199"/>
      <c r="DF298" s="200"/>
      <c r="DG298" s="181"/>
    </row>
    <row r="299" spans="1:112" s="324" customFormat="1" outlineLevel="1" x14ac:dyDescent="0.25">
      <c r="A299" s="305" t="s">
        <v>34</v>
      </c>
      <c r="B299" s="318" t="s">
        <v>381</v>
      </c>
      <c r="C299" s="306"/>
      <c r="D299" s="317">
        <f>SUM(D300:D302)</f>
        <v>2000</v>
      </c>
      <c r="E299" s="317">
        <f t="shared" ref="E299:L299" si="292">SUM(E300:E302)</f>
        <v>0</v>
      </c>
      <c r="F299" s="317">
        <f t="shared" si="292"/>
        <v>2000</v>
      </c>
      <c r="G299" s="317">
        <f t="shared" si="292"/>
        <v>0</v>
      </c>
      <c r="H299" s="317">
        <f t="shared" si="292"/>
        <v>2000</v>
      </c>
      <c r="I299" s="214">
        <f t="shared" si="292"/>
        <v>1900</v>
      </c>
      <c r="J299" s="214"/>
      <c r="K299" s="317">
        <f t="shared" si="292"/>
        <v>0</v>
      </c>
      <c r="L299" s="214">
        <f t="shared" si="292"/>
        <v>0</v>
      </c>
      <c r="M299" s="223"/>
      <c r="N299" s="223"/>
      <c r="O299" s="317">
        <f t="shared" si="289"/>
        <v>1900</v>
      </c>
      <c r="P299" s="317">
        <v>0</v>
      </c>
      <c r="Q299" s="319">
        <f t="shared" si="276"/>
        <v>0</v>
      </c>
      <c r="R299" s="317">
        <v>800.19299999999998</v>
      </c>
      <c r="S299" s="320">
        <v>0.40009649999999997</v>
      </c>
      <c r="T299" s="320">
        <v>0.4211542105263158</v>
      </c>
      <c r="U299" s="317">
        <v>1735.1179999999999</v>
      </c>
      <c r="V299" s="320">
        <v>0.86755899999999997</v>
      </c>
      <c r="W299" s="320">
        <v>0.91321999999999992</v>
      </c>
      <c r="X299" s="317">
        <v>1735.1179999999999</v>
      </c>
      <c r="Y299" s="320">
        <v>0.86755899999999997</v>
      </c>
      <c r="Z299" s="320">
        <v>0.91321999999999992</v>
      </c>
      <c r="AA299" s="317">
        <v>1776.664</v>
      </c>
      <c r="AB299" s="320">
        <v>0.88833200000000001</v>
      </c>
      <c r="AC299" s="320">
        <v>0.93508631578947365</v>
      </c>
      <c r="AD299" s="317">
        <v>1776.664</v>
      </c>
      <c r="AE299" s="320">
        <v>0.88833200000000001</v>
      </c>
      <c r="AF299" s="320">
        <v>0.93508631578947365</v>
      </c>
      <c r="AG299" s="317">
        <v>1776.664</v>
      </c>
      <c r="AH299" s="320">
        <v>0.88833200000000001</v>
      </c>
      <c r="AI299" s="320">
        <v>0.93508631578947365</v>
      </c>
      <c r="AJ299" s="257">
        <v>1776.664</v>
      </c>
      <c r="AK299" s="320">
        <v>0.88833200000000001</v>
      </c>
      <c r="AL299" s="320">
        <v>0.93508631578947365</v>
      </c>
      <c r="AM299" s="317">
        <v>1776.664</v>
      </c>
      <c r="AN299" s="320">
        <v>0.88833200000000001</v>
      </c>
      <c r="AO299" s="320">
        <v>0.93508631578947365</v>
      </c>
      <c r="AP299" s="320"/>
      <c r="AQ299" s="317">
        <v>1776.664</v>
      </c>
      <c r="AR299" s="320">
        <v>0.88833200000000001</v>
      </c>
      <c r="AS299" s="320">
        <v>0.93508631578947365</v>
      </c>
      <c r="AT299" s="317">
        <v>1776.664</v>
      </c>
      <c r="AU299" s="320">
        <v>0.88833200000000001</v>
      </c>
      <c r="AV299" s="320">
        <v>0.93508631578947365</v>
      </c>
      <c r="AW299" s="320"/>
      <c r="AX299" s="320"/>
      <c r="AY299" s="320"/>
      <c r="AZ299" s="320"/>
      <c r="BA299" s="320"/>
      <c r="BB299" s="320"/>
      <c r="BC299" s="317">
        <v>1776.664</v>
      </c>
      <c r="BD299" s="320">
        <v>0.88833200000000001</v>
      </c>
      <c r="BE299" s="320">
        <v>0.93508631578947365</v>
      </c>
      <c r="BF299" s="317"/>
      <c r="BG299" s="317">
        <v>1776.192</v>
      </c>
      <c r="BH299" s="320">
        <v>0.888096</v>
      </c>
      <c r="BI299" s="320">
        <v>0.93483789473684209</v>
      </c>
      <c r="BJ299" s="317">
        <f t="shared" si="277"/>
        <v>1900</v>
      </c>
      <c r="BK299" s="317">
        <f>SUM(BK300:BK302)</f>
        <v>1776.192</v>
      </c>
      <c r="BL299" s="320">
        <f t="shared" si="262"/>
        <v>0.888096</v>
      </c>
      <c r="BM299" s="320">
        <f t="shared" si="279"/>
        <v>0.93483789473684209</v>
      </c>
      <c r="BN299" s="205">
        <f t="shared" si="260"/>
        <v>-0.47199999999997999</v>
      </c>
      <c r="BO299" s="205"/>
      <c r="BP299" s="307">
        <f>SUM(BP300:BP302)</f>
        <v>0</v>
      </c>
      <c r="BQ299" s="322">
        <f t="shared" si="263"/>
        <v>0</v>
      </c>
      <c r="BR299" s="307">
        <f>SUM(BR300:BR302)</f>
        <v>0</v>
      </c>
      <c r="BS299" s="322">
        <f t="shared" si="264"/>
        <v>0</v>
      </c>
      <c r="BT299" s="307">
        <f>SUM(BT300:BT302)</f>
        <v>1900</v>
      </c>
      <c r="BU299" s="319">
        <f t="shared" si="265"/>
        <v>0.95</v>
      </c>
      <c r="BV299" s="307">
        <f>SUM(BV300:BV302)</f>
        <v>1900</v>
      </c>
      <c r="BW299" s="322">
        <f t="shared" si="266"/>
        <v>0.95</v>
      </c>
      <c r="BX299" s="307">
        <f>SUM(BX300:BX302)</f>
        <v>1900</v>
      </c>
      <c r="BY299" s="322">
        <f t="shared" si="267"/>
        <v>0.95</v>
      </c>
      <c r="BZ299" s="307">
        <f>SUM(BZ300:BZ302)</f>
        <v>1900</v>
      </c>
      <c r="CA299" s="322">
        <f t="shared" si="268"/>
        <v>0.95</v>
      </c>
      <c r="CB299" s="307">
        <f>SUM(CB300:CB302)</f>
        <v>1900</v>
      </c>
      <c r="CC299" s="322">
        <f t="shared" si="269"/>
        <v>0.95</v>
      </c>
      <c r="CD299" s="307">
        <f>SUM(CD300:CD302)</f>
        <v>1900</v>
      </c>
      <c r="CE299" s="322">
        <f t="shared" si="270"/>
        <v>0.95</v>
      </c>
      <c r="CF299" s="307">
        <f>SUM(CF300:CF302)</f>
        <v>1900</v>
      </c>
      <c r="CG299" s="322">
        <f t="shared" si="271"/>
        <v>0.95</v>
      </c>
      <c r="CH299" s="307">
        <f>SUM(CH300:CH302)</f>
        <v>1900</v>
      </c>
      <c r="CI299" s="322">
        <f t="shared" si="272"/>
        <v>0.95</v>
      </c>
      <c r="CJ299" s="307">
        <f>SUM(CJ300:CJ302)</f>
        <v>1900</v>
      </c>
      <c r="CK299" s="322">
        <f t="shared" si="273"/>
        <v>0.95</v>
      </c>
      <c r="CL299" s="307">
        <f>SUM(CL300:CL302)</f>
        <v>1900</v>
      </c>
      <c r="CM299" s="322">
        <f t="shared" si="274"/>
        <v>0.95</v>
      </c>
      <c r="CN299" s="307">
        <f>SUM(CN300:CN302)</f>
        <v>1900</v>
      </c>
      <c r="CO299" s="322">
        <f t="shared" si="275"/>
        <v>0.95</v>
      </c>
      <c r="CP299" s="213" t="str">
        <f t="shared" si="280"/>
        <v>Đạt</v>
      </c>
      <c r="CQ299" s="213" t="str">
        <f t="shared" si="281"/>
        <v>Đạt</v>
      </c>
      <c r="CR299" s="312"/>
      <c r="CS299" s="312"/>
      <c r="CT299" s="235"/>
      <c r="CU299" s="163"/>
      <c r="CV299" s="323"/>
      <c r="CW299" s="195"/>
      <c r="CX299" s="196"/>
      <c r="CY299" s="196"/>
      <c r="CZ299" s="197"/>
      <c r="DA299" s="196"/>
      <c r="DB299" s="196"/>
      <c r="DC299" s="196"/>
      <c r="DE299" s="199"/>
      <c r="DF299" s="200"/>
      <c r="DG299" s="181"/>
    </row>
    <row r="300" spans="1:112" ht="66.75" customHeight="1" outlineLevel="1" x14ac:dyDescent="0.25">
      <c r="A300" s="192">
        <v>1</v>
      </c>
      <c r="B300" s="325" t="s">
        <v>400</v>
      </c>
      <c r="C300" s="325">
        <v>8144487</v>
      </c>
      <c r="D300" s="214">
        <f t="shared" si="247"/>
        <v>500</v>
      </c>
      <c r="E300" s="215"/>
      <c r="F300" s="214">
        <f>G300+H300+K300+M300</f>
        <v>500</v>
      </c>
      <c r="G300" s="223"/>
      <c r="H300" s="257">
        <v>500</v>
      </c>
      <c r="I300" s="235">
        <v>475</v>
      </c>
      <c r="J300" s="257">
        <v>475</v>
      </c>
      <c r="K300" s="223"/>
      <c r="L300" s="235"/>
      <c r="M300" s="223"/>
      <c r="N300" s="223"/>
      <c r="O300" s="257">
        <f t="shared" si="289"/>
        <v>475</v>
      </c>
      <c r="P300" s="257">
        <v>0</v>
      </c>
      <c r="Q300" s="224">
        <f t="shared" si="276"/>
        <v>0</v>
      </c>
      <c r="R300" s="257">
        <v>424.19299999999998</v>
      </c>
      <c r="S300" s="326">
        <v>0.84838599999999997</v>
      </c>
      <c r="T300" s="326">
        <v>0.89303789473684203</v>
      </c>
      <c r="U300" s="257">
        <v>475</v>
      </c>
      <c r="V300" s="326">
        <v>0.95</v>
      </c>
      <c r="W300" s="326">
        <v>1</v>
      </c>
      <c r="X300" s="257">
        <v>475</v>
      </c>
      <c r="Y300" s="326">
        <v>0.95</v>
      </c>
      <c r="Z300" s="326">
        <v>1</v>
      </c>
      <c r="AA300" s="257">
        <v>475</v>
      </c>
      <c r="AB300" s="326">
        <v>0.95</v>
      </c>
      <c r="AC300" s="326">
        <v>1</v>
      </c>
      <c r="AD300" s="257">
        <v>475</v>
      </c>
      <c r="AE300" s="326">
        <v>0.95</v>
      </c>
      <c r="AF300" s="326">
        <v>1</v>
      </c>
      <c r="AG300" s="257">
        <v>475</v>
      </c>
      <c r="AH300" s="326">
        <v>0.95</v>
      </c>
      <c r="AI300" s="326">
        <v>1</v>
      </c>
      <c r="AJ300" s="257">
        <v>475</v>
      </c>
      <c r="AK300" s="326">
        <v>0.95</v>
      </c>
      <c r="AL300" s="326">
        <v>1</v>
      </c>
      <c r="AM300" s="257">
        <v>475</v>
      </c>
      <c r="AN300" s="326">
        <v>0.95</v>
      </c>
      <c r="AO300" s="326">
        <v>1</v>
      </c>
      <c r="AP300" s="326"/>
      <c r="AQ300" s="257">
        <v>475</v>
      </c>
      <c r="AR300" s="326">
        <v>0.95</v>
      </c>
      <c r="AS300" s="326">
        <v>1</v>
      </c>
      <c r="AT300" s="257">
        <v>475</v>
      </c>
      <c r="AU300" s="326">
        <v>0.95</v>
      </c>
      <c r="AV300" s="326">
        <v>1</v>
      </c>
      <c r="AW300" s="326"/>
      <c r="AX300" s="326"/>
      <c r="AY300" s="326"/>
      <c r="AZ300" s="326"/>
      <c r="BA300" s="326"/>
      <c r="BB300" s="326"/>
      <c r="BC300" s="257">
        <v>475</v>
      </c>
      <c r="BD300" s="326">
        <v>0.95</v>
      </c>
      <c r="BE300" s="326">
        <v>1</v>
      </c>
      <c r="BF300" s="257">
        <v>475</v>
      </c>
      <c r="BG300" s="257">
        <v>475</v>
      </c>
      <c r="BH300" s="326">
        <v>0.95</v>
      </c>
      <c r="BI300" s="326">
        <v>1</v>
      </c>
      <c r="BJ300" s="257">
        <f t="shared" si="277"/>
        <v>475</v>
      </c>
      <c r="BK300" s="257">
        <v>475</v>
      </c>
      <c r="BL300" s="326">
        <f t="shared" si="262"/>
        <v>0.95</v>
      </c>
      <c r="BM300" s="326">
        <f t="shared" si="279"/>
        <v>1</v>
      </c>
      <c r="BN300" s="205">
        <f t="shared" si="260"/>
        <v>0</v>
      </c>
      <c r="BO300" s="205"/>
      <c r="BP300" s="227"/>
      <c r="BQ300" s="327">
        <f t="shared" si="263"/>
        <v>0</v>
      </c>
      <c r="BR300" s="227"/>
      <c r="BS300" s="327">
        <f t="shared" si="264"/>
        <v>0</v>
      </c>
      <c r="BT300" s="227">
        <v>475</v>
      </c>
      <c r="BU300" s="224">
        <f t="shared" si="265"/>
        <v>0.95</v>
      </c>
      <c r="BV300" s="227">
        <f>BT300</f>
        <v>475</v>
      </c>
      <c r="BW300" s="327">
        <f t="shared" si="266"/>
        <v>0.95</v>
      </c>
      <c r="BX300" s="227">
        <f>BV300</f>
        <v>475</v>
      </c>
      <c r="BY300" s="327">
        <f t="shared" si="267"/>
        <v>0.95</v>
      </c>
      <c r="BZ300" s="227">
        <f>BX300</f>
        <v>475</v>
      </c>
      <c r="CA300" s="327">
        <f t="shared" si="268"/>
        <v>0.95</v>
      </c>
      <c r="CB300" s="227">
        <f>BZ300</f>
        <v>475</v>
      </c>
      <c r="CC300" s="327">
        <f t="shared" si="269"/>
        <v>0.95</v>
      </c>
      <c r="CD300" s="227">
        <f>CB300</f>
        <v>475</v>
      </c>
      <c r="CE300" s="327">
        <f t="shared" si="270"/>
        <v>0.95</v>
      </c>
      <c r="CF300" s="227">
        <f>CD300</f>
        <v>475</v>
      </c>
      <c r="CG300" s="327">
        <f t="shared" si="271"/>
        <v>0.95</v>
      </c>
      <c r="CH300" s="227">
        <f>CF300</f>
        <v>475</v>
      </c>
      <c r="CI300" s="327">
        <f t="shared" si="272"/>
        <v>0.95</v>
      </c>
      <c r="CJ300" s="227">
        <f>CH300</f>
        <v>475</v>
      </c>
      <c r="CK300" s="327">
        <f t="shared" si="273"/>
        <v>0.95</v>
      </c>
      <c r="CL300" s="227">
        <f>CJ300</f>
        <v>475</v>
      </c>
      <c r="CM300" s="327">
        <f t="shared" si="274"/>
        <v>0.95</v>
      </c>
      <c r="CN300" s="227">
        <f>CL300</f>
        <v>475</v>
      </c>
      <c r="CO300" s="327">
        <f t="shared" si="275"/>
        <v>0.95</v>
      </c>
      <c r="CP300" s="213" t="str">
        <f t="shared" si="280"/>
        <v>Đạt</v>
      </c>
      <c r="CQ300" s="213" t="str">
        <f t="shared" si="281"/>
        <v>Đạt</v>
      </c>
      <c r="CR300" s="192"/>
      <c r="CS300" s="192"/>
      <c r="CT300" s="223"/>
      <c r="CU300" s="163"/>
      <c r="CW300" s="195"/>
      <c r="CX300" s="196"/>
      <c r="CY300" s="196"/>
      <c r="CZ300" s="197"/>
      <c r="DA300" s="196"/>
      <c r="DB300" s="196"/>
      <c r="DC300" s="196"/>
      <c r="DE300" s="199"/>
      <c r="DF300" s="200"/>
      <c r="DG300" s="181"/>
    </row>
    <row r="301" spans="1:112" ht="95.25" customHeight="1" outlineLevel="1" x14ac:dyDescent="0.25">
      <c r="A301" s="192">
        <f>MAX(A299:B300)+1</f>
        <v>2</v>
      </c>
      <c r="B301" s="325" t="s">
        <v>401</v>
      </c>
      <c r="C301" s="325">
        <v>8144323</v>
      </c>
      <c r="D301" s="214">
        <f t="shared" si="247"/>
        <v>500</v>
      </c>
      <c r="E301" s="215"/>
      <c r="F301" s="214">
        <f>G301+H301+K301+M301</f>
        <v>500</v>
      </c>
      <c r="G301" s="223"/>
      <c r="H301" s="257">
        <v>500</v>
      </c>
      <c r="I301" s="235">
        <v>475</v>
      </c>
      <c r="J301" s="257">
        <v>466.66399999999999</v>
      </c>
      <c r="K301" s="223"/>
      <c r="L301" s="235"/>
      <c r="M301" s="223"/>
      <c r="N301" s="223"/>
      <c r="O301" s="257">
        <f t="shared" si="289"/>
        <v>475</v>
      </c>
      <c r="P301" s="257">
        <v>0</v>
      </c>
      <c r="Q301" s="224">
        <f t="shared" si="276"/>
        <v>0</v>
      </c>
      <c r="R301" s="257">
        <v>376</v>
      </c>
      <c r="S301" s="326">
        <v>0.752</v>
      </c>
      <c r="T301" s="326">
        <v>0.79157894736842105</v>
      </c>
      <c r="U301" s="257">
        <v>466.66399999999999</v>
      </c>
      <c r="V301" s="326">
        <v>0.93332799999999994</v>
      </c>
      <c r="W301" s="326">
        <v>0.98245052631578944</v>
      </c>
      <c r="X301" s="257">
        <v>466.66399999999999</v>
      </c>
      <c r="Y301" s="326">
        <v>0.93332799999999994</v>
      </c>
      <c r="Z301" s="326">
        <v>0.98245052631578944</v>
      </c>
      <c r="AA301" s="257">
        <v>466.66399999999999</v>
      </c>
      <c r="AB301" s="326">
        <v>0.93332799999999994</v>
      </c>
      <c r="AC301" s="326">
        <v>0.98245052631578944</v>
      </c>
      <c r="AD301" s="257">
        <v>466.66399999999999</v>
      </c>
      <c r="AE301" s="326">
        <v>0.93332799999999994</v>
      </c>
      <c r="AF301" s="326">
        <v>0.98245052631578944</v>
      </c>
      <c r="AG301" s="257">
        <v>466.66399999999999</v>
      </c>
      <c r="AH301" s="326">
        <v>0.93332799999999994</v>
      </c>
      <c r="AI301" s="326">
        <v>0.98245052631578944</v>
      </c>
      <c r="AJ301" s="257">
        <v>466.66399999999999</v>
      </c>
      <c r="AK301" s="326">
        <v>0.93332799999999994</v>
      </c>
      <c r="AL301" s="326">
        <v>0.98245052631578944</v>
      </c>
      <c r="AM301" s="257">
        <v>466.66399999999999</v>
      </c>
      <c r="AN301" s="326">
        <v>0.93332799999999994</v>
      </c>
      <c r="AO301" s="326">
        <v>0.98245052631578944</v>
      </c>
      <c r="AP301" s="326"/>
      <c r="AQ301" s="257">
        <v>466.66399999999999</v>
      </c>
      <c r="AR301" s="326">
        <v>0.93332799999999994</v>
      </c>
      <c r="AS301" s="326">
        <v>0.98245052631578944</v>
      </c>
      <c r="AT301" s="257">
        <v>466.66399999999999</v>
      </c>
      <c r="AU301" s="326">
        <v>0.93332799999999994</v>
      </c>
      <c r="AV301" s="326">
        <v>0.98245052631578944</v>
      </c>
      <c r="AW301" s="326"/>
      <c r="AX301" s="326"/>
      <c r="AY301" s="326"/>
      <c r="AZ301" s="326"/>
      <c r="BA301" s="326"/>
      <c r="BB301" s="326"/>
      <c r="BC301" s="257">
        <v>466.66399999999999</v>
      </c>
      <c r="BD301" s="326">
        <v>0.93332799999999994</v>
      </c>
      <c r="BE301" s="326">
        <v>0.98245052631578944</v>
      </c>
      <c r="BF301" s="257">
        <v>466.66399999999999</v>
      </c>
      <c r="BG301" s="257">
        <v>466.66399999999999</v>
      </c>
      <c r="BH301" s="326">
        <v>0.93332799999999994</v>
      </c>
      <c r="BI301" s="326">
        <v>0.98245052631578944</v>
      </c>
      <c r="BJ301" s="257">
        <f t="shared" si="277"/>
        <v>475</v>
      </c>
      <c r="BK301" s="257">
        <v>466.66399999999999</v>
      </c>
      <c r="BL301" s="326">
        <f t="shared" si="262"/>
        <v>0.93332799999999994</v>
      </c>
      <c r="BM301" s="326">
        <f t="shared" si="279"/>
        <v>0.98245052631578944</v>
      </c>
      <c r="BN301" s="205">
        <f t="shared" si="260"/>
        <v>0</v>
      </c>
      <c r="BO301" s="205"/>
      <c r="BP301" s="227"/>
      <c r="BQ301" s="327">
        <f t="shared" si="263"/>
        <v>0</v>
      </c>
      <c r="BR301" s="227"/>
      <c r="BS301" s="327">
        <f t="shared" si="264"/>
        <v>0</v>
      </c>
      <c r="BT301" s="227">
        <v>475</v>
      </c>
      <c r="BU301" s="224">
        <f t="shared" si="265"/>
        <v>0.95</v>
      </c>
      <c r="BV301" s="227">
        <f>BT301</f>
        <v>475</v>
      </c>
      <c r="BW301" s="327">
        <f t="shared" si="266"/>
        <v>0.95</v>
      </c>
      <c r="BX301" s="227">
        <f>BV301</f>
        <v>475</v>
      </c>
      <c r="BY301" s="327">
        <f t="shared" si="267"/>
        <v>0.95</v>
      </c>
      <c r="BZ301" s="227">
        <f>BX301</f>
        <v>475</v>
      </c>
      <c r="CA301" s="327">
        <f t="shared" si="268"/>
        <v>0.95</v>
      </c>
      <c r="CB301" s="227">
        <f>BZ301</f>
        <v>475</v>
      </c>
      <c r="CC301" s="327">
        <f t="shared" si="269"/>
        <v>0.95</v>
      </c>
      <c r="CD301" s="227">
        <f>CB301</f>
        <v>475</v>
      </c>
      <c r="CE301" s="327">
        <f t="shared" si="270"/>
        <v>0.95</v>
      </c>
      <c r="CF301" s="227">
        <f>CD301</f>
        <v>475</v>
      </c>
      <c r="CG301" s="327">
        <f t="shared" si="271"/>
        <v>0.95</v>
      </c>
      <c r="CH301" s="227">
        <f>CF301</f>
        <v>475</v>
      </c>
      <c r="CI301" s="327">
        <f t="shared" si="272"/>
        <v>0.95</v>
      </c>
      <c r="CJ301" s="227">
        <f>CH301</f>
        <v>475</v>
      </c>
      <c r="CK301" s="327">
        <f t="shared" si="273"/>
        <v>0.95</v>
      </c>
      <c r="CL301" s="227">
        <f>CJ301</f>
        <v>475</v>
      </c>
      <c r="CM301" s="327">
        <f t="shared" si="274"/>
        <v>0.95</v>
      </c>
      <c r="CN301" s="227">
        <f>CL301</f>
        <v>475</v>
      </c>
      <c r="CO301" s="327">
        <f t="shared" si="275"/>
        <v>0.95</v>
      </c>
      <c r="CP301" s="213" t="str">
        <f t="shared" si="280"/>
        <v>Đạt</v>
      </c>
      <c r="CQ301" s="213" t="str">
        <f t="shared" si="281"/>
        <v>Đạt</v>
      </c>
      <c r="CR301" s="192"/>
      <c r="CS301" s="192"/>
      <c r="CT301" s="223"/>
      <c r="CU301" s="163"/>
      <c r="CW301" s="195"/>
      <c r="CX301" s="196"/>
      <c r="CY301" s="196"/>
      <c r="CZ301" s="197"/>
      <c r="DA301" s="196"/>
      <c r="DB301" s="196"/>
      <c r="DC301" s="196"/>
      <c r="DE301" s="199"/>
      <c r="DF301" s="200"/>
      <c r="DG301" s="181"/>
    </row>
    <row r="302" spans="1:112" ht="41.25" customHeight="1" outlineLevel="1" x14ac:dyDescent="0.25">
      <c r="A302" s="192">
        <f>MAX(A300:B301)+1</f>
        <v>3</v>
      </c>
      <c r="B302" s="325" t="s">
        <v>402</v>
      </c>
      <c r="C302" s="325">
        <v>8063726</v>
      </c>
      <c r="D302" s="214">
        <f t="shared" si="247"/>
        <v>1000</v>
      </c>
      <c r="E302" s="215"/>
      <c r="F302" s="214">
        <f>G302+H302+K302+M302</f>
        <v>1000</v>
      </c>
      <c r="G302" s="223"/>
      <c r="H302" s="257">
        <v>1000</v>
      </c>
      <c r="I302" s="235">
        <v>950</v>
      </c>
      <c r="J302" s="257">
        <v>835</v>
      </c>
      <c r="K302" s="223"/>
      <c r="L302" s="235"/>
      <c r="M302" s="223"/>
      <c r="N302" s="223"/>
      <c r="O302" s="257">
        <f t="shared" si="289"/>
        <v>950</v>
      </c>
      <c r="P302" s="257">
        <v>0</v>
      </c>
      <c r="Q302" s="224">
        <f t="shared" si="276"/>
        <v>0</v>
      </c>
      <c r="R302" s="257"/>
      <c r="S302" s="326">
        <v>0</v>
      </c>
      <c r="T302" s="326">
        <v>0</v>
      </c>
      <c r="U302" s="257">
        <v>793.45399999999995</v>
      </c>
      <c r="V302" s="326">
        <v>0.79345399999999999</v>
      </c>
      <c r="W302" s="326">
        <v>0.83521473684210523</v>
      </c>
      <c r="X302" s="257">
        <v>793.45399999999995</v>
      </c>
      <c r="Y302" s="326">
        <v>0.79345399999999999</v>
      </c>
      <c r="Z302" s="326">
        <v>0.83521473684210523</v>
      </c>
      <c r="AA302" s="257">
        <v>835</v>
      </c>
      <c r="AB302" s="326">
        <v>0.83499999999999996</v>
      </c>
      <c r="AC302" s="326">
        <v>0.87894736842105259</v>
      </c>
      <c r="AD302" s="257">
        <v>835</v>
      </c>
      <c r="AE302" s="326">
        <v>0.83499999999999996</v>
      </c>
      <c r="AF302" s="326">
        <v>0.87894736842105259</v>
      </c>
      <c r="AG302" s="257">
        <v>835</v>
      </c>
      <c r="AH302" s="326">
        <v>0.83499999999999996</v>
      </c>
      <c r="AI302" s="326">
        <v>0.87894736842105259</v>
      </c>
      <c r="AJ302" s="303">
        <v>835</v>
      </c>
      <c r="AK302" s="326">
        <v>0.83499999999999996</v>
      </c>
      <c r="AL302" s="326">
        <v>0.87894736842105259</v>
      </c>
      <c r="AM302" s="257">
        <v>835</v>
      </c>
      <c r="AN302" s="326">
        <v>0.83499999999999996</v>
      </c>
      <c r="AO302" s="326">
        <v>0.87894736842105259</v>
      </c>
      <c r="AP302" s="326"/>
      <c r="AQ302" s="257">
        <v>835</v>
      </c>
      <c r="AR302" s="326">
        <v>0.83499999999999996</v>
      </c>
      <c r="AS302" s="326">
        <v>0.87894736842105259</v>
      </c>
      <c r="AT302" s="257">
        <v>835</v>
      </c>
      <c r="AU302" s="326">
        <v>0.83499999999999996</v>
      </c>
      <c r="AV302" s="326">
        <v>0.87894736842105259</v>
      </c>
      <c r="AW302" s="326"/>
      <c r="AX302" s="326"/>
      <c r="AY302" s="326"/>
      <c r="AZ302" s="326"/>
      <c r="BA302" s="326"/>
      <c r="BB302" s="326"/>
      <c r="BC302" s="257">
        <v>835</v>
      </c>
      <c r="BD302" s="326">
        <v>0.83499999999999996</v>
      </c>
      <c r="BE302" s="326">
        <v>0.87894736842105259</v>
      </c>
      <c r="BF302" s="257">
        <v>834.52800000000002</v>
      </c>
      <c r="BG302" s="257">
        <v>834.52800000000002</v>
      </c>
      <c r="BH302" s="326">
        <v>0.83452800000000005</v>
      </c>
      <c r="BI302" s="326">
        <v>0.87845052631578946</v>
      </c>
      <c r="BJ302" s="257">
        <f t="shared" si="277"/>
        <v>950</v>
      </c>
      <c r="BK302" s="257">
        <v>834.52800000000002</v>
      </c>
      <c r="BL302" s="326">
        <f t="shared" si="262"/>
        <v>0.83452800000000005</v>
      </c>
      <c r="BM302" s="326">
        <f t="shared" si="279"/>
        <v>0.87845052631578946</v>
      </c>
      <c r="BN302" s="205">
        <f t="shared" si="260"/>
        <v>-0.47199999999997999</v>
      </c>
      <c r="BO302" s="205"/>
      <c r="BP302" s="227"/>
      <c r="BQ302" s="327">
        <f t="shared" si="263"/>
        <v>0</v>
      </c>
      <c r="BR302" s="227"/>
      <c r="BS302" s="327">
        <f t="shared" si="264"/>
        <v>0</v>
      </c>
      <c r="BT302" s="227">
        <v>950</v>
      </c>
      <c r="BU302" s="224">
        <f t="shared" si="265"/>
        <v>0.95</v>
      </c>
      <c r="BV302" s="227">
        <f>BT302</f>
        <v>950</v>
      </c>
      <c r="BW302" s="327">
        <f t="shared" si="266"/>
        <v>0.95</v>
      </c>
      <c r="BX302" s="227">
        <f>BV302</f>
        <v>950</v>
      </c>
      <c r="BY302" s="327">
        <f t="shared" si="267"/>
        <v>0.95</v>
      </c>
      <c r="BZ302" s="227">
        <f>BX302</f>
        <v>950</v>
      </c>
      <c r="CA302" s="327">
        <f t="shared" si="268"/>
        <v>0.95</v>
      </c>
      <c r="CB302" s="227">
        <f>BZ302</f>
        <v>950</v>
      </c>
      <c r="CC302" s="327">
        <f t="shared" si="269"/>
        <v>0.95</v>
      </c>
      <c r="CD302" s="227">
        <f>CB302</f>
        <v>950</v>
      </c>
      <c r="CE302" s="327">
        <f t="shared" si="270"/>
        <v>0.95</v>
      </c>
      <c r="CF302" s="227">
        <f>CD302</f>
        <v>950</v>
      </c>
      <c r="CG302" s="327">
        <f t="shared" si="271"/>
        <v>0.95</v>
      </c>
      <c r="CH302" s="227">
        <f>CF302</f>
        <v>950</v>
      </c>
      <c r="CI302" s="327">
        <f t="shared" si="272"/>
        <v>0.95</v>
      </c>
      <c r="CJ302" s="227">
        <f>CH302</f>
        <v>950</v>
      </c>
      <c r="CK302" s="327">
        <f t="shared" si="273"/>
        <v>0.95</v>
      </c>
      <c r="CL302" s="227">
        <f>CJ302</f>
        <v>950</v>
      </c>
      <c r="CM302" s="327">
        <f t="shared" si="274"/>
        <v>0.95</v>
      </c>
      <c r="CN302" s="227">
        <f>CL302</f>
        <v>950</v>
      </c>
      <c r="CO302" s="327">
        <f t="shared" si="275"/>
        <v>0.95</v>
      </c>
      <c r="CP302" s="213" t="str">
        <f t="shared" si="280"/>
        <v>Đạt</v>
      </c>
      <c r="CQ302" s="213" t="str">
        <f t="shared" si="281"/>
        <v>Đạt</v>
      </c>
      <c r="CR302" s="192"/>
      <c r="CS302" s="192"/>
      <c r="CT302" s="223"/>
      <c r="CU302" s="163"/>
      <c r="CW302" s="195"/>
      <c r="CX302" s="196"/>
      <c r="CY302" s="196"/>
      <c r="CZ302" s="197"/>
      <c r="DA302" s="196"/>
      <c r="DB302" s="196"/>
      <c r="DC302" s="196"/>
      <c r="DE302" s="199"/>
      <c r="DF302" s="200"/>
      <c r="DG302" s="181"/>
    </row>
    <row r="303" spans="1:112" s="324" customFormat="1" outlineLevel="1" x14ac:dyDescent="0.25">
      <c r="A303" s="305" t="s">
        <v>34</v>
      </c>
      <c r="B303" s="318" t="s">
        <v>376</v>
      </c>
      <c r="C303" s="306"/>
      <c r="D303" s="307">
        <f t="shared" si="247"/>
        <v>3000</v>
      </c>
      <c r="E303" s="307"/>
      <c r="F303" s="307">
        <f>G303+H303+K303+M303</f>
        <v>3000</v>
      </c>
      <c r="G303" s="303">
        <v>3000</v>
      </c>
      <c r="H303" s="303"/>
      <c r="I303" s="235"/>
      <c r="J303" s="235"/>
      <c r="K303" s="303"/>
      <c r="L303" s="235"/>
      <c r="M303" s="223"/>
      <c r="N303" s="223"/>
      <c r="O303" s="303">
        <f t="shared" si="289"/>
        <v>3000</v>
      </c>
      <c r="P303" s="303">
        <v>0</v>
      </c>
      <c r="Q303" s="308">
        <f t="shared" si="276"/>
        <v>0</v>
      </c>
      <c r="R303" s="303"/>
      <c r="S303" s="313">
        <v>0</v>
      </c>
      <c r="T303" s="313">
        <v>0</v>
      </c>
      <c r="U303" s="303"/>
      <c r="V303" s="313">
        <v>0</v>
      </c>
      <c r="W303" s="313">
        <v>0</v>
      </c>
      <c r="X303" s="303"/>
      <c r="Y303" s="313">
        <v>0</v>
      </c>
      <c r="Z303" s="313">
        <v>0</v>
      </c>
      <c r="AA303" s="303"/>
      <c r="AB303" s="313">
        <v>0</v>
      </c>
      <c r="AC303" s="313">
        <v>0</v>
      </c>
      <c r="AD303" s="303">
        <v>541</v>
      </c>
      <c r="AE303" s="313">
        <v>0.18033333333333335</v>
      </c>
      <c r="AF303" s="313">
        <v>0.18982456140350878</v>
      </c>
      <c r="AG303" s="303">
        <v>541</v>
      </c>
      <c r="AH303" s="313">
        <v>0.18033333333333335</v>
      </c>
      <c r="AI303" s="313">
        <v>0.18982456140350878</v>
      </c>
      <c r="AJ303" s="303">
        <v>541</v>
      </c>
      <c r="AK303" s="313">
        <v>0.18033333333333335</v>
      </c>
      <c r="AL303" s="313">
        <v>0.18982456140350878</v>
      </c>
      <c r="AM303" s="303">
        <v>541</v>
      </c>
      <c r="AN303" s="313">
        <v>0.18033333333333335</v>
      </c>
      <c r="AO303" s="313">
        <v>0.18982456140350878</v>
      </c>
      <c r="AP303" s="313"/>
      <c r="AQ303" s="303">
        <v>0</v>
      </c>
      <c r="AR303" s="313">
        <v>0</v>
      </c>
      <c r="AS303" s="313">
        <v>0</v>
      </c>
      <c r="AT303" s="303">
        <v>0</v>
      </c>
      <c r="AU303" s="313">
        <v>0</v>
      </c>
      <c r="AV303" s="313">
        <v>0</v>
      </c>
      <c r="AW303" s="313"/>
      <c r="AX303" s="313"/>
      <c r="AY303" s="313"/>
      <c r="AZ303" s="313"/>
      <c r="BA303" s="313"/>
      <c r="BB303" s="313"/>
      <c r="BC303" s="303">
        <v>0</v>
      </c>
      <c r="BD303" s="313">
        <v>0</v>
      </c>
      <c r="BE303" s="313">
        <v>0</v>
      </c>
      <c r="BF303" s="303"/>
      <c r="BG303" s="303">
        <v>0</v>
      </c>
      <c r="BH303" s="313">
        <v>0</v>
      </c>
      <c r="BI303" s="313">
        <v>0</v>
      </c>
      <c r="BJ303" s="303">
        <f t="shared" si="277"/>
        <v>2850</v>
      </c>
      <c r="BK303" s="303">
        <v>0</v>
      </c>
      <c r="BL303" s="313">
        <f t="shared" si="262"/>
        <v>0</v>
      </c>
      <c r="BM303" s="313">
        <f t="shared" si="279"/>
        <v>0</v>
      </c>
      <c r="BN303" s="205">
        <f t="shared" si="260"/>
        <v>-541</v>
      </c>
      <c r="BO303" s="205"/>
      <c r="BP303" s="310"/>
      <c r="BQ303" s="311">
        <f t="shared" si="263"/>
        <v>0</v>
      </c>
      <c r="BR303" s="310"/>
      <c r="BS303" s="311">
        <f t="shared" si="264"/>
        <v>0</v>
      </c>
      <c r="BT303" s="310"/>
      <c r="BU303" s="308">
        <f t="shared" si="265"/>
        <v>0</v>
      </c>
      <c r="BV303" s="310"/>
      <c r="BW303" s="311">
        <f t="shared" si="266"/>
        <v>0</v>
      </c>
      <c r="BX303" s="310"/>
      <c r="BY303" s="311">
        <f t="shared" si="267"/>
        <v>0</v>
      </c>
      <c r="BZ303" s="310">
        <v>950</v>
      </c>
      <c r="CA303" s="311">
        <f t="shared" si="268"/>
        <v>0.31666666666666665</v>
      </c>
      <c r="CB303" s="310">
        <v>950</v>
      </c>
      <c r="CC303" s="311">
        <f t="shared" si="269"/>
        <v>0.31666666666666665</v>
      </c>
      <c r="CD303" s="310">
        <v>950</v>
      </c>
      <c r="CE303" s="311">
        <f t="shared" si="270"/>
        <v>0.31666666666666665</v>
      </c>
      <c r="CF303" s="310">
        <v>1500</v>
      </c>
      <c r="CG303" s="311">
        <f t="shared" si="271"/>
        <v>0.5</v>
      </c>
      <c r="CH303" s="310">
        <v>2000</v>
      </c>
      <c r="CI303" s="311">
        <f t="shared" si="272"/>
        <v>0.66666666666666663</v>
      </c>
      <c r="CJ303" s="310">
        <v>2000</v>
      </c>
      <c r="CK303" s="311">
        <f t="shared" si="273"/>
        <v>0.66666666666666663</v>
      </c>
      <c r="CL303" s="310">
        <v>2850</v>
      </c>
      <c r="CM303" s="311">
        <f t="shared" si="274"/>
        <v>0.95</v>
      </c>
      <c r="CN303" s="310">
        <v>2850</v>
      </c>
      <c r="CO303" s="311">
        <f t="shared" si="275"/>
        <v>0.95</v>
      </c>
      <c r="CP303" s="213" t="str">
        <f t="shared" si="280"/>
        <v>Không đạt</v>
      </c>
      <c r="CQ303" s="213" t="str">
        <f t="shared" si="281"/>
        <v>Không đạt</v>
      </c>
      <c r="CR303" s="312"/>
      <c r="CS303" s="312"/>
      <c r="CT303" s="235"/>
      <c r="CU303" s="163"/>
      <c r="CV303" s="323"/>
      <c r="CW303" s="195"/>
      <c r="CX303" s="196"/>
      <c r="CY303" s="196"/>
      <c r="CZ303" s="197"/>
      <c r="DA303" s="196"/>
      <c r="DB303" s="196"/>
      <c r="DC303" s="196"/>
      <c r="DE303" s="199"/>
      <c r="DF303" s="200"/>
      <c r="DG303" s="181"/>
    </row>
    <row r="304" spans="1:112" ht="25.5" outlineLevel="1" x14ac:dyDescent="0.25">
      <c r="A304" s="305" t="s">
        <v>34</v>
      </c>
      <c r="B304" s="306" t="s">
        <v>377</v>
      </c>
      <c r="C304" s="306"/>
      <c r="D304" s="307">
        <f>E304+F304</f>
        <v>1700</v>
      </c>
      <c r="E304" s="307"/>
      <c r="F304" s="307">
        <f>G304+H304+K304+M304</f>
        <v>1700</v>
      </c>
      <c r="G304" s="307"/>
      <c r="H304" s="307">
        <v>1700</v>
      </c>
      <c r="I304" s="235"/>
      <c r="J304" s="235"/>
      <c r="K304" s="303"/>
      <c r="L304" s="235"/>
      <c r="M304" s="223"/>
      <c r="N304" s="223"/>
      <c r="O304" s="303"/>
      <c r="P304" s="303">
        <v>0</v>
      </c>
      <c r="Q304" s="308">
        <f t="shared" si="276"/>
        <v>0</v>
      </c>
      <c r="R304" s="303"/>
      <c r="S304" s="313">
        <v>0</v>
      </c>
      <c r="T304" s="313">
        <v>0</v>
      </c>
      <c r="U304" s="303"/>
      <c r="V304" s="313">
        <v>0</v>
      </c>
      <c r="W304" s="313">
        <v>0</v>
      </c>
      <c r="X304" s="303"/>
      <c r="Y304" s="313">
        <v>0</v>
      </c>
      <c r="Z304" s="313">
        <v>0</v>
      </c>
      <c r="AA304" s="303"/>
      <c r="AB304" s="313">
        <v>0</v>
      </c>
      <c r="AC304" s="313">
        <v>0</v>
      </c>
      <c r="AD304" s="303"/>
      <c r="AE304" s="313">
        <v>0</v>
      </c>
      <c r="AF304" s="313">
        <v>0</v>
      </c>
      <c r="AG304" s="303"/>
      <c r="AH304" s="313">
        <v>0</v>
      </c>
      <c r="AI304" s="313">
        <v>0</v>
      </c>
      <c r="AJ304" s="188"/>
      <c r="AK304" s="313">
        <v>0</v>
      </c>
      <c r="AL304" s="313">
        <v>0</v>
      </c>
      <c r="AM304" s="303"/>
      <c r="AN304" s="313">
        <v>0</v>
      </c>
      <c r="AO304" s="313">
        <v>0</v>
      </c>
      <c r="AP304" s="313"/>
      <c r="AQ304" s="303">
        <v>1334</v>
      </c>
      <c r="AR304" s="313">
        <v>0.78470588235294114</v>
      </c>
      <c r="AS304" s="313">
        <v>0.82600619195046443</v>
      </c>
      <c r="AT304" s="303">
        <v>1334</v>
      </c>
      <c r="AU304" s="313">
        <v>0.78470588235294114</v>
      </c>
      <c r="AV304" s="313">
        <v>0.82600619195046443</v>
      </c>
      <c r="AW304" s="313"/>
      <c r="AX304" s="313"/>
      <c r="AY304" s="313"/>
      <c r="AZ304" s="313"/>
      <c r="BA304" s="313"/>
      <c r="BB304" s="313"/>
      <c r="BC304" s="303">
        <v>1334</v>
      </c>
      <c r="BD304" s="313">
        <v>0.78470588235294114</v>
      </c>
      <c r="BE304" s="313">
        <v>0.82600619195046443</v>
      </c>
      <c r="BF304" s="303"/>
      <c r="BG304" s="303">
        <v>1615</v>
      </c>
      <c r="BH304" s="313">
        <v>0.95</v>
      </c>
      <c r="BI304" s="313">
        <v>1</v>
      </c>
      <c r="BJ304" s="303">
        <f t="shared" si="277"/>
        <v>1615</v>
      </c>
      <c r="BK304" s="303">
        <v>1615</v>
      </c>
      <c r="BL304" s="313">
        <f t="shared" si="262"/>
        <v>0.95</v>
      </c>
      <c r="BM304" s="313">
        <f t="shared" si="279"/>
        <v>1</v>
      </c>
      <c r="BN304" s="205">
        <f t="shared" si="260"/>
        <v>1615</v>
      </c>
      <c r="BO304" s="205"/>
      <c r="BP304" s="310"/>
      <c r="BQ304" s="311">
        <f t="shared" si="263"/>
        <v>0</v>
      </c>
      <c r="BR304" s="310"/>
      <c r="BS304" s="311">
        <f t="shared" si="264"/>
        <v>0</v>
      </c>
      <c r="BT304" s="310">
        <v>615</v>
      </c>
      <c r="BU304" s="308">
        <f t="shared" si="265"/>
        <v>0.36176470588235293</v>
      </c>
      <c r="BV304" s="310">
        <f>BT304</f>
        <v>615</v>
      </c>
      <c r="BW304" s="311">
        <f t="shared" si="266"/>
        <v>0.36176470588235293</v>
      </c>
      <c r="BX304" s="310">
        <f>BV304</f>
        <v>615</v>
      </c>
      <c r="BY304" s="311">
        <f t="shared" si="267"/>
        <v>0.36176470588235293</v>
      </c>
      <c r="BZ304" s="310">
        <v>1615</v>
      </c>
      <c r="CA304" s="311">
        <f t="shared" si="268"/>
        <v>0.95</v>
      </c>
      <c r="CB304" s="310">
        <f>BZ304</f>
        <v>1615</v>
      </c>
      <c r="CC304" s="311">
        <f t="shared" si="269"/>
        <v>0.95</v>
      </c>
      <c r="CD304" s="310">
        <f>CB304</f>
        <v>1615</v>
      </c>
      <c r="CE304" s="311">
        <f t="shared" si="270"/>
        <v>0.95</v>
      </c>
      <c r="CF304" s="310">
        <f>CD304</f>
        <v>1615</v>
      </c>
      <c r="CG304" s="311">
        <f t="shared" si="271"/>
        <v>0.95</v>
      </c>
      <c r="CH304" s="310">
        <f>CF304</f>
        <v>1615</v>
      </c>
      <c r="CI304" s="311">
        <f t="shared" si="272"/>
        <v>0.95</v>
      </c>
      <c r="CJ304" s="310">
        <f>CH304</f>
        <v>1615</v>
      </c>
      <c r="CK304" s="311">
        <f t="shared" si="273"/>
        <v>0.95</v>
      </c>
      <c r="CL304" s="310">
        <f>CJ304</f>
        <v>1615</v>
      </c>
      <c r="CM304" s="311">
        <f t="shared" si="274"/>
        <v>0.95</v>
      </c>
      <c r="CN304" s="310">
        <f>CL304</f>
        <v>1615</v>
      </c>
      <c r="CO304" s="311">
        <f t="shared" si="275"/>
        <v>0.95</v>
      </c>
      <c r="CP304" s="213" t="str">
        <f t="shared" si="280"/>
        <v>Đạt</v>
      </c>
      <c r="CQ304" s="213" t="str">
        <f t="shared" si="281"/>
        <v>Đạt</v>
      </c>
      <c r="CR304" s="312"/>
      <c r="CS304" s="312"/>
      <c r="CT304" s="235"/>
      <c r="CU304" s="163"/>
      <c r="CW304" s="195"/>
      <c r="CX304" s="196"/>
      <c r="CY304" s="196"/>
      <c r="CZ304" s="197"/>
      <c r="DA304" s="196"/>
      <c r="DB304" s="196"/>
      <c r="DC304" s="196"/>
      <c r="DE304" s="199"/>
      <c r="DF304" s="200"/>
      <c r="DG304" s="181"/>
      <c r="DH304" s="335"/>
    </row>
    <row r="305" spans="1:113" ht="18" customHeight="1" x14ac:dyDescent="0.25">
      <c r="A305" s="213">
        <f>MAX(A$243:A303)+1</f>
        <v>18</v>
      </c>
      <c r="B305" s="240" t="s">
        <v>403</v>
      </c>
      <c r="C305" s="240"/>
      <c r="D305" s="188">
        <f t="shared" ref="D305:I305" si="293">D306+D312+D313</f>
        <v>79107</v>
      </c>
      <c r="E305" s="188">
        <f t="shared" si="293"/>
        <v>0</v>
      </c>
      <c r="F305" s="188">
        <f t="shared" si="293"/>
        <v>79107</v>
      </c>
      <c r="G305" s="188">
        <f t="shared" si="293"/>
        <v>3000</v>
      </c>
      <c r="H305" s="188">
        <f t="shared" si="293"/>
        <v>76107</v>
      </c>
      <c r="I305" s="188">
        <f t="shared" si="293"/>
        <v>1717</v>
      </c>
      <c r="J305" s="188"/>
      <c r="K305" s="188">
        <f>K306+K312+K313</f>
        <v>0</v>
      </c>
      <c r="L305" s="188">
        <f>L306+L312+L313</f>
        <v>0</v>
      </c>
      <c r="M305" s="188">
        <f>M306+M312+M313</f>
        <v>0</v>
      </c>
      <c r="N305" s="188">
        <f>N306+N312+N313</f>
        <v>0</v>
      </c>
      <c r="O305" s="188">
        <f>O306+O312+O313</f>
        <v>4717</v>
      </c>
      <c r="P305" s="188">
        <v>0</v>
      </c>
      <c r="Q305" s="186">
        <f t="shared" si="276"/>
        <v>0</v>
      </c>
      <c r="R305" s="188">
        <v>0</v>
      </c>
      <c r="S305" s="185">
        <v>0</v>
      </c>
      <c r="T305" s="185">
        <v>0</v>
      </c>
      <c r="U305" s="188">
        <v>0</v>
      </c>
      <c r="V305" s="185">
        <v>0</v>
      </c>
      <c r="W305" s="185">
        <v>0</v>
      </c>
      <c r="X305" s="188">
        <v>0</v>
      </c>
      <c r="Y305" s="185">
        <v>0</v>
      </c>
      <c r="Z305" s="185">
        <v>0</v>
      </c>
      <c r="AA305" s="188">
        <v>336</v>
      </c>
      <c r="AB305" s="185">
        <v>4.247411733474914E-3</v>
      </c>
      <c r="AC305" s="185">
        <v>4.4709597194472778E-3</v>
      </c>
      <c r="AD305" s="188">
        <v>1518</v>
      </c>
      <c r="AE305" s="185">
        <v>1.9189199438734879E-2</v>
      </c>
      <c r="AF305" s="185">
        <v>2.0199157303931452E-2</v>
      </c>
      <c r="AG305" s="188">
        <v>1518</v>
      </c>
      <c r="AH305" s="185">
        <v>1.9189199438734879E-2</v>
      </c>
      <c r="AI305" s="185">
        <v>2.0199157303931452E-2</v>
      </c>
      <c r="AJ305" s="317">
        <v>1518</v>
      </c>
      <c r="AK305" s="185">
        <v>1.9189199438734879E-2</v>
      </c>
      <c r="AL305" s="185">
        <v>2.0199157303931452E-2</v>
      </c>
      <c r="AM305" s="188">
        <v>1518</v>
      </c>
      <c r="AN305" s="185">
        <v>1.9189199438734879E-2</v>
      </c>
      <c r="AO305" s="185">
        <v>2.0199157303931452E-2</v>
      </c>
      <c r="AP305" s="185"/>
      <c r="AQ305" s="188">
        <v>1833</v>
      </c>
      <c r="AR305" s="185">
        <v>2.3171147938867608E-2</v>
      </c>
      <c r="AS305" s="185">
        <v>2.4390682040913277E-2</v>
      </c>
      <c r="AT305" s="188">
        <v>1833</v>
      </c>
      <c r="AU305" s="185">
        <v>2.3171147938867608E-2</v>
      </c>
      <c r="AV305" s="185">
        <v>2.4390682040913277E-2</v>
      </c>
      <c r="AW305" s="185"/>
      <c r="AX305" s="185"/>
      <c r="AY305" s="185"/>
      <c r="AZ305" s="185"/>
      <c r="BA305" s="185"/>
      <c r="BB305" s="185"/>
      <c r="BC305" s="188">
        <v>1833</v>
      </c>
      <c r="BD305" s="185">
        <v>2.3171147938867608E-2</v>
      </c>
      <c r="BE305" s="185">
        <v>2.4390682040913277E-2</v>
      </c>
      <c r="BF305" s="188"/>
      <c r="BG305" s="188">
        <v>4702.4979999999996</v>
      </c>
      <c r="BH305" s="185">
        <v>5.9444777326911648E-2</v>
      </c>
      <c r="BI305" s="185">
        <v>6.2573449817801732E-2</v>
      </c>
      <c r="BJ305" s="188">
        <f t="shared" si="277"/>
        <v>75151.649999999994</v>
      </c>
      <c r="BK305" s="188">
        <v>5113</v>
      </c>
      <c r="BL305" s="185">
        <f t="shared" si="262"/>
        <v>6.4633976765646528E-2</v>
      </c>
      <c r="BM305" s="185">
        <f t="shared" si="279"/>
        <v>6.8035765016470032E-2</v>
      </c>
      <c r="BN305" s="205">
        <f t="shared" si="260"/>
        <v>3595</v>
      </c>
      <c r="BO305" s="205"/>
      <c r="BP305" s="189">
        <f>BP306+BP312+BP313</f>
        <v>0</v>
      </c>
      <c r="BQ305" s="186">
        <f t="shared" si="263"/>
        <v>0</v>
      </c>
      <c r="BR305" s="189">
        <f>BR306+BR312+BR313</f>
        <v>0</v>
      </c>
      <c r="BS305" s="186">
        <f t="shared" si="264"/>
        <v>0</v>
      </c>
      <c r="BT305" s="189">
        <f>BT306+BT312+BT313</f>
        <v>7910.7</v>
      </c>
      <c r="BU305" s="186">
        <f t="shared" si="265"/>
        <v>9.9999999999999992E-2</v>
      </c>
      <c r="BV305" s="189">
        <f>BV306+BV312+BV313</f>
        <v>15821.4</v>
      </c>
      <c r="BW305" s="186">
        <f t="shared" si="266"/>
        <v>0.19999999999999998</v>
      </c>
      <c r="BX305" s="189">
        <f>BX306+BX312+BX313</f>
        <v>23732.1</v>
      </c>
      <c r="BY305" s="186">
        <f t="shared" si="267"/>
        <v>0.3</v>
      </c>
      <c r="BZ305" s="189">
        <f>BZ306+BZ312+BZ313</f>
        <v>31642.799999999999</v>
      </c>
      <c r="CA305" s="186">
        <f t="shared" si="268"/>
        <v>0.39999999999999997</v>
      </c>
      <c r="CB305" s="189">
        <f>CB306+CB312+CB313</f>
        <v>39553.5</v>
      </c>
      <c r="CC305" s="186">
        <f t="shared" si="269"/>
        <v>0.5</v>
      </c>
      <c r="CD305" s="189">
        <f>CD306+CD312+CD313</f>
        <v>43508.85</v>
      </c>
      <c r="CE305" s="186">
        <f t="shared" si="270"/>
        <v>0.54999999999999993</v>
      </c>
      <c r="CF305" s="189">
        <f>CF306+CF312+CF313</f>
        <v>55374.9</v>
      </c>
      <c r="CG305" s="186">
        <f t="shared" si="271"/>
        <v>0.70000000000000007</v>
      </c>
      <c r="CH305" s="189">
        <f>CH306+CH312+CH313</f>
        <v>55374.9</v>
      </c>
      <c r="CI305" s="186">
        <f t="shared" si="272"/>
        <v>0.70000000000000007</v>
      </c>
      <c r="CJ305" s="189">
        <f>CJ306+CJ312+CJ313</f>
        <v>59330.25</v>
      </c>
      <c r="CK305" s="186">
        <f t="shared" si="273"/>
        <v>0.75</v>
      </c>
      <c r="CL305" s="189">
        <f>CL306+CL312+CL313</f>
        <v>59330.25</v>
      </c>
      <c r="CM305" s="186">
        <f t="shared" si="274"/>
        <v>0.75</v>
      </c>
      <c r="CN305" s="189">
        <f>CN306+CN312+CN313</f>
        <v>75151.649999999994</v>
      </c>
      <c r="CO305" s="186">
        <f t="shared" si="275"/>
        <v>0.95</v>
      </c>
      <c r="CP305" s="213" t="str">
        <f t="shared" si="280"/>
        <v>Không đạt</v>
      </c>
      <c r="CQ305" s="213" t="str">
        <f t="shared" si="281"/>
        <v>Không đạt</v>
      </c>
      <c r="CR305" s="213"/>
      <c r="CS305" s="213"/>
      <c r="CT305" s="231"/>
      <c r="CU305" s="163"/>
      <c r="CW305" s="195"/>
      <c r="CX305" s="196"/>
      <c r="CY305" s="196"/>
      <c r="CZ305" s="197"/>
      <c r="DA305" s="196"/>
      <c r="DB305" s="196"/>
      <c r="DC305" s="196"/>
      <c r="DE305" s="199"/>
      <c r="DF305" s="200"/>
      <c r="DG305" s="181"/>
      <c r="DH305" s="336"/>
      <c r="DI305" s="336"/>
    </row>
    <row r="306" spans="1:113" s="324" customFormat="1" outlineLevel="1" x14ac:dyDescent="0.25">
      <c r="A306" s="305" t="s">
        <v>34</v>
      </c>
      <c r="B306" s="318" t="s">
        <v>381</v>
      </c>
      <c r="C306" s="306"/>
      <c r="D306" s="317">
        <f t="shared" ref="D306:I306" si="294">SUM(D307:D311)</f>
        <v>8407</v>
      </c>
      <c r="E306" s="317">
        <f t="shared" si="294"/>
        <v>0</v>
      </c>
      <c r="F306" s="317">
        <f t="shared" si="294"/>
        <v>8407</v>
      </c>
      <c r="G306" s="317">
        <f t="shared" si="294"/>
        <v>0</v>
      </c>
      <c r="H306" s="317">
        <f t="shared" si="294"/>
        <v>8407</v>
      </c>
      <c r="I306" s="214">
        <f t="shared" si="294"/>
        <v>1717</v>
      </c>
      <c r="J306" s="214"/>
      <c r="K306" s="317">
        <f>SUM(K307:K311)</f>
        <v>0</v>
      </c>
      <c r="L306" s="214">
        <f>SUM(L307:L311)</f>
        <v>0</v>
      </c>
      <c r="M306" s="223"/>
      <c r="N306" s="223"/>
      <c r="O306" s="317">
        <f t="shared" si="289"/>
        <v>1717</v>
      </c>
      <c r="P306" s="317">
        <v>0</v>
      </c>
      <c r="Q306" s="319">
        <f t="shared" si="276"/>
        <v>0</v>
      </c>
      <c r="R306" s="317">
        <v>0</v>
      </c>
      <c r="S306" s="187">
        <v>0</v>
      </c>
      <c r="T306" s="187">
        <v>0</v>
      </c>
      <c r="U306" s="317">
        <v>0</v>
      </c>
      <c r="V306" s="187">
        <v>0</v>
      </c>
      <c r="W306" s="187">
        <v>0</v>
      </c>
      <c r="X306" s="317">
        <v>0</v>
      </c>
      <c r="Y306" s="187">
        <v>0</v>
      </c>
      <c r="Z306" s="187">
        <v>0</v>
      </c>
      <c r="AA306" s="317">
        <v>336</v>
      </c>
      <c r="AB306" s="187">
        <v>3.996669442131557E-2</v>
      </c>
      <c r="AC306" s="187">
        <v>4.207020465401639E-2</v>
      </c>
      <c r="AD306" s="317">
        <v>1518</v>
      </c>
      <c r="AE306" s="187">
        <v>0.18056381586772927</v>
      </c>
      <c r="AF306" s="187">
        <v>0.19006717459760977</v>
      </c>
      <c r="AG306" s="317">
        <v>1518</v>
      </c>
      <c r="AH306" s="187">
        <v>0.18056381586772927</v>
      </c>
      <c r="AI306" s="187">
        <v>0.19006717459760977</v>
      </c>
      <c r="AJ306" s="257">
        <v>1518</v>
      </c>
      <c r="AK306" s="187">
        <v>0.18056381586772927</v>
      </c>
      <c r="AL306" s="187">
        <v>0.19006717459760977</v>
      </c>
      <c r="AM306" s="317">
        <v>1518</v>
      </c>
      <c r="AN306" s="187">
        <v>0.18056381586772927</v>
      </c>
      <c r="AO306" s="187">
        <v>0.19006717459760977</v>
      </c>
      <c r="AP306" s="187"/>
      <c r="AQ306" s="317">
        <v>1540</v>
      </c>
      <c r="AR306" s="187">
        <v>0.18318068276436303</v>
      </c>
      <c r="AS306" s="187">
        <v>0.19282177133090847</v>
      </c>
      <c r="AT306" s="317">
        <v>1540</v>
      </c>
      <c r="AU306" s="187">
        <v>0.18318068276436303</v>
      </c>
      <c r="AV306" s="187">
        <v>0.19282177133090847</v>
      </c>
      <c r="AW306" s="187"/>
      <c r="AX306" s="187"/>
      <c r="AY306" s="187"/>
      <c r="AZ306" s="187"/>
      <c r="BA306" s="187"/>
      <c r="BB306" s="187"/>
      <c r="BC306" s="317">
        <v>1540</v>
      </c>
      <c r="BD306" s="187">
        <v>0.18318068276436303</v>
      </c>
      <c r="BE306" s="187">
        <v>0.19282177133090847</v>
      </c>
      <c r="BF306" s="317"/>
      <c r="BG306" s="317">
        <v>1588.498</v>
      </c>
      <c r="BH306" s="187">
        <v>0.18894944688949686</v>
      </c>
      <c r="BI306" s="187">
        <v>0.19889415462052301</v>
      </c>
      <c r="BJ306" s="317">
        <f t="shared" si="277"/>
        <v>7986.65</v>
      </c>
      <c r="BK306" s="317">
        <f>SUM(BK307:BK311)</f>
        <v>1588.498</v>
      </c>
      <c r="BL306" s="187">
        <f t="shared" si="262"/>
        <v>0.18894944688949686</v>
      </c>
      <c r="BM306" s="187">
        <f t="shared" si="279"/>
        <v>0.19889415462052301</v>
      </c>
      <c r="BN306" s="205">
        <f t="shared" si="260"/>
        <v>70.498000000000047</v>
      </c>
      <c r="BO306" s="205"/>
      <c r="BP306" s="307">
        <f>SUM(BP307:BP311)</f>
        <v>0</v>
      </c>
      <c r="BQ306" s="319">
        <f t="shared" si="263"/>
        <v>0</v>
      </c>
      <c r="BR306" s="307">
        <f>SUM(BR307:BR311)</f>
        <v>0</v>
      </c>
      <c r="BS306" s="319">
        <f t="shared" si="264"/>
        <v>0</v>
      </c>
      <c r="BT306" s="307">
        <f>SUM(BT307:BT311)</f>
        <v>840.7</v>
      </c>
      <c r="BU306" s="319">
        <f t="shared" si="265"/>
        <v>0.1</v>
      </c>
      <c r="BV306" s="307">
        <f>SUM(BV307:BV311)</f>
        <v>1681.4</v>
      </c>
      <c r="BW306" s="319">
        <f t="shared" si="266"/>
        <v>0.2</v>
      </c>
      <c r="BX306" s="307">
        <f>SUM(BX307:BX311)</f>
        <v>2522.1</v>
      </c>
      <c r="BY306" s="319">
        <f t="shared" si="267"/>
        <v>0.3</v>
      </c>
      <c r="BZ306" s="307">
        <f>SUM(BZ307:BZ311)</f>
        <v>3362.8</v>
      </c>
      <c r="CA306" s="319">
        <f t="shared" si="268"/>
        <v>0.4</v>
      </c>
      <c r="CB306" s="307">
        <f>SUM(CB307:CB311)</f>
        <v>4203.5</v>
      </c>
      <c r="CC306" s="319">
        <f t="shared" si="269"/>
        <v>0.5</v>
      </c>
      <c r="CD306" s="307">
        <f>SUM(CD307:CD311)</f>
        <v>4623.8500000000004</v>
      </c>
      <c r="CE306" s="319">
        <f t="shared" si="270"/>
        <v>0.55000000000000004</v>
      </c>
      <c r="CF306" s="307">
        <v>5884.9</v>
      </c>
      <c r="CG306" s="319">
        <f t="shared" si="271"/>
        <v>0.7</v>
      </c>
      <c r="CH306" s="307">
        <f>SUM(CH307:CH311)</f>
        <v>5884.9</v>
      </c>
      <c r="CI306" s="319">
        <f t="shared" si="272"/>
        <v>0.7</v>
      </c>
      <c r="CJ306" s="307">
        <f>SUM(CJ307:CJ311)</f>
        <v>6305.25</v>
      </c>
      <c r="CK306" s="319">
        <f t="shared" si="273"/>
        <v>0.75</v>
      </c>
      <c r="CL306" s="307">
        <f>SUM(CL307:CL311)</f>
        <v>6305.25</v>
      </c>
      <c r="CM306" s="319">
        <f t="shared" si="274"/>
        <v>0.75</v>
      </c>
      <c r="CN306" s="307">
        <f>SUM(CN307:CN311)</f>
        <v>7986.65</v>
      </c>
      <c r="CO306" s="319">
        <f t="shared" si="275"/>
        <v>0.95</v>
      </c>
      <c r="CP306" s="213" t="str">
        <f t="shared" si="280"/>
        <v>Không đạt</v>
      </c>
      <c r="CQ306" s="213" t="str">
        <f t="shared" si="281"/>
        <v>Không đạt</v>
      </c>
      <c r="CR306" s="312"/>
      <c r="CS306" s="312"/>
      <c r="CT306" s="235"/>
      <c r="CU306" s="163"/>
      <c r="CV306" s="323"/>
      <c r="CW306" s="195"/>
      <c r="CX306" s="196"/>
      <c r="CY306" s="196"/>
      <c r="CZ306" s="197"/>
      <c r="DA306" s="196"/>
      <c r="DB306" s="196"/>
      <c r="DC306" s="196"/>
      <c r="DE306" s="199"/>
      <c r="DF306" s="200"/>
      <c r="DG306" s="181"/>
    </row>
    <row r="307" spans="1:113" ht="38.25" outlineLevel="1" x14ac:dyDescent="0.25">
      <c r="A307" s="192">
        <v>1</v>
      </c>
      <c r="B307" s="325" t="s">
        <v>404</v>
      </c>
      <c r="C307" s="325"/>
      <c r="D307" s="214">
        <f t="shared" si="247"/>
        <v>1200</v>
      </c>
      <c r="E307" s="215"/>
      <c r="F307" s="214">
        <f t="shared" ref="F307:F312" si="295">G307+H307+K307+M307</f>
        <v>1200</v>
      </c>
      <c r="G307" s="223"/>
      <c r="H307" s="257">
        <v>1200</v>
      </c>
      <c r="I307" s="235">
        <v>1140</v>
      </c>
      <c r="J307" s="257">
        <v>1126</v>
      </c>
      <c r="K307" s="223"/>
      <c r="L307" s="235"/>
      <c r="M307" s="223"/>
      <c r="N307" s="223"/>
      <c r="O307" s="257">
        <f t="shared" si="289"/>
        <v>1140</v>
      </c>
      <c r="P307" s="257">
        <v>0</v>
      </c>
      <c r="Q307" s="224">
        <f t="shared" si="276"/>
        <v>0</v>
      </c>
      <c r="R307" s="257"/>
      <c r="S307" s="225">
        <v>0</v>
      </c>
      <c r="T307" s="225">
        <v>0</v>
      </c>
      <c r="U307" s="257"/>
      <c r="V307" s="225">
        <v>0</v>
      </c>
      <c r="W307" s="225">
        <v>0</v>
      </c>
      <c r="X307" s="257"/>
      <c r="Y307" s="225">
        <v>0</v>
      </c>
      <c r="Z307" s="225">
        <v>0</v>
      </c>
      <c r="AA307" s="257"/>
      <c r="AB307" s="225">
        <v>0</v>
      </c>
      <c r="AC307" s="225">
        <v>0</v>
      </c>
      <c r="AD307" s="257">
        <v>1104</v>
      </c>
      <c r="AE307" s="225">
        <v>0.92</v>
      </c>
      <c r="AF307" s="225">
        <v>0.96842105263157896</v>
      </c>
      <c r="AG307" s="257">
        <v>1104</v>
      </c>
      <c r="AH307" s="225">
        <v>0.92</v>
      </c>
      <c r="AI307" s="225">
        <v>0.96842105263157896</v>
      </c>
      <c r="AJ307" s="257">
        <v>1104</v>
      </c>
      <c r="AK307" s="225">
        <v>0.92</v>
      </c>
      <c r="AL307" s="225">
        <v>0.96842105263157896</v>
      </c>
      <c r="AM307" s="257">
        <v>1104</v>
      </c>
      <c r="AN307" s="225">
        <v>0.92</v>
      </c>
      <c r="AO307" s="225">
        <v>0.96842105263157896</v>
      </c>
      <c r="AP307" s="225"/>
      <c r="AQ307" s="257">
        <v>1126</v>
      </c>
      <c r="AR307" s="225">
        <v>0.93833333333333335</v>
      </c>
      <c r="AS307" s="225">
        <v>0.987719298245614</v>
      </c>
      <c r="AT307" s="257">
        <v>1126</v>
      </c>
      <c r="AU307" s="225">
        <v>0.93833333333333335</v>
      </c>
      <c r="AV307" s="225">
        <v>0.987719298245614</v>
      </c>
      <c r="AW307" s="225"/>
      <c r="AX307" s="225"/>
      <c r="AY307" s="225"/>
      <c r="AZ307" s="225"/>
      <c r="BA307" s="225"/>
      <c r="BB307" s="225"/>
      <c r="BC307" s="257">
        <v>1126</v>
      </c>
      <c r="BD307" s="225">
        <v>0.93833333333333335</v>
      </c>
      <c r="BE307" s="225">
        <v>0.987719298245614</v>
      </c>
      <c r="BF307" s="257">
        <v>1126</v>
      </c>
      <c r="BG307" s="257">
        <v>1126</v>
      </c>
      <c r="BH307" s="225">
        <v>0.93833333333333335</v>
      </c>
      <c r="BI307" s="225">
        <v>0.987719298245614</v>
      </c>
      <c r="BJ307" s="257">
        <f t="shared" si="277"/>
        <v>1140</v>
      </c>
      <c r="BK307" s="257">
        <v>1126</v>
      </c>
      <c r="BL307" s="225">
        <f t="shared" si="262"/>
        <v>0.93833333333333335</v>
      </c>
      <c r="BM307" s="225">
        <f t="shared" si="279"/>
        <v>0.987719298245614</v>
      </c>
      <c r="BN307" s="205">
        <f t="shared" si="260"/>
        <v>22</v>
      </c>
      <c r="BO307" s="205"/>
      <c r="BP307" s="227"/>
      <c r="BQ307" s="224">
        <f t="shared" si="263"/>
        <v>0</v>
      </c>
      <c r="BR307" s="227"/>
      <c r="BS307" s="224">
        <f t="shared" si="264"/>
        <v>0</v>
      </c>
      <c r="BT307" s="227">
        <f t="shared" ref="BT307:BT313" si="296">$F307*0.1</f>
        <v>120</v>
      </c>
      <c r="BU307" s="224">
        <f t="shared" si="265"/>
        <v>0.1</v>
      </c>
      <c r="BV307" s="227">
        <f t="shared" ref="BV307:BV313" si="297">$F307*0.2</f>
        <v>240</v>
      </c>
      <c r="BW307" s="308">
        <f t="shared" si="266"/>
        <v>0.2</v>
      </c>
      <c r="BX307" s="227">
        <f t="shared" ref="BX307:BX313" si="298">$F307*0.3</f>
        <v>360</v>
      </c>
      <c r="BY307" s="308">
        <f t="shared" si="267"/>
        <v>0.3</v>
      </c>
      <c r="BZ307" s="227">
        <f t="shared" ref="BZ307:BZ313" si="299">$F307*0.4</f>
        <v>480</v>
      </c>
      <c r="CA307" s="308">
        <f t="shared" si="268"/>
        <v>0.4</v>
      </c>
      <c r="CB307" s="227">
        <f t="shared" ref="CB307:CB313" si="300">$F307*0.5</f>
        <v>600</v>
      </c>
      <c r="CC307" s="308">
        <f t="shared" si="269"/>
        <v>0.5</v>
      </c>
      <c r="CD307" s="227">
        <f t="shared" ref="CD307:CD313" si="301">$F307*0.55</f>
        <v>660</v>
      </c>
      <c r="CE307" s="308">
        <f t="shared" si="270"/>
        <v>0.55000000000000004</v>
      </c>
      <c r="CF307" s="227">
        <v>840</v>
      </c>
      <c r="CG307" s="308">
        <f t="shared" si="271"/>
        <v>0.7</v>
      </c>
      <c r="CH307" s="227">
        <f t="shared" ref="CH307:CH313" si="302">$F307*0.7</f>
        <v>840</v>
      </c>
      <c r="CI307" s="308">
        <f t="shared" si="272"/>
        <v>0.7</v>
      </c>
      <c r="CJ307" s="227">
        <f t="shared" ref="CJ307:CJ313" si="303">$F307*0.75</f>
        <v>900</v>
      </c>
      <c r="CK307" s="308">
        <f t="shared" si="273"/>
        <v>0.75</v>
      </c>
      <c r="CL307" s="227">
        <f t="shared" ref="CL307:CL313" si="304">$F307*0.75</f>
        <v>900</v>
      </c>
      <c r="CM307" s="308">
        <f t="shared" si="274"/>
        <v>0.75</v>
      </c>
      <c r="CN307" s="227">
        <f t="shared" ref="CN307:CN313" si="305">$F307*0.95</f>
        <v>1140</v>
      </c>
      <c r="CO307" s="308">
        <f t="shared" si="275"/>
        <v>0.95</v>
      </c>
      <c r="CP307" s="213" t="str">
        <f t="shared" si="280"/>
        <v>Đạt</v>
      </c>
      <c r="CQ307" s="213" t="str">
        <f t="shared" si="281"/>
        <v>Đạt</v>
      </c>
      <c r="CR307" s="192"/>
      <c r="CS307" s="192"/>
      <c r="CT307" s="257"/>
      <c r="CU307" s="163"/>
      <c r="CW307" s="195"/>
      <c r="CX307" s="196"/>
      <c r="CY307" s="196"/>
      <c r="CZ307" s="197"/>
      <c r="DA307" s="196"/>
      <c r="DB307" s="196"/>
      <c r="DC307" s="196"/>
      <c r="DE307" s="199"/>
      <c r="DF307" s="200"/>
      <c r="DG307" s="181"/>
    </row>
    <row r="308" spans="1:113" ht="51" outlineLevel="1" x14ac:dyDescent="0.25">
      <c r="A308" s="192">
        <f>MAX(A306:B307)+1</f>
        <v>2</v>
      </c>
      <c r="B308" s="325" t="s">
        <v>405</v>
      </c>
      <c r="C308" s="325"/>
      <c r="D308" s="214">
        <f t="shared" si="247"/>
        <v>6600</v>
      </c>
      <c r="E308" s="215"/>
      <c r="F308" s="214">
        <f t="shared" si="295"/>
        <v>6600</v>
      </c>
      <c r="G308" s="223"/>
      <c r="H308" s="257">
        <v>6600</v>
      </c>
      <c r="I308" s="235"/>
      <c r="J308" s="257"/>
      <c r="K308" s="223"/>
      <c r="L308" s="235"/>
      <c r="M308" s="223"/>
      <c r="N308" s="223"/>
      <c r="O308" s="257">
        <f t="shared" si="289"/>
        <v>0</v>
      </c>
      <c r="P308" s="257">
        <v>0</v>
      </c>
      <c r="Q308" s="224">
        <f t="shared" si="276"/>
        <v>0</v>
      </c>
      <c r="R308" s="257"/>
      <c r="S308" s="225">
        <v>0</v>
      </c>
      <c r="T308" s="225">
        <v>0</v>
      </c>
      <c r="U308" s="257"/>
      <c r="V308" s="225">
        <v>0</v>
      </c>
      <c r="W308" s="225">
        <v>0</v>
      </c>
      <c r="X308" s="257"/>
      <c r="Y308" s="225">
        <v>0</v>
      </c>
      <c r="Z308" s="225">
        <v>0</v>
      </c>
      <c r="AA308" s="257"/>
      <c r="AB308" s="225">
        <v>0</v>
      </c>
      <c r="AC308" s="225">
        <v>0</v>
      </c>
      <c r="AD308" s="257"/>
      <c r="AE308" s="225">
        <v>0</v>
      </c>
      <c r="AF308" s="225">
        <v>0</v>
      </c>
      <c r="AG308" s="257"/>
      <c r="AH308" s="225">
        <v>0</v>
      </c>
      <c r="AI308" s="225">
        <v>0</v>
      </c>
      <c r="AJ308" s="257"/>
      <c r="AK308" s="225">
        <v>0</v>
      </c>
      <c r="AL308" s="225">
        <v>0</v>
      </c>
      <c r="AM308" s="257"/>
      <c r="AN308" s="225">
        <v>0</v>
      </c>
      <c r="AO308" s="225">
        <v>0</v>
      </c>
      <c r="AP308" s="225"/>
      <c r="AQ308" s="257"/>
      <c r="AR308" s="225">
        <v>0</v>
      </c>
      <c r="AS308" s="225">
        <v>0</v>
      </c>
      <c r="AT308" s="257"/>
      <c r="AU308" s="225">
        <v>0</v>
      </c>
      <c r="AV308" s="225">
        <v>0</v>
      </c>
      <c r="AW308" s="225"/>
      <c r="AX308" s="225"/>
      <c r="AY308" s="225"/>
      <c r="AZ308" s="225"/>
      <c r="BA308" s="225"/>
      <c r="BB308" s="225"/>
      <c r="BC308" s="257"/>
      <c r="BD308" s="225">
        <v>0</v>
      </c>
      <c r="BE308" s="225">
        <v>0</v>
      </c>
      <c r="BF308" s="257"/>
      <c r="BG308" s="257"/>
      <c r="BH308" s="225">
        <v>0</v>
      </c>
      <c r="BI308" s="225">
        <v>0</v>
      </c>
      <c r="BJ308" s="257">
        <f t="shared" si="277"/>
        <v>6270</v>
      </c>
      <c r="BK308" s="257"/>
      <c r="BL308" s="225">
        <f t="shared" si="262"/>
        <v>0</v>
      </c>
      <c r="BM308" s="225">
        <f t="shared" si="279"/>
        <v>0</v>
      </c>
      <c r="BN308" s="205">
        <f t="shared" si="260"/>
        <v>0</v>
      </c>
      <c r="BO308" s="205"/>
      <c r="BP308" s="227"/>
      <c r="BQ308" s="224">
        <f t="shared" si="263"/>
        <v>0</v>
      </c>
      <c r="BR308" s="227"/>
      <c r="BS308" s="224">
        <f t="shared" si="264"/>
        <v>0</v>
      </c>
      <c r="BT308" s="227">
        <f t="shared" si="296"/>
        <v>660</v>
      </c>
      <c r="BU308" s="224">
        <f t="shared" si="265"/>
        <v>0.1</v>
      </c>
      <c r="BV308" s="227">
        <f t="shared" si="297"/>
        <v>1320</v>
      </c>
      <c r="BW308" s="308">
        <f t="shared" si="266"/>
        <v>0.2</v>
      </c>
      <c r="BX308" s="227">
        <f t="shared" si="298"/>
        <v>1980</v>
      </c>
      <c r="BY308" s="308">
        <f t="shared" si="267"/>
        <v>0.3</v>
      </c>
      <c r="BZ308" s="227">
        <f t="shared" si="299"/>
        <v>2640</v>
      </c>
      <c r="CA308" s="308">
        <f t="shared" si="268"/>
        <v>0.4</v>
      </c>
      <c r="CB308" s="227">
        <f t="shared" si="300"/>
        <v>3300</v>
      </c>
      <c r="CC308" s="308">
        <f t="shared" si="269"/>
        <v>0.5</v>
      </c>
      <c r="CD308" s="227">
        <f t="shared" si="301"/>
        <v>3630.0000000000005</v>
      </c>
      <c r="CE308" s="308">
        <f t="shared" si="270"/>
        <v>0.55000000000000004</v>
      </c>
      <c r="CF308" s="227">
        <v>4620</v>
      </c>
      <c r="CG308" s="308">
        <f t="shared" si="271"/>
        <v>0.7</v>
      </c>
      <c r="CH308" s="227">
        <f t="shared" si="302"/>
        <v>4620</v>
      </c>
      <c r="CI308" s="308">
        <f t="shared" si="272"/>
        <v>0.7</v>
      </c>
      <c r="CJ308" s="227">
        <f t="shared" si="303"/>
        <v>4950</v>
      </c>
      <c r="CK308" s="308">
        <f t="shared" si="273"/>
        <v>0.75</v>
      </c>
      <c r="CL308" s="227">
        <f t="shared" si="304"/>
        <v>4950</v>
      </c>
      <c r="CM308" s="308">
        <f t="shared" si="274"/>
        <v>0.75</v>
      </c>
      <c r="CN308" s="227">
        <f t="shared" si="305"/>
        <v>6270</v>
      </c>
      <c r="CO308" s="308">
        <f t="shared" si="275"/>
        <v>0.95</v>
      </c>
      <c r="CP308" s="213" t="str">
        <f t="shared" si="280"/>
        <v>Không đạt</v>
      </c>
      <c r="CQ308" s="213" t="str">
        <f t="shared" si="281"/>
        <v>Không đạt</v>
      </c>
      <c r="CR308" s="192"/>
      <c r="CS308" s="192"/>
      <c r="CT308" s="257"/>
      <c r="CU308" s="163"/>
      <c r="CW308" s="195"/>
      <c r="CX308" s="196"/>
      <c r="CY308" s="196"/>
      <c r="CZ308" s="197"/>
      <c r="DA308" s="196"/>
      <c r="DB308" s="196"/>
      <c r="DC308" s="196"/>
      <c r="DE308" s="199"/>
      <c r="DF308" s="200"/>
      <c r="DG308" s="181"/>
    </row>
    <row r="309" spans="1:113" ht="25.5" outlineLevel="1" x14ac:dyDescent="0.25">
      <c r="A309" s="192">
        <f>MAX(A307:B308)+1</f>
        <v>3</v>
      </c>
      <c r="B309" s="325" t="s">
        <v>406</v>
      </c>
      <c r="C309" s="325"/>
      <c r="D309" s="214">
        <f t="shared" si="247"/>
        <v>82</v>
      </c>
      <c r="E309" s="215"/>
      <c r="F309" s="214">
        <f t="shared" si="295"/>
        <v>82</v>
      </c>
      <c r="G309" s="223"/>
      <c r="H309" s="257">
        <v>82</v>
      </c>
      <c r="I309" s="235">
        <v>78</v>
      </c>
      <c r="J309" s="257">
        <v>12</v>
      </c>
      <c r="K309" s="223"/>
      <c r="L309" s="235"/>
      <c r="M309" s="223"/>
      <c r="N309" s="223"/>
      <c r="O309" s="257">
        <f t="shared" si="289"/>
        <v>78</v>
      </c>
      <c r="P309" s="257">
        <v>0</v>
      </c>
      <c r="Q309" s="224">
        <f t="shared" si="276"/>
        <v>0</v>
      </c>
      <c r="R309" s="257"/>
      <c r="S309" s="225">
        <v>0</v>
      </c>
      <c r="T309" s="225">
        <v>0</v>
      </c>
      <c r="U309" s="257"/>
      <c r="V309" s="225">
        <v>0</v>
      </c>
      <c r="W309" s="225">
        <v>0</v>
      </c>
      <c r="X309" s="257"/>
      <c r="Y309" s="225">
        <v>0</v>
      </c>
      <c r="Z309" s="225">
        <v>0</v>
      </c>
      <c r="AA309" s="257"/>
      <c r="AB309" s="225">
        <v>0</v>
      </c>
      <c r="AC309" s="225">
        <v>0</v>
      </c>
      <c r="AD309" s="257">
        <v>12</v>
      </c>
      <c r="AE309" s="225">
        <v>0.14634146341463414</v>
      </c>
      <c r="AF309" s="225">
        <v>0.1540436456996149</v>
      </c>
      <c r="AG309" s="257">
        <v>12</v>
      </c>
      <c r="AH309" s="225">
        <v>0.14634146341463414</v>
      </c>
      <c r="AI309" s="225">
        <v>0.1540436456996149</v>
      </c>
      <c r="AJ309" s="257">
        <v>12</v>
      </c>
      <c r="AK309" s="225">
        <v>0.14634146341463414</v>
      </c>
      <c r="AL309" s="225">
        <v>0.1540436456996149</v>
      </c>
      <c r="AM309" s="257">
        <v>12</v>
      </c>
      <c r="AN309" s="225">
        <v>0.14634146341463414</v>
      </c>
      <c r="AO309" s="225">
        <v>0.1540436456996149</v>
      </c>
      <c r="AP309" s="225"/>
      <c r="AQ309" s="257">
        <v>12</v>
      </c>
      <c r="AR309" s="225">
        <v>0.14634146341463414</v>
      </c>
      <c r="AS309" s="225">
        <v>0.1540436456996149</v>
      </c>
      <c r="AT309" s="257">
        <v>12</v>
      </c>
      <c r="AU309" s="225">
        <v>0.14634146341463414</v>
      </c>
      <c r="AV309" s="225">
        <v>0.1540436456996149</v>
      </c>
      <c r="AW309" s="225"/>
      <c r="AX309" s="225"/>
      <c r="AY309" s="225"/>
      <c r="AZ309" s="225"/>
      <c r="BA309" s="225"/>
      <c r="BB309" s="225"/>
      <c r="BC309" s="257">
        <v>12</v>
      </c>
      <c r="BD309" s="225">
        <v>0.14634146341463414</v>
      </c>
      <c r="BE309" s="225">
        <v>0.1540436456996149</v>
      </c>
      <c r="BF309" s="257">
        <v>12</v>
      </c>
      <c r="BG309" s="257">
        <v>12</v>
      </c>
      <c r="BH309" s="225">
        <v>0.14634146341463414</v>
      </c>
      <c r="BI309" s="225">
        <v>0.1540436456996149</v>
      </c>
      <c r="BJ309" s="257">
        <f t="shared" si="277"/>
        <v>77.899999999999991</v>
      </c>
      <c r="BK309" s="257">
        <v>12</v>
      </c>
      <c r="BL309" s="225">
        <f t="shared" si="262"/>
        <v>0.14634146341463414</v>
      </c>
      <c r="BM309" s="225">
        <f t="shared" si="279"/>
        <v>0.1540436456996149</v>
      </c>
      <c r="BN309" s="205">
        <f t="shared" si="260"/>
        <v>0</v>
      </c>
      <c r="BO309" s="205"/>
      <c r="BP309" s="227"/>
      <c r="BQ309" s="224">
        <f t="shared" si="263"/>
        <v>0</v>
      </c>
      <c r="BR309" s="227"/>
      <c r="BS309" s="224">
        <f t="shared" si="264"/>
        <v>0</v>
      </c>
      <c r="BT309" s="227">
        <f t="shared" si="296"/>
        <v>8.2000000000000011</v>
      </c>
      <c r="BU309" s="224">
        <f t="shared" si="265"/>
        <v>0.10000000000000002</v>
      </c>
      <c r="BV309" s="227">
        <f t="shared" si="297"/>
        <v>16.400000000000002</v>
      </c>
      <c r="BW309" s="224">
        <f t="shared" si="266"/>
        <v>0.20000000000000004</v>
      </c>
      <c r="BX309" s="227">
        <f t="shared" si="298"/>
        <v>24.599999999999998</v>
      </c>
      <c r="BY309" s="224">
        <f t="shared" si="267"/>
        <v>0.3</v>
      </c>
      <c r="BZ309" s="227">
        <f t="shared" si="299"/>
        <v>32.800000000000004</v>
      </c>
      <c r="CA309" s="224">
        <f t="shared" si="268"/>
        <v>0.40000000000000008</v>
      </c>
      <c r="CB309" s="227">
        <f t="shared" si="300"/>
        <v>41</v>
      </c>
      <c r="CC309" s="224">
        <f t="shared" si="269"/>
        <v>0.5</v>
      </c>
      <c r="CD309" s="227">
        <f t="shared" si="301"/>
        <v>45.1</v>
      </c>
      <c r="CE309" s="224">
        <f t="shared" si="270"/>
        <v>0.55000000000000004</v>
      </c>
      <c r="CF309" s="227">
        <v>57.4</v>
      </c>
      <c r="CG309" s="224">
        <f t="shared" si="271"/>
        <v>0.7</v>
      </c>
      <c r="CH309" s="227">
        <f t="shared" si="302"/>
        <v>57.4</v>
      </c>
      <c r="CI309" s="224">
        <f t="shared" si="272"/>
        <v>0.7</v>
      </c>
      <c r="CJ309" s="227">
        <f t="shared" si="303"/>
        <v>61.5</v>
      </c>
      <c r="CK309" s="224">
        <f t="shared" si="273"/>
        <v>0.75</v>
      </c>
      <c r="CL309" s="227">
        <f t="shared" si="304"/>
        <v>61.5</v>
      </c>
      <c r="CM309" s="224">
        <f t="shared" si="274"/>
        <v>0.75</v>
      </c>
      <c r="CN309" s="227">
        <f t="shared" si="305"/>
        <v>77.899999999999991</v>
      </c>
      <c r="CO309" s="224">
        <f t="shared" si="275"/>
        <v>0.94999999999999984</v>
      </c>
      <c r="CP309" s="213" t="str">
        <f t="shared" si="280"/>
        <v>Không đạt</v>
      </c>
      <c r="CQ309" s="213" t="str">
        <f t="shared" si="281"/>
        <v>Không đạt</v>
      </c>
      <c r="CR309" s="192"/>
      <c r="CS309" s="192"/>
      <c r="CT309" s="257"/>
      <c r="CU309" s="163"/>
      <c r="CW309" s="195"/>
      <c r="CX309" s="196"/>
      <c r="CY309" s="196"/>
      <c r="CZ309" s="197"/>
      <c r="DA309" s="196"/>
      <c r="DB309" s="196"/>
      <c r="DC309" s="196"/>
      <c r="DE309" s="199"/>
      <c r="DF309" s="200"/>
      <c r="DG309" s="181"/>
    </row>
    <row r="310" spans="1:113" ht="25.5" outlineLevel="1" x14ac:dyDescent="0.25">
      <c r="A310" s="192">
        <f>MAX(A308:B309)+1</f>
        <v>4</v>
      </c>
      <c r="B310" s="325" t="s">
        <v>407</v>
      </c>
      <c r="C310" s="325"/>
      <c r="D310" s="214">
        <f t="shared" si="247"/>
        <v>175</v>
      </c>
      <c r="E310" s="215"/>
      <c r="F310" s="214">
        <f t="shared" si="295"/>
        <v>175</v>
      </c>
      <c r="G310" s="223"/>
      <c r="H310" s="257">
        <v>175</v>
      </c>
      <c r="I310" s="235">
        <v>166</v>
      </c>
      <c r="J310" s="257">
        <v>117</v>
      </c>
      <c r="K310" s="223"/>
      <c r="L310" s="235"/>
      <c r="M310" s="223"/>
      <c r="N310" s="223"/>
      <c r="O310" s="257">
        <f t="shared" si="289"/>
        <v>166</v>
      </c>
      <c r="P310" s="257">
        <v>0</v>
      </c>
      <c r="Q310" s="224">
        <f t="shared" si="276"/>
        <v>0</v>
      </c>
      <c r="R310" s="257"/>
      <c r="S310" s="225">
        <v>0</v>
      </c>
      <c r="T310" s="225">
        <v>0</v>
      </c>
      <c r="U310" s="257"/>
      <c r="V310" s="225">
        <v>0</v>
      </c>
      <c r="W310" s="225">
        <v>0</v>
      </c>
      <c r="X310" s="257"/>
      <c r="Y310" s="225">
        <v>0</v>
      </c>
      <c r="Z310" s="225">
        <v>0</v>
      </c>
      <c r="AA310" s="257">
        <v>96</v>
      </c>
      <c r="AB310" s="225">
        <v>0.5485714285714286</v>
      </c>
      <c r="AC310" s="225">
        <v>0.57744360902255643</v>
      </c>
      <c r="AD310" s="257">
        <v>117</v>
      </c>
      <c r="AE310" s="225">
        <v>0.66857142857142859</v>
      </c>
      <c r="AF310" s="225">
        <v>0.70375939849624058</v>
      </c>
      <c r="AG310" s="257">
        <v>117</v>
      </c>
      <c r="AH310" s="225">
        <v>0.66857142857142859</v>
      </c>
      <c r="AI310" s="225">
        <v>0.70375939849624058</v>
      </c>
      <c r="AJ310" s="257">
        <v>117</v>
      </c>
      <c r="AK310" s="225">
        <v>0.66857142857142859</v>
      </c>
      <c r="AL310" s="225">
        <v>0.70375939849624058</v>
      </c>
      <c r="AM310" s="257">
        <v>117</v>
      </c>
      <c r="AN310" s="225">
        <v>0.66857142857142859</v>
      </c>
      <c r="AO310" s="225">
        <v>0.70375939849624058</v>
      </c>
      <c r="AP310" s="225"/>
      <c r="AQ310" s="257">
        <v>117</v>
      </c>
      <c r="AR310" s="225">
        <v>0.66857142857142859</v>
      </c>
      <c r="AS310" s="225">
        <v>0.70375939849624058</v>
      </c>
      <c r="AT310" s="257">
        <v>117</v>
      </c>
      <c r="AU310" s="225">
        <v>0.66857142857142859</v>
      </c>
      <c r="AV310" s="225">
        <v>0.70375939849624058</v>
      </c>
      <c r="AW310" s="225"/>
      <c r="AX310" s="225"/>
      <c r="AY310" s="225"/>
      <c r="AZ310" s="225"/>
      <c r="BA310" s="225"/>
      <c r="BB310" s="225"/>
      <c r="BC310" s="257">
        <v>117</v>
      </c>
      <c r="BD310" s="225">
        <v>0.66857142857142859</v>
      </c>
      <c r="BE310" s="225">
        <v>0.70375939849624058</v>
      </c>
      <c r="BF310" s="257">
        <v>118.818</v>
      </c>
      <c r="BG310" s="257">
        <v>118.818</v>
      </c>
      <c r="BH310" s="225">
        <v>0.67896000000000001</v>
      </c>
      <c r="BI310" s="225">
        <v>0.71469473684210527</v>
      </c>
      <c r="BJ310" s="257">
        <f t="shared" si="277"/>
        <v>166.25</v>
      </c>
      <c r="BK310" s="257">
        <v>118.818</v>
      </c>
      <c r="BL310" s="225">
        <f t="shared" si="262"/>
        <v>0.67896000000000001</v>
      </c>
      <c r="BM310" s="225">
        <f t="shared" si="279"/>
        <v>0.71469473684210527</v>
      </c>
      <c r="BN310" s="205">
        <f t="shared" si="260"/>
        <v>1.8179999999999978</v>
      </c>
      <c r="BO310" s="205"/>
      <c r="BP310" s="227"/>
      <c r="BQ310" s="224">
        <f t="shared" si="263"/>
        <v>0</v>
      </c>
      <c r="BR310" s="227"/>
      <c r="BS310" s="224">
        <f t="shared" si="264"/>
        <v>0</v>
      </c>
      <c r="BT310" s="227">
        <f t="shared" si="296"/>
        <v>17.5</v>
      </c>
      <c r="BU310" s="224">
        <f t="shared" si="265"/>
        <v>0.1</v>
      </c>
      <c r="BV310" s="227">
        <f t="shared" si="297"/>
        <v>35</v>
      </c>
      <c r="BW310" s="224">
        <f t="shared" si="266"/>
        <v>0.2</v>
      </c>
      <c r="BX310" s="227">
        <f t="shared" si="298"/>
        <v>52.5</v>
      </c>
      <c r="BY310" s="224">
        <f t="shared" si="267"/>
        <v>0.3</v>
      </c>
      <c r="BZ310" s="227">
        <f t="shared" si="299"/>
        <v>70</v>
      </c>
      <c r="CA310" s="224">
        <f t="shared" si="268"/>
        <v>0.4</v>
      </c>
      <c r="CB310" s="227">
        <f t="shared" si="300"/>
        <v>87.5</v>
      </c>
      <c r="CC310" s="224">
        <f t="shared" si="269"/>
        <v>0.5</v>
      </c>
      <c r="CD310" s="227">
        <f t="shared" si="301"/>
        <v>96.250000000000014</v>
      </c>
      <c r="CE310" s="224">
        <f t="shared" si="270"/>
        <v>0.55000000000000004</v>
      </c>
      <c r="CF310" s="227">
        <v>122.49999999999999</v>
      </c>
      <c r="CG310" s="224">
        <f t="shared" si="271"/>
        <v>0.7</v>
      </c>
      <c r="CH310" s="227">
        <f t="shared" si="302"/>
        <v>122.49999999999999</v>
      </c>
      <c r="CI310" s="224">
        <f t="shared" si="272"/>
        <v>0.7</v>
      </c>
      <c r="CJ310" s="227">
        <f t="shared" si="303"/>
        <v>131.25</v>
      </c>
      <c r="CK310" s="224">
        <f t="shared" si="273"/>
        <v>0.75</v>
      </c>
      <c r="CL310" s="227">
        <f t="shared" si="304"/>
        <v>131.25</v>
      </c>
      <c r="CM310" s="224">
        <f t="shared" si="274"/>
        <v>0.75</v>
      </c>
      <c r="CN310" s="227">
        <f t="shared" si="305"/>
        <v>166.25</v>
      </c>
      <c r="CO310" s="224">
        <f t="shared" si="275"/>
        <v>0.95</v>
      </c>
      <c r="CP310" s="213" t="str">
        <f t="shared" si="280"/>
        <v>Đạt</v>
      </c>
      <c r="CQ310" s="213" t="str">
        <f t="shared" si="281"/>
        <v>Đạt</v>
      </c>
      <c r="CR310" s="192"/>
      <c r="CS310" s="192"/>
      <c r="CT310" s="257"/>
      <c r="CU310" s="163"/>
      <c r="CW310" s="195"/>
      <c r="CX310" s="196"/>
      <c r="CY310" s="196"/>
      <c r="CZ310" s="197"/>
      <c r="DA310" s="196"/>
      <c r="DB310" s="196"/>
      <c r="DC310" s="196"/>
      <c r="DE310" s="199"/>
      <c r="DF310" s="200"/>
      <c r="DG310" s="181"/>
    </row>
    <row r="311" spans="1:113" ht="25.5" outlineLevel="1" x14ac:dyDescent="0.25">
      <c r="A311" s="192">
        <f>MAX(A309:B310)+1</f>
        <v>5</v>
      </c>
      <c r="B311" s="325" t="s">
        <v>408</v>
      </c>
      <c r="C311" s="325"/>
      <c r="D311" s="214">
        <f t="shared" si="247"/>
        <v>350</v>
      </c>
      <c r="E311" s="215"/>
      <c r="F311" s="214">
        <f t="shared" si="295"/>
        <v>350</v>
      </c>
      <c r="G311" s="223"/>
      <c r="H311" s="257">
        <v>350</v>
      </c>
      <c r="I311" s="235">
        <v>333</v>
      </c>
      <c r="J311" s="257">
        <v>285</v>
      </c>
      <c r="K311" s="223"/>
      <c r="L311" s="235"/>
      <c r="M311" s="223"/>
      <c r="N311" s="223"/>
      <c r="O311" s="257">
        <f t="shared" si="289"/>
        <v>333</v>
      </c>
      <c r="P311" s="257">
        <v>0</v>
      </c>
      <c r="Q311" s="224">
        <f t="shared" si="276"/>
        <v>0</v>
      </c>
      <c r="R311" s="257"/>
      <c r="S311" s="225">
        <v>0</v>
      </c>
      <c r="T311" s="225">
        <v>0</v>
      </c>
      <c r="U311" s="257"/>
      <c r="V311" s="225">
        <v>0</v>
      </c>
      <c r="W311" s="225">
        <v>0</v>
      </c>
      <c r="X311" s="257"/>
      <c r="Y311" s="225">
        <v>0</v>
      </c>
      <c r="Z311" s="225">
        <v>0</v>
      </c>
      <c r="AA311" s="257">
        <v>240</v>
      </c>
      <c r="AB311" s="225">
        <v>0.68571428571428572</v>
      </c>
      <c r="AC311" s="225">
        <v>0.72180451127819545</v>
      </c>
      <c r="AD311" s="257">
        <v>285</v>
      </c>
      <c r="AE311" s="225">
        <v>0.81428571428571428</v>
      </c>
      <c r="AF311" s="225">
        <v>0.8571428571428571</v>
      </c>
      <c r="AG311" s="257">
        <v>285</v>
      </c>
      <c r="AH311" s="225">
        <v>0.81428571428571428</v>
      </c>
      <c r="AI311" s="225">
        <v>0.8571428571428571</v>
      </c>
      <c r="AJ311" s="307">
        <v>285</v>
      </c>
      <c r="AK311" s="225">
        <v>0.81428571428571428</v>
      </c>
      <c r="AL311" s="225">
        <v>0.8571428571428571</v>
      </c>
      <c r="AM311" s="257">
        <v>285</v>
      </c>
      <c r="AN311" s="225">
        <v>0.81428571428571428</v>
      </c>
      <c r="AO311" s="225">
        <v>0.8571428571428571</v>
      </c>
      <c r="AP311" s="225"/>
      <c r="AQ311" s="257">
        <v>285</v>
      </c>
      <c r="AR311" s="225">
        <v>0.81428571428571428</v>
      </c>
      <c r="AS311" s="225">
        <v>0.8571428571428571</v>
      </c>
      <c r="AT311" s="257">
        <v>285</v>
      </c>
      <c r="AU311" s="225">
        <v>0.81428571428571428</v>
      </c>
      <c r="AV311" s="225">
        <v>0.8571428571428571</v>
      </c>
      <c r="AW311" s="225"/>
      <c r="AX311" s="225"/>
      <c r="AY311" s="225"/>
      <c r="AZ311" s="225"/>
      <c r="BA311" s="225"/>
      <c r="BB311" s="225"/>
      <c r="BC311" s="257">
        <v>285</v>
      </c>
      <c r="BD311" s="225">
        <v>0.81428571428571428</v>
      </c>
      <c r="BE311" s="225">
        <v>0.8571428571428571</v>
      </c>
      <c r="BF311" s="257">
        <v>331.68</v>
      </c>
      <c r="BG311" s="257">
        <v>331.68</v>
      </c>
      <c r="BH311" s="225">
        <v>0.94765714285714286</v>
      </c>
      <c r="BI311" s="225">
        <v>0.99753383458646616</v>
      </c>
      <c r="BJ311" s="257">
        <f t="shared" si="277"/>
        <v>332.5</v>
      </c>
      <c r="BK311" s="257">
        <v>331.68</v>
      </c>
      <c r="BL311" s="225">
        <f t="shared" si="262"/>
        <v>0.94765714285714286</v>
      </c>
      <c r="BM311" s="225">
        <f t="shared" si="279"/>
        <v>0.99753383458646616</v>
      </c>
      <c r="BN311" s="205">
        <f t="shared" si="260"/>
        <v>46.680000000000007</v>
      </c>
      <c r="BO311" s="205"/>
      <c r="BP311" s="227"/>
      <c r="BQ311" s="224">
        <f t="shared" si="263"/>
        <v>0</v>
      </c>
      <c r="BR311" s="227"/>
      <c r="BS311" s="224">
        <f t="shared" si="264"/>
        <v>0</v>
      </c>
      <c r="BT311" s="227">
        <f t="shared" si="296"/>
        <v>35</v>
      </c>
      <c r="BU311" s="224">
        <f t="shared" si="265"/>
        <v>0.1</v>
      </c>
      <c r="BV311" s="227">
        <f t="shared" si="297"/>
        <v>70</v>
      </c>
      <c r="BW311" s="224">
        <f t="shared" si="266"/>
        <v>0.2</v>
      </c>
      <c r="BX311" s="227">
        <f t="shared" si="298"/>
        <v>105</v>
      </c>
      <c r="BY311" s="224">
        <f t="shared" si="267"/>
        <v>0.3</v>
      </c>
      <c r="BZ311" s="227">
        <f t="shared" si="299"/>
        <v>140</v>
      </c>
      <c r="CA311" s="224">
        <f t="shared" si="268"/>
        <v>0.4</v>
      </c>
      <c r="CB311" s="227">
        <f t="shared" si="300"/>
        <v>175</v>
      </c>
      <c r="CC311" s="224">
        <f t="shared" si="269"/>
        <v>0.5</v>
      </c>
      <c r="CD311" s="227">
        <f t="shared" si="301"/>
        <v>192.50000000000003</v>
      </c>
      <c r="CE311" s="224">
        <f t="shared" si="270"/>
        <v>0.55000000000000004</v>
      </c>
      <c r="CF311" s="227">
        <v>244.99999999999997</v>
      </c>
      <c r="CG311" s="224">
        <f t="shared" si="271"/>
        <v>0.7</v>
      </c>
      <c r="CH311" s="227">
        <f t="shared" si="302"/>
        <v>244.99999999999997</v>
      </c>
      <c r="CI311" s="224">
        <f t="shared" si="272"/>
        <v>0.7</v>
      </c>
      <c r="CJ311" s="227">
        <f t="shared" si="303"/>
        <v>262.5</v>
      </c>
      <c r="CK311" s="224">
        <f t="shared" si="273"/>
        <v>0.75</v>
      </c>
      <c r="CL311" s="227">
        <f t="shared" si="304"/>
        <v>262.5</v>
      </c>
      <c r="CM311" s="224">
        <f t="shared" si="274"/>
        <v>0.75</v>
      </c>
      <c r="CN311" s="227">
        <f t="shared" si="305"/>
        <v>332.5</v>
      </c>
      <c r="CO311" s="224">
        <f t="shared" si="275"/>
        <v>0.95</v>
      </c>
      <c r="CP311" s="213" t="str">
        <f t="shared" si="280"/>
        <v>Đạt</v>
      </c>
      <c r="CQ311" s="213" t="str">
        <f t="shared" si="281"/>
        <v>Đạt</v>
      </c>
      <c r="CR311" s="192"/>
      <c r="CS311" s="192"/>
      <c r="CT311" s="257"/>
      <c r="CU311" s="163"/>
      <c r="CW311" s="195"/>
      <c r="CX311" s="196"/>
      <c r="CY311" s="196"/>
      <c r="CZ311" s="197"/>
      <c r="DA311" s="196"/>
      <c r="DB311" s="196"/>
      <c r="DC311" s="196"/>
      <c r="DE311" s="199"/>
      <c r="DF311" s="200"/>
      <c r="DG311" s="181"/>
    </row>
    <row r="312" spans="1:113" s="324" customFormat="1" outlineLevel="1" x14ac:dyDescent="0.25">
      <c r="A312" s="305" t="s">
        <v>34</v>
      </c>
      <c r="B312" s="318" t="s">
        <v>376</v>
      </c>
      <c r="C312" s="306"/>
      <c r="D312" s="307">
        <f t="shared" si="247"/>
        <v>3000</v>
      </c>
      <c r="E312" s="307"/>
      <c r="F312" s="307">
        <f t="shared" si="295"/>
        <v>3000</v>
      </c>
      <c r="G312" s="303">
        <v>3000</v>
      </c>
      <c r="H312" s="307"/>
      <c r="I312" s="235"/>
      <c r="J312" s="235"/>
      <c r="K312" s="303"/>
      <c r="L312" s="235"/>
      <c r="M312" s="223"/>
      <c r="N312" s="223"/>
      <c r="O312" s="307">
        <f t="shared" si="289"/>
        <v>3000</v>
      </c>
      <c r="P312" s="307">
        <v>0</v>
      </c>
      <c r="Q312" s="308">
        <f t="shared" si="276"/>
        <v>0</v>
      </c>
      <c r="R312" s="307"/>
      <c r="S312" s="309">
        <v>0</v>
      </c>
      <c r="T312" s="309">
        <v>0</v>
      </c>
      <c r="U312" s="307"/>
      <c r="V312" s="309">
        <v>0</v>
      </c>
      <c r="W312" s="309">
        <v>0</v>
      </c>
      <c r="X312" s="307"/>
      <c r="Y312" s="309">
        <v>0</v>
      </c>
      <c r="Z312" s="309">
        <v>0</v>
      </c>
      <c r="AA312" s="307"/>
      <c r="AB312" s="309">
        <v>0</v>
      </c>
      <c r="AC312" s="309">
        <v>0</v>
      </c>
      <c r="AD312" s="307"/>
      <c r="AE312" s="309">
        <v>0</v>
      </c>
      <c r="AF312" s="309">
        <v>0</v>
      </c>
      <c r="AG312" s="307"/>
      <c r="AH312" s="309">
        <v>0</v>
      </c>
      <c r="AI312" s="309">
        <v>0</v>
      </c>
      <c r="AJ312" s="303"/>
      <c r="AK312" s="309">
        <v>0</v>
      </c>
      <c r="AL312" s="309">
        <v>0</v>
      </c>
      <c r="AM312" s="307"/>
      <c r="AN312" s="309">
        <v>0</v>
      </c>
      <c r="AO312" s="309">
        <v>0</v>
      </c>
      <c r="AP312" s="309"/>
      <c r="AQ312" s="307">
        <v>293</v>
      </c>
      <c r="AR312" s="309">
        <v>9.7666666666666666E-2</v>
      </c>
      <c r="AS312" s="309">
        <v>0.10280701754385965</v>
      </c>
      <c r="AT312" s="307">
        <v>293</v>
      </c>
      <c r="AU312" s="309">
        <v>9.7666666666666666E-2</v>
      </c>
      <c r="AV312" s="309">
        <v>0.10280701754385965</v>
      </c>
      <c r="AW312" s="309"/>
      <c r="AX312" s="309"/>
      <c r="AY312" s="309"/>
      <c r="AZ312" s="309"/>
      <c r="BA312" s="309"/>
      <c r="BB312" s="309"/>
      <c r="BC312" s="307">
        <v>293</v>
      </c>
      <c r="BD312" s="309">
        <v>9.7666666666666666E-2</v>
      </c>
      <c r="BE312" s="309">
        <v>0.10280701754385965</v>
      </c>
      <c r="BF312" s="307"/>
      <c r="BG312" s="307">
        <v>2850</v>
      </c>
      <c r="BH312" s="309">
        <v>0.95</v>
      </c>
      <c r="BI312" s="309">
        <v>1</v>
      </c>
      <c r="BJ312" s="307">
        <f t="shared" si="277"/>
        <v>2850</v>
      </c>
      <c r="BK312" s="307">
        <v>2850</v>
      </c>
      <c r="BL312" s="309">
        <f t="shared" si="262"/>
        <v>0.95</v>
      </c>
      <c r="BM312" s="309">
        <f t="shared" si="279"/>
        <v>1</v>
      </c>
      <c r="BN312" s="205">
        <f t="shared" si="260"/>
        <v>2850</v>
      </c>
      <c r="BO312" s="205"/>
      <c r="BP312" s="310"/>
      <c r="BQ312" s="308">
        <f t="shared" si="263"/>
        <v>0</v>
      </c>
      <c r="BR312" s="310"/>
      <c r="BS312" s="308">
        <f t="shared" si="264"/>
        <v>0</v>
      </c>
      <c r="BT312" s="310">
        <f t="shared" si="296"/>
        <v>300</v>
      </c>
      <c r="BU312" s="308">
        <f t="shared" si="265"/>
        <v>0.1</v>
      </c>
      <c r="BV312" s="310">
        <f t="shared" si="297"/>
        <v>600</v>
      </c>
      <c r="BW312" s="308">
        <f t="shared" si="266"/>
        <v>0.2</v>
      </c>
      <c r="BX312" s="310">
        <f t="shared" si="298"/>
        <v>900</v>
      </c>
      <c r="BY312" s="308">
        <f t="shared" si="267"/>
        <v>0.3</v>
      </c>
      <c r="BZ312" s="310">
        <f t="shared" si="299"/>
        <v>1200</v>
      </c>
      <c r="CA312" s="308">
        <f t="shared" si="268"/>
        <v>0.4</v>
      </c>
      <c r="CB312" s="310">
        <f t="shared" si="300"/>
        <v>1500</v>
      </c>
      <c r="CC312" s="308">
        <f t="shared" si="269"/>
        <v>0.5</v>
      </c>
      <c r="CD312" s="310">
        <f t="shared" si="301"/>
        <v>1650.0000000000002</v>
      </c>
      <c r="CE312" s="308">
        <f t="shared" si="270"/>
        <v>0.55000000000000004</v>
      </c>
      <c r="CF312" s="310">
        <v>2100</v>
      </c>
      <c r="CG312" s="308">
        <f t="shared" si="271"/>
        <v>0.7</v>
      </c>
      <c r="CH312" s="310">
        <f t="shared" si="302"/>
        <v>2100</v>
      </c>
      <c r="CI312" s="308">
        <f t="shared" si="272"/>
        <v>0.7</v>
      </c>
      <c r="CJ312" s="310">
        <f t="shared" si="303"/>
        <v>2250</v>
      </c>
      <c r="CK312" s="308">
        <f t="shared" si="273"/>
        <v>0.75</v>
      </c>
      <c r="CL312" s="310">
        <f t="shared" si="304"/>
        <v>2250</v>
      </c>
      <c r="CM312" s="308">
        <f t="shared" si="274"/>
        <v>0.75</v>
      </c>
      <c r="CN312" s="310">
        <f t="shared" si="305"/>
        <v>2850</v>
      </c>
      <c r="CO312" s="308">
        <f t="shared" si="275"/>
        <v>0.95</v>
      </c>
      <c r="CP312" s="213" t="str">
        <f t="shared" si="280"/>
        <v>Đạt</v>
      </c>
      <c r="CQ312" s="213" t="str">
        <f t="shared" si="281"/>
        <v>Đạt</v>
      </c>
      <c r="CR312" s="312"/>
      <c r="CS312" s="312"/>
      <c r="CT312" s="235"/>
      <c r="CU312" s="163"/>
      <c r="CV312" s="323"/>
      <c r="CW312" s="195"/>
      <c r="CX312" s="196"/>
      <c r="CY312" s="196"/>
      <c r="CZ312" s="197"/>
      <c r="DA312" s="196"/>
      <c r="DB312" s="196"/>
      <c r="DC312" s="196"/>
      <c r="DE312" s="199"/>
      <c r="DF312" s="200"/>
      <c r="DG312" s="181"/>
    </row>
    <row r="313" spans="1:113" ht="25.5" outlineLevel="1" x14ac:dyDescent="0.25">
      <c r="A313" s="305" t="s">
        <v>34</v>
      </c>
      <c r="B313" s="306" t="s">
        <v>377</v>
      </c>
      <c r="C313" s="306"/>
      <c r="D313" s="307">
        <f>E313+F313</f>
        <v>67700</v>
      </c>
      <c r="E313" s="307"/>
      <c r="F313" s="307">
        <f>G313+H313+K313+M313</f>
        <v>67700</v>
      </c>
      <c r="G313" s="307"/>
      <c r="H313" s="307">
        <v>67700</v>
      </c>
      <c r="I313" s="235"/>
      <c r="J313" s="235"/>
      <c r="K313" s="303"/>
      <c r="L313" s="235"/>
      <c r="M313" s="223"/>
      <c r="N313" s="223"/>
      <c r="O313" s="303"/>
      <c r="P313" s="303">
        <v>0</v>
      </c>
      <c r="Q313" s="308">
        <f t="shared" si="276"/>
        <v>0</v>
      </c>
      <c r="R313" s="303"/>
      <c r="S313" s="309">
        <v>0</v>
      </c>
      <c r="T313" s="309">
        <v>0</v>
      </c>
      <c r="U313" s="303"/>
      <c r="V313" s="309">
        <v>0</v>
      </c>
      <c r="W313" s="309">
        <v>0</v>
      </c>
      <c r="X313" s="303"/>
      <c r="Y313" s="309">
        <v>0</v>
      </c>
      <c r="Z313" s="309">
        <v>0</v>
      </c>
      <c r="AA313" s="303"/>
      <c r="AB313" s="309">
        <v>0</v>
      </c>
      <c r="AC313" s="309">
        <v>0</v>
      </c>
      <c r="AD313" s="303"/>
      <c r="AE313" s="309">
        <v>0</v>
      </c>
      <c r="AF313" s="309">
        <v>0</v>
      </c>
      <c r="AG313" s="303"/>
      <c r="AH313" s="309">
        <v>0</v>
      </c>
      <c r="AI313" s="309">
        <v>0</v>
      </c>
      <c r="AJ313" s="188"/>
      <c r="AK313" s="309">
        <v>0</v>
      </c>
      <c r="AL313" s="309">
        <v>0</v>
      </c>
      <c r="AM313" s="303"/>
      <c r="AN313" s="309">
        <v>0</v>
      </c>
      <c r="AO313" s="309">
        <v>0</v>
      </c>
      <c r="AP313" s="309"/>
      <c r="AQ313" s="303"/>
      <c r="AR313" s="309">
        <v>0</v>
      </c>
      <c r="AS313" s="309">
        <v>0</v>
      </c>
      <c r="AT313" s="303"/>
      <c r="AU313" s="309">
        <v>0</v>
      </c>
      <c r="AV313" s="309">
        <v>0</v>
      </c>
      <c r="AW313" s="309"/>
      <c r="AX313" s="309"/>
      <c r="AY313" s="309"/>
      <c r="AZ313" s="309"/>
      <c r="BA313" s="309"/>
      <c r="BB313" s="309"/>
      <c r="BC313" s="303"/>
      <c r="BD313" s="309">
        <v>0</v>
      </c>
      <c r="BE313" s="309">
        <v>0</v>
      </c>
      <c r="BF313" s="303"/>
      <c r="BG313" s="303">
        <v>264</v>
      </c>
      <c r="BH313" s="309">
        <v>3.899556868537666E-3</v>
      </c>
      <c r="BI313" s="309">
        <v>4.1047967037238595E-3</v>
      </c>
      <c r="BJ313" s="303">
        <f t="shared" si="277"/>
        <v>64315</v>
      </c>
      <c r="BK313" s="303">
        <v>464</v>
      </c>
      <c r="BL313" s="309">
        <f t="shared" si="262"/>
        <v>6.8537666174298371E-3</v>
      </c>
      <c r="BM313" s="309">
        <f t="shared" si="279"/>
        <v>7.2144911762419342E-3</v>
      </c>
      <c r="BN313" s="205">
        <f t="shared" si="260"/>
        <v>464</v>
      </c>
      <c r="BO313" s="205"/>
      <c r="BP313" s="310"/>
      <c r="BQ313" s="308">
        <f t="shared" si="263"/>
        <v>0</v>
      </c>
      <c r="BR313" s="310"/>
      <c r="BS313" s="308">
        <f t="shared" si="264"/>
        <v>0</v>
      </c>
      <c r="BT313" s="310">
        <f t="shared" si="296"/>
        <v>6770</v>
      </c>
      <c r="BU313" s="308">
        <f t="shared" si="265"/>
        <v>0.1</v>
      </c>
      <c r="BV313" s="310">
        <f t="shared" si="297"/>
        <v>13540</v>
      </c>
      <c r="BW313" s="308">
        <f t="shared" si="266"/>
        <v>0.2</v>
      </c>
      <c r="BX313" s="310">
        <f t="shared" si="298"/>
        <v>20310</v>
      </c>
      <c r="BY313" s="308">
        <f t="shared" si="267"/>
        <v>0.3</v>
      </c>
      <c r="BZ313" s="310">
        <f t="shared" si="299"/>
        <v>27080</v>
      </c>
      <c r="CA313" s="308">
        <f t="shared" si="268"/>
        <v>0.4</v>
      </c>
      <c r="CB313" s="310">
        <f t="shared" si="300"/>
        <v>33850</v>
      </c>
      <c r="CC313" s="308">
        <f t="shared" si="269"/>
        <v>0.5</v>
      </c>
      <c r="CD313" s="310">
        <f t="shared" si="301"/>
        <v>37235</v>
      </c>
      <c r="CE313" s="308">
        <f t="shared" si="270"/>
        <v>0.55000000000000004</v>
      </c>
      <c r="CF313" s="310">
        <v>47390</v>
      </c>
      <c r="CG313" s="308">
        <f t="shared" si="271"/>
        <v>0.7</v>
      </c>
      <c r="CH313" s="310">
        <f t="shared" si="302"/>
        <v>47390</v>
      </c>
      <c r="CI313" s="308">
        <f t="shared" si="272"/>
        <v>0.7</v>
      </c>
      <c r="CJ313" s="310">
        <f t="shared" si="303"/>
        <v>50775</v>
      </c>
      <c r="CK313" s="308">
        <f t="shared" si="273"/>
        <v>0.75</v>
      </c>
      <c r="CL313" s="310">
        <f t="shared" si="304"/>
        <v>50775</v>
      </c>
      <c r="CM313" s="308">
        <f t="shared" si="274"/>
        <v>0.75</v>
      </c>
      <c r="CN313" s="310">
        <f t="shared" si="305"/>
        <v>64315</v>
      </c>
      <c r="CO313" s="308">
        <f t="shared" si="275"/>
        <v>0.95</v>
      </c>
      <c r="CP313" s="213" t="str">
        <f t="shared" si="280"/>
        <v>Không đạt</v>
      </c>
      <c r="CQ313" s="213" t="str">
        <f t="shared" si="281"/>
        <v>Không đạt</v>
      </c>
      <c r="CR313" s="312"/>
      <c r="CS313" s="312"/>
      <c r="CT313" s="235"/>
      <c r="CU313" s="163"/>
      <c r="CW313" s="195"/>
      <c r="CX313" s="196"/>
      <c r="CY313" s="196"/>
      <c r="CZ313" s="197"/>
      <c r="DA313" s="196"/>
      <c r="DB313" s="196"/>
      <c r="DC313" s="196"/>
      <c r="DE313" s="199"/>
      <c r="DF313" s="200"/>
      <c r="DG313" s="181"/>
    </row>
    <row r="314" spans="1:113" ht="18" customHeight="1" x14ac:dyDescent="0.25">
      <c r="A314" s="316">
        <f>MAX(A$243:A312)+1</f>
        <v>19</v>
      </c>
      <c r="B314" s="240" t="s">
        <v>409</v>
      </c>
      <c r="C314" s="240"/>
      <c r="D314" s="188">
        <f t="shared" ref="D314:I314" si="306">D315+D316</f>
        <v>3255</v>
      </c>
      <c r="E314" s="188">
        <f t="shared" si="306"/>
        <v>0</v>
      </c>
      <c r="F314" s="188">
        <f t="shared" si="306"/>
        <v>3255</v>
      </c>
      <c r="G314" s="188">
        <f t="shared" si="306"/>
        <v>3000</v>
      </c>
      <c r="H314" s="188">
        <f t="shared" si="306"/>
        <v>255</v>
      </c>
      <c r="I314" s="188">
        <f t="shared" si="306"/>
        <v>0</v>
      </c>
      <c r="J314" s="188"/>
      <c r="K314" s="188">
        <f>K315+K316</f>
        <v>0</v>
      </c>
      <c r="L314" s="188">
        <f>L315+L316</f>
        <v>0</v>
      </c>
      <c r="M314" s="188">
        <f>M315+M316</f>
        <v>0</v>
      </c>
      <c r="N314" s="188">
        <f>N315+N316</f>
        <v>0</v>
      </c>
      <c r="O314" s="188">
        <f>O315+O316</f>
        <v>3000</v>
      </c>
      <c r="P314" s="188">
        <v>0</v>
      </c>
      <c r="Q314" s="186">
        <f t="shared" si="276"/>
        <v>0</v>
      </c>
      <c r="R314" s="188">
        <v>0</v>
      </c>
      <c r="S314" s="185">
        <v>0</v>
      </c>
      <c r="T314" s="185">
        <v>0</v>
      </c>
      <c r="U314" s="188">
        <v>0</v>
      </c>
      <c r="V314" s="185">
        <v>0</v>
      </c>
      <c r="W314" s="185">
        <v>0</v>
      </c>
      <c r="X314" s="188">
        <v>0</v>
      </c>
      <c r="Y314" s="185">
        <v>0</v>
      </c>
      <c r="Z314" s="185">
        <v>0</v>
      </c>
      <c r="AA314" s="188">
        <v>0</v>
      </c>
      <c r="AB314" s="185">
        <v>0</v>
      </c>
      <c r="AC314" s="185">
        <v>0</v>
      </c>
      <c r="AD314" s="188">
        <v>146</v>
      </c>
      <c r="AE314" s="185">
        <v>4.4854070660522272E-2</v>
      </c>
      <c r="AF314" s="185">
        <v>4.7214811221602392E-2</v>
      </c>
      <c r="AG314" s="188">
        <v>146</v>
      </c>
      <c r="AH314" s="185">
        <v>4.4854070660522272E-2</v>
      </c>
      <c r="AI314" s="185">
        <v>4.7214811221602392E-2</v>
      </c>
      <c r="AJ314" s="303">
        <v>146</v>
      </c>
      <c r="AK314" s="185">
        <v>4.4854070660522272E-2</v>
      </c>
      <c r="AL314" s="185">
        <v>4.7214811221602392E-2</v>
      </c>
      <c r="AM314" s="188">
        <v>981.02799999999991</v>
      </c>
      <c r="AN314" s="185">
        <v>0.3013910906298003</v>
      </c>
      <c r="AO314" s="185">
        <v>0.31725377961031609</v>
      </c>
      <c r="AP314" s="185"/>
      <c r="AQ314" s="188">
        <v>1587</v>
      </c>
      <c r="AR314" s="185">
        <v>0.48755760368663592</v>
      </c>
      <c r="AS314" s="185">
        <v>0.51321853019645891</v>
      </c>
      <c r="AT314" s="188">
        <v>1587</v>
      </c>
      <c r="AU314" s="185">
        <v>0.48755760368663592</v>
      </c>
      <c r="AV314" s="185">
        <v>0.51321853019645891</v>
      </c>
      <c r="AW314" s="185"/>
      <c r="AX314" s="185"/>
      <c r="AY314" s="185"/>
      <c r="AZ314" s="185"/>
      <c r="BA314" s="185"/>
      <c r="BB314" s="185"/>
      <c r="BC314" s="188">
        <v>1587</v>
      </c>
      <c r="BD314" s="185">
        <v>0.48755760368663592</v>
      </c>
      <c r="BE314" s="185">
        <v>0.51321853019645891</v>
      </c>
      <c r="BF314" s="188"/>
      <c r="BG314" s="188">
        <v>1637</v>
      </c>
      <c r="BH314" s="185">
        <v>0.50291858678955448</v>
      </c>
      <c r="BI314" s="185">
        <v>0.52938798609426796</v>
      </c>
      <c r="BJ314" s="188">
        <f t="shared" si="277"/>
        <v>3092.25</v>
      </c>
      <c r="BK314" s="188">
        <v>2201</v>
      </c>
      <c r="BL314" s="185">
        <f t="shared" si="262"/>
        <v>0.67619047619047623</v>
      </c>
      <c r="BM314" s="185">
        <f t="shared" si="279"/>
        <v>0.71177944862155385</v>
      </c>
      <c r="BN314" s="205">
        <f t="shared" si="260"/>
        <v>2055</v>
      </c>
      <c r="BO314" s="205"/>
      <c r="BP314" s="189">
        <f>BP315+BP316</f>
        <v>0</v>
      </c>
      <c r="BQ314" s="186">
        <f t="shared" si="263"/>
        <v>0</v>
      </c>
      <c r="BR314" s="189">
        <f>BR315+BR316</f>
        <v>154.5</v>
      </c>
      <c r="BS314" s="186">
        <f t="shared" si="264"/>
        <v>4.7465437788018434E-2</v>
      </c>
      <c r="BT314" s="189">
        <f>BT315+BT316</f>
        <v>595</v>
      </c>
      <c r="BU314" s="186">
        <f t="shared" si="265"/>
        <v>0.18279569892473119</v>
      </c>
      <c r="BV314" s="189">
        <f>BV315+BV316</f>
        <v>897</v>
      </c>
      <c r="BW314" s="186">
        <f t="shared" si="266"/>
        <v>0.27557603686635945</v>
      </c>
      <c r="BX314" s="189">
        <f>BX315+BX316</f>
        <v>1212</v>
      </c>
      <c r="BY314" s="186">
        <f t="shared" si="267"/>
        <v>0.37235023041474652</v>
      </c>
      <c r="BZ314" s="189">
        <f>BZ315+BZ316</f>
        <v>1530</v>
      </c>
      <c r="CA314" s="186">
        <f t="shared" si="268"/>
        <v>0.47004608294930877</v>
      </c>
      <c r="CB314" s="189">
        <f>CB315+CB316</f>
        <v>1850</v>
      </c>
      <c r="CC314" s="186">
        <f t="shared" si="269"/>
        <v>0.56835637480798773</v>
      </c>
      <c r="CD314" s="189">
        <f>CD315+CD316</f>
        <v>2160</v>
      </c>
      <c r="CE314" s="186">
        <f t="shared" si="270"/>
        <v>0.66359447004608296</v>
      </c>
      <c r="CF314" s="189">
        <f>CF315+CF316</f>
        <v>2470</v>
      </c>
      <c r="CG314" s="186">
        <f t="shared" si="271"/>
        <v>0.7588325652841782</v>
      </c>
      <c r="CH314" s="189">
        <f>CH315+CH316</f>
        <v>2642.5</v>
      </c>
      <c r="CI314" s="186">
        <f t="shared" si="272"/>
        <v>0.81182795698924726</v>
      </c>
      <c r="CJ314" s="189">
        <f>CJ315+CJ316</f>
        <v>2795</v>
      </c>
      <c r="CK314" s="186">
        <f t="shared" si="273"/>
        <v>0.85867895545314898</v>
      </c>
      <c r="CL314" s="189">
        <f>CL315+CL316</f>
        <v>3091</v>
      </c>
      <c r="CM314" s="186">
        <f t="shared" si="274"/>
        <v>0.94961597542242704</v>
      </c>
      <c r="CN314" s="189">
        <f>CN315+CN316</f>
        <v>3091</v>
      </c>
      <c r="CO314" s="186">
        <f t="shared" si="275"/>
        <v>0.94961597542242704</v>
      </c>
      <c r="CP314" s="213" t="str">
        <f t="shared" si="280"/>
        <v>Đạt</v>
      </c>
      <c r="CQ314" s="213" t="str">
        <f t="shared" si="281"/>
        <v>Đạt</v>
      </c>
      <c r="CR314" s="213"/>
      <c r="CS314" s="213"/>
      <c r="CT314" s="231"/>
      <c r="CU314" s="163"/>
      <c r="CW314" s="195"/>
      <c r="CX314" s="196"/>
      <c r="CY314" s="196"/>
      <c r="CZ314" s="197"/>
      <c r="DA314" s="196"/>
      <c r="DB314" s="196"/>
      <c r="DC314" s="196"/>
      <c r="DE314" s="199"/>
      <c r="DF314" s="200"/>
      <c r="DG314" s="181"/>
    </row>
    <row r="315" spans="1:113" s="324" customFormat="1" outlineLevel="1" x14ac:dyDescent="0.25">
      <c r="A315" s="305" t="s">
        <v>34</v>
      </c>
      <c r="B315" s="318" t="s">
        <v>376</v>
      </c>
      <c r="C315" s="306"/>
      <c r="D315" s="307">
        <f t="shared" si="247"/>
        <v>3000</v>
      </c>
      <c r="E315" s="307"/>
      <c r="F315" s="307">
        <f>G315+H315+K315+M315</f>
        <v>3000</v>
      </c>
      <c r="G315" s="303">
        <v>3000</v>
      </c>
      <c r="H315" s="303"/>
      <c r="I315" s="235"/>
      <c r="J315" s="235"/>
      <c r="K315" s="303"/>
      <c r="L315" s="235"/>
      <c r="M315" s="223"/>
      <c r="N315" s="223"/>
      <c r="O315" s="303">
        <f t="shared" si="289"/>
        <v>3000</v>
      </c>
      <c r="P315" s="303">
        <v>0</v>
      </c>
      <c r="Q315" s="308">
        <f t="shared" si="276"/>
        <v>0</v>
      </c>
      <c r="R315" s="303"/>
      <c r="S315" s="313">
        <v>0</v>
      </c>
      <c r="T315" s="313">
        <v>0</v>
      </c>
      <c r="U315" s="303"/>
      <c r="V315" s="313">
        <v>0</v>
      </c>
      <c r="W315" s="313">
        <v>0</v>
      </c>
      <c r="X315" s="303"/>
      <c r="Y315" s="313">
        <v>0</v>
      </c>
      <c r="Z315" s="313">
        <v>0</v>
      </c>
      <c r="AA315" s="303"/>
      <c r="AB315" s="313">
        <v>0</v>
      </c>
      <c r="AC315" s="313">
        <v>0</v>
      </c>
      <c r="AD315" s="303">
        <v>146</v>
      </c>
      <c r="AE315" s="313">
        <v>4.8666666666666664E-2</v>
      </c>
      <c r="AF315" s="313">
        <v>5.1228070175438595E-2</v>
      </c>
      <c r="AG315" s="303">
        <v>146</v>
      </c>
      <c r="AH315" s="313">
        <v>4.8666666666666664E-2</v>
      </c>
      <c r="AI315" s="313">
        <v>5.1228070175438595E-2</v>
      </c>
      <c r="AJ315" s="303">
        <v>146</v>
      </c>
      <c r="AK315" s="313">
        <v>4.8666666666666664E-2</v>
      </c>
      <c r="AL315" s="313">
        <v>5.1228070175438595E-2</v>
      </c>
      <c r="AM315" s="303">
        <v>981.02799999999991</v>
      </c>
      <c r="AN315" s="313">
        <v>0.32700933333333332</v>
      </c>
      <c r="AO315" s="313">
        <v>0.34422035087719294</v>
      </c>
      <c r="AP315" s="313"/>
      <c r="AQ315" s="303">
        <v>1587</v>
      </c>
      <c r="AR315" s="313">
        <v>0.52900000000000003</v>
      </c>
      <c r="AS315" s="313">
        <v>0.55684210526315792</v>
      </c>
      <c r="AT315" s="303">
        <v>1587</v>
      </c>
      <c r="AU315" s="313">
        <v>0.52900000000000003</v>
      </c>
      <c r="AV315" s="313">
        <v>0.55684210526315792</v>
      </c>
      <c r="AW315" s="313"/>
      <c r="AX315" s="313"/>
      <c r="AY315" s="313"/>
      <c r="AZ315" s="313"/>
      <c r="BA315" s="313"/>
      <c r="BB315" s="313"/>
      <c r="BC315" s="303">
        <v>1587</v>
      </c>
      <c r="BD315" s="313">
        <v>0.52900000000000003</v>
      </c>
      <c r="BE315" s="313">
        <v>0.55684210526315792</v>
      </c>
      <c r="BF315" s="303"/>
      <c r="BG315" s="303">
        <v>1637</v>
      </c>
      <c r="BH315" s="313">
        <v>0.54566666666666663</v>
      </c>
      <c r="BI315" s="313">
        <v>0.57438596491228067</v>
      </c>
      <c r="BJ315" s="303">
        <f t="shared" si="277"/>
        <v>2850</v>
      </c>
      <c r="BK315" s="303">
        <v>1637</v>
      </c>
      <c r="BL315" s="313">
        <f t="shared" si="262"/>
        <v>0.54566666666666663</v>
      </c>
      <c r="BM315" s="313">
        <f t="shared" si="279"/>
        <v>0.57438596491228067</v>
      </c>
      <c r="BN315" s="205">
        <f t="shared" si="260"/>
        <v>1491</v>
      </c>
      <c r="BO315" s="205"/>
      <c r="BP315" s="310"/>
      <c r="BQ315" s="311">
        <f t="shared" si="263"/>
        <v>0</v>
      </c>
      <c r="BR315" s="310">
        <v>142.5</v>
      </c>
      <c r="BS315" s="311">
        <f t="shared" si="264"/>
        <v>4.7500000000000001E-2</v>
      </c>
      <c r="BT315" s="310">
        <v>570</v>
      </c>
      <c r="BU315" s="308">
        <f t="shared" si="265"/>
        <v>0.19</v>
      </c>
      <c r="BV315" s="310">
        <v>855</v>
      </c>
      <c r="BW315" s="311">
        <f t="shared" si="266"/>
        <v>0.28499999999999998</v>
      </c>
      <c r="BX315" s="310">
        <v>1140</v>
      </c>
      <c r="BY315" s="311">
        <f t="shared" si="267"/>
        <v>0.38</v>
      </c>
      <c r="BZ315" s="310">
        <v>1425</v>
      </c>
      <c r="CA315" s="311">
        <f t="shared" si="268"/>
        <v>0.47499999999999998</v>
      </c>
      <c r="CB315" s="310">
        <v>1710</v>
      </c>
      <c r="CC315" s="311">
        <f t="shared" si="269"/>
        <v>0.56999999999999995</v>
      </c>
      <c r="CD315" s="310">
        <v>1994.9999999999998</v>
      </c>
      <c r="CE315" s="311">
        <f t="shared" si="270"/>
        <v>0.66499999999999992</v>
      </c>
      <c r="CF315" s="310">
        <v>2280</v>
      </c>
      <c r="CG315" s="311">
        <f t="shared" si="271"/>
        <v>0.76</v>
      </c>
      <c r="CH315" s="310">
        <v>2422.5</v>
      </c>
      <c r="CI315" s="311">
        <f t="shared" si="272"/>
        <v>0.8075</v>
      </c>
      <c r="CJ315" s="310">
        <v>2565</v>
      </c>
      <c r="CK315" s="311">
        <f t="shared" si="273"/>
        <v>0.85499999999999998</v>
      </c>
      <c r="CL315" s="310">
        <v>2850</v>
      </c>
      <c r="CM315" s="311">
        <f t="shared" si="274"/>
        <v>0.95</v>
      </c>
      <c r="CN315" s="310">
        <v>2850</v>
      </c>
      <c r="CO315" s="311">
        <f t="shared" si="275"/>
        <v>0.95</v>
      </c>
      <c r="CP315" s="213" t="str">
        <f t="shared" si="280"/>
        <v>Đạt</v>
      </c>
      <c r="CQ315" s="213" t="str">
        <f t="shared" si="281"/>
        <v>Đạt</v>
      </c>
      <c r="CR315" s="312"/>
      <c r="CS315" s="312"/>
      <c r="CT315" s="235"/>
      <c r="CU315" s="163"/>
      <c r="CV315" s="323"/>
      <c r="CW315" s="195"/>
      <c r="CX315" s="196"/>
      <c r="CY315" s="196"/>
      <c r="CZ315" s="197"/>
      <c r="DA315" s="196"/>
      <c r="DB315" s="196"/>
      <c r="DC315" s="196"/>
      <c r="DE315" s="199"/>
      <c r="DF315" s="200"/>
      <c r="DG315" s="181"/>
    </row>
    <row r="316" spans="1:113" ht="25.5" outlineLevel="1" x14ac:dyDescent="0.25">
      <c r="A316" s="305" t="s">
        <v>34</v>
      </c>
      <c r="B316" s="306" t="s">
        <v>377</v>
      </c>
      <c r="C316" s="306"/>
      <c r="D316" s="307">
        <f>E316+F316</f>
        <v>255</v>
      </c>
      <c r="E316" s="307"/>
      <c r="F316" s="307">
        <f>G316+H316+K316+M316</f>
        <v>255</v>
      </c>
      <c r="G316" s="307"/>
      <c r="H316" s="307">
        <v>255</v>
      </c>
      <c r="I316" s="235"/>
      <c r="J316" s="235"/>
      <c r="K316" s="303"/>
      <c r="L316" s="235"/>
      <c r="M316" s="223"/>
      <c r="N316" s="223"/>
      <c r="O316" s="303"/>
      <c r="P316" s="303">
        <v>0</v>
      </c>
      <c r="Q316" s="308">
        <f t="shared" si="276"/>
        <v>0</v>
      </c>
      <c r="R316" s="303"/>
      <c r="S316" s="313">
        <v>0</v>
      </c>
      <c r="T316" s="313">
        <v>0</v>
      </c>
      <c r="U316" s="303"/>
      <c r="V316" s="313">
        <v>0</v>
      </c>
      <c r="W316" s="313">
        <v>0</v>
      </c>
      <c r="X316" s="303"/>
      <c r="Y316" s="313">
        <v>0</v>
      </c>
      <c r="Z316" s="313">
        <v>0</v>
      </c>
      <c r="AA316" s="303"/>
      <c r="AB316" s="313">
        <v>0</v>
      </c>
      <c r="AC316" s="313">
        <v>0</v>
      </c>
      <c r="AD316" s="303"/>
      <c r="AE316" s="313">
        <v>0</v>
      </c>
      <c r="AF316" s="313">
        <v>0</v>
      </c>
      <c r="AG316" s="303"/>
      <c r="AH316" s="313">
        <v>0</v>
      </c>
      <c r="AI316" s="313">
        <v>0</v>
      </c>
      <c r="AJ316" s="188"/>
      <c r="AK316" s="313">
        <v>0</v>
      </c>
      <c r="AL316" s="313">
        <v>0</v>
      </c>
      <c r="AM316" s="303"/>
      <c r="AN316" s="313">
        <v>0</v>
      </c>
      <c r="AO316" s="313">
        <v>0</v>
      </c>
      <c r="AP316" s="313"/>
      <c r="AQ316" s="303"/>
      <c r="AR316" s="313">
        <v>0</v>
      </c>
      <c r="AS316" s="313">
        <v>0</v>
      </c>
      <c r="AT316" s="303"/>
      <c r="AU316" s="313">
        <v>0</v>
      </c>
      <c r="AV316" s="313">
        <v>0</v>
      </c>
      <c r="AW316" s="313"/>
      <c r="AX316" s="313"/>
      <c r="AY316" s="313"/>
      <c r="AZ316" s="313"/>
      <c r="BA316" s="313"/>
      <c r="BB316" s="313"/>
      <c r="BC316" s="303"/>
      <c r="BD316" s="313">
        <v>0</v>
      </c>
      <c r="BE316" s="313">
        <v>0</v>
      </c>
      <c r="BF316" s="303"/>
      <c r="BG316" s="303"/>
      <c r="BH316" s="313">
        <v>0</v>
      </c>
      <c r="BI316" s="313">
        <v>0</v>
      </c>
      <c r="BJ316" s="303">
        <f t="shared" si="277"/>
        <v>242.25</v>
      </c>
      <c r="BK316" s="303"/>
      <c r="BL316" s="313">
        <f t="shared" si="262"/>
        <v>0</v>
      </c>
      <c r="BM316" s="313">
        <f t="shared" si="279"/>
        <v>0</v>
      </c>
      <c r="BN316" s="205">
        <f t="shared" si="260"/>
        <v>0</v>
      </c>
      <c r="BO316" s="205"/>
      <c r="BP316" s="310"/>
      <c r="BQ316" s="311">
        <f t="shared" si="263"/>
        <v>0</v>
      </c>
      <c r="BR316" s="310">
        <v>12</v>
      </c>
      <c r="BS316" s="311">
        <f t="shared" si="264"/>
        <v>4.7058823529411764E-2</v>
      </c>
      <c r="BT316" s="310">
        <v>25</v>
      </c>
      <c r="BU316" s="308">
        <f t="shared" si="265"/>
        <v>9.8039215686274508E-2</v>
      </c>
      <c r="BV316" s="310">
        <v>42</v>
      </c>
      <c r="BW316" s="311">
        <f t="shared" si="266"/>
        <v>0.16470588235294117</v>
      </c>
      <c r="BX316" s="310">
        <v>72</v>
      </c>
      <c r="BY316" s="311">
        <f t="shared" si="267"/>
        <v>0.28235294117647058</v>
      </c>
      <c r="BZ316" s="310">
        <v>105</v>
      </c>
      <c r="CA316" s="311">
        <f t="shared" si="268"/>
        <v>0.41176470588235292</v>
      </c>
      <c r="CB316" s="310">
        <v>140</v>
      </c>
      <c r="CC316" s="311">
        <f t="shared" si="269"/>
        <v>0.5490196078431373</v>
      </c>
      <c r="CD316" s="310">
        <v>165</v>
      </c>
      <c r="CE316" s="311">
        <f t="shared" si="270"/>
        <v>0.6470588235294118</v>
      </c>
      <c r="CF316" s="310">
        <v>190</v>
      </c>
      <c r="CG316" s="311">
        <f t="shared" si="271"/>
        <v>0.74509803921568629</v>
      </c>
      <c r="CH316" s="310">
        <v>220</v>
      </c>
      <c r="CI316" s="311">
        <f t="shared" si="272"/>
        <v>0.86274509803921573</v>
      </c>
      <c r="CJ316" s="310">
        <v>230</v>
      </c>
      <c r="CK316" s="311">
        <f t="shared" si="273"/>
        <v>0.90196078431372551</v>
      </c>
      <c r="CL316" s="310">
        <v>241</v>
      </c>
      <c r="CM316" s="311">
        <f t="shared" si="274"/>
        <v>0.94509803921568625</v>
      </c>
      <c r="CN316" s="310">
        <v>241</v>
      </c>
      <c r="CO316" s="311">
        <f t="shared" si="275"/>
        <v>0.94509803921568625</v>
      </c>
      <c r="CP316" s="213" t="str">
        <f t="shared" si="280"/>
        <v>Không đạt</v>
      </c>
      <c r="CQ316" s="213" t="str">
        <f t="shared" si="281"/>
        <v>Không đạt</v>
      </c>
      <c r="CR316" s="312"/>
      <c r="CS316" s="312"/>
      <c r="CT316" s="235"/>
      <c r="CU316" s="163"/>
      <c r="CW316" s="195"/>
      <c r="CX316" s="196"/>
      <c r="CY316" s="196"/>
      <c r="CZ316" s="197"/>
      <c r="DA316" s="196"/>
      <c r="DB316" s="196"/>
      <c r="DC316" s="196"/>
      <c r="DE316" s="199"/>
      <c r="DF316" s="200"/>
      <c r="DG316" s="181"/>
    </row>
    <row r="317" spans="1:113" ht="18" customHeight="1" x14ac:dyDescent="0.25">
      <c r="A317" s="213">
        <f>MAX(A$243:A315)+1</f>
        <v>20</v>
      </c>
      <c r="B317" s="240" t="s">
        <v>410</v>
      </c>
      <c r="C317" s="240"/>
      <c r="D317" s="188">
        <f t="shared" ref="D317:I317" si="307">D318+D319</f>
        <v>3467</v>
      </c>
      <c r="E317" s="188">
        <f t="shared" si="307"/>
        <v>0</v>
      </c>
      <c r="F317" s="188">
        <f t="shared" si="307"/>
        <v>3467</v>
      </c>
      <c r="G317" s="188">
        <f t="shared" si="307"/>
        <v>3000</v>
      </c>
      <c r="H317" s="188">
        <f t="shared" si="307"/>
        <v>467</v>
      </c>
      <c r="I317" s="188">
        <f t="shared" si="307"/>
        <v>0</v>
      </c>
      <c r="J317" s="188"/>
      <c r="K317" s="188">
        <f>K318+K319</f>
        <v>0</v>
      </c>
      <c r="L317" s="188">
        <f>L318+L319</f>
        <v>0</v>
      </c>
      <c r="M317" s="188">
        <f>M318+M319</f>
        <v>0</v>
      </c>
      <c r="N317" s="188">
        <f>N318+N319</f>
        <v>0</v>
      </c>
      <c r="O317" s="188">
        <f>O318+O319</f>
        <v>3000</v>
      </c>
      <c r="P317" s="188">
        <v>0</v>
      </c>
      <c r="Q317" s="186">
        <f t="shared" si="276"/>
        <v>0</v>
      </c>
      <c r="R317" s="188">
        <v>0</v>
      </c>
      <c r="S317" s="185">
        <v>0</v>
      </c>
      <c r="T317" s="185">
        <v>0</v>
      </c>
      <c r="U317" s="188">
        <v>0</v>
      </c>
      <c r="V317" s="185">
        <v>0</v>
      </c>
      <c r="W317" s="185">
        <v>0</v>
      </c>
      <c r="X317" s="188">
        <v>0</v>
      </c>
      <c r="Y317" s="185">
        <v>0</v>
      </c>
      <c r="Z317" s="185">
        <v>0</v>
      </c>
      <c r="AA317" s="188">
        <v>0</v>
      </c>
      <c r="AB317" s="185">
        <v>0</v>
      </c>
      <c r="AC317" s="185">
        <v>0</v>
      </c>
      <c r="AD317" s="188">
        <v>271</v>
      </c>
      <c r="AE317" s="185">
        <v>7.8165561003749634E-2</v>
      </c>
      <c r="AF317" s="185">
        <v>8.2279537898683835E-2</v>
      </c>
      <c r="AG317" s="188">
        <v>271</v>
      </c>
      <c r="AH317" s="185">
        <v>7.8165561003749634E-2</v>
      </c>
      <c r="AI317" s="185">
        <v>8.2279537898683835E-2</v>
      </c>
      <c r="AJ317" s="303">
        <v>271</v>
      </c>
      <c r="AK317" s="185">
        <v>7.8165561003749634E-2</v>
      </c>
      <c r="AL317" s="185">
        <v>8.2279537898683835E-2</v>
      </c>
      <c r="AM317" s="314">
        <v>271</v>
      </c>
      <c r="AN317" s="185">
        <v>7.8165561003749634E-2</v>
      </c>
      <c r="AO317" s="185">
        <v>8.2279537898683835E-2</v>
      </c>
      <c r="AP317" s="185"/>
      <c r="AQ317" s="188">
        <v>271</v>
      </c>
      <c r="AR317" s="185">
        <v>7.8165561003749634E-2</v>
      </c>
      <c r="AS317" s="185">
        <v>8.2279537898683835E-2</v>
      </c>
      <c r="AT317" s="188">
        <v>271</v>
      </c>
      <c r="AU317" s="185">
        <v>7.8165561003749634E-2</v>
      </c>
      <c r="AV317" s="185">
        <v>8.2279537898683835E-2</v>
      </c>
      <c r="AW317" s="185"/>
      <c r="AX317" s="185"/>
      <c r="AY317" s="185"/>
      <c r="AZ317" s="185"/>
      <c r="BA317" s="185"/>
      <c r="BB317" s="185"/>
      <c r="BC317" s="188">
        <v>271</v>
      </c>
      <c r="BD317" s="185">
        <v>7.8165561003749634E-2</v>
      </c>
      <c r="BE317" s="185">
        <v>8.2279537898683835E-2</v>
      </c>
      <c r="BF317" s="188"/>
      <c r="BG317" s="188">
        <v>1884</v>
      </c>
      <c r="BH317" s="185">
        <v>0.54340928756850304</v>
      </c>
      <c r="BI317" s="185">
        <v>0.57200977638789796</v>
      </c>
      <c r="BJ317" s="188">
        <f t="shared" si="277"/>
        <v>3293.6499999999996</v>
      </c>
      <c r="BK317" s="188">
        <v>2624</v>
      </c>
      <c r="BL317" s="185">
        <f t="shared" si="262"/>
        <v>0.75685030285549471</v>
      </c>
      <c r="BM317" s="185">
        <f t="shared" si="279"/>
        <v>0.79668452932157341</v>
      </c>
      <c r="BN317" s="205">
        <f t="shared" si="260"/>
        <v>2353</v>
      </c>
      <c r="BO317" s="205"/>
      <c r="BP317" s="189">
        <f>BP318+BP319</f>
        <v>0</v>
      </c>
      <c r="BQ317" s="186">
        <f t="shared" si="263"/>
        <v>0</v>
      </c>
      <c r="BR317" s="189">
        <f>BR318+BR319</f>
        <v>0</v>
      </c>
      <c r="BS317" s="186">
        <f t="shared" si="264"/>
        <v>0</v>
      </c>
      <c r="BT317" s="189">
        <f>BT318+BT319</f>
        <v>346.7</v>
      </c>
      <c r="BU317" s="186">
        <f t="shared" si="265"/>
        <v>9.9999999999999992E-2</v>
      </c>
      <c r="BV317" s="189">
        <f>BV318+BV319</f>
        <v>693.4</v>
      </c>
      <c r="BW317" s="186">
        <f t="shared" si="266"/>
        <v>0.19999999999999998</v>
      </c>
      <c r="BX317" s="189">
        <f>BX318+BX319</f>
        <v>1040.0999999999999</v>
      </c>
      <c r="BY317" s="186">
        <f t="shared" si="267"/>
        <v>0.3</v>
      </c>
      <c r="BZ317" s="189">
        <f>BZ318+BZ319</f>
        <v>1386.8</v>
      </c>
      <c r="CA317" s="186">
        <f t="shared" si="268"/>
        <v>0.39999999999999997</v>
      </c>
      <c r="CB317" s="189">
        <f>CB318+CB319</f>
        <v>1733.5</v>
      </c>
      <c r="CC317" s="186">
        <f t="shared" si="269"/>
        <v>0.5</v>
      </c>
      <c r="CD317" s="189">
        <f>CD318+CD319</f>
        <v>1906.8500000000004</v>
      </c>
      <c r="CE317" s="186">
        <f t="shared" si="270"/>
        <v>0.55000000000000016</v>
      </c>
      <c r="CF317" s="189">
        <f>CF318+CF319</f>
        <v>2426.9</v>
      </c>
      <c r="CG317" s="186">
        <f t="shared" si="271"/>
        <v>0.70000000000000007</v>
      </c>
      <c r="CH317" s="189">
        <f>CH318+CH319</f>
        <v>2426.9</v>
      </c>
      <c r="CI317" s="186">
        <f t="shared" si="272"/>
        <v>0.70000000000000007</v>
      </c>
      <c r="CJ317" s="189">
        <f>CJ318+CJ319</f>
        <v>2600.25</v>
      </c>
      <c r="CK317" s="186">
        <f t="shared" si="273"/>
        <v>0.75</v>
      </c>
      <c r="CL317" s="189">
        <f>CL318+CL319</f>
        <v>2600.25</v>
      </c>
      <c r="CM317" s="186">
        <f t="shared" si="274"/>
        <v>0.75</v>
      </c>
      <c r="CN317" s="189">
        <f>CN318+CN319</f>
        <v>3293.65</v>
      </c>
      <c r="CO317" s="186">
        <f t="shared" si="275"/>
        <v>0.95000000000000007</v>
      </c>
      <c r="CP317" s="213" t="str">
        <f t="shared" si="280"/>
        <v>Đạt</v>
      </c>
      <c r="CQ317" s="213" t="str">
        <f t="shared" si="281"/>
        <v>Đạt</v>
      </c>
      <c r="CR317" s="213"/>
      <c r="CS317" s="213"/>
      <c r="CT317" s="231"/>
      <c r="CU317" s="163"/>
      <c r="CW317" s="195"/>
      <c r="CX317" s="196"/>
      <c r="CY317" s="196"/>
      <c r="CZ317" s="197"/>
      <c r="DA317" s="196"/>
      <c r="DB317" s="196"/>
      <c r="DC317" s="196"/>
      <c r="DE317" s="199"/>
      <c r="DF317" s="200"/>
      <c r="DG317" s="181"/>
    </row>
    <row r="318" spans="1:113" s="324" customFormat="1" outlineLevel="1" x14ac:dyDescent="0.25">
      <c r="A318" s="305" t="s">
        <v>34</v>
      </c>
      <c r="B318" s="318" t="s">
        <v>376</v>
      </c>
      <c r="C318" s="306"/>
      <c r="D318" s="307">
        <f t="shared" si="247"/>
        <v>3000</v>
      </c>
      <c r="E318" s="307"/>
      <c r="F318" s="307">
        <f>G318+H318+K318+M318</f>
        <v>3000</v>
      </c>
      <c r="G318" s="303">
        <v>3000</v>
      </c>
      <c r="H318" s="303"/>
      <c r="I318" s="235"/>
      <c r="J318" s="235"/>
      <c r="K318" s="303"/>
      <c r="L318" s="235"/>
      <c r="M318" s="223"/>
      <c r="N318" s="223"/>
      <c r="O318" s="303">
        <f t="shared" si="289"/>
        <v>3000</v>
      </c>
      <c r="P318" s="303">
        <v>0</v>
      </c>
      <c r="Q318" s="308">
        <f t="shared" si="276"/>
        <v>0</v>
      </c>
      <c r="R318" s="303"/>
      <c r="S318" s="309">
        <v>0</v>
      </c>
      <c r="T318" s="309">
        <v>0</v>
      </c>
      <c r="U318" s="303"/>
      <c r="V318" s="309">
        <v>0</v>
      </c>
      <c r="W318" s="309">
        <v>0</v>
      </c>
      <c r="X318" s="303"/>
      <c r="Y318" s="309">
        <v>0</v>
      </c>
      <c r="Z318" s="309">
        <v>0</v>
      </c>
      <c r="AA318" s="303"/>
      <c r="AB318" s="309">
        <v>0</v>
      </c>
      <c r="AC318" s="309">
        <v>0</v>
      </c>
      <c r="AD318" s="303">
        <v>271</v>
      </c>
      <c r="AE318" s="309">
        <v>9.0333333333333335E-2</v>
      </c>
      <c r="AF318" s="309">
        <v>9.508771929824561E-2</v>
      </c>
      <c r="AG318" s="303">
        <v>271</v>
      </c>
      <c r="AH318" s="309">
        <v>9.0333333333333335E-2</v>
      </c>
      <c r="AI318" s="309">
        <v>9.508771929824561E-2</v>
      </c>
      <c r="AJ318" s="303">
        <v>271</v>
      </c>
      <c r="AK318" s="309">
        <v>9.0333333333333335E-2</v>
      </c>
      <c r="AL318" s="309">
        <v>9.508771929824561E-2</v>
      </c>
      <c r="AM318" s="303">
        <v>271</v>
      </c>
      <c r="AN318" s="309">
        <v>9.0333333333333335E-2</v>
      </c>
      <c r="AO318" s="309">
        <v>9.508771929824561E-2</v>
      </c>
      <c r="AP318" s="309"/>
      <c r="AQ318" s="303">
        <v>271</v>
      </c>
      <c r="AR318" s="309">
        <v>9.0333333333333335E-2</v>
      </c>
      <c r="AS318" s="309">
        <v>9.508771929824561E-2</v>
      </c>
      <c r="AT318" s="303">
        <v>271</v>
      </c>
      <c r="AU318" s="309">
        <v>9.0333333333333335E-2</v>
      </c>
      <c r="AV318" s="309">
        <v>9.508771929824561E-2</v>
      </c>
      <c r="AW318" s="309"/>
      <c r="AX318" s="309"/>
      <c r="AY318" s="309"/>
      <c r="AZ318" s="309"/>
      <c r="BA318" s="309"/>
      <c r="BB318" s="309"/>
      <c r="BC318" s="303">
        <v>271</v>
      </c>
      <c r="BD318" s="309">
        <v>9.0333333333333335E-2</v>
      </c>
      <c r="BE318" s="309">
        <v>9.508771929824561E-2</v>
      </c>
      <c r="BF318" s="303"/>
      <c r="BG318" s="303">
        <v>1884</v>
      </c>
      <c r="BH318" s="309">
        <v>0.628</v>
      </c>
      <c r="BI318" s="309">
        <v>0.66105263157894734</v>
      </c>
      <c r="BJ318" s="303">
        <f t="shared" si="277"/>
        <v>2850</v>
      </c>
      <c r="BK318" s="303">
        <v>2584.0475750000001</v>
      </c>
      <c r="BL318" s="309">
        <f t="shared" si="262"/>
        <v>0.86134919166666668</v>
      </c>
      <c r="BM318" s="309">
        <f t="shared" si="279"/>
        <v>0.90668335964912283</v>
      </c>
      <c r="BN318" s="205">
        <f t="shared" si="260"/>
        <v>2313.0475750000001</v>
      </c>
      <c r="BO318" s="205"/>
      <c r="BP318" s="310"/>
      <c r="BQ318" s="308">
        <f t="shared" si="263"/>
        <v>0</v>
      </c>
      <c r="BR318" s="310"/>
      <c r="BS318" s="308">
        <f t="shared" si="264"/>
        <v>0</v>
      </c>
      <c r="BT318" s="310">
        <f>$F318*0.1</f>
        <v>300</v>
      </c>
      <c r="BU318" s="308">
        <f t="shared" si="265"/>
        <v>0.1</v>
      </c>
      <c r="BV318" s="310">
        <f>$F318*0.2</f>
        <v>600</v>
      </c>
      <c r="BW318" s="308">
        <f t="shared" si="266"/>
        <v>0.2</v>
      </c>
      <c r="BX318" s="310">
        <f>$F318*0.3</f>
        <v>900</v>
      </c>
      <c r="BY318" s="308">
        <f t="shared" si="267"/>
        <v>0.3</v>
      </c>
      <c r="BZ318" s="310">
        <f>$F318*0.4</f>
        <v>1200</v>
      </c>
      <c r="CA318" s="308">
        <f t="shared" si="268"/>
        <v>0.4</v>
      </c>
      <c r="CB318" s="310">
        <f>$F318*0.5</f>
        <v>1500</v>
      </c>
      <c r="CC318" s="308">
        <f t="shared" si="269"/>
        <v>0.5</v>
      </c>
      <c r="CD318" s="310">
        <f>$F318*0.55</f>
        <v>1650.0000000000002</v>
      </c>
      <c r="CE318" s="308">
        <f t="shared" si="270"/>
        <v>0.55000000000000004</v>
      </c>
      <c r="CF318" s="310">
        <v>2100</v>
      </c>
      <c r="CG318" s="308">
        <f t="shared" si="271"/>
        <v>0.7</v>
      </c>
      <c r="CH318" s="310">
        <f>$F318*0.7</f>
        <v>2100</v>
      </c>
      <c r="CI318" s="308">
        <f t="shared" si="272"/>
        <v>0.7</v>
      </c>
      <c r="CJ318" s="310">
        <f>$F318*0.75</f>
        <v>2250</v>
      </c>
      <c r="CK318" s="308">
        <f t="shared" si="273"/>
        <v>0.75</v>
      </c>
      <c r="CL318" s="310">
        <f>$F318*0.75</f>
        <v>2250</v>
      </c>
      <c r="CM318" s="308">
        <f t="shared" si="274"/>
        <v>0.75</v>
      </c>
      <c r="CN318" s="310">
        <f>$F318*0.95</f>
        <v>2850</v>
      </c>
      <c r="CO318" s="308">
        <f t="shared" si="275"/>
        <v>0.95</v>
      </c>
      <c r="CP318" s="213" t="str">
        <f t="shared" si="280"/>
        <v>Đạt</v>
      </c>
      <c r="CQ318" s="213" t="str">
        <f t="shared" si="281"/>
        <v>Đạt</v>
      </c>
      <c r="CR318" s="312"/>
      <c r="CS318" s="312"/>
      <c r="CT318" s="235"/>
      <c r="CU318" s="163"/>
      <c r="CV318" s="323"/>
      <c r="CW318" s="195"/>
      <c r="CX318" s="196"/>
      <c r="CY318" s="196"/>
      <c r="CZ318" s="197"/>
      <c r="DA318" s="196"/>
      <c r="DB318" s="196"/>
      <c r="DC318" s="196"/>
      <c r="DE318" s="199"/>
      <c r="DF318" s="200"/>
      <c r="DG318" s="181"/>
    </row>
    <row r="319" spans="1:113" ht="25.5" outlineLevel="1" x14ac:dyDescent="0.25">
      <c r="A319" s="305" t="s">
        <v>34</v>
      </c>
      <c r="B319" s="306" t="s">
        <v>377</v>
      </c>
      <c r="C319" s="306"/>
      <c r="D319" s="307">
        <f>E319+F319</f>
        <v>467</v>
      </c>
      <c r="E319" s="307"/>
      <c r="F319" s="307">
        <f>G319+H319+K319+M319</f>
        <v>467</v>
      </c>
      <c r="G319" s="307"/>
      <c r="H319" s="307">
        <v>467</v>
      </c>
      <c r="I319" s="235"/>
      <c r="J319" s="235"/>
      <c r="K319" s="303"/>
      <c r="L319" s="235"/>
      <c r="M319" s="223"/>
      <c r="N319" s="223"/>
      <c r="O319" s="303"/>
      <c r="P319" s="303">
        <v>0</v>
      </c>
      <c r="Q319" s="308">
        <f t="shared" si="276"/>
        <v>0</v>
      </c>
      <c r="R319" s="303"/>
      <c r="S319" s="309">
        <v>0</v>
      </c>
      <c r="T319" s="309">
        <v>0</v>
      </c>
      <c r="U319" s="303"/>
      <c r="V319" s="309">
        <v>0</v>
      </c>
      <c r="W319" s="309">
        <v>0</v>
      </c>
      <c r="X319" s="303"/>
      <c r="Y319" s="309">
        <v>0</v>
      </c>
      <c r="Z319" s="309">
        <v>0</v>
      </c>
      <c r="AA319" s="303"/>
      <c r="AB319" s="309">
        <v>0</v>
      </c>
      <c r="AC319" s="309">
        <v>0</v>
      </c>
      <c r="AD319" s="303"/>
      <c r="AE319" s="309">
        <v>0</v>
      </c>
      <c r="AF319" s="309">
        <v>0</v>
      </c>
      <c r="AG319" s="303"/>
      <c r="AH319" s="309">
        <v>0</v>
      </c>
      <c r="AI319" s="309">
        <v>0</v>
      </c>
      <c r="AJ319" s="189"/>
      <c r="AK319" s="309">
        <v>0</v>
      </c>
      <c r="AL319" s="309">
        <v>0</v>
      </c>
      <c r="AM319" s="303"/>
      <c r="AN319" s="309">
        <v>0</v>
      </c>
      <c r="AO319" s="309">
        <v>0</v>
      </c>
      <c r="AP319" s="309"/>
      <c r="AQ319" s="303"/>
      <c r="AR319" s="309">
        <v>0</v>
      </c>
      <c r="AS319" s="309">
        <v>0</v>
      </c>
      <c r="AT319" s="303"/>
      <c r="AU319" s="309">
        <v>0</v>
      </c>
      <c r="AV319" s="309">
        <v>0</v>
      </c>
      <c r="AW319" s="309"/>
      <c r="AX319" s="309"/>
      <c r="AY319" s="309"/>
      <c r="AZ319" s="309"/>
      <c r="BA319" s="309"/>
      <c r="BB319" s="309"/>
      <c r="BC319" s="303"/>
      <c r="BD319" s="309">
        <v>0</v>
      </c>
      <c r="BE319" s="309">
        <v>0</v>
      </c>
      <c r="BF319" s="303"/>
      <c r="BG319" s="303"/>
      <c r="BH319" s="309">
        <v>0</v>
      </c>
      <c r="BI319" s="309">
        <v>0</v>
      </c>
      <c r="BJ319" s="303">
        <f t="shared" si="277"/>
        <v>443.65</v>
      </c>
      <c r="BK319" s="303"/>
      <c r="BL319" s="309">
        <f t="shared" si="262"/>
        <v>0</v>
      </c>
      <c r="BM319" s="309">
        <f t="shared" si="279"/>
        <v>0</v>
      </c>
      <c r="BN319" s="205">
        <f t="shared" si="260"/>
        <v>0</v>
      </c>
      <c r="BO319" s="205"/>
      <c r="BP319" s="310"/>
      <c r="BQ319" s="308">
        <f t="shared" si="263"/>
        <v>0</v>
      </c>
      <c r="BR319" s="310"/>
      <c r="BS319" s="308">
        <f t="shared" si="264"/>
        <v>0</v>
      </c>
      <c r="BT319" s="310">
        <f>$F319*0.1</f>
        <v>46.7</v>
      </c>
      <c r="BU319" s="308">
        <f t="shared" si="265"/>
        <v>0.1</v>
      </c>
      <c r="BV319" s="310">
        <f>$F319*0.2</f>
        <v>93.4</v>
      </c>
      <c r="BW319" s="308">
        <f t="shared" si="266"/>
        <v>0.2</v>
      </c>
      <c r="BX319" s="310">
        <f>$F319*0.3</f>
        <v>140.1</v>
      </c>
      <c r="BY319" s="308">
        <f t="shared" si="267"/>
        <v>0.3</v>
      </c>
      <c r="BZ319" s="310">
        <f>$F319*0.4</f>
        <v>186.8</v>
      </c>
      <c r="CA319" s="308">
        <f t="shared" si="268"/>
        <v>0.4</v>
      </c>
      <c r="CB319" s="310">
        <f>$F319*0.5</f>
        <v>233.5</v>
      </c>
      <c r="CC319" s="308">
        <f t="shared" si="269"/>
        <v>0.5</v>
      </c>
      <c r="CD319" s="310">
        <f>$F319*0.55</f>
        <v>256.85000000000002</v>
      </c>
      <c r="CE319" s="308">
        <f t="shared" si="270"/>
        <v>0.55000000000000004</v>
      </c>
      <c r="CF319" s="310">
        <v>326.89999999999998</v>
      </c>
      <c r="CG319" s="308">
        <f t="shared" si="271"/>
        <v>0.7</v>
      </c>
      <c r="CH319" s="310">
        <f>$F319*0.7</f>
        <v>326.89999999999998</v>
      </c>
      <c r="CI319" s="308">
        <f t="shared" si="272"/>
        <v>0.7</v>
      </c>
      <c r="CJ319" s="310">
        <f>$F319*0.75</f>
        <v>350.25</v>
      </c>
      <c r="CK319" s="308">
        <f t="shared" si="273"/>
        <v>0.75</v>
      </c>
      <c r="CL319" s="310">
        <f>$F319*0.75</f>
        <v>350.25</v>
      </c>
      <c r="CM319" s="308">
        <f t="shared" si="274"/>
        <v>0.75</v>
      </c>
      <c r="CN319" s="310">
        <f>$F319*0.95</f>
        <v>443.65</v>
      </c>
      <c r="CO319" s="308">
        <f t="shared" si="275"/>
        <v>0.95</v>
      </c>
      <c r="CP319" s="213" t="str">
        <f t="shared" si="280"/>
        <v>Không đạt</v>
      </c>
      <c r="CQ319" s="213" t="str">
        <f t="shared" si="281"/>
        <v>Không đạt</v>
      </c>
      <c r="CR319" s="312"/>
      <c r="CS319" s="312"/>
      <c r="CT319" s="235"/>
      <c r="CU319" s="163"/>
      <c r="CW319" s="195"/>
      <c r="CX319" s="196"/>
      <c r="CY319" s="196"/>
      <c r="CZ319" s="197"/>
      <c r="DA319" s="196"/>
      <c r="DB319" s="196"/>
      <c r="DC319" s="196"/>
      <c r="DE319" s="199"/>
      <c r="DF319" s="200"/>
      <c r="DG319" s="181"/>
    </row>
    <row r="320" spans="1:113" ht="18" customHeight="1" x14ac:dyDescent="0.25">
      <c r="A320" s="316">
        <f>MAX(A$243:A318)+1</f>
        <v>21</v>
      </c>
      <c r="B320" s="240" t="s">
        <v>411</v>
      </c>
      <c r="C320" s="240"/>
      <c r="D320" s="188">
        <f t="shared" ref="D320:I320" si="308">D321+D322</f>
        <v>8350</v>
      </c>
      <c r="E320" s="188">
        <f t="shared" si="308"/>
        <v>0</v>
      </c>
      <c r="F320" s="188">
        <f t="shared" si="308"/>
        <v>8350</v>
      </c>
      <c r="G320" s="188">
        <f t="shared" si="308"/>
        <v>3000</v>
      </c>
      <c r="H320" s="188">
        <f t="shared" si="308"/>
        <v>5350</v>
      </c>
      <c r="I320" s="188">
        <f t="shared" si="308"/>
        <v>0</v>
      </c>
      <c r="J320" s="188"/>
      <c r="K320" s="188">
        <f>K321+K322</f>
        <v>0</v>
      </c>
      <c r="L320" s="188">
        <f>L321+L322</f>
        <v>0</v>
      </c>
      <c r="M320" s="188">
        <f>M321+M322</f>
        <v>0</v>
      </c>
      <c r="N320" s="188">
        <f>N321+N322</f>
        <v>0</v>
      </c>
      <c r="O320" s="188">
        <f>O321+O322</f>
        <v>3000</v>
      </c>
      <c r="P320" s="188">
        <v>477.78</v>
      </c>
      <c r="Q320" s="186">
        <f t="shared" si="276"/>
        <v>5.7219161676646701E-2</v>
      </c>
      <c r="R320" s="189">
        <v>478</v>
      </c>
      <c r="S320" s="185">
        <v>5.7245508982035925E-2</v>
      </c>
      <c r="T320" s="185">
        <v>6.0258430507406237E-2</v>
      </c>
      <c r="U320" s="189">
        <v>478</v>
      </c>
      <c r="V320" s="185">
        <v>5.7245508982035925E-2</v>
      </c>
      <c r="W320" s="185">
        <v>6.0258430507406237E-2</v>
      </c>
      <c r="X320" s="189">
        <v>478</v>
      </c>
      <c r="Y320" s="185">
        <v>5.7245508982035925E-2</v>
      </c>
      <c r="Z320" s="185">
        <v>6.0258430507406237E-2</v>
      </c>
      <c r="AA320" s="189">
        <v>478</v>
      </c>
      <c r="AB320" s="185">
        <v>5.7245508982035925E-2</v>
      </c>
      <c r="AC320" s="185">
        <v>6.0258430507406237E-2</v>
      </c>
      <c r="AD320" s="189">
        <v>495</v>
      </c>
      <c r="AE320" s="185">
        <v>5.9281437125748501E-2</v>
      </c>
      <c r="AF320" s="185">
        <v>6.2401512763945795E-2</v>
      </c>
      <c r="AG320" s="189">
        <v>495</v>
      </c>
      <c r="AH320" s="185">
        <v>5.9281437125748501E-2</v>
      </c>
      <c r="AI320" s="185">
        <v>6.2401512763945795E-2</v>
      </c>
      <c r="AJ320" s="303">
        <v>495</v>
      </c>
      <c r="AK320" s="185">
        <v>5.9281437125748501E-2</v>
      </c>
      <c r="AL320" s="185">
        <v>6.2401512763945795E-2</v>
      </c>
      <c r="AM320" s="189">
        <v>779.75390000000004</v>
      </c>
      <c r="AN320" s="185">
        <v>9.3383700598802397E-2</v>
      </c>
      <c r="AO320" s="185">
        <v>9.8298632209265685E-2</v>
      </c>
      <c r="AP320" s="185"/>
      <c r="AQ320" s="189">
        <v>1764.9458999999999</v>
      </c>
      <c r="AR320" s="185">
        <v>0.21137076646706587</v>
      </c>
      <c r="AS320" s="185">
        <v>0.22249554364954302</v>
      </c>
      <c r="AT320" s="189">
        <v>1849</v>
      </c>
      <c r="AU320" s="185">
        <v>0.22143712574850299</v>
      </c>
      <c r="AV320" s="185">
        <v>0.23309171131421369</v>
      </c>
      <c r="AW320" s="185"/>
      <c r="AX320" s="185"/>
      <c r="AY320" s="185"/>
      <c r="AZ320" s="185"/>
      <c r="BA320" s="185"/>
      <c r="BB320" s="185"/>
      <c r="BC320" s="189">
        <v>1849</v>
      </c>
      <c r="BD320" s="185">
        <v>0.22143712574850299</v>
      </c>
      <c r="BE320" s="185">
        <v>0.23309171131421369</v>
      </c>
      <c r="BF320" s="189"/>
      <c r="BG320" s="189">
        <v>4558</v>
      </c>
      <c r="BH320" s="185">
        <v>0.54586826347305384</v>
      </c>
      <c r="BI320" s="185">
        <v>0.57459817207689878</v>
      </c>
      <c r="BJ320" s="189">
        <f t="shared" si="277"/>
        <v>7932.5</v>
      </c>
      <c r="BK320" s="189">
        <v>5797</v>
      </c>
      <c r="BL320" s="185">
        <f t="shared" si="262"/>
        <v>0.69425149700598798</v>
      </c>
      <c r="BM320" s="185">
        <f t="shared" si="279"/>
        <v>0.73079104947998741</v>
      </c>
      <c r="BN320" s="205">
        <f t="shared" si="260"/>
        <v>5302</v>
      </c>
      <c r="BO320" s="205"/>
      <c r="BP320" s="189">
        <f>BP321+BP322</f>
        <v>0</v>
      </c>
      <c r="BQ320" s="186">
        <f t="shared" si="263"/>
        <v>0</v>
      </c>
      <c r="BR320" s="189">
        <f>BR321+BR322</f>
        <v>410</v>
      </c>
      <c r="BS320" s="186">
        <f t="shared" si="264"/>
        <v>4.9101796407185629E-2</v>
      </c>
      <c r="BT320" s="189">
        <f>BT321+BT322</f>
        <v>1640</v>
      </c>
      <c r="BU320" s="186">
        <f t="shared" si="265"/>
        <v>0.19640718562874251</v>
      </c>
      <c r="BV320" s="189">
        <f>BV321+BV322</f>
        <v>2460</v>
      </c>
      <c r="BW320" s="186">
        <f t="shared" si="266"/>
        <v>0.29461077844311379</v>
      </c>
      <c r="BX320" s="189">
        <f>BX321+BX322</f>
        <v>3280</v>
      </c>
      <c r="BY320" s="186">
        <f t="shared" si="267"/>
        <v>0.39281437125748503</v>
      </c>
      <c r="BZ320" s="189">
        <f>BZ321+BZ322</f>
        <v>4100</v>
      </c>
      <c r="CA320" s="186">
        <f t="shared" si="268"/>
        <v>0.49101796407185627</v>
      </c>
      <c r="CB320" s="189">
        <f>CB321+CB322</f>
        <v>4920</v>
      </c>
      <c r="CC320" s="186">
        <f t="shared" si="269"/>
        <v>0.58922155688622757</v>
      </c>
      <c r="CD320" s="189">
        <f>CD321+CD322</f>
        <v>5739.9999999999991</v>
      </c>
      <c r="CE320" s="186">
        <f t="shared" si="270"/>
        <v>0.68742514970059865</v>
      </c>
      <c r="CF320" s="189">
        <f>CF321+CF322</f>
        <v>6560</v>
      </c>
      <c r="CG320" s="186">
        <f t="shared" si="271"/>
        <v>0.78562874251497006</v>
      </c>
      <c r="CH320" s="189">
        <f>CH321+CH322</f>
        <v>6970</v>
      </c>
      <c r="CI320" s="186">
        <f t="shared" si="272"/>
        <v>0.83473053892215565</v>
      </c>
      <c r="CJ320" s="189">
        <f>CJ321+CJ322</f>
        <v>7647.5</v>
      </c>
      <c r="CK320" s="186">
        <f t="shared" si="273"/>
        <v>0.91586826347305395</v>
      </c>
      <c r="CL320" s="189">
        <f>CL321+CL322</f>
        <v>7790</v>
      </c>
      <c r="CM320" s="186">
        <f t="shared" si="274"/>
        <v>0.93293413173652695</v>
      </c>
      <c r="CN320" s="189">
        <f>CN321+CN322</f>
        <v>7932.5</v>
      </c>
      <c r="CO320" s="186">
        <f t="shared" si="275"/>
        <v>0.95</v>
      </c>
      <c r="CP320" s="213" t="str">
        <f t="shared" si="280"/>
        <v>Đạt</v>
      </c>
      <c r="CQ320" s="213" t="str">
        <f t="shared" si="281"/>
        <v>Đạt</v>
      </c>
      <c r="CR320" s="213"/>
      <c r="CS320" s="213"/>
      <c r="CT320" s="231"/>
      <c r="CU320" s="163"/>
      <c r="CW320" s="195"/>
      <c r="CX320" s="196"/>
      <c r="CY320" s="196"/>
      <c r="CZ320" s="197"/>
      <c r="DA320" s="196"/>
      <c r="DB320" s="196"/>
      <c r="DC320" s="196"/>
      <c r="DE320" s="199"/>
      <c r="DF320" s="200"/>
      <c r="DG320" s="181"/>
    </row>
    <row r="321" spans="1:112" s="324" customFormat="1" outlineLevel="1" x14ac:dyDescent="0.25">
      <c r="A321" s="305" t="s">
        <v>34</v>
      </c>
      <c r="B321" s="318" t="s">
        <v>376</v>
      </c>
      <c r="C321" s="306"/>
      <c r="D321" s="307">
        <f t="shared" si="247"/>
        <v>3000</v>
      </c>
      <c r="E321" s="307"/>
      <c r="F321" s="307">
        <f>G321+H321+K321+M321</f>
        <v>3000</v>
      </c>
      <c r="G321" s="303">
        <v>3000</v>
      </c>
      <c r="H321" s="303"/>
      <c r="I321" s="235"/>
      <c r="J321" s="235"/>
      <c r="K321" s="303"/>
      <c r="L321" s="235"/>
      <c r="M321" s="223"/>
      <c r="N321" s="223"/>
      <c r="O321" s="303">
        <f t="shared" si="289"/>
        <v>3000</v>
      </c>
      <c r="P321" s="303">
        <v>0</v>
      </c>
      <c r="Q321" s="308">
        <f t="shared" si="276"/>
        <v>0</v>
      </c>
      <c r="R321" s="303">
        <v>478</v>
      </c>
      <c r="S321" s="309">
        <v>0.15933333333333333</v>
      </c>
      <c r="T321" s="309">
        <v>0.16771929824561405</v>
      </c>
      <c r="U321" s="303">
        <v>478</v>
      </c>
      <c r="V321" s="309">
        <v>0.15933333333333333</v>
      </c>
      <c r="W321" s="309">
        <v>0.16771929824561405</v>
      </c>
      <c r="X321" s="303">
        <v>478</v>
      </c>
      <c r="Y321" s="309">
        <v>0.15933333333333333</v>
      </c>
      <c r="Z321" s="309">
        <v>0.16771929824561405</v>
      </c>
      <c r="AA321" s="303">
        <v>478</v>
      </c>
      <c r="AB321" s="309">
        <v>0.15933333333333333</v>
      </c>
      <c r="AC321" s="309">
        <v>0.16771929824561405</v>
      </c>
      <c r="AD321" s="303">
        <v>495</v>
      </c>
      <c r="AE321" s="309">
        <v>0.16500000000000001</v>
      </c>
      <c r="AF321" s="309">
        <v>0.1736842105263158</v>
      </c>
      <c r="AG321" s="303">
        <v>495</v>
      </c>
      <c r="AH321" s="309">
        <v>0.16500000000000001</v>
      </c>
      <c r="AI321" s="309">
        <v>0.1736842105263158</v>
      </c>
      <c r="AJ321" s="303">
        <v>495</v>
      </c>
      <c r="AK321" s="309">
        <v>0.16500000000000001</v>
      </c>
      <c r="AL321" s="309">
        <v>0.1736842105263158</v>
      </c>
      <c r="AM321" s="303">
        <v>779.75390000000004</v>
      </c>
      <c r="AN321" s="309">
        <v>0.25991796666666667</v>
      </c>
      <c r="AO321" s="309">
        <v>0.27359785964912281</v>
      </c>
      <c r="AP321" s="309"/>
      <c r="AQ321" s="303">
        <v>1764.9458999999999</v>
      </c>
      <c r="AR321" s="309">
        <v>0.58831529999999999</v>
      </c>
      <c r="AS321" s="309">
        <v>0.61927926315789472</v>
      </c>
      <c r="AT321" s="303">
        <v>1785</v>
      </c>
      <c r="AU321" s="309">
        <v>0.59499999999999997</v>
      </c>
      <c r="AV321" s="309">
        <v>0.62631578947368416</v>
      </c>
      <c r="AW321" s="309"/>
      <c r="AX321" s="309"/>
      <c r="AY321" s="309"/>
      <c r="AZ321" s="309"/>
      <c r="BA321" s="309"/>
      <c r="BB321" s="309"/>
      <c r="BC321" s="303">
        <v>1785</v>
      </c>
      <c r="BD321" s="309">
        <v>0.59499999999999997</v>
      </c>
      <c r="BE321" s="309">
        <v>0.62631578947368416</v>
      </c>
      <c r="BF321" s="303"/>
      <c r="BG321" s="303">
        <v>2377</v>
      </c>
      <c r="BH321" s="309">
        <v>0.79233333333333333</v>
      </c>
      <c r="BI321" s="309">
        <v>0.83403508771929824</v>
      </c>
      <c r="BJ321" s="303">
        <f t="shared" si="277"/>
        <v>2850</v>
      </c>
      <c r="BK321" s="303">
        <v>2850</v>
      </c>
      <c r="BL321" s="309">
        <f t="shared" si="262"/>
        <v>0.95</v>
      </c>
      <c r="BM321" s="309">
        <f t="shared" si="279"/>
        <v>1</v>
      </c>
      <c r="BN321" s="205">
        <f t="shared" si="260"/>
        <v>2355</v>
      </c>
      <c r="BO321" s="205"/>
      <c r="BP321" s="310"/>
      <c r="BQ321" s="308">
        <f t="shared" si="263"/>
        <v>0</v>
      </c>
      <c r="BR321" s="310">
        <v>142.5</v>
      </c>
      <c r="BS321" s="308">
        <f t="shared" si="264"/>
        <v>4.7500000000000001E-2</v>
      </c>
      <c r="BT321" s="310">
        <v>570</v>
      </c>
      <c r="BU321" s="308">
        <f t="shared" si="265"/>
        <v>0.19</v>
      </c>
      <c r="BV321" s="310">
        <v>855</v>
      </c>
      <c r="BW321" s="308">
        <f t="shared" si="266"/>
        <v>0.28499999999999998</v>
      </c>
      <c r="BX321" s="310">
        <v>1140</v>
      </c>
      <c r="BY321" s="308">
        <f t="shared" si="267"/>
        <v>0.38</v>
      </c>
      <c r="BZ321" s="310">
        <v>1425</v>
      </c>
      <c r="CA321" s="308">
        <f t="shared" si="268"/>
        <v>0.47499999999999998</v>
      </c>
      <c r="CB321" s="310">
        <v>1710</v>
      </c>
      <c r="CC321" s="308">
        <f t="shared" si="269"/>
        <v>0.56999999999999995</v>
      </c>
      <c r="CD321" s="310">
        <v>1994.9999999999998</v>
      </c>
      <c r="CE321" s="308">
        <f t="shared" si="270"/>
        <v>0.66499999999999992</v>
      </c>
      <c r="CF321" s="310">
        <v>2280</v>
      </c>
      <c r="CG321" s="308">
        <f t="shared" si="271"/>
        <v>0.76</v>
      </c>
      <c r="CH321" s="310">
        <v>2422.5</v>
      </c>
      <c r="CI321" s="308">
        <f t="shared" si="272"/>
        <v>0.8075</v>
      </c>
      <c r="CJ321" s="310">
        <v>2565</v>
      </c>
      <c r="CK321" s="308">
        <f t="shared" si="273"/>
        <v>0.85499999999999998</v>
      </c>
      <c r="CL321" s="310">
        <v>2707.5</v>
      </c>
      <c r="CM321" s="308">
        <f t="shared" si="274"/>
        <v>0.90249999999999997</v>
      </c>
      <c r="CN321" s="310">
        <v>2850</v>
      </c>
      <c r="CO321" s="308">
        <f t="shared" si="275"/>
        <v>0.95</v>
      </c>
      <c r="CP321" s="213" t="str">
        <f t="shared" si="280"/>
        <v>Đạt</v>
      </c>
      <c r="CQ321" s="213" t="str">
        <f t="shared" si="281"/>
        <v>Đạt</v>
      </c>
      <c r="CR321" s="312"/>
      <c r="CS321" s="312"/>
      <c r="CT321" s="235"/>
      <c r="CU321" s="163"/>
      <c r="CV321" s="323"/>
      <c r="CW321" s="195"/>
      <c r="CX321" s="196"/>
      <c r="CY321" s="196"/>
      <c r="CZ321" s="197"/>
      <c r="DA321" s="196"/>
      <c r="DB321" s="196"/>
      <c r="DC321" s="196"/>
      <c r="DE321" s="199"/>
      <c r="DF321" s="200"/>
      <c r="DG321" s="181"/>
    </row>
    <row r="322" spans="1:112" ht="25.5" outlineLevel="1" x14ac:dyDescent="0.25">
      <c r="A322" s="305" t="s">
        <v>34</v>
      </c>
      <c r="B322" s="306" t="s">
        <v>377</v>
      </c>
      <c r="C322" s="306"/>
      <c r="D322" s="307">
        <f>E322+F322</f>
        <v>5350</v>
      </c>
      <c r="E322" s="307"/>
      <c r="F322" s="307">
        <f>G322+H322+K322+M322</f>
        <v>5350</v>
      </c>
      <c r="G322" s="307"/>
      <c r="H322" s="307">
        <v>5350</v>
      </c>
      <c r="I322" s="235"/>
      <c r="J322" s="235"/>
      <c r="K322" s="303"/>
      <c r="L322" s="235"/>
      <c r="M322" s="223"/>
      <c r="N322" s="223"/>
      <c r="O322" s="303"/>
      <c r="P322" s="303">
        <v>0</v>
      </c>
      <c r="Q322" s="308">
        <f t="shared" si="276"/>
        <v>0</v>
      </c>
      <c r="R322" s="303"/>
      <c r="S322" s="309">
        <v>0</v>
      </c>
      <c r="T322" s="309">
        <v>0</v>
      </c>
      <c r="U322" s="303"/>
      <c r="V322" s="309">
        <v>0</v>
      </c>
      <c r="W322" s="309">
        <v>0</v>
      </c>
      <c r="X322" s="303"/>
      <c r="Y322" s="309">
        <v>0</v>
      </c>
      <c r="Z322" s="309">
        <v>0</v>
      </c>
      <c r="AA322" s="303"/>
      <c r="AB322" s="309">
        <v>0</v>
      </c>
      <c r="AC322" s="309">
        <v>0</v>
      </c>
      <c r="AD322" s="303"/>
      <c r="AE322" s="309">
        <v>0</v>
      </c>
      <c r="AF322" s="309">
        <v>0</v>
      </c>
      <c r="AG322" s="303"/>
      <c r="AH322" s="309">
        <v>0</v>
      </c>
      <c r="AI322" s="309">
        <v>0</v>
      </c>
      <c r="AJ322" s="189"/>
      <c r="AK322" s="309">
        <v>0</v>
      </c>
      <c r="AL322" s="309">
        <v>0</v>
      </c>
      <c r="AM322" s="303"/>
      <c r="AN322" s="309">
        <v>0</v>
      </c>
      <c r="AO322" s="309">
        <v>0</v>
      </c>
      <c r="AP322" s="309"/>
      <c r="AQ322" s="303"/>
      <c r="AR322" s="309">
        <v>0</v>
      </c>
      <c r="AS322" s="309">
        <v>0</v>
      </c>
      <c r="AT322" s="303">
        <v>64</v>
      </c>
      <c r="AU322" s="309">
        <v>1.1962616822429906E-2</v>
      </c>
      <c r="AV322" s="309">
        <v>1.2592228234136743E-2</v>
      </c>
      <c r="AW322" s="309"/>
      <c r="AX322" s="309"/>
      <c r="AY322" s="309"/>
      <c r="AZ322" s="309"/>
      <c r="BA322" s="309"/>
      <c r="BB322" s="309"/>
      <c r="BC322" s="303">
        <v>64</v>
      </c>
      <c r="BD322" s="309">
        <v>1.1962616822429906E-2</v>
      </c>
      <c r="BE322" s="309">
        <v>1.2592228234136743E-2</v>
      </c>
      <c r="BF322" s="303"/>
      <c r="BG322" s="303">
        <v>2181</v>
      </c>
      <c r="BH322" s="309">
        <v>0.40766355140186916</v>
      </c>
      <c r="BI322" s="309">
        <v>0.42911952779144125</v>
      </c>
      <c r="BJ322" s="303">
        <f t="shared" si="277"/>
        <v>5082.5</v>
      </c>
      <c r="BK322" s="303">
        <v>2889</v>
      </c>
      <c r="BL322" s="309">
        <f t="shared" si="262"/>
        <v>0.54</v>
      </c>
      <c r="BM322" s="309">
        <f t="shared" si="279"/>
        <v>0.56842105263157894</v>
      </c>
      <c r="BN322" s="205">
        <f t="shared" si="260"/>
        <v>2889</v>
      </c>
      <c r="BO322" s="205"/>
      <c r="BP322" s="310"/>
      <c r="BQ322" s="308">
        <f t="shared" si="263"/>
        <v>0</v>
      </c>
      <c r="BR322" s="310">
        <v>267.5</v>
      </c>
      <c r="BS322" s="308">
        <f t="shared" si="264"/>
        <v>0.05</v>
      </c>
      <c r="BT322" s="310">
        <v>1070</v>
      </c>
      <c r="BU322" s="308">
        <f t="shared" si="265"/>
        <v>0.2</v>
      </c>
      <c r="BV322" s="310">
        <v>1605</v>
      </c>
      <c r="BW322" s="308">
        <f t="shared" si="266"/>
        <v>0.3</v>
      </c>
      <c r="BX322" s="310">
        <v>2140</v>
      </c>
      <c r="BY322" s="308">
        <f t="shared" si="267"/>
        <v>0.4</v>
      </c>
      <c r="BZ322" s="310">
        <v>2675</v>
      </c>
      <c r="CA322" s="308">
        <f t="shared" si="268"/>
        <v>0.5</v>
      </c>
      <c r="CB322" s="310">
        <v>3210</v>
      </c>
      <c r="CC322" s="308">
        <f t="shared" si="269"/>
        <v>0.6</v>
      </c>
      <c r="CD322" s="310">
        <v>3744.9999999999995</v>
      </c>
      <c r="CE322" s="308">
        <f t="shared" si="270"/>
        <v>0.7</v>
      </c>
      <c r="CF322" s="310">
        <v>4280</v>
      </c>
      <c r="CG322" s="308">
        <f t="shared" si="271"/>
        <v>0.8</v>
      </c>
      <c r="CH322" s="310">
        <v>4547.5</v>
      </c>
      <c r="CI322" s="308">
        <f t="shared" si="272"/>
        <v>0.85</v>
      </c>
      <c r="CJ322" s="310">
        <v>5082.5</v>
      </c>
      <c r="CK322" s="308">
        <f t="shared" si="273"/>
        <v>0.95</v>
      </c>
      <c r="CL322" s="310">
        <v>5082.5</v>
      </c>
      <c r="CM322" s="308">
        <f t="shared" si="274"/>
        <v>0.95</v>
      </c>
      <c r="CN322" s="310">
        <v>5082.5</v>
      </c>
      <c r="CO322" s="308">
        <f t="shared" si="275"/>
        <v>0.95</v>
      </c>
      <c r="CP322" s="213" t="str">
        <f t="shared" si="280"/>
        <v>Đạt</v>
      </c>
      <c r="CQ322" s="213" t="str">
        <f t="shared" si="281"/>
        <v>Đạt</v>
      </c>
      <c r="CR322" s="312"/>
      <c r="CS322" s="312"/>
      <c r="CT322" s="235"/>
      <c r="CU322" s="163"/>
      <c r="CW322" s="195"/>
      <c r="CX322" s="196"/>
      <c r="CY322" s="196"/>
      <c r="CZ322" s="197"/>
      <c r="DA322" s="196"/>
      <c r="DB322" s="196"/>
      <c r="DC322" s="196"/>
      <c r="DE322" s="199"/>
      <c r="DF322" s="200"/>
      <c r="DG322" s="181"/>
    </row>
    <row r="323" spans="1:112" ht="18" customHeight="1" x14ac:dyDescent="0.25">
      <c r="A323" s="213">
        <f>MAX(A$243:A321)+1</f>
        <v>22</v>
      </c>
      <c r="B323" s="240" t="s">
        <v>412</v>
      </c>
      <c r="C323" s="240"/>
      <c r="D323" s="188">
        <f t="shared" ref="D323:I323" si="309">D324+D325</f>
        <v>10150</v>
      </c>
      <c r="E323" s="188">
        <f t="shared" si="309"/>
        <v>0</v>
      </c>
      <c r="F323" s="188">
        <f t="shared" si="309"/>
        <v>10150</v>
      </c>
      <c r="G323" s="188">
        <f t="shared" si="309"/>
        <v>3000</v>
      </c>
      <c r="H323" s="188">
        <f t="shared" si="309"/>
        <v>7150</v>
      </c>
      <c r="I323" s="188">
        <f t="shared" si="309"/>
        <v>0</v>
      </c>
      <c r="J323" s="188"/>
      <c r="K323" s="188">
        <f>K324+K325</f>
        <v>0</v>
      </c>
      <c r="L323" s="188">
        <f>L324+L325</f>
        <v>0</v>
      </c>
      <c r="M323" s="188">
        <f>M324+M325</f>
        <v>0</v>
      </c>
      <c r="N323" s="188">
        <f>N324+N325</f>
        <v>0</v>
      </c>
      <c r="O323" s="188">
        <f>O324+O325</f>
        <v>3000</v>
      </c>
      <c r="P323" s="188">
        <v>0</v>
      </c>
      <c r="Q323" s="186">
        <f t="shared" si="276"/>
        <v>0</v>
      </c>
      <c r="R323" s="189">
        <v>342</v>
      </c>
      <c r="S323" s="185">
        <v>3.3694581280788179E-2</v>
      </c>
      <c r="T323" s="185">
        <v>3.5467980295566505E-2</v>
      </c>
      <c r="U323" s="189">
        <v>380</v>
      </c>
      <c r="V323" s="185">
        <v>3.7438423645320199E-2</v>
      </c>
      <c r="W323" s="185">
        <v>3.9408866995073892E-2</v>
      </c>
      <c r="X323" s="189">
        <v>380</v>
      </c>
      <c r="Y323" s="185">
        <v>3.7438423645320199E-2</v>
      </c>
      <c r="Z323" s="185">
        <v>3.9408866995073892E-2</v>
      </c>
      <c r="AA323" s="189">
        <v>380</v>
      </c>
      <c r="AB323" s="185">
        <v>3.7438423645320199E-2</v>
      </c>
      <c r="AC323" s="185">
        <v>3.9408866995073892E-2</v>
      </c>
      <c r="AD323" s="189">
        <v>380</v>
      </c>
      <c r="AE323" s="185">
        <v>3.7438423645320199E-2</v>
      </c>
      <c r="AF323" s="185">
        <v>3.9408866995073892E-2</v>
      </c>
      <c r="AG323" s="189">
        <v>380</v>
      </c>
      <c r="AH323" s="185">
        <v>3.7438423645320199E-2</v>
      </c>
      <c r="AI323" s="185">
        <v>3.9408866995073892E-2</v>
      </c>
      <c r="AJ323" s="303">
        <v>380</v>
      </c>
      <c r="AK323" s="185">
        <v>3.7438423645320199E-2</v>
      </c>
      <c r="AL323" s="185">
        <v>3.9408866995073892E-2</v>
      </c>
      <c r="AM323" s="189">
        <v>1400</v>
      </c>
      <c r="AN323" s="185">
        <v>0.13793103448275862</v>
      </c>
      <c r="AO323" s="185">
        <v>0.14519056261343014</v>
      </c>
      <c r="AP323" s="185"/>
      <c r="AQ323" s="189">
        <v>1400</v>
      </c>
      <c r="AR323" s="185">
        <v>0.13793103448275862</v>
      </c>
      <c r="AS323" s="185">
        <v>0.14519056261343014</v>
      </c>
      <c r="AT323" s="189">
        <v>1400</v>
      </c>
      <c r="AU323" s="185">
        <v>0.13793103448275862</v>
      </c>
      <c r="AV323" s="185">
        <v>0.14519056261343014</v>
      </c>
      <c r="AW323" s="185"/>
      <c r="AX323" s="185"/>
      <c r="AY323" s="185"/>
      <c r="AZ323" s="185"/>
      <c r="BA323" s="185"/>
      <c r="BB323" s="185"/>
      <c r="BC323" s="189">
        <v>1400</v>
      </c>
      <c r="BD323" s="185">
        <v>0.13793103448275862</v>
      </c>
      <c r="BE323" s="185">
        <v>0.14519056261343014</v>
      </c>
      <c r="BF323" s="189"/>
      <c r="BG323" s="189">
        <v>4389</v>
      </c>
      <c r="BH323" s="185">
        <v>0.4324137931034483</v>
      </c>
      <c r="BI323" s="185">
        <v>0.45517241379310347</v>
      </c>
      <c r="BJ323" s="189">
        <f t="shared" si="277"/>
        <v>9642.5</v>
      </c>
      <c r="BK323" s="189">
        <v>5605</v>
      </c>
      <c r="BL323" s="185">
        <f t="shared" si="262"/>
        <v>0.55221674876847293</v>
      </c>
      <c r="BM323" s="185">
        <f t="shared" si="279"/>
        <v>0.58128078817733986</v>
      </c>
      <c r="BN323" s="205">
        <f t="shared" si="260"/>
        <v>5225</v>
      </c>
      <c r="BO323" s="205"/>
      <c r="BP323" s="189">
        <f>BP324+BP325</f>
        <v>0</v>
      </c>
      <c r="BQ323" s="186">
        <f t="shared" si="263"/>
        <v>0</v>
      </c>
      <c r="BR323" s="189">
        <f>BR324+BR325</f>
        <v>0</v>
      </c>
      <c r="BS323" s="186">
        <f t="shared" si="264"/>
        <v>0</v>
      </c>
      <c r="BT323" s="189">
        <f>BT324+BT325</f>
        <v>1015</v>
      </c>
      <c r="BU323" s="186">
        <f t="shared" si="265"/>
        <v>0.1</v>
      </c>
      <c r="BV323" s="189">
        <f>BV324+BV325</f>
        <v>2030</v>
      </c>
      <c r="BW323" s="186">
        <f t="shared" si="266"/>
        <v>0.2</v>
      </c>
      <c r="BX323" s="189">
        <f>BX324+BX325</f>
        <v>3045</v>
      </c>
      <c r="BY323" s="186">
        <f t="shared" si="267"/>
        <v>0.3</v>
      </c>
      <c r="BZ323" s="189">
        <f>BZ324+BZ325</f>
        <v>4060</v>
      </c>
      <c r="CA323" s="186">
        <f t="shared" si="268"/>
        <v>0.4</v>
      </c>
      <c r="CB323" s="189">
        <f>CB324+CB325</f>
        <v>5075</v>
      </c>
      <c r="CC323" s="186">
        <f t="shared" si="269"/>
        <v>0.5</v>
      </c>
      <c r="CD323" s="189">
        <f>CD324+CD325</f>
        <v>5582.5000000000009</v>
      </c>
      <c r="CE323" s="186">
        <f t="shared" si="270"/>
        <v>0.55000000000000004</v>
      </c>
      <c r="CF323" s="189">
        <f>CF324+CF325</f>
        <v>7105</v>
      </c>
      <c r="CG323" s="186">
        <f t="shared" si="271"/>
        <v>0.7</v>
      </c>
      <c r="CH323" s="189">
        <f>CH324+CH325</f>
        <v>7105</v>
      </c>
      <c r="CI323" s="186">
        <f t="shared" si="272"/>
        <v>0.7</v>
      </c>
      <c r="CJ323" s="189">
        <f>CJ324+CJ325</f>
        <v>7612.5</v>
      </c>
      <c r="CK323" s="186">
        <f t="shared" si="273"/>
        <v>0.75</v>
      </c>
      <c r="CL323" s="189">
        <f>CL324+CL325</f>
        <v>7612.5</v>
      </c>
      <c r="CM323" s="186">
        <f t="shared" si="274"/>
        <v>0.75</v>
      </c>
      <c r="CN323" s="189">
        <f>CN324+CN325</f>
        <v>9642.5</v>
      </c>
      <c r="CO323" s="186">
        <f t="shared" si="275"/>
        <v>0.95</v>
      </c>
      <c r="CP323" s="213" t="str">
        <f t="shared" si="280"/>
        <v>Đạt</v>
      </c>
      <c r="CQ323" s="213" t="str">
        <f t="shared" si="281"/>
        <v>Đạt</v>
      </c>
      <c r="CR323" s="213"/>
      <c r="CS323" s="213"/>
      <c r="CT323" s="231"/>
      <c r="CU323" s="163"/>
      <c r="CW323" s="195"/>
      <c r="CX323" s="196"/>
      <c r="CY323" s="196"/>
      <c r="CZ323" s="197"/>
      <c r="DA323" s="196"/>
      <c r="DB323" s="196"/>
      <c r="DC323" s="196"/>
      <c r="DE323" s="199"/>
      <c r="DF323" s="200"/>
      <c r="DG323" s="181"/>
    </row>
    <row r="324" spans="1:112" s="324" customFormat="1" outlineLevel="1" x14ac:dyDescent="0.25">
      <c r="A324" s="305" t="s">
        <v>34</v>
      </c>
      <c r="B324" s="318" t="s">
        <v>376</v>
      </c>
      <c r="C324" s="306"/>
      <c r="D324" s="307">
        <f>E324+F324</f>
        <v>3000</v>
      </c>
      <c r="E324" s="307"/>
      <c r="F324" s="307">
        <f>G324+H324+K324+M324</f>
        <v>3000</v>
      </c>
      <c r="G324" s="303">
        <v>3000</v>
      </c>
      <c r="H324" s="303"/>
      <c r="I324" s="235"/>
      <c r="J324" s="235"/>
      <c r="K324" s="303"/>
      <c r="L324" s="235"/>
      <c r="M324" s="223"/>
      <c r="N324" s="223"/>
      <c r="O324" s="303">
        <f t="shared" si="289"/>
        <v>3000</v>
      </c>
      <c r="P324" s="303">
        <v>0</v>
      </c>
      <c r="Q324" s="308">
        <f t="shared" si="276"/>
        <v>0</v>
      </c>
      <c r="R324" s="303">
        <v>342</v>
      </c>
      <c r="S324" s="309">
        <v>0.114</v>
      </c>
      <c r="T324" s="309">
        <v>0.12</v>
      </c>
      <c r="U324" s="303">
        <v>380</v>
      </c>
      <c r="V324" s="309">
        <v>0.12666666666666668</v>
      </c>
      <c r="W324" s="309">
        <v>0.13333333333333333</v>
      </c>
      <c r="X324" s="303">
        <v>380</v>
      </c>
      <c r="Y324" s="309">
        <v>0.12666666666666668</v>
      </c>
      <c r="Z324" s="309">
        <v>0.13333333333333333</v>
      </c>
      <c r="AA324" s="303">
        <v>380</v>
      </c>
      <c r="AB324" s="309">
        <v>0.12666666666666668</v>
      </c>
      <c r="AC324" s="309">
        <v>0.13333333333333333</v>
      </c>
      <c r="AD324" s="303">
        <v>380</v>
      </c>
      <c r="AE324" s="309">
        <v>0.12666666666666668</v>
      </c>
      <c r="AF324" s="309">
        <v>0.13333333333333333</v>
      </c>
      <c r="AG324" s="303">
        <v>380</v>
      </c>
      <c r="AH324" s="309">
        <v>0.12666666666666668</v>
      </c>
      <c r="AI324" s="309">
        <v>0.13333333333333333</v>
      </c>
      <c r="AJ324" s="303">
        <v>380</v>
      </c>
      <c r="AK324" s="309">
        <v>0.12666666666666668</v>
      </c>
      <c r="AL324" s="309">
        <v>0.13333333333333333</v>
      </c>
      <c r="AM324" s="303">
        <v>1400</v>
      </c>
      <c r="AN324" s="309">
        <v>0.46666666666666667</v>
      </c>
      <c r="AO324" s="309">
        <v>0.49122807017543857</v>
      </c>
      <c r="AP324" s="309"/>
      <c r="AQ324" s="303">
        <v>1400</v>
      </c>
      <c r="AR324" s="309">
        <v>0.46666666666666667</v>
      </c>
      <c r="AS324" s="309">
        <v>0.49122807017543857</v>
      </c>
      <c r="AT324" s="303">
        <v>1400</v>
      </c>
      <c r="AU324" s="309">
        <v>0.46666666666666667</v>
      </c>
      <c r="AV324" s="309">
        <v>0.49122807017543857</v>
      </c>
      <c r="AW324" s="309"/>
      <c r="AX324" s="309"/>
      <c r="AY324" s="309"/>
      <c r="AZ324" s="309"/>
      <c r="BA324" s="309"/>
      <c r="BB324" s="309"/>
      <c r="BC324" s="303">
        <v>1400</v>
      </c>
      <c r="BD324" s="309">
        <v>0.46666666666666667</v>
      </c>
      <c r="BE324" s="309">
        <v>0.49122807017543857</v>
      </c>
      <c r="BF324" s="303"/>
      <c r="BG324" s="303">
        <v>2662</v>
      </c>
      <c r="BH324" s="309">
        <v>0.88733333333333331</v>
      </c>
      <c r="BI324" s="309">
        <v>0.93403508771929822</v>
      </c>
      <c r="BJ324" s="303">
        <f t="shared" si="277"/>
        <v>2850</v>
      </c>
      <c r="BK324" s="303">
        <v>2850</v>
      </c>
      <c r="BL324" s="309">
        <f t="shared" si="262"/>
        <v>0.95</v>
      </c>
      <c r="BM324" s="309">
        <f t="shared" si="279"/>
        <v>1</v>
      </c>
      <c r="BN324" s="205">
        <f t="shared" si="260"/>
        <v>2470</v>
      </c>
      <c r="BO324" s="205"/>
      <c r="BP324" s="310"/>
      <c r="BQ324" s="308">
        <f t="shared" si="263"/>
        <v>0</v>
      </c>
      <c r="BR324" s="310"/>
      <c r="BS324" s="308">
        <f t="shared" si="264"/>
        <v>0</v>
      </c>
      <c r="BT324" s="310">
        <f>$F324*0.1</f>
        <v>300</v>
      </c>
      <c r="BU324" s="308">
        <f t="shared" si="265"/>
        <v>0.1</v>
      </c>
      <c r="BV324" s="310">
        <f>$F324*0.2</f>
        <v>600</v>
      </c>
      <c r="BW324" s="308">
        <f t="shared" si="266"/>
        <v>0.2</v>
      </c>
      <c r="BX324" s="310">
        <f>$F324*0.3</f>
        <v>900</v>
      </c>
      <c r="BY324" s="308">
        <f t="shared" si="267"/>
        <v>0.3</v>
      </c>
      <c r="BZ324" s="310">
        <f>$F324*0.4</f>
        <v>1200</v>
      </c>
      <c r="CA324" s="308">
        <f t="shared" si="268"/>
        <v>0.4</v>
      </c>
      <c r="CB324" s="310">
        <f>$F324*0.5</f>
        <v>1500</v>
      </c>
      <c r="CC324" s="308">
        <f t="shared" si="269"/>
        <v>0.5</v>
      </c>
      <c r="CD324" s="310">
        <f>$F324*0.55</f>
        <v>1650.0000000000002</v>
      </c>
      <c r="CE324" s="308">
        <f t="shared" si="270"/>
        <v>0.55000000000000004</v>
      </c>
      <c r="CF324" s="310">
        <v>2100</v>
      </c>
      <c r="CG324" s="308">
        <f t="shared" si="271"/>
        <v>0.7</v>
      </c>
      <c r="CH324" s="310">
        <f>$F324*0.7</f>
        <v>2100</v>
      </c>
      <c r="CI324" s="308">
        <f t="shared" si="272"/>
        <v>0.7</v>
      </c>
      <c r="CJ324" s="310">
        <f>$F324*0.75</f>
        <v>2250</v>
      </c>
      <c r="CK324" s="308">
        <f t="shared" si="273"/>
        <v>0.75</v>
      </c>
      <c r="CL324" s="310">
        <f>$F324*0.75</f>
        <v>2250</v>
      </c>
      <c r="CM324" s="308">
        <f t="shared" si="274"/>
        <v>0.75</v>
      </c>
      <c r="CN324" s="310">
        <f>$F324*0.95</f>
        <v>2850</v>
      </c>
      <c r="CO324" s="308">
        <f t="shared" si="275"/>
        <v>0.95</v>
      </c>
      <c r="CP324" s="213" t="str">
        <f t="shared" si="280"/>
        <v>Đạt</v>
      </c>
      <c r="CQ324" s="213" t="str">
        <f t="shared" si="281"/>
        <v>Đạt</v>
      </c>
      <c r="CR324" s="312"/>
      <c r="CS324" s="312"/>
      <c r="CT324" s="235"/>
      <c r="CU324" s="163"/>
      <c r="CV324" s="323"/>
      <c r="CW324" s="195"/>
      <c r="CX324" s="196"/>
      <c r="CY324" s="196"/>
      <c r="CZ324" s="197"/>
      <c r="DA324" s="196"/>
      <c r="DB324" s="196"/>
      <c r="DC324" s="196"/>
      <c r="DE324" s="199"/>
      <c r="DF324" s="200"/>
      <c r="DG324" s="181"/>
    </row>
    <row r="325" spans="1:112" ht="25.5" outlineLevel="1" x14ac:dyDescent="0.25">
      <c r="A325" s="305" t="s">
        <v>34</v>
      </c>
      <c r="B325" s="306" t="s">
        <v>377</v>
      </c>
      <c r="C325" s="306"/>
      <c r="D325" s="307">
        <f>E325+F325</f>
        <v>7150</v>
      </c>
      <c r="E325" s="307"/>
      <c r="F325" s="307">
        <f>G325+H325+K325+M325</f>
        <v>7150</v>
      </c>
      <c r="G325" s="307"/>
      <c r="H325" s="307">
        <v>7150</v>
      </c>
      <c r="I325" s="235"/>
      <c r="J325" s="235"/>
      <c r="K325" s="303"/>
      <c r="L325" s="235"/>
      <c r="M325" s="223"/>
      <c r="N325" s="223"/>
      <c r="O325" s="303"/>
      <c r="P325" s="303">
        <v>0</v>
      </c>
      <c r="Q325" s="308">
        <f t="shared" si="276"/>
        <v>0</v>
      </c>
      <c r="R325" s="303"/>
      <c r="S325" s="309">
        <v>0</v>
      </c>
      <c r="T325" s="309">
        <v>0</v>
      </c>
      <c r="U325" s="303"/>
      <c r="V325" s="309">
        <v>0</v>
      </c>
      <c r="W325" s="309">
        <v>0</v>
      </c>
      <c r="X325" s="303"/>
      <c r="Y325" s="309">
        <v>0</v>
      </c>
      <c r="Z325" s="309">
        <v>0</v>
      </c>
      <c r="AA325" s="303"/>
      <c r="AB325" s="309">
        <v>0</v>
      </c>
      <c r="AC325" s="309">
        <v>0</v>
      </c>
      <c r="AD325" s="303"/>
      <c r="AE325" s="309">
        <v>0</v>
      </c>
      <c r="AF325" s="309">
        <v>0</v>
      </c>
      <c r="AG325" s="303"/>
      <c r="AH325" s="309">
        <v>0</v>
      </c>
      <c r="AI325" s="309">
        <v>0</v>
      </c>
      <c r="AJ325" s="188"/>
      <c r="AK325" s="309">
        <v>0</v>
      </c>
      <c r="AL325" s="309">
        <v>0</v>
      </c>
      <c r="AM325" s="303"/>
      <c r="AN325" s="309">
        <v>0</v>
      </c>
      <c r="AO325" s="309">
        <v>0</v>
      </c>
      <c r="AP325" s="309"/>
      <c r="AQ325" s="303"/>
      <c r="AR325" s="309">
        <v>0</v>
      </c>
      <c r="AS325" s="309">
        <v>0</v>
      </c>
      <c r="AT325" s="303"/>
      <c r="AU325" s="309">
        <v>0</v>
      </c>
      <c r="AV325" s="309">
        <v>0</v>
      </c>
      <c r="AW325" s="309"/>
      <c r="AX325" s="309"/>
      <c r="AY325" s="309"/>
      <c r="AZ325" s="309"/>
      <c r="BA325" s="309"/>
      <c r="BB325" s="309"/>
      <c r="BC325" s="303"/>
      <c r="BD325" s="309">
        <v>0</v>
      </c>
      <c r="BE325" s="309">
        <v>0</v>
      </c>
      <c r="BF325" s="303"/>
      <c r="BG325" s="303">
        <v>1727</v>
      </c>
      <c r="BH325" s="309">
        <v>0.24153846153846154</v>
      </c>
      <c r="BI325" s="309">
        <v>0.25425101214574897</v>
      </c>
      <c r="BJ325" s="303">
        <f t="shared" si="277"/>
        <v>6792.5</v>
      </c>
      <c r="BK325" s="303">
        <v>2001</v>
      </c>
      <c r="BL325" s="309">
        <f t="shared" si="262"/>
        <v>0.27986013986013986</v>
      </c>
      <c r="BM325" s="309">
        <f t="shared" si="279"/>
        <v>0.29458962090541035</v>
      </c>
      <c r="BN325" s="205">
        <f t="shared" si="260"/>
        <v>2001</v>
      </c>
      <c r="BO325" s="205"/>
      <c r="BP325" s="310"/>
      <c r="BQ325" s="308">
        <f t="shared" si="263"/>
        <v>0</v>
      </c>
      <c r="BR325" s="310"/>
      <c r="BS325" s="308">
        <f t="shared" si="264"/>
        <v>0</v>
      </c>
      <c r="BT325" s="310">
        <f>$F325*0.1</f>
        <v>715</v>
      </c>
      <c r="BU325" s="308">
        <f t="shared" si="265"/>
        <v>0.1</v>
      </c>
      <c r="BV325" s="310">
        <f>$F325*0.2</f>
        <v>1430</v>
      </c>
      <c r="BW325" s="308">
        <f t="shared" si="266"/>
        <v>0.2</v>
      </c>
      <c r="BX325" s="310">
        <f>$F325*0.3</f>
        <v>2145</v>
      </c>
      <c r="BY325" s="308">
        <f t="shared" si="267"/>
        <v>0.3</v>
      </c>
      <c r="BZ325" s="310">
        <f>$F325*0.4</f>
        <v>2860</v>
      </c>
      <c r="CA325" s="308">
        <f t="shared" si="268"/>
        <v>0.4</v>
      </c>
      <c r="CB325" s="310">
        <f>$F325*0.5</f>
        <v>3575</v>
      </c>
      <c r="CC325" s="308">
        <f t="shared" si="269"/>
        <v>0.5</v>
      </c>
      <c r="CD325" s="310">
        <f>$F325*0.55</f>
        <v>3932.5000000000005</v>
      </c>
      <c r="CE325" s="308">
        <f t="shared" si="270"/>
        <v>0.55000000000000004</v>
      </c>
      <c r="CF325" s="310">
        <v>5005</v>
      </c>
      <c r="CG325" s="308">
        <f t="shared" si="271"/>
        <v>0.7</v>
      </c>
      <c r="CH325" s="310">
        <f>$F325*0.7</f>
        <v>5005</v>
      </c>
      <c r="CI325" s="308">
        <f t="shared" si="272"/>
        <v>0.7</v>
      </c>
      <c r="CJ325" s="310">
        <f>$F325*0.75</f>
        <v>5362.5</v>
      </c>
      <c r="CK325" s="308">
        <f t="shared" si="273"/>
        <v>0.75</v>
      </c>
      <c r="CL325" s="310">
        <f>$F325*0.75</f>
        <v>5362.5</v>
      </c>
      <c r="CM325" s="308">
        <f t="shared" si="274"/>
        <v>0.75</v>
      </c>
      <c r="CN325" s="310">
        <f>$F325*0.95</f>
        <v>6792.5</v>
      </c>
      <c r="CO325" s="308">
        <f t="shared" si="275"/>
        <v>0.95</v>
      </c>
      <c r="CP325" s="213" t="str">
        <f t="shared" si="280"/>
        <v>Không đạt</v>
      </c>
      <c r="CQ325" s="213" t="str">
        <f t="shared" si="281"/>
        <v>Không đạt</v>
      </c>
      <c r="CR325" s="312"/>
      <c r="CS325" s="312"/>
      <c r="CT325" s="235"/>
      <c r="CU325" s="163"/>
      <c r="CW325" s="195"/>
      <c r="CX325" s="196"/>
      <c r="CY325" s="196"/>
      <c r="CZ325" s="197"/>
      <c r="DA325" s="196"/>
      <c r="DB325" s="196"/>
      <c r="DC325" s="196"/>
      <c r="DE325" s="199"/>
      <c r="DF325" s="200"/>
      <c r="DG325" s="181"/>
    </row>
    <row r="326" spans="1:112" ht="18" customHeight="1" x14ac:dyDescent="0.25">
      <c r="A326" s="213">
        <f>MAX(A$243:A324)+1</f>
        <v>23</v>
      </c>
      <c r="B326" s="240" t="s">
        <v>413</v>
      </c>
      <c r="C326" s="240"/>
      <c r="D326" s="188">
        <f t="shared" ref="D326:I326" si="310">D327+D328</f>
        <v>36100</v>
      </c>
      <c r="E326" s="188">
        <f t="shared" si="310"/>
        <v>0</v>
      </c>
      <c r="F326" s="188">
        <f t="shared" si="310"/>
        <v>36100</v>
      </c>
      <c r="G326" s="188">
        <f t="shared" si="310"/>
        <v>3000</v>
      </c>
      <c r="H326" s="188">
        <f t="shared" si="310"/>
        <v>33100</v>
      </c>
      <c r="I326" s="188">
        <f t="shared" si="310"/>
        <v>0</v>
      </c>
      <c r="J326" s="188"/>
      <c r="K326" s="188">
        <f>K327+K328</f>
        <v>0</v>
      </c>
      <c r="L326" s="188">
        <f>L327+L328</f>
        <v>0</v>
      </c>
      <c r="M326" s="188">
        <f>M327+M328</f>
        <v>0</v>
      </c>
      <c r="N326" s="188">
        <f>N327+N328</f>
        <v>0</v>
      </c>
      <c r="O326" s="188">
        <f>O327+O328</f>
        <v>3000</v>
      </c>
      <c r="P326" s="188">
        <v>0</v>
      </c>
      <c r="Q326" s="186">
        <f t="shared" si="276"/>
        <v>0</v>
      </c>
      <c r="R326" s="188">
        <v>0</v>
      </c>
      <c r="S326" s="185">
        <v>0</v>
      </c>
      <c r="T326" s="185">
        <v>0</v>
      </c>
      <c r="U326" s="188">
        <v>0</v>
      </c>
      <c r="V326" s="185">
        <v>0</v>
      </c>
      <c r="W326" s="185">
        <v>0</v>
      </c>
      <c r="X326" s="188">
        <v>0</v>
      </c>
      <c r="Y326" s="185">
        <v>0</v>
      </c>
      <c r="Z326" s="185">
        <v>0</v>
      </c>
      <c r="AA326" s="188">
        <v>0</v>
      </c>
      <c r="AB326" s="185">
        <v>0</v>
      </c>
      <c r="AC326" s="185">
        <v>0</v>
      </c>
      <c r="AD326" s="188">
        <v>475</v>
      </c>
      <c r="AE326" s="185">
        <v>1.3157894736842105E-2</v>
      </c>
      <c r="AF326" s="185">
        <v>1.3850415512465374E-2</v>
      </c>
      <c r="AG326" s="188">
        <v>475</v>
      </c>
      <c r="AH326" s="185">
        <v>1.3157894736842105E-2</v>
      </c>
      <c r="AI326" s="185">
        <v>1.3850415512465374E-2</v>
      </c>
      <c r="AJ326" s="303">
        <v>475</v>
      </c>
      <c r="AK326" s="185">
        <v>1.3157894736842105E-2</v>
      </c>
      <c r="AL326" s="185">
        <v>1.3850415512465374E-2</v>
      </c>
      <c r="AM326" s="188">
        <v>1719.4</v>
      </c>
      <c r="AN326" s="185">
        <v>4.7628808864265931E-2</v>
      </c>
      <c r="AO326" s="185">
        <v>5.0135588278174666E-2</v>
      </c>
      <c r="AP326" s="185"/>
      <c r="AQ326" s="188">
        <v>2724</v>
      </c>
      <c r="AR326" s="185">
        <v>7.5457063711911354E-2</v>
      </c>
      <c r="AS326" s="185">
        <v>7.9428488117801427E-2</v>
      </c>
      <c r="AT326" s="188">
        <v>3685.6</v>
      </c>
      <c r="AU326" s="185">
        <v>0.10209418282548476</v>
      </c>
      <c r="AV326" s="185">
        <v>0.10746756086893133</v>
      </c>
      <c r="AW326" s="185"/>
      <c r="AX326" s="185"/>
      <c r="AY326" s="185"/>
      <c r="AZ326" s="185"/>
      <c r="BA326" s="185"/>
      <c r="BB326" s="185"/>
      <c r="BC326" s="188">
        <v>3685.6</v>
      </c>
      <c r="BD326" s="185">
        <v>0.10209418282548476</v>
      </c>
      <c r="BE326" s="185">
        <v>0.10746756086893133</v>
      </c>
      <c r="BF326" s="188"/>
      <c r="BG326" s="188">
        <v>12548</v>
      </c>
      <c r="BH326" s="185">
        <v>0.34759002770083103</v>
      </c>
      <c r="BI326" s="185">
        <v>0.36588423968508527</v>
      </c>
      <c r="BJ326" s="188">
        <f t="shared" si="277"/>
        <v>34295</v>
      </c>
      <c r="BK326" s="188">
        <v>16534</v>
      </c>
      <c r="BL326" s="185">
        <f t="shared" si="262"/>
        <v>0.45800554016620498</v>
      </c>
      <c r="BM326" s="185">
        <f t="shared" si="279"/>
        <v>0.48211109491179471</v>
      </c>
      <c r="BN326" s="205">
        <f t="shared" si="260"/>
        <v>16059</v>
      </c>
      <c r="BO326" s="205"/>
      <c r="BP326" s="189">
        <f>BP327+BP328</f>
        <v>0</v>
      </c>
      <c r="BQ326" s="186">
        <f t="shared" si="263"/>
        <v>0</v>
      </c>
      <c r="BR326" s="189">
        <f>BR327+BR328</f>
        <v>0</v>
      </c>
      <c r="BS326" s="186">
        <f t="shared" si="264"/>
        <v>0</v>
      </c>
      <c r="BT326" s="189">
        <f>BT327+BT328</f>
        <v>3610</v>
      </c>
      <c r="BU326" s="186">
        <f t="shared" si="265"/>
        <v>0.1</v>
      </c>
      <c r="BV326" s="189">
        <f>BV327+BV328</f>
        <v>7220</v>
      </c>
      <c r="BW326" s="186">
        <f t="shared" si="266"/>
        <v>0.2</v>
      </c>
      <c r="BX326" s="189">
        <f>BX327+BX328</f>
        <v>10830</v>
      </c>
      <c r="BY326" s="186">
        <f t="shared" si="267"/>
        <v>0.3</v>
      </c>
      <c r="BZ326" s="189">
        <f>BZ327+BZ328</f>
        <v>14440</v>
      </c>
      <c r="CA326" s="186">
        <f t="shared" si="268"/>
        <v>0.4</v>
      </c>
      <c r="CB326" s="189">
        <f>CB327+CB328</f>
        <v>18050</v>
      </c>
      <c r="CC326" s="186">
        <f t="shared" si="269"/>
        <v>0.5</v>
      </c>
      <c r="CD326" s="189">
        <f>CD327+CD328</f>
        <v>19855</v>
      </c>
      <c r="CE326" s="186">
        <f t="shared" si="270"/>
        <v>0.55000000000000004</v>
      </c>
      <c r="CF326" s="189">
        <f>CF327+CF328</f>
        <v>25270</v>
      </c>
      <c r="CG326" s="186">
        <f t="shared" si="271"/>
        <v>0.7</v>
      </c>
      <c r="CH326" s="189">
        <f>CH327+CH328</f>
        <v>25270</v>
      </c>
      <c r="CI326" s="186">
        <f t="shared" si="272"/>
        <v>0.7</v>
      </c>
      <c r="CJ326" s="189">
        <f>CJ327+CJ328</f>
        <v>27075</v>
      </c>
      <c r="CK326" s="186">
        <f t="shared" si="273"/>
        <v>0.75</v>
      </c>
      <c r="CL326" s="189">
        <f>CL327+CL328</f>
        <v>27075</v>
      </c>
      <c r="CM326" s="186">
        <f t="shared" si="274"/>
        <v>0.75</v>
      </c>
      <c r="CN326" s="189">
        <f>CN327+CN328</f>
        <v>34295</v>
      </c>
      <c r="CO326" s="186">
        <f t="shared" si="275"/>
        <v>0.95</v>
      </c>
      <c r="CP326" s="213" t="str">
        <f t="shared" si="280"/>
        <v>Đạt</v>
      </c>
      <c r="CQ326" s="213" t="str">
        <f t="shared" si="281"/>
        <v>Đạt</v>
      </c>
      <c r="CR326" s="213"/>
      <c r="CS326" s="213"/>
      <c r="CT326" s="231"/>
      <c r="CU326" s="163"/>
      <c r="CW326" s="195"/>
      <c r="CX326" s="196"/>
      <c r="CY326" s="196"/>
      <c r="CZ326" s="197"/>
      <c r="DA326" s="196"/>
      <c r="DB326" s="196"/>
      <c r="DC326" s="196"/>
      <c r="DE326" s="199"/>
      <c r="DF326" s="200"/>
      <c r="DG326" s="181"/>
    </row>
    <row r="327" spans="1:112" s="324" customFormat="1" outlineLevel="1" x14ac:dyDescent="0.25">
      <c r="A327" s="305" t="s">
        <v>34</v>
      </c>
      <c r="B327" s="318" t="s">
        <v>376</v>
      </c>
      <c r="C327" s="306"/>
      <c r="D327" s="307">
        <f>E327+F327</f>
        <v>3000</v>
      </c>
      <c r="E327" s="307"/>
      <c r="F327" s="307">
        <f>G327+H327+K327+M327</f>
        <v>3000</v>
      </c>
      <c r="G327" s="303">
        <v>3000</v>
      </c>
      <c r="H327" s="303"/>
      <c r="I327" s="235"/>
      <c r="J327" s="235"/>
      <c r="K327" s="303"/>
      <c r="L327" s="235"/>
      <c r="M327" s="223"/>
      <c r="N327" s="223"/>
      <c r="O327" s="303">
        <f t="shared" si="289"/>
        <v>3000</v>
      </c>
      <c r="P327" s="303">
        <v>0</v>
      </c>
      <c r="Q327" s="308">
        <f t="shared" si="276"/>
        <v>0</v>
      </c>
      <c r="R327" s="303"/>
      <c r="S327" s="309">
        <v>0</v>
      </c>
      <c r="T327" s="309">
        <v>0</v>
      </c>
      <c r="U327" s="303"/>
      <c r="V327" s="309">
        <v>0</v>
      </c>
      <c r="W327" s="309">
        <v>0</v>
      </c>
      <c r="X327" s="303"/>
      <c r="Y327" s="309">
        <v>0</v>
      </c>
      <c r="Z327" s="309">
        <v>0</v>
      </c>
      <c r="AA327" s="303"/>
      <c r="AB327" s="309">
        <v>0</v>
      </c>
      <c r="AC327" s="309">
        <v>0</v>
      </c>
      <c r="AD327" s="303">
        <v>475</v>
      </c>
      <c r="AE327" s="309">
        <v>0.15833333333333333</v>
      </c>
      <c r="AF327" s="309">
        <v>0.16666666666666666</v>
      </c>
      <c r="AG327" s="303">
        <v>475</v>
      </c>
      <c r="AH327" s="309">
        <v>0.15833333333333333</v>
      </c>
      <c r="AI327" s="309">
        <v>0.16666666666666666</v>
      </c>
      <c r="AJ327" s="303">
        <v>475</v>
      </c>
      <c r="AK327" s="309">
        <v>0.15833333333333333</v>
      </c>
      <c r="AL327" s="309">
        <v>0.16666666666666666</v>
      </c>
      <c r="AM327" s="303">
        <v>1719.4</v>
      </c>
      <c r="AN327" s="309">
        <v>0.57313333333333338</v>
      </c>
      <c r="AO327" s="309">
        <v>0.60329824561403511</v>
      </c>
      <c r="AP327" s="309"/>
      <c r="AQ327" s="303">
        <v>2724</v>
      </c>
      <c r="AR327" s="309">
        <v>0.90800000000000003</v>
      </c>
      <c r="AS327" s="309">
        <v>0.95578947368421052</v>
      </c>
      <c r="AT327" s="303">
        <v>2850</v>
      </c>
      <c r="AU327" s="309">
        <v>0.95</v>
      </c>
      <c r="AV327" s="309">
        <v>1</v>
      </c>
      <c r="AW327" s="309"/>
      <c r="AX327" s="309"/>
      <c r="AY327" s="309"/>
      <c r="AZ327" s="309"/>
      <c r="BA327" s="309"/>
      <c r="BB327" s="309"/>
      <c r="BC327" s="303">
        <v>2850</v>
      </c>
      <c r="BD327" s="309">
        <v>0.95</v>
      </c>
      <c r="BE327" s="309">
        <v>1</v>
      </c>
      <c r="BF327" s="303"/>
      <c r="BG327" s="303">
        <v>2410</v>
      </c>
      <c r="BH327" s="309">
        <v>0.80333333333333334</v>
      </c>
      <c r="BI327" s="309">
        <v>0.84561403508771926</v>
      </c>
      <c r="BJ327" s="303">
        <f t="shared" si="277"/>
        <v>2850</v>
      </c>
      <c r="BK327" s="303">
        <v>2410</v>
      </c>
      <c r="BL327" s="309">
        <f t="shared" si="262"/>
        <v>0.80333333333333334</v>
      </c>
      <c r="BM327" s="309">
        <f t="shared" si="279"/>
        <v>0.84561403508771926</v>
      </c>
      <c r="BN327" s="205">
        <f t="shared" si="260"/>
        <v>1935</v>
      </c>
      <c r="BO327" s="205"/>
      <c r="BP327" s="310"/>
      <c r="BQ327" s="308">
        <f t="shared" si="263"/>
        <v>0</v>
      </c>
      <c r="BR327" s="310"/>
      <c r="BS327" s="308">
        <f t="shared" si="264"/>
        <v>0</v>
      </c>
      <c r="BT327" s="310">
        <f>$F327*0.1</f>
        <v>300</v>
      </c>
      <c r="BU327" s="308">
        <f t="shared" si="265"/>
        <v>0.1</v>
      </c>
      <c r="BV327" s="310">
        <f>$F327*0.2</f>
        <v>600</v>
      </c>
      <c r="BW327" s="308">
        <f t="shared" si="266"/>
        <v>0.2</v>
      </c>
      <c r="BX327" s="310">
        <f>$F327*0.3</f>
        <v>900</v>
      </c>
      <c r="BY327" s="308">
        <f t="shared" si="267"/>
        <v>0.3</v>
      </c>
      <c r="BZ327" s="310">
        <f>$F327*0.4</f>
        <v>1200</v>
      </c>
      <c r="CA327" s="308">
        <f t="shared" si="268"/>
        <v>0.4</v>
      </c>
      <c r="CB327" s="310">
        <f>$F327*0.5</f>
        <v>1500</v>
      </c>
      <c r="CC327" s="308">
        <f t="shared" si="269"/>
        <v>0.5</v>
      </c>
      <c r="CD327" s="310">
        <f>$F327*0.55</f>
        <v>1650.0000000000002</v>
      </c>
      <c r="CE327" s="308">
        <f t="shared" si="270"/>
        <v>0.55000000000000004</v>
      </c>
      <c r="CF327" s="310">
        <v>2100</v>
      </c>
      <c r="CG327" s="308">
        <f t="shared" si="271"/>
        <v>0.7</v>
      </c>
      <c r="CH327" s="310">
        <f>$F327*0.7</f>
        <v>2100</v>
      </c>
      <c r="CI327" s="308">
        <f t="shared" si="272"/>
        <v>0.7</v>
      </c>
      <c r="CJ327" s="310">
        <f>$F327*0.75</f>
        <v>2250</v>
      </c>
      <c r="CK327" s="308">
        <f t="shared" si="273"/>
        <v>0.75</v>
      </c>
      <c r="CL327" s="310">
        <f>$F327*0.75</f>
        <v>2250</v>
      </c>
      <c r="CM327" s="308">
        <f t="shared" si="274"/>
        <v>0.75</v>
      </c>
      <c r="CN327" s="310">
        <f>$F327*0.95</f>
        <v>2850</v>
      </c>
      <c r="CO327" s="308">
        <f t="shared" si="275"/>
        <v>0.95</v>
      </c>
      <c r="CP327" s="213" t="str">
        <f t="shared" si="280"/>
        <v>Đạt</v>
      </c>
      <c r="CQ327" s="213" t="str">
        <f t="shared" si="281"/>
        <v>Đạt</v>
      </c>
      <c r="CR327" s="312"/>
      <c r="CS327" s="312"/>
      <c r="CT327" s="235"/>
      <c r="CU327" s="163"/>
      <c r="CV327" s="323"/>
      <c r="CW327" s="195"/>
      <c r="CX327" s="196"/>
      <c r="CY327" s="196"/>
      <c r="CZ327" s="197"/>
      <c r="DA327" s="196"/>
      <c r="DB327" s="196"/>
      <c r="DC327" s="196"/>
      <c r="DE327" s="199"/>
      <c r="DF327" s="200"/>
      <c r="DG327" s="181"/>
      <c r="DH327" s="337"/>
    </row>
    <row r="328" spans="1:112" ht="25.5" outlineLevel="1" x14ac:dyDescent="0.25">
      <c r="A328" s="305" t="s">
        <v>34</v>
      </c>
      <c r="B328" s="306" t="s">
        <v>377</v>
      </c>
      <c r="C328" s="306"/>
      <c r="D328" s="307">
        <f>E328+F328</f>
        <v>33100</v>
      </c>
      <c r="E328" s="307"/>
      <c r="F328" s="307">
        <f>G328+H328+K328+M328</f>
        <v>33100</v>
      </c>
      <c r="G328" s="307"/>
      <c r="H328" s="307">
        <v>33100</v>
      </c>
      <c r="I328" s="235"/>
      <c r="J328" s="235"/>
      <c r="K328" s="303"/>
      <c r="L328" s="235"/>
      <c r="M328" s="223"/>
      <c r="N328" s="223"/>
      <c r="O328" s="303"/>
      <c r="P328" s="303">
        <v>0</v>
      </c>
      <c r="Q328" s="308">
        <f t="shared" si="276"/>
        <v>0</v>
      </c>
      <c r="R328" s="303"/>
      <c r="S328" s="309">
        <v>0</v>
      </c>
      <c r="T328" s="309">
        <v>0</v>
      </c>
      <c r="U328" s="303"/>
      <c r="V328" s="309">
        <v>0</v>
      </c>
      <c r="W328" s="309">
        <v>0</v>
      </c>
      <c r="X328" s="303"/>
      <c r="Y328" s="309">
        <v>0</v>
      </c>
      <c r="Z328" s="309">
        <v>0</v>
      </c>
      <c r="AA328" s="303"/>
      <c r="AB328" s="309">
        <v>0</v>
      </c>
      <c r="AC328" s="309">
        <v>0</v>
      </c>
      <c r="AD328" s="303"/>
      <c r="AE328" s="309">
        <v>0</v>
      </c>
      <c r="AF328" s="309">
        <v>0</v>
      </c>
      <c r="AG328" s="303"/>
      <c r="AH328" s="309">
        <v>0</v>
      </c>
      <c r="AI328" s="309">
        <v>0</v>
      </c>
      <c r="AJ328" s="188"/>
      <c r="AK328" s="309">
        <v>0</v>
      </c>
      <c r="AL328" s="309">
        <v>0</v>
      </c>
      <c r="AM328" s="303"/>
      <c r="AN328" s="309">
        <v>0</v>
      </c>
      <c r="AO328" s="309">
        <v>0</v>
      </c>
      <c r="AP328" s="309"/>
      <c r="AQ328" s="303"/>
      <c r="AR328" s="309">
        <v>0</v>
      </c>
      <c r="AS328" s="309">
        <v>0</v>
      </c>
      <c r="AT328" s="303">
        <v>835.59999999999991</v>
      </c>
      <c r="AU328" s="309">
        <v>2.5244712990936554E-2</v>
      </c>
      <c r="AV328" s="309">
        <v>2.6573382095722686E-2</v>
      </c>
      <c r="AW328" s="309"/>
      <c r="AX328" s="309"/>
      <c r="AY328" s="309"/>
      <c r="AZ328" s="309"/>
      <c r="BA328" s="309"/>
      <c r="BB328" s="309"/>
      <c r="BC328" s="303">
        <v>835.59999999999991</v>
      </c>
      <c r="BD328" s="309">
        <v>2.5244712990936554E-2</v>
      </c>
      <c r="BE328" s="309">
        <v>2.6573382095722686E-2</v>
      </c>
      <c r="BF328" s="303"/>
      <c r="BG328" s="303">
        <v>10138</v>
      </c>
      <c r="BH328" s="309">
        <v>0.30628398791540784</v>
      </c>
      <c r="BI328" s="309">
        <v>0.32240419780569246</v>
      </c>
      <c r="BJ328" s="303">
        <f t="shared" si="277"/>
        <v>31445</v>
      </c>
      <c r="BK328" s="303">
        <v>12806.286800000002</v>
      </c>
      <c r="BL328" s="309">
        <f t="shared" si="262"/>
        <v>0.38689688217522666</v>
      </c>
      <c r="BM328" s="309">
        <f t="shared" si="279"/>
        <v>0.40725987597392277</v>
      </c>
      <c r="BN328" s="205">
        <f t="shared" si="260"/>
        <v>12806.286800000002</v>
      </c>
      <c r="BO328" s="205"/>
      <c r="BP328" s="310"/>
      <c r="BQ328" s="308">
        <f t="shared" si="263"/>
        <v>0</v>
      </c>
      <c r="BR328" s="310"/>
      <c r="BS328" s="308">
        <f t="shared" si="264"/>
        <v>0</v>
      </c>
      <c r="BT328" s="310">
        <f>$F328*0.1</f>
        <v>3310</v>
      </c>
      <c r="BU328" s="308">
        <f t="shared" si="265"/>
        <v>0.1</v>
      </c>
      <c r="BV328" s="310">
        <f>$F328*0.2</f>
        <v>6620</v>
      </c>
      <c r="BW328" s="308">
        <f t="shared" si="266"/>
        <v>0.2</v>
      </c>
      <c r="BX328" s="310">
        <f>$F328*0.3</f>
        <v>9930</v>
      </c>
      <c r="BY328" s="308">
        <f t="shared" si="267"/>
        <v>0.3</v>
      </c>
      <c r="BZ328" s="310">
        <f>$F328*0.4</f>
        <v>13240</v>
      </c>
      <c r="CA328" s="308">
        <f t="shared" si="268"/>
        <v>0.4</v>
      </c>
      <c r="CB328" s="310">
        <f>$F328*0.5</f>
        <v>16550</v>
      </c>
      <c r="CC328" s="308">
        <f t="shared" si="269"/>
        <v>0.5</v>
      </c>
      <c r="CD328" s="310">
        <f>$F328*0.55</f>
        <v>18205</v>
      </c>
      <c r="CE328" s="308">
        <f t="shared" si="270"/>
        <v>0.55000000000000004</v>
      </c>
      <c r="CF328" s="310">
        <v>23170</v>
      </c>
      <c r="CG328" s="308">
        <f t="shared" si="271"/>
        <v>0.7</v>
      </c>
      <c r="CH328" s="310">
        <f>$F328*0.7</f>
        <v>23170</v>
      </c>
      <c r="CI328" s="308">
        <f t="shared" si="272"/>
        <v>0.7</v>
      </c>
      <c r="CJ328" s="310">
        <f>$F328*0.75</f>
        <v>24825</v>
      </c>
      <c r="CK328" s="308">
        <f t="shared" si="273"/>
        <v>0.75</v>
      </c>
      <c r="CL328" s="310">
        <f>$F328*0.75</f>
        <v>24825</v>
      </c>
      <c r="CM328" s="308">
        <f t="shared" si="274"/>
        <v>0.75</v>
      </c>
      <c r="CN328" s="310">
        <f>$F328*0.95</f>
        <v>31445</v>
      </c>
      <c r="CO328" s="308">
        <f t="shared" si="275"/>
        <v>0.95</v>
      </c>
      <c r="CP328" s="213" t="str">
        <f t="shared" si="280"/>
        <v>Đạt</v>
      </c>
      <c r="CQ328" s="213" t="str">
        <f t="shared" si="281"/>
        <v>Không đạt</v>
      </c>
      <c r="CR328" s="312"/>
      <c r="CS328" s="312"/>
      <c r="CT328" s="235"/>
      <c r="CU328" s="163"/>
      <c r="CW328" s="195"/>
      <c r="CX328" s="196"/>
      <c r="CY328" s="196"/>
      <c r="CZ328" s="197"/>
      <c r="DA328" s="196"/>
      <c r="DB328" s="196"/>
      <c r="DC328" s="196"/>
      <c r="DE328" s="199"/>
      <c r="DF328" s="200"/>
      <c r="DG328" s="181"/>
      <c r="DH328" s="338"/>
    </row>
    <row r="329" spans="1:112" ht="18" customHeight="1" x14ac:dyDescent="0.25">
      <c r="A329" s="316">
        <f>MAX(A$243:A327)+1</f>
        <v>24</v>
      </c>
      <c r="B329" s="240" t="s">
        <v>414</v>
      </c>
      <c r="C329" s="240"/>
      <c r="D329" s="188">
        <f t="shared" ref="D329:I329" si="311">D330+D331</f>
        <v>6200</v>
      </c>
      <c r="E329" s="188">
        <f t="shared" si="311"/>
        <v>0</v>
      </c>
      <c r="F329" s="188">
        <f t="shared" si="311"/>
        <v>6200</v>
      </c>
      <c r="G329" s="188">
        <f t="shared" si="311"/>
        <v>3000</v>
      </c>
      <c r="H329" s="188">
        <f t="shared" si="311"/>
        <v>3200</v>
      </c>
      <c r="I329" s="188">
        <f t="shared" si="311"/>
        <v>0</v>
      </c>
      <c r="J329" s="188"/>
      <c r="K329" s="188">
        <f>K330+K331</f>
        <v>0</v>
      </c>
      <c r="L329" s="188">
        <f>L330+L331</f>
        <v>0</v>
      </c>
      <c r="M329" s="188">
        <f>M330+M331</f>
        <v>0</v>
      </c>
      <c r="N329" s="188">
        <f>N330+N331</f>
        <v>0</v>
      </c>
      <c r="O329" s="188">
        <f>O330+O331</f>
        <v>3000</v>
      </c>
      <c r="P329" s="188">
        <v>0</v>
      </c>
      <c r="Q329" s="186">
        <f t="shared" si="276"/>
        <v>0</v>
      </c>
      <c r="R329" s="188">
        <v>0</v>
      </c>
      <c r="S329" s="185">
        <v>0</v>
      </c>
      <c r="T329" s="185">
        <v>0</v>
      </c>
      <c r="U329" s="188">
        <v>0</v>
      </c>
      <c r="V329" s="185">
        <v>0</v>
      </c>
      <c r="W329" s="185">
        <v>0</v>
      </c>
      <c r="X329" s="188">
        <v>0</v>
      </c>
      <c r="Y329" s="185">
        <v>0</v>
      </c>
      <c r="Z329" s="185">
        <v>0</v>
      </c>
      <c r="AA329" s="188">
        <v>0</v>
      </c>
      <c r="AB329" s="185">
        <v>0</v>
      </c>
      <c r="AC329" s="185">
        <v>0</v>
      </c>
      <c r="AD329" s="188">
        <v>0</v>
      </c>
      <c r="AE329" s="185">
        <v>0</v>
      </c>
      <c r="AF329" s="185">
        <v>0</v>
      </c>
      <c r="AG329" s="188">
        <v>0</v>
      </c>
      <c r="AH329" s="185">
        <v>0</v>
      </c>
      <c r="AI329" s="185">
        <v>0</v>
      </c>
      <c r="AJ329" s="303">
        <v>0</v>
      </c>
      <c r="AK329" s="185">
        <v>0</v>
      </c>
      <c r="AL329" s="185">
        <v>0</v>
      </c>
      <c r="AM329" s="188">
        <v>2609</v>
      </c>
      <c r="AN329" s="185">
        <v>0.4208064516129032</v>
      </c>
      <c r="AO329" s="185">
        <v>0.44295415959252971</v>
      </c>
      <c r="AP329" s="185"/>
      <c r="AQ329" s="188">
        <v>2609</v>
      </c>
      <c r="AR329" s="185">
        <v>0.4208064516129032</v>
      </c>
      <c r="AS329" s="185">
        <v>0.44295415959252971</v>
      </c>
      <c r="AT329" s="188">
        <v>2609.4</v>
      </c>
      <c r="AU329" s="185">
        <v>0.4208709677419355</v>
      </c>
      <c r="AV329" s="185">
        <v>0.44302207130730054</v>
      </c>
      <c r="AW329" s="185"/>
      <c r="AX329" s="185"/>
      <c r="AY329" s="185"/>
      <c r="AZ329" s="185"/>
      <c r="BA329" s="185"/>
      <c r="BB329" s="185"/>
      <c r="BC329" s="188">
        <v>2609.4</v>
      </c>
      <c r="BD329" s="185">
        <v>0.4208709677419355</v>
      </c>
      <c r="BE329" s="185">
        <v>0.44302207130730054</v>
      </c>
      <c r="BF329" s="188"/>
      <c r="BG329" s="188">
        <v>2764</v>
      </c>
      <c r="BH329" s="185">
        <v>0.44580645161290322</v>
      </c>
      <c r="BI329" s="185">
        <v>0.46926994906621394</v>
      </c>
      <c r="BJ329" s="188">
        <f t="shared" si="277"/>
        <v>5890</v>
      </c>
      <c r="BK329" s="188">
        <v>2957</v>
      </c>
      <c r="BL329" s="185">
        <f t="shared" si="262"/>
        <v>0.47693548387096774</v>
      </c>
      <c r="BM329" s="185">
        <f t="shared" si="279"/>
        <v>0.50203735144312389</v>
      </c>
      <c r="BN329" s="205">
        <f t="shared" si="260"/>
        <v>2957</v>
      </c>
      <c r="BO329" s="205"/>
      <c r="BP329" s="189">
        <f>BP330+BP331</f>
        <v>0</v>
      </c>
      <c r="BQ329" s="186">
        <f t="shared" si="263"/>
        <v>0</v>
      </c>
      <c r="BR329" s="189">
        <f>BR330+BR331</f>
        <v>0</v>
      </c>
      <c r="BS329" s="186">
        <f t="shared" si="264"/>
        <v>0</v>
      </c>
      <c r="BT329" s="189">
        <f>BT330+BT331</f>
        <v>0</v>
      </c>
      <c r="BU329" s="186">
        <f t="shared" si="265"/>
        <v>0</v>
      </c>
      <c r="BV329" s="189">
        <f>BV330+BV331</f>
        <v>1860</v>
      </c>
      <c r="BW329" s="186">
        <f t="shared" si="266"/>
        <v>0.3</v>
      </c>
      <c r="BX329" s="189">
        <f>BX330+BX331</f>
        <v>2056</v>
      </c>
      <c r="BY329" s="186">
        <f t="shared" si="267"/>
        <v>0.33161290322580644</v>
      </c>
      <c r="BZ329" s="189">
        <f>BZ330+BZ331</f>
        <v>3100</v>
      </c>
      <c r="CA329" s="186">
        <f t="shared" si="268"/>
        <v>0.5</v>
      </c>
      <c r="CB329" s="189">
        <f>CB330+CB331</f>
        <v>3524</v>
      </c>
      <c r="CC329" s="186">
        <f t="shared" si="269"/>
        <v>0.56838709677419352</v>
      </c>
      <c r="CD329" s="189">
        <f>CD330+CD331</f>
        <v>4536</v>
      </c>
      <c r="CE329" s="186">
        <f t="shared" si="270"/>
        <v>0.73161290322580641</v>
      </c>
      <c r="CF329" s="189">
        <f>CF330+CF331</f>
        <v>5156</v>
      </c>
      <c r="CG329" s="186">
        <f t="shared" si="271"/>
        <v>0.8316129032258065</v>
      </c>
      <c r="CH329" s="189">
        <f>CH330+CH331</f>
        <v>5890</v>
      </c>
      <c r="CI329" s="186">
        <f t="shared" si="272"/>
        <v>0.95</v>
      </c>
      <c r="CJ329" s="189">
        <f>CJ330+CJ331</f>
        <v>5890</v>
      </c>
      <c r="CK329" s="186">
        <f t="shared" si="273"/>
        <v>0.95</v>
      </c>
      <c r="CL329" s="189">
        <f>CL330+CL331</f>
        <v>5890</v>
      </c>
      <c r="CM329" s="186">
        <f t="shared" si="274"/>
        <v>0.95</v>
      </c>
      <c r="CN329" s="189">
        <f>CN330+CN331</f>
        <v>5890</v>
      </c>
      <c r="CO329" s="186">
        <f t="shared" si="275"/>
        <v>0.95</v>
      </c>
      <c r="CP329" s="213" t="str">
        <f t="shared" si="280"/>
        <v>Đạt</v>
      </c>
      <c r="CQ329" s="213" t="str">
        <f t="shared" si="281"/>
        <v>Đạt</v>
      </c>
      <c r="CR329" s="213"/>
      <c r="CS329" s="213"/>
      <c r="CT329" s="231"/>
      <c r="CU329" s="163"/>
      <c r="CW329" s="195"/>
      <c r="CX329" s="196"/>
      <c r="CY329" s="196"/>
      <c r="CZ329" s="197"/>
      <c r="DA329" s="196"/>
      <c r="DB329" s="196"/>
      <c r="DC329" s="196"/>
      <c r="DE329" s="199"/>
      <c r="DF329" s="200"/>
      <c r="DG329" s="181"/>
    </row>
    <row r="330" spans="1:112" s="324" customFormat="1" outlineLevel="1" x14ac:dyDescent="0.25">
      <c r="A330" s="305" t="s">
        <v>34</v>
      </c>
      <c r="B330" s="318" t="s">
        <v>376</v>
      </c>
      <c r="C330" s="306"/>
      <c r="D330" s="307">
        <f>E330+F330</f>
        <v>3000</v>
      </c>
      <c r="E330" s="307"/>
      <c r="F330" s="307">
        <f>G330+H330+K330+M330</f>
        <v>3000</v>
      </c>
      <c r="G330" s="303">
        <v>3000</v>
      </c>
      <c r="H330" s="303"/>
      <c r="I330" s="235"/>
      <c r="J330" s="235"/>
      <c r="K330" s="303"/>
      <c r="L330" s="235"/>
      <c r="M330" s="223"/>
      <c r="N330" s="223"/>
      <c r="O330" s="303">
        <f t="shared" si="289"/>
        <v>3000</v>
      </c>
      <c r="P330" s="303">
        <v>0</v>
      </c>
      <c r="Q330" s="308">
        <f t="shared" si="276"/>
        <v>0</v>
      </c>
      <c r="R330" s="303"/>
      <c r="S330" s="313">
        <v>0</v>
      </c>
      <c r="T330" s="313">
        <v>0</v>
      </c>
      <c r="U330" s="303"/>
      <c r="V330" s="313">
        <v>0</v>
      </c>
      <c r="W330" s="313">
        <v>0</v>
      </c>
      <c r="X330" s="303"/>
      <c r="Y330" s="313">
        <v>0</v>
      </c>
      <c r="Z330" s="313">
        <v>0</v>
      </c>
      <c r="AA330" s="303"/>
      <c r="AB330" s="313">
        <v>0</v>
      </c>
      <c r="AC330" s="313">
        <v>0</v>
      </c>
      <c r="AD330" s="303"/>
      <c r="AE330" s="313">
        <v>0</v>
      </c>
      <c r="AF330" s="313">
        <v>0</v>
      </c>
      <c r="AG330" s="303"/>
      <c r="AH330" s="313">
        <v>0</v>
      </c>
      <c r="AI330" s="313">
        <v>0</v>
      </c>
      <c r="AJ330" s="303"/>
      <c r="AK330" s="313">
        <v>0</v>
      </c>
      <c r="AL330" s="313">
        <v>0</v>
      </c>
      <c r="AM330" s="303">
        <v>2489</v>
      </c>
      <c r="AN330" s="313">
        <v>0.82966666666666666</v>
      </c>
      <c r="AO330" s="313">
        <v>0.87333333333333329</v>
      </c>
      <c r="AP330" s="313"/>
      <c r="AQ330" s="303">
        <v>2489</v>
      </c>
      <c r="AR330" s="313">
        <v>0.82966666666666666</v>
      </c>
      <c r="AS330" s="313">
        <v>0.87333333333333329</v>
      </c>
      <c r="AT330" s="303">
        <v>2489.4</v>
      </c>
      <c r="AU330" s="313">
        <v>0.82979999999999998</v>
      </c>
      <c r="AV330" s="313">
        <v>0.8734736842105264</v>
      </c>
      <c r="AW330" s="313"/>
      <c r="AX330" s="313"/>
      <c r="AY330" s="313"/>
      <c r="AZ330" s="313"/>
      <c r="BA330" s="313"/>
      <c r="BB330" s="313"/>
      <c r="BC330" s="303">
        <v>2489.4</v>
      </c>
      <c r="BD330" s="313">
        <v>0.82979999999999998</v>
      </c>
      <c r="BE330" s="313">
        <v>0.8734736842105264</v>
      </c>
      <c r="BF330" s="303"/>
      <c r="BG330" s="303">
        <v>2644</v>
      </c>
      <c r="BH330" s="313">
        <v>0.8813333333333333</v>
      </c>
      <c r="BI330" s="313">
        <v>0.92771929824561405</v>
      </c>
      <c r="BJ330" s="303">
        <f t="shared" si="277"/>
        <v>2850</v>
      </c>
      <c r="BK330" s="303">
        <v>2643.7345</v>
      </c>
      <c r="BL330" s="313">
        <f t="shared" si="262"/>
        <v>0.88124483333333337</v>
      </c>
      <c r="BM330" s="313">
        <f t="shared" si="279"/>
        <v>0.9276261403508772</v>
      </c>
      <c r="BN330" s="205">
        <f t="shared" si="260"/>
        <v>2643.7345</v>
      </c>
      <c r="BO330" s="205"/>
      <c r="BP330" s="310"/>
      <c r="BQ330" s="311">
        <f t="shared" si="263"/>
        <v>0</v>
      </c>
      <c r="BR330" s="310"/>
      <c r="BS330" s="311">
        <f t="shared" si="264"/>
        <v>0</v>
      </c>
      <c r="BT330" s="310"/>
      <c r="BU330" s="308">
        <f t="shared" si="265"/>
        <v>0</v>
      </c>
      <c r="BV330" s="310">
        <v>900</v>
      </c>
      <c r="BW330" s="311">
        <f t="shared" si="266"/>
        <v>0.3</v>
      </c>
      <c r="BX330" s="310">
        <v>1000</v>
      </c>
      <c r="BY330" s="311">
        <f t="shared" si="267"/>
        <v>0.33333333333333331</v>
      </c>
      <c r="BZ330" s="310">
        <v>1500</v>
      </c>
      <c r="CA330" s="311">
        <f t="shared" si="268"/>
        <v>0.5</v>
      </c>
      <c r="CB330" s="310">
        <v>1700</v>
      </c>
      <c r="CC330" s="311">
        <f t="shared" si="269"/>
        <v>0.56666666666666665</v>
      </c>
      <c r="CD330" s="310">
        <v>2200</v>
      </c>
      <c r="CE330" s="311">
        <f t="shared" si="270"/>
        <v>0.73333333333333328</v>
      </c>
      <c r="CF330" s="310">
        <v>2500</v>
      </c>
      <c r="CG330" s="311">
        <f t="shared" si="271"/>
        <v>0.83333333333333337</v>
      </c>
      <c r="CH330" s="310">
        <v>2850</v>
      </c>
      <c r="CI330" s="311">
        <f t="shared" si="272"/>
        <v>0.95</v>
      </c>
      <c r="CJ330" s="310">
        <v>2850</v>
      </c>
      <c r="CK330" s="311">
        <f t="shared" si="273"/>
        <v>0.95</v>
      </c>
      <c r="CL330" s="310">
        <v>2850</v>
      </c>
      <c r="CM330" s="311">
        <f t="shared" si="274"/>
        <v>0.95</v>
      </c>
      <c r="CN330" s="310">
        <v>2850</v>
      </c>
      <c r="CO330" s="311">
        <f t="shared" si="275"/>
        <v>0.95</v>
      </c>
      <c r="CP330" s="213" t="str">
        <f t="shared" si="280"/>
        <v>Đạt</v>
      </c>
      <c r="CQ330" s="213" t="str">
        <f t="shared" si="281"/>
        <v>Đạt</v>
      </c>
      <c r="CR330" s="312"/>
      <c r="CS330" s="312"/>
      <c r="CT330" s="235"/>
      <c r="CU330" s="163"/>
      <c r="CV330" s="323"/>
      <c r="CW330" s="195"/>
      <c r="CX330" s="196"/>
      <c r="CY330" s="196"/>
      <c r="CZ330" s="197"/>
      <c r="DA330" s="196"/>
      <c r="DB330" s="196"/>
      <c r="DC330" s="196"/>
      <c r="DE330" s="199"/>
      <c r="DF330" s="200"/>
      <c r="DG330" s="181"/>
    </row>
    <row r="331" spans="1:112" ht="25.5" outlineLevel="1" x14ac:dyDescent="0.25">
      <c r="A331" s="305" t="s">
        <v>34</v>
      </c>
      <c r="B331" s="306" t="s">
        <v>377</v>
      </c>
      <c r="C331" s="306"/>
      <c r="D331" s="307">
        <f>E331+F331</f>
        <v>3200</v>
      </c>
      <c r="E331" s="307"/>
      <c r="F331" s="307">
        <f>G331+H331+K331+M331</f>
        <v>3200</v>
      </c>
      <c r="G331" s="307"/>
      <c r="H331" s="307">
        <v>3200</v>
      </c>
      <c r="I331" s="235"/>
      <c r="J331" s="235"/>
      <c r="K331" s="303"/>
      <c r="L331" s="235"/>
      <c r="M331" s="223"/>
      <c r="N331" s="223"/>
      <c r="O331" s="303"/>
      <c r="P331" s="303">
        <v>0</v>
      </c>
      <c r="Q331" s="308">
        <f t="shared" si="276"/>
        <v>0</v>
      </c>
      <c r="R331" s="303"/>
      <c r="S331" s="313">
        <v>0</v>
      </c>
      <c r="T331" s="313">
        <v>0</v>
      </c>
      <c r="U331" s="303"/>
      <c r="V331" s="313">
        <v>0</v>
      </c>
      <c r="W331" s="313">
        <v>0</v>
      </c>
      <c r="X331" s="303"/>
      <c r="Y331" s="313">
        <v>0</v>
      </c>
      <c r="Z331" s="313">
        <v>0</v>
      </c>
      <c r="AA331" s="303"/>
      <c r="AB331" s="313">
        <v>0</v>
      </c>
      <c r="AC331" s="313">
        <v>0</v>
      </c>
      <c r="AD331" s="303"/>
      <c r="AE331" s="313">
        <v>0</v>
      </c>
      <c r="AF331" s="313">
        <v>0</v>
      </c>
      <c r="AG331" s="303"/>
      <c r="AH331" s="313">
        <v>0</v>
      </c>
      <c r="AI331" s="313">
        <v>0</v>
      </c>
      <c r="AJ331" s="188"/>
      <c r="AK331" s="313">
        <v>0</v>
      </c>
      <c r="AL331" s="313">
        <v>0</v>
      </c>
      <c r="AM331" s="303">
        <v>120</v>
      </c>
      <c r="AN331" s="313">
        <v>3.7499999999999999E-2</v>
      </c>
      <c r="AO331" s="313">
        <v>3.9473684210526314E-2</v>
      </c>
      <c r="AP331" s="313"/>
      <c r="AQ331" s="303">
        <v>120</v>
      </c>
      <c r="AR331" s="313">
        <v>3.7499999999999999E-2</v>
      </c>
      <c r="AS331" s="313">
        <v>3.9473684210526314E-2</v>
      </c>
      <c r="AT331" s="303">
        <v>120</v>
      </c>
      <c r="AU331" s="313">
        <v>3.7499999999999999E-2</v>
      </c>
      <c r="AV331" s="313">
        <v>3.9473684210526314E-2</v>
      </c>
      <c r="AW331" s="313"/>
      <c r="AX331" s="313"/>
      <c r="AY331" s="313"/>
      <c r="AZ331" s="313"/>
      <c r="BA331" s="313"/>
      <c r="BB331" s="313"/>
      <c r="BC331" s="303">
        <v>120</v>
      </c>
      <c r="BD331" s="313">
        <v>3.7499999999999999E-2</v>
      </c>
      <c r="BE331" s="313">
        <v>3.9473684210526314E-2</v>
      </c>
      <c r="BF331" s="303"/>
      <c r="BG331" s="303">
        <v>120</v>
      </c>
      <c r="BH331" s="313">
        <v>3.7499999999999999E-2</v>
      </c>
      <c r="BI331" s="313">
        <v>3.9473684210526314E-2</v>
      </c>
      <c r="BJ331" s="303">
        <f t="shared" si="277"/>
        <v>3040</v>
      </c>
      <c r="BK331" s="303">
        <v>120</v>
      </c>
      <c r="BL331" s="313">
        <f t="shared" si="262"/>
        <v>3.7499999999999999E-2</v>
      </c>
      <c r="BM331" s="313">
        <f t="shared" si="279"/>
        <v>3.9473684210526314E-2</v>
      </c>
      <c r="BN331" s="205">
        <f t="shared" ref="BN331:BN394" si="312">BK331-AD331</f>
        <v>120</v>
      </c>
      <c r="BO331" s="205"/>
      <c r="BP331" s="310"/>
      <c r="BQ331" s="311">
        <f t="shared" si="263"/>
        <v>0</v>
      </c>
      <c r="BR331" s="310"/>
      <c r="BS331" s="311">
        <f t="shared" si="264"/>
        <v>0</v>
      </c>
      <c r="BT331" s="310"/>
      <c r="BU331" s="308">
        <f t="shared" si="265"/>
        <v>0</v>
      </c>
      <c r="BV331" s="310">
        <v>960</v>
      </c>
      <c r="BW331" s="311">
        <f t="shared" si="266"/>
        <v>0.3</v>
      </c>
      <c r="BX331" s="310">
        <f>3200*0.33</f>
        <v>1056</v>
      </c>
      <c r="BY331" s="311">
        <f t="shared" si="267"/>
        <v>0.33</v>
      </c>
      <c r="BZ331" s="310">
        <f>3200*0.5</f>
        <v>1600</v>
      </c>
      <c r="CA331" s="311">
        <f t="shared" si="268"/>
        <v>0.5</v>
      </c>
      <c r="CB331" s="310">
        <f>3200*0.57</f>
        <v>1823.9999999999998</v>
      </c>
      <c r="CC331" s="311">
        <f t="shared" si="269"/>
        <v>0.56999999999999995</v>
      </c>
      <c r="CD331" s="310">
        <f>3200*0.73</f>
        <v>2336</v>
      </c>
      <c r="CE331" s="311">
        <f t="shared" si="270"/>
        <v>0.73</v>
      </c>
      <c r="CF331" s="310">
        <f>3200*0.83</f>
        <v>2656</v>
      </c>
      <c r="CG331" s="311">
        <f t="shared" si="271"/>
        <v>0.83</v>
      </c>
      <c r="CH331" s="310">
        <f>3200*0.95</f>
        <v>3040</v>
      </c>
      <c r="CI331" s="311">
        <f t="shared" si="272"/>
        <v>0.95</v>
      </c>
      <c r="CJ331" s="310">
        <v>3040</v>
      </c>
      <c r="CK331" s="311">
        <f t="shared" si="273"/>
        <v>0.95</v>
      </c>
      <c r="CL331" s="310">
        <v>3040</v>
      </c>
      <c r="CM331" s="311">
        <f t="shared" si="274"/>
        <v>0.95</v>
      </c>
      <c r="CN331" s="310">
        <v>3040</v>
      </c>
      <c r="CO331" s="311">
        <f t="shared" si="275"/>
        <v>0.95</v>
      </c>
      <c r="CP331" s="213" t="str">
        <f t="shared" si="280"/>
        <v>Không đạt</v>
      </c>
      <c r="CQ331" s="213" t="str">
        <f t="shared" si="281"/>
        <v>Không đạt</v>
      </c>
      <c r="CR331" s="312"/>
      <c r="CS331" s="312"/>
      <c r="CT331" s="235"/>
      <c r="CU331" s="163"/>
      <c r="CW331" s="195"/>
      <c r="CX331" s="196"/>
      <c r="CY331" s="196"/>
      <c r="CZ331" s="197"/>
      <c r="DA331" s="196"/>
      <c r="DB331" s="196"/>
      <c r="DC331" s="196"/>
      <c r="DE331" s="199"/>
      <c r="DF331" s="200"/>
      <c r="DG331" s="181"/>
    </row>
    <row r="332" spans="1:112" ht="18" customHeight="1" x14ac:dyDescent="0.25">
      <c r="A332" s="316">
        <f>MAX(A$243:A330)+1</f>
        <v>25</v>
      </c>
      <c r="B332" s="240" t="s">
        <v>415</v>
      </c>
      <c r="C332" s="240"/>
      <c r="D332" s="188">
        <f t="shared" ref="D332:I332" si="313">D333+D334</f>
        <v>11228</v>
      </c>
      <c r="E332" s="188">
        <f t="shared" si="313"/>
        <v>0</v>
      </c>
      <c r="F332" s="188">
        <f t="shared" si="313"/>
        <v>11228</v>
      </c>
      <c r="G332" s="188">
        <f t="shared" si="313"/>
        <v>3000</v>
      </c>
      <c r="H332" s="188">
        <f t="shared" si="313"/>
        <v>8228</v>
      </c>
      <c r="I332" s="188">
        <f t="shared" si="313"/>
        <v>0</v>
      </c>
      <c r="J332" s="188"/>
      <c r="K332" s="188">
        <f>K333+K334</f>
        <v>0</v>
      </c>
      <c r="L332" s="188">
        <f>L333+L334</f>
        <v>0</v>
      </c>
      <c r="M332" s="188">
        <f>M333+M334</f>
        <v>0</v>
      </c>
      <c r="N332" s="188">
        <f>N333+N334</f>
        <v>0</v>
      </c>
      <c r="O332" s="188">
        <f>O333+O334</f>
        <v>3000</v>
      </c>
      <c r="P332" s="188">
        <v>0</v>
      </c>
      <c r="Q332" s="186">
        <f t="shared" si="276"/>
        <v>0</v>
      </c>
      <c r="R332" s="188">
        <v>0</v>
      </c>
      <c r="S332" s="185">
        <v>0</v>
      </c>
      <c r="T332" s="185">
        <v>0</v>
      </c>
      <c r="U332" s="188">
        <v>0</v>
      </c>
      <c r="V332" s="185">
        <v>0</v>
      </c>
      <c r="W332" s="185">
        <v>0</v>
      </c>
      <c r="X332" s="188">
        <v>0</v>
      </c>
      <c r="Y332" s="185">
        <v>0</v>
      </c>
      <c r="Z332" s="185">
        <v>0</v>
      </c>
      <c r="AA332" s="188">
        <v>0</v>
      </c>
      <c r="AB332" s="185">
        <v>0</v>
      </c>
      <c r="AC332" s="185">
        <v>0</v>
      </c>
      <c r="AD332" s="188">
        <v>962</v>
      </c>
      <c r="AE332" s="185">
        <v>8.5678660491628075E-2</v>
      </c>
      <c r="AF332" s="185">
        <v>9.0188063675397973E-2</v>
      </c>
      <c r="AG332" s="188">
        <v>962</v>
      </c>
      <c r="AH332" s="185">
        <v>8.5678660491628075E-2</v>
      </c>
      <c r="AI332" s="185">
        <v>9.0188063675397973E-2</v>
      </c>
      <c r="AJ332" s="303">
        <v>962</v>
      </c>
      <c r="AK332" s="185">
        <v>8.5678660491628075E-2</v>
      </c>
      <c r="AL332" s="185">
        <v>9.0188063675397973E-2</v>
      </c>
      <c r="AM332" s="314">
        <v>962</v>
      </c>
      <c r="AN332" s="185">
        <v>8.5678660491628075E-2</v>
      </c>
      <c r="AO332" s="185">
        <v>9.0188063675397973E-2</v>
      </c>
      <c r="AP332" s="185"/>
      <c r="AQ332" s="188">
        <v>962</v>
      </c>
      <c r="AR332" s="185">
        <v>8.5678660491628075E-2</v>
      </c>
      <c r="AS332" s="185">
        <v>9.0188063675397973E-2</v>
      </c>
      <c r="AT332" s="188">
        <v>4566.8389999999999</v>
      </c>
      <c r="AU332" s="185">
        <v>0.40673664054150338</v>
      </c>
      <c r="AV332" s="185">
        <v>0.42814383214895091</v>
      </c>
      <c r="AW332" s="185"/>
      <c r="AX332" s="185"/>
      <c r="AY332" s="185"/>
      <c r="AZ332" s="185"/>
      <c r="BA332" s="185"/>
      <c r="BB332" s="185"/>
      <c r="BC332" s="188">
        <v>4566.8389999999999</v>
      </c>
      <c r="BD332" s="185">
        <v>0.40673664054150338</v>
      </c>
      <c r="BE332" s="185">
        <v>0.42814383214895091</v>
      </c>
      <c r="BF332" s="188"/>
      <c r="BG332" s="188">
        <v>7223</v>
      </c>
      <c r="BH332" s="185">
        <v>0.64330245814036335</v>
      </c>
      <c r="BI332" s="185">
        <v>0.67716048225301406</v>
      </c>
      <c r="BJ332" s="188">
        <f t="shared" si="277"/>
        <v>10666.6</v>
      </c>
      <c r="BK332" s="188">
        <v>7958.3</v>
      </c>
      <c r="BL332" s="185">
        <f t="shared" si="262"/>
        <v>0.70879052369077311</v>
      </c>
      <c r="BM332" s="185">
        <f t="shared" si="279"/>
        <v>0.74609528809555059</v>
      </c>
      <c r="BN332" s="205">
        <f t="shared" si="312"/>
        <v>6996.3</v>
      </c>
      <c r="BO332" s="205"/>
      <c r="BP332" s="189">
        <f>BP333+BP334</f>
        <v>150</v>
      </c>
      <c r="BQ332" s="186">
        <f t="shared" si="263"/>
        <v>1.3359458496615604E-2</v>
      </c>
      <c r="BR332" s="189">
        <f>BR333+BR334</f>
        <v>150</v>
      </c>
      <c r="BS332" s="186">
        <f t="shared" si="264"/>
        <v>1.3359458496615604E-2</v>
      </c>
      <c r="BT332" s="189">
        <f>BT333+BT334</f>
        <v>150</v>
      </c>
      <c r="BU332" s="186">
        <f t="shared" si="265"/>
        <v>1.3359458496615604E-2</v>
      </c>
      <c r="BV332" s="189">
        <f>BV333+BV334</f>
        <v>650</v>
      </c>
      <c r="BW332" s="186">
        <f t="shared" si="266"/>
        <v>5.7890986818667618E-2</v>
      </c>
      <c r="BX332" s="189">
        <f>BX333+BX334</f>
        <v>3500</v>
      </c>
      <c r="BY332" s="186">
        <f t="shared" si="267"/>
        <v>0.3117206982543641</v>
      </c>
      <c r="BZ332" s="189">
        <f>BZ333+BZ334</f>
        <v>3500</v>
      </c>
      <c r="CA332" s="186">
        <f t="shared" si="268"/>
        <v>0.3117206982543641</v>
      </c>
      <c r="CB332" s="189">
        <f>CB333+CB334</f>
        <v>5500</v>
      </c>
      <c r="CC332" s="186">
        <f t="shared" si="269"/>
        <v>0.48984681154257215</v>
      </c>
      <c r="CD332" s="189">
        <f>CD333+CD334</f>
        <v>5500</v>
      </c>
      <c r="CE332" s="186">
        <f t="shared" si="270"/>
        <v>0.48984681154257215</v>
      </c>
      <c r="CF332" s="189">
        <f>CF333+CF334</f>
        <v>7850</v>
      </c>
      <c r="CG332" s="186">
        <f t="shared" si="271"/>
        <v>0.6991449946562166</v>
      </c>
      <c r="CH332" s="189">
        <f>CH333+CH334</f>
        <v>8850</v>
      </c>
      <c r="CI332" s="186">
        <f t="shared" si="272"/>
        <v>0.78820805130032068</v>
      </c>
      <c r="CJ332" s="189">
        <f>CJ333+CJ334</f>
        <v>9850</v>
      </c>
      <c r="CK332" s="186">
        <f t="shared" si="273"/>
        <v>0.87727110794442464</v>
      </c>
      <c r="CL332" s="189">
        <f>CL333+CL334</f>
        <v>9850</v>
      </c>
      <c r="CM332" s="186">
        <f t="shared" si="274"/>
        <v>0.87727110794442464</v>
      </c>
      <c r="CN332" s="189">
        <f>CN333+CN334</f>
        <v>10666.599999999999</v>
      </c>
      <c r="CO332" s="186">
        <f t="shared" si="275"/>
        <v>0.94999999999999984</v>
      </c>
      <c r="CP332" s="213" t="str">
        <f t="shared" si="280"/>
        <v>Đạt</v>
      </c>
      <c r="CQ332" s="213" t="str">
        <f t="shared" si="281"/>
        <v>Đạt</v>
      </c>
      <c r="CR332" s="213"/>
      <c r="CS332" s="213"/>
      <c r="CT332" s="231"/>
      <c r="CU332" s="163"/>
      <c r="CW332" s="195"/>
      <c r="CX332" s="196"/>
      <c r="CY332" s="196"/>
      <c r="CZ332" s="197"/>
      <c r="DA332" s="196"/>
      <c r="DB332" s="196"/>
      <c r="DC332" s="196"/>
      <c r="DE332" s="199"/>
      <c r="DF332" s="200"/>
      <c r="DG332" s="181"/>
    </row>
    <row r="333" spans="1:112" s="324" customFormat="1" outlineLevel="1" x14ac:dyDescent="0.25">
      <c r="A333" s="305" t="s">
        <v>34</v>
      </c>
      <c r="B333" s="318" t="s">
        <v>376</v>
      </c>
      <c r="C333" s="306"/>
      <c r="D333" s="307">
        <f>E333+F333</f>
        <v>3000</v>
      </c>
      <c r="E333" s="307"/>
      <c r="F333" s="307">
        <f>G333+H333+K333+M333</f>
        <v>3000</v>
      </c>
      <c r="G333" s="303">
        <v>3000</v>
      </c>
      <c r="H333" s="303"/>
      <c r="I333" s="235"/>
      <c r="J333" s="235"/>
      <c r="K333" s="303"/>
      <c r="L333" s="235"/>
      <c r="M333" s="223"/>
      <c r="N333" s="223"/>
      <c r="O333" s="303">
        <f t="shared" si="289"/>
        <v>3000</v>
      </c>
      <c r="P333" s="303">
        <v>0</v>
      </c>
      <c r="Q333" s="308">
        <f t="shared" si="276"/>
        <v>0</v>
      </c>
      <c r="R333" s="303"/>
      <c r="S333" s="313">
        <v>0</v>
      </c>
      <c r="T333" s="313">
        <v>0</v>
      </c>
      <c r="U333" s="303"/>
      <c r="V333" s="313">
        <v>0</v>
      </c>
      <c r="W333" s="313">
        <v>0</v>
      </c>
      <c r="X333" s="303"/>
      <c r="Y333" s="313">
        <v>0</v>
      </c>
      <c r="Z333" s="313">
        <v>0</v>
      </c>
      <c r="AA333" s="303"/>
      <c r="AB333" s="313">
        <v>0</v>
      </c>
      <c r="AC333" s="313">
        <v>0</v>
      </c>
      <c r="AD333" s="303">
        <v>962</v>
      </c>
      <c r="AE333" s="313">
        <v>0.32066666666666666</v>
      </c>
      <c r="AF333" s="313">
        <v>0.33754385964912281</v>
      </c>
      <c r="AG333" s="303">
        <v>962</v>
      </c>
      <c r="AH333" s="313">
        <v>0.32066666666666666</v>
      </c>
      <c r="AI333" s="313">
        <v>0.33754385964912281</v>
      </c>
      <c r="AJ333" s="303">
        <v>962</v>
      </c>
      <c r="AK333" s="313">
        <v>0.32066666666666666</v>
      </c>
      <c r="AL333" s="313">
        <v>0.33754385964912281</v>
      </c>
      <c r="AM333" s="303">
        <v>962</v>
      </c>
      <c r="AN333" s="313">
        <v>0.32066666666666666</v>
      </c>
      <c r="AO333" s="313">
        <v>0.33754385964912281</v>
      </c>
      <c r="AP333" s="313"/>
      <c r="AQ333" s="303">
        <v>962</v>
      </c>
      <c r="AR333" s="313">
        <v>0.32066666666666666</v>
      </c>
      <c r="AS333" s="313">
        <v>0.33754385964912281</v>
      </c>
      <c r="AT333" s="303">
        <v>1794.423</v>
      </c>
      <c r="AU333" s="313">
        <v>0.59814100000000003</v>
      </c>
      <c r="AV333" s="313">
        <v>0.62962210526315787</v>
      </c>
      <c r="AW333" s="313"/>
      <c r="AX333" s="313"/>
      <c r="AY333" s="313"/>
      <c r="AZ333" s="313"/>
      <c r="BA333" s="313"/>
      <c r="BB333" s="313"/>
      <c r="BC333" s="303">
        <v>1794.423</v>
      </c>
      <c r="BD333" s="313">
        <v>0.59814100000000003</v>
      </c>
      <c r="BE333" s="313">
        <v>0.62962210526315787</v>
      </c>
      <c r="BF333" s="303"/>
      <c r="BG333" s="303">
        <v>2671</v>
      </c>
      <c r="BH333" s="313">
        <v>0.89033333333333331</v>
      </c>
      <c r="BI333" s="313">
        <v>0.93719298245614036</v>
      </c>
      <c r="BJ333" s="303">
        <f t="shared" si="277"/>
        <v>2850</v>
      </c>
      <c r="BK333" s="303">
        <v>2670.9650000000001</v>
      </c>
      <c r="BL333" s="313">
        <f t="shared" si="262"/>
        <v>0.89032166666666668</v>
      </c>
      <c r="BM333" s="313">
        <f t="shared" si="279"/>
        <v>0.93718070175438606</v>
      </c>
      <c r="BN333" s="205">
        <f t="shared" si="312"/>
        <v>1708.9650000000001</v>
      </c>
      <c r="BO333" s="205"/>
      <c r="BP333" s="310">
        <v>150</v>
      </c>
      <c r="BQ333" s="311">
        <f t="shared" si="263"/>
        <v>0.05</v>
      </c>
      <c r="BR333" s="310">
        <v>150</v>
      </c>
      <c r="BS333" s="311">
        <f t="shared" si="264"/>
        <v>0.05</v>
      </c>
      <c r="BT333" s="310">
        <v>150</v>
      </c>
      <c r="BU333" s="308">
        <f t="shared" si="265"/>
        <v>0.05</v>
      </c>
      <c r="BV333" s="310">
        <v>150</v>
      </c>
      <c r="BW333" s="311">
        <f t="shared" si="266"/>
        <v>0.05</v>
      </c>
      <c r="BX333" s="310">
        <v>1500</v>
      </c>
      <c r="BY333" s="311">
        <f t="shared" si="267"/>
        <v>0.5</v>
      </c>
      <c r="BZ333" s="310">
        <v>1500</v>
      </c>
      <c r="CA333" s="311">
        <f t="shared" si="268"/>
        <v>0.5</v>
      </c>
      <c r="CB333" s="310">
        <v>1500</v>
      </c>
      <c r="CC333" s="311">
        <f t="shared" si="269"/>
        <v>0.5</v>
      </c>
      <c r="CD333" s="310">
        <v>1500</v>
      </c>
      <c r="CE333" s="311">
        <f t="shared" si="270"/>
        <v>0.5</v>
      </c>
      <c r="CF333" s="310">
        <f>3000*0.95</f>
        <v>2850</v>
      </c>
      <c r="CG333" s="311">
        <f t="shared" si="271"/>
        <v>0.95</v>
      </c>
      <c r="CH333" s="310">
        <f>3000*0.95</f>
        <v>2850</v>
      </c>
      <c r="CI333" s="311">
        <f t="shared" si="272"/>
        <v>0.95</v>
      </c>
      <c r="CJ333" s="310">
        <f>3000*0.95</f>
        <v>2850</v>
      </c>
      <c r="CK333" s="311">
        <f t="shared" si="273"/>
        <v>0.95</v>
      </c>
      <c r="CL333" s="310">
        <f>3000*0.95</f>
        <v>2850</v>
      </c>
      <c r="CM333" s="311">
        <f t="shared" si="274"/>
        <v>0.95</v>
      </c>
      <c r="CN333" s="310">
        <f>3000*0.95</f>
        <v>2850</v>
      </c>
      <c r="CO333" s="311">
        <f t="shared" si="275"/>
        <v>0.95</v>
      </c>
      <c r="CP333" s="213" t="str">
        <f t="shared" si="280"/>
        <v>Đạt</v>
      </c>
      <c r="CQ333" s="213" t="str">
        <f t="shared" si="281"/>
        <v>Đạt</v>
      </c>
      <c r="CR333" s="312"/>
      <c r="CS333" s="312"/>
      <c r="CT333" s="235"/>
      <c r="CU333" s="163"/>
      <c r="CV333" s="323"/>
      <c r="CW333" s="195"/>
      <c r="CX333" s="196"/>
      <c r="CY333" s="196"/>
      <c r="CZ333" s="197"/>
      <c r="DA333" s="196"/>
      <c r="DB333" s="196"/>
      <c r="DC333" s="196"/>
      <c r="DE333" s="199"/>
      <c r="DF333" s="200"/>
      <c r="DG333" s="181"/>
    </row>
    <row r="334" spans="1:112" ht="25.5" outlineLevel="1" x14ac:dyDescent="0.25">
      <c r="A334" s="305" t="s">
        <v>34</v>
      </c>
      <c r="B334" s="306" t="s">
        <v>377</v>
      </c>
      <c r="C334" s="306"/>
      <c r="D334" s="307">
        <f>E334+F334</f>
        <v>8228</v>
      </c>
      <c r="E334" s="307"/>
      <c r="F334" s="307">
        <f>G334+H334+K334+M334</f>
        <v>8228</v>
      </c>
      <c r="G334" s="307"/>
      <c r="H334" s="307">
        <v>8228</v>
      </c>
      <c r="I334" s="235"/>
      <c r="J334" s="235"/>
      <c r="K334" s="303"/>
      <c r="L334" s="235"/>
      <c r="M334" s="223"/>
      <c r="N334" s="223"/>
      <c r="O334" s="303"/>
      <c r="P334" s="303">
        <v>0</v>
      </c>
      <c r="Q334" s="308">
        <f t="shared" si="276"/>
        <v>0</v>
      </c>
      <c r="R334" s="303">
        <v>0</v>
      </c>
      <c r="S334" s="313">
        <v>0</v>
      </c>
      <c r="T334" s="313">
        <v>0</v>
      </c>
      <c r="U334" s="303">
        <v>0</v>
      </c>
      <c r="V334" s="313">
        <v>0</v>
      </c>
      <c r="W334" s="313">
        <v>0</v>
      </c>
      <c r="X334" s="303">
        <v>0</v>
      </c>
      <c r="Y334" s="313">
        <v>0</v>
      </c>
      <c r="Z334" s="313">
        <v>0</v>
      </c>
      <c r="AA334" s="303">
        <v>0</v>
      </c>
      <c r="AB334" s="313">
        <v>0</v>
      </c>
      <c r="AC334" s="313">
        <v>0</v>
      </c>
      <c r="AD334" s="303">
        <v>0</v>
      </c>
      <c r="AE334" s="313">
        <v>0</v>
      </c>
      <c r="AF334" s="313">
        <v>0</v>
      </c>
      <c r="AG334" s="303">
        <v>0</v>
      </c>
      <c r="AH334" s="313">
        <v>0</v>
      </c>
      <c r="AI334" s="313">
        <v>0</v>
      </c>
      <c r="AJ334" s="188">
        <v>0</v>
      </c>
      <c r="AK334" s="313">
        <v>0</v>
      </c>
      <c r="AL334" s="313">
        <v>0</v>
      </c>
      <c r="AM334" s="303">
        <v>0</v>
      </c>
      <c r="AN334" s="313">
        <v>0</v>
      </c>
      <c r="AO334" s="313">
        <v>0</v>
      </c>
      <c r="AP334" s="313"/>
      <c r="AQ334" s="303">
        <v>0</v>
      </c>
      <c r="AR334" s="313">
        <v>0</v>
      </c>
      <c r="AS334" s="313">
        <v>0</v>
      </c>
      <c r="AT334" s="303">
        <v>2772.4160000000002</v>
      </c>
      <c r="AU334" s="313">
        <v>0.33694895478852699</v>
      </c>
      <c r="AV334" s="313">
        <v>0.35468311030371263</v>
      </c>
      <c r="AW334" s="313"/>
      <c r="AX334" s="313"/>
      <c r="AY334" s="313"/>
      <c r="AZ334" s="313"/>
      <c r="BA334" s="313"/>
      <c r="BB334" s="313"/>
      <c r="BC334" s="303">
        <v>2772.4160000000002</v>
      </c>
      <c r="BD334" s="313">
        <v>0.33694895478852699</v>
      </c>
      <c r="BE334" s="313">
        <v>0.35468311030371263</v>
      </c>
      <c r="BF334" s="303"/>
      <c r="BG334" s="303">
        <v>4552</v>
      </c>
      <c r="BH334" s="313">
        <v>0.55323286339329125</v>
      </c>
      <c r="BI334" s="313">
        <v>0.58235038251925397</v>
      </c>
      <c r="BJ334" s="303">
        <f t="shared" si="277"/>
        <v>7816.5999999999995</v>
      </c>
      <c r="BK334" s="303">
        <v>4714.9219999999996</v>
      </c>
      <c r="BL334" s="313">
        <f t="shared" si="262"/>
        <v>0.57303378706854635</v>
      </c>
      <c r="BM334" s="313">
        <f t="shared" si="279"/>
        <v>0.60319346007215413</v>
      </c>
      <c r="BN334" s="205">
        <f t="shared" si="312"/>
        <v>4714.9219999999996</v>
      </c>
      <c r="BO334" s="205"/>
      <c r="BP334" s="310">
        <v>0</v>
      </c>
      <c r="BQ334" s="311">
        <f t="shared" si="263"/>
        <v>0</v>
      </c>
      <c r="BR334" s="310">
        <v>0</v>
      </c>
      <c r="BS334" s="311">
        <f t="shared" si="264"/>
        <v>0</v>
      </c>
      <c r="BT334" s="310">
        <v>0</v>
      </c>
      <c r="BU334" s="308">
        <f t="shared" si="265"/>
        <v>0</v>
      </c>
      <c r="BV334" s="310">
        <v>500</v>
      </c>
      <c r="BW334" s="311">
        <f t="shared" si="266"/>
        <v>6.0768108896451144E-2</v>
      </c>
      <c r="BX334" s="310">
        <v>2000</v>
      </c>
      <c r="BY334" s="311">
        <f t="shared" si="267"/>
        <v>0.24307243558580457</v>
      </c>
      <c r="BZ334" s="310">
        <v>2000</v>
      </c>
      <c r="CA334" s="311">
        <f t="shared" si="268"/>
        <v>0.24307243558580457</v>
      </c>
      <c r="CB334" s="310">
        <v>4000</v>
      </c>
      <c r="CC334" s="311">
        <f t="shared" si="269"/>
        <v>0.48614487117160915</v>
      </c>
      <c r="CD334" s="310">
        <v>4000</v>
      </c>
      <c r="CE334" s="311">
        <f t="shared" si="270"/>
        <v>0.48614487117160915</v>
      </c>
      <c r="CF334" s="310">
        <v>5000</v>
      </c>
      <c r="CG334" s="311">
        <f t="shared" si="271"/>
        <v>0.60768108896451145</v>
      </c>
      <c r="CH334" s="310">
        <v>6000</v>
      </c>
      <c r="CI334" s="311">
        <f t="shared" si="272"/>
        <v>0.7292173067574137</v>
      </c>
      <c r="CJ334" s="310">
        <v>7000</v>
      </c>
      <c r="CK334" s="311">
        <f t="shared" si="273"/>
        <v>0.85075352455031594</v>
      </c>
      <c r="CL334" s="310">
        <v>7000</v>
      </c>
      <c r="CM334" s="311">
        <f t="shared" si="274"/>
        <v>0.85075352455031594</v>
      </c>
      <c r="CN334" s="310">
        <f>8228*0.95</f>
        <v>7816.5999999999995</v>
      </c>
      <c r="CO334" s="311">
        <f t="shared" si="275"/>
        <v>0.95</v>
      </c>
      <c r="CP334" s="213" t="str">
        <f t="shared" si="280"/>
        <v>Đạt</v>
      </c>
      <c r="CQ334" s="213" t="str">
        <f t="shared" si="281"/>
        <v>Đạt</v>
      </c>
      <c r="CR334" s="312"/>
      <c r="CS334" s="312"/>
      <c r="CT334" s="235"/>
      <c r="CU334" s="163"/>
      <c r="CW334" s="195"/>
      <c r="CX334" s="196"/>
      <c r="CY334" s="196"/>
      <c r="CZ334" s="197"/>
      <c r="DA334" s="196"/>
      <c r="DB334" s="196"/>
      <c r="DC334" s="196"/>
      <c r="DE334" s="199"/>
      <c r="DF334" s="200"/>
      <c r="DG334" s="181"/>
    </row>
    <row r="335" spans="1:112" ht="18" customHeight="1" x14ac:dyDescent="0.25">
      <c r="A335" s="316">
        <f>MAX(A$243:A333)+1</f>
        <v>26</v>
      </c>
      <c r="B335" s="240" t="s">
        <v>416</v>
      </c>
      <c r="C335" s="240"/>
      <c r="D335" s="188">
        <f t="shared" ref="D335:I335" si="314">D336+D337</f>
        <v>6400</v>
      </c>
      <c r="E335" s="188">
        <f t="shared" si="314"/>
        <v>0</v>
      </c>
      <c r="F335" s="188">
        <f t="shared" si="314"/>
        <v>6400</v>
      </c>
      <c r="G335" s="188">
        <f t="shared" si="314"/>
        <v>3000</v>
      </c>
      <c r="H335" s="188">
        <f t="shared" si="314"/>
        <v>3400</v>
      </c>
      <c r="I335" s="188">
        <f t="shared" si="314"/>
        <v>0</v>
      </c>
      <c r="J335" s="188"/>
      <c r="K335" s="188">
        <f>K336+K337</f>
        <v>0</v>
      </c>
      <c r="L335" s="188">
        <f>L336+L337</f>
        <v>0</v>
      </c>
      <c r="M335" s="188">
        <f>M336+M337</f>
        <v>0</v>
      </c>
      <c r="N335" s="188">
        <f>N336+N337</f>
        <v>0</v>
      </c>
      <c r="O335" s="188">
        <f>O336+O337</f>
        <v>3000</v>
      </c>
      <c r="P335" s="188">
        <v>0</v>
      </c>
      <c r="Q335" s="186">
        <f t="shared" si="276"/>
        <v>0</v>
      </c>
      <c r="R335" s="188">
        <v>0</v>
      </c>
      <c r="S335" s="185">
        <v>0</v>
      </c>
      <c r="T335" s="185">
        <v>0</v>
      </c>
      <c r="U335" s="188">
        <v>0</v>
      </c>
      <c r="V335" s="185">
        <v>0</v>
      </c>
      <c r="W335" s="185">
        <v>0</v>
      </c>
      <c r="X335" s="188">
        <v>0</v>
      </c>
      <c r="Y335" s="185">
        <v>0</v>
      </c>
      <c r="Z335" s="185">
        <v>0</v>
      </c>
      <c r="AA335" s="188">
        <v>0</v>
      </c>
      <c r="AB335" s="185">
        <v>0</v>
      </c>
      <c r="AC335" s="185">
        <v>0</v>
      </c>
      <c r="AD335" s="188">
        <v>0</v>
      </c>
      <c r="AE335" s="185">
        <v>0</v>
      </c>
      <c r="AF335" s="185">
        <v>0</v>
      </c>
      <c r="AG335" s="188">
        <v>0</v>
      </c>
      <c r="AH335" s="185">
        <v>0</v>
      </c>
      <c r="AI335" s="185">
        <v>0</v>
      </c>
      <c r="AJ335" s="303">
        <v>0</v>
      </c>
      <c r="AK335" s="185">
        <v>0</v>
      </c>
      <c r="AL335" s="185">
        <v>0</v>
      </c>
      <c r="AM335" s="188">
        <v>0</v>
      </c>
      <c r="AN335" s="185">
        <v>0</v>
      </c>
      <c r="AO335" s="185">
        <v>0</v>
      </c>
      <c r="AP335" s="185"/>
      <c r="AQ335" s="188">
        <v>2464.4430000000002</v>
      </c>
      <c r="AR335" s="185">
        <v>0.38506921875000005</v>
      </c>
      <c r="AS335" s="185">
        <v>0.40533601973684213</v>
      </c>
      <c r="AT335" s="188">
        <v>2630</v>
      </c>
      <c r="AU335" s="185">
        <v>0.41093750000000001</v>
      </c>
      <c r="AV335" s="185">
        <v>0.43256578947368424</v>
      </c>
      <c r="AW335" s="185"/>
      <c r="AX335" s="185"/>
      <c r="AY335" s="185"/>
      <c r="AZ335" s="185"/>
      <c r="BA335" s="185"/>
      <c r="BB335" s="185"/>
      <c r="BC335" s="188">
        <v>2630</v>
      </c>
      <c r="BD335" s="185">
        <v>0.41093750000000001</v>
      </c>
      <c r="BE335" s="185">
        <v>0.43256578947368424</v>
      </c>
      <c r="BF335" s="188"/>
      <c r="BG335" s="188">
        <v>2948</v>
      </c>
      <c r="BH335" s="185">
        <v>0.46062500000000001</v>
      </c>
      <c r="BI335" s="185">
        <v>0.48486842105263156</v>
      </c>
      <c r="BJ335" s="188">
        <f t="shared" si="277"/>
        <v>6080</v>
      </c>
      <c r="BK335" s="188">
        <f>BK336+BK337</f>
        <v>3821</v>
      </c>
      <c r="BL335" s="185">
        <f t="shared" ref="BL335:BL398" si="315">BK335/$D335</f>
        <v>0.59703125000000001</v>
      </c>
      <c r="BM335" s="185">
        <f t="shared" si="279"/>
        <v>0.62845394736842108</v>
      </c>
      <c r="BN335" s="205">
        <f t="shared" si="312"/>
        <v>3821</v>
      </c>
      <c r="BO335" s="205"/>
      <c r="BP335" s="189">
        <f>BP336+BP337</f>
        <v>0</v>
      </c>
      <c r="BQ335" s="186">
        <f t="shared" ref="BQ335:BQ398" si="316">BP335/$D335</f>
        <v>0</v>
      </c>
      <c r="BR335" s="189">
        <f>BR336+BR337</f>
        <v>0</v>
      </c>
      <c r="BS335" s="186">
        <f t="shared" ref="BS335:BS398" si="317">BR335/$D335</f>
        <v>0</v>
      </c>
      <c r="BT335" s="189">
        <f>BT336+BT337</f>
        <v>640</v>
      </c>
      <c r="BU335" s="186">
        <f t="shared" ref="BU335:BU398" si="318">BT335/$D335</f>
        <v>0.1</v>
      </c>
      <c r="BV335" s="189">
        <f>BV336+BV337</f>
        <v>1280</v>
      </c>
      <c r="BW335" s="186">
        <f t="shared" ref="BW335:BW398" si="319">BV335/$D335</f>
        <v>0.2</v>
      </c>
      <c r="BX335" s="189">
        <f>BX336+BX337</f>
        <v>1920</v>
      </c>
      <c r="BY335" s="186">
        <f t="shared" ref="BY335:BY398" si="320">BX335/$D335</f>
        <v>0.3</v>
      </c>
      <c r="BZ335" s="189">
        <f>BZ336+BZ337</f>
        <v>2560</v>
      </c>
      <c r="CA335" s="186">
        <f t="shared" ref="CA335:CA398" si="321">BZ335/$D335</f>
        <v>0.4</v>
      </c>
      <c r="CB335" s="189">
        <f>CB336+CB337</f>
        <v>3200</v>
      </c>
      <c r="CC335" s="186">
        <f t="shared" ref="CC335:CC398" si="322">CB335/$D335</f>
        <v>0.5</v>
      </c>
      <c r="CD335" s="189">
        <f>CD336+CD337</f>
        <v>3520.0000000000005</v>
      </c>
      <c r="CE335" s="186">
        <f t="shared" ref="CE335:CE367" si="323">CD335/$D335</f>
        <v>0.55000000000000004</v>
      </c>
      <c r="CF335" s="189">
        <f>CF336+CF337</f>
        <v>4480</v>
      </c>
      <c r="CG335" s="186">
        <f t="shared" ref="CG335:CG398" si="324">CF335/$D335</f>
        <v>0.7</v>
      </c>
      <c r="CH335" s="189">
        <f>CH336+CH337</f>
        <v>4480</v>
      </c>
      <c r="CI335" s="186">
        <f t="shared" ref="CI335:CI367" si="325">CH335/$D335</f>
        <v>0.7</v>
      </c>
      <c r="CJ335" s="189">
        <f>CJ336+CJ337</f>
        <v>4800</v>
      </c>
      <c r="CK335" s="186">
        <f t="shared" ref="CK335:CK398" si="326">CJ335/$D335</f>
        <v>0.75</v>
      </c>
      <c r="CL335" s="189">
        <f>CL336+CL337</f>
        <v>4800</v>
      </c>
      <c r="CM335" s="186">
        <f t="shared" ref="CM335:CM398" si="327">CL335/$D335</f>
        <v>0.75</v>
      </c>
      <c r="CN335" s="189">
        <f>CN336+CN337</f>
        <v>6080</v>
      </c>
      <c r="CO335" s="186">
        <f t="shared" ref="CO335:CO398" si="328">CN335/$D335</f>
        <v>0.95</v>
      </c>
      <c r="CP335" s="213" t="str">
        <f t="shared" si="280"/>
        <v>Đạt</v>
      </c>
      <c r="CQ335" s="213" t="str">
        <f t="shared" si="281"/>
        <v>Đạt</v>
      </c>
      <c r="CR335" s="213"/>
      <c r="CS335" s="213"/>
      <c r="CT335" s="231"/>
      <c r="CU335" s="163"/>
      <c r="CW335" s="195"/>
      <c r="CX335" s="196"/>
      <c r="CY335" s="196"/>
      <c r="CZ335" s="197"/>
      <c r="DA335" s="196"/>
      <c r="DB335" s="196"/>
      <c r="DC335" s="196"/>
      <c r="DE335" s="199"/>
      <c r="DF335" s="200"/>
      <c r="DG335" s="181"/>
      <c r="DH335" s="336"/>
    </row>
    <row r="336" spans="1:112" s="324" customFormat="1" outlineLevel="1" x14ac:dyDescent="0.25">
      <c r="A336" s="305" t="s">
        <v>34</v>
      </c>
      <c r="B336" s="318" t="s">
        <v>376</v>
      </c>
      <c r="C336" s="306"/>
      <c r="D336" s="307">
        <f>E336+F336</f>
        <v>3000</v>
      </c>
      <c r="E336" s="307"/>
      <c r="F336" s="307">
        <f>G336+H336+K336+M336</f>
        <v>3000</v>
      </c>
      <c r="G336" s="303">
        <v>3000</v>
      </c>
      <c r="H336" s="303"/>
      <c r="I336" s="235"/>
      <c r="J336" s="235"/>
      <c r="K336" s="303"/>
      <c r="L336" s="235"/>
      <c r="M336" s="223"/>
      <c r="N336" s="223"/>
      <c r="O336" s="303">
        <f>G336+I336+L336+N336</f>
        <v>3000</v>
      </c>
      <c r="P336" s="303">
        <v>0</v>
      </c>
      <c r="Q336" s="308">
        <f t="shared" ref="Q336:Q399" si="329">P336/$D336</f>
        <v>0</v>
      </c>
      <c r="R336" s="303"/>
      <c r="S336" s="309">
        <v>0</v>
      </c>
      <c r="T336" s="309">
        <v>0</v>
      </c>
      <c r="U336" s="303"/>
      <c r="V336" s="309">
        <v>0</v>
      </c>
      <c r="W336" s="309">
        <v>0</v>
      </c>
      <c r="X336" s="303"/>
      <c r="Y336" s="309">
        <v>0</v>
      </c>
      <c r="Z336" s="309">
        <v>0</v>
      </c>
      <c r="AA336" s="303"/>
      <c r="AB336" s="309">
        <v>0</v>
      </c>
      <c r="AC336" s="309">
        <v>0</v>
      </c>
      <c r="AD336" s="303"/>
      <c r="AE336" s="309">
        <v>0</v>
      </c>
      <c r="AF336" s="309">
        <v>0</v>
      </c>
      <c r="AG336" s="303"/>
      <c r="AH336" s="309">
        <v>0</v>
      </c>
      <c r="AI336" s="309">
        <v>0</v>
      </c>
      <c r="AJ336" s="303"/>
      <c r="AK336" s="309">
        <v>0</v>
      </c>
      <c r="AL336" s="309">
        <v>0</v>
      </c>
      <c r="AM336" s="303"/>
      <c r="AN336" s="309">
        <v>0</v>
      </c>
      <c r="AO336" s="309">
        <v>0</v>
      </c>
      <c r="AP336" s="309"/>
      <c r="AQ336" s="303">
        <v>2461</v>
      </c>
      <c r="AR336" s="309">
        <v>0.82033333333333336</v>
      </c>
      <c r="AS336" s="309">
        <v>0.86350877192982456</v>
      </c>
      <c r="AT336" s="303">
        <v>2564</v>
      </c>
      <c r="AU336" s="309">
        <v>0.85466666666666669</v>
      </c>
      <c r="AV336" s="309">
        <v>0.89964912280701759</v>
      </c>
      <c r="AW336" s="309"/>
      <c r="AX336" s="309"/>
      <c r="AY336" s="309"/>
      <c r="AZ336" s="309"/>
      <c r="BA336" s="309"/>
      <c r="BB336" s="309"/>
      <c r="BC336" s="303">
        <v>2564</v>
      </c>
      <c r="BD336" s="309">
        <v>0.85466666666666669</v>
      </c>
      <c r="BE336" s="309">
        <v>0.89964912280701759</v>
      </c>
      <c r="BF336" s="303"/>
      <c r="BG336" s="303">
        <v>2834</v>
      </c>
      <c r="BH336" s="309">
        <v>0.94466666666666665</v>
      </c>
      <c r="BI336" s="309">
        <v>0.99438596491228071</v>
      </c>
      <c r="BJ336" s="303">
        <f t="shared" ref="BJ336:BJ399" si="330">E336+(F336*0.95)</f>
        <v>2850</v>
      </c>
      <c r="BK336" s="303">
        <v>2834</v>
      </c>
      <c r="BL336" s="309">
        <f t="shared" si="315"/>
        <v>0.94466666666666665</v>
      </c>
      <c r="BM336" s="309">
        <f t="shared" si="279"/>
        <v>0.99438596491228071</v>
      </c>
      <c r="BN336" s="205">
        <f t="shared" si="312"/>
        <v>2834</v>
      </c>
      <c r="BO336" s="205"/>
      <c r="BP336" s="310"/>
      <c r="BQ336" s="308">
        <f t="shared" si="316"/>
        <v>0</v>
      </c>
      <c r="BR336" s="310"/>
      <c r="BS336" s="308">
        <f t="shared" si="317"/>
        <v>0</v>
      </c>
      <c r="BT336" s="310">
        <f>$F336*0.1</f>
        <v>300</v>
      </c>
      <c r="BU336" s="308">
        <f t="shared" si="318"/>
        <v>0.1</v>
      </c>
      <c r="BV336" s="310">
        <f>$F336*0.2</f>
        <v>600</v>
      </c>
      <c r="BW336" s="308">
        <f t="shared" si="319"/>
        <v>0.2</v>
      </c>
      <c r="BX336" s="310">
        <f>$F336*0.3</f>
        <v>900</v>
      </c>
      <c r="BY336" s="308">
        <f t="shared" si="320"/>
        <v>0.3</v>
      </c>
      <c r="BZ336" s="310">
        <f>$F336*0.4</f>
        <v>1200</v>
      </c>
      <c r="CA336" s="308">
        <f t="shared" si="321"/>
        <v>0.4</v>
      </c>
      <c r="CB336" s="310">
        <f>$F336*0.5</f>
        <v>1500</v>
      </c>
      <c r="CC336" s="308">
        <f t="shared" si="322"/>
        <v>0.5</v>
      </c>
      <c r="CD336" s="310">
        <f>$F336*0.55</f>
        <v>1650.0000000000002</v>
      </c>
      <c r="CE336" s="308">
        <f t="shared" si="323"/>
        <v>0.55000000000000004</v>
      </c>
      <c r="CF336" s="310">
        <v>2100</v>
      </c>
      <c r="CG336" s="308">
        <f t="shared" si="324"/>
        <v>0.7</v>
      </c>
      <c r="CH336" s="310">
        <f>$F336*0.7</f>
        <v>2100</v>
      </c>
      <c r="CI336" s="308">
        <f t="shared" si="325"/>
        <v>0.7</v>
      </c>
      <c r="CJ336" s="310">
        <f>$F336*0.75</f>
        <v>2250</v>
      </c>
      <c r="CK336" s="308">
        <f t="shared" si="326"/>
        <v>0.75</v>
      </c>
      <c r="CL336" s="310">
        <f>$F336*0.75</f>
        <v>2250</v>
      </c>
      <c r="CM336" s="308">
        <f t="shared" si="327"/>
        <v>0.75</v>
      </c>
      <c r="CN336" s="310">
        <f>$F336*0.95</f>
        <v>2850</v>
      </c>
      <c r="CO336" s="308">
        <f t="shared" si="328"/>
        <v>0.95</v>
      </c>
      <c r="CP336" s="213" t="str">
        <f t="shared" si="280"/>
        <v>Đạt</v>
      </c>
      <c r="CQ336" s="213" t="str">
        <f t="shared" si="281"/>
        <v>Đạt</v>
      </c>
      <c r="CR336" s="312"/>
      <c r="CS336" s="312"/>
      <c r="CT336" s="235"/>
      <c r="CU336" s="163"/>
      <c r="CV336" s="323"/>
      <c r="CW336" s="195"/>
      <c r="CX336" s="196"/>
      <c r="CY336" s="196"/>
      <c r="CZ336" s="197"/>
      <c r="DA336" s="196"/>
      <c r="DB336" s="196"/>
      <c r="DC336" s="196"/>
      <c r="DE336" s="199"/>
      <c r="DF336" s="200"/>
      <c r="DG336" s="181"/>
      <c r="DH336" s="339"/>
    </row>
    <row r="337" spans="1:111" ht="25.5" outlineLevel="1" x14ac:dyDescent="0.25">
      <c r="A337" s="305" t="s">
        <v>34</v>
      </c>
      <c r="B337" s="306" t="s">
        <v>377</v>
      </c>
      <c r="C337" s="306"/>
      <c r="D337" s="307">
        <f>E337+F337</f>
        <v>3400</v>
      </c>
      <c r="E337" s="307"/>
      <c r="F337" s="307">
        <f>G337+H337+K337+M337</f>
        <v>3400</v>
      </c>
      <c r="G337" s="307"/>
      <c r="H337" s="307">
        <v>3400</v>
      </c>
      <c r="I337" s="235"/>
      <c r="J337" s="235"/>
      <c r="K337" s="303"/>
      <c r="L337" s="235"/>
      <c r="M337" s="223"/>
      <c r="N337" s="223"/>
      <c r="O337" s="303"/>
      <c r="P337" s="303">
        <v>0</v>
      </c>
      <c r="Q337" s="308">
        <f t="shared" si="329"/>
        <v>0</v>
      </c>
      <c r="R337" s="303"/>
      <c r="S337" s="309">
        <v>0</v>
      </c>
      <c r="T337" s="309">
        <v>0</v>
      </c>
      <c r="U337" s="303"/>
      <c r="V337" s="309">
        <v>0</v>
      </c>
      <c r="W337" s="309">
        <v>0</v>
      </c>
      <c r="X337" s="303"/>
      <c r="Y337" s="309">
        <v>0</v>
      </c>
      <c r="Z337" s="309">
        <v>0</v>
      </c>
      <c r="AA337" s="303"/>
      <c r="AB337" s="309">
        <v>0</v>
      </c>
      <c r="AC337" s="309">
        <v>0</v>
      </c>
      <c r="AD337" s="303"/>
      <c r="AE337" s="309">
        <v>0</v>
      </c>
      <c r="AF337" s="309">
        <v>0</v>
      </c>
      <c r="AG337" s="303"/>
      <c r="AH337" s="309">
        <v>0</v>
      </c>
      <c r="AI337" s="309">
        <v>0</v>
      </c>
      <c r="AJ337" s="188"/>
      <c r="AK337" s="309">
        <v>0</v>
      </c>
      <c r="AL337" s="309">
        <v>0</v>
      </c>
      <c r="AM337" s="303"/>
      <c r="AN337" s="309">
        <v>0</v>
      </c>
      <c r="AO337" s="309">
        <v>0</v>
      </c>
      <c r="AP337" s="309"/>
      <c r="AQ337" s="303">
        <v>3.4430000000000001</v>
      </c>
      <c r="AR337" s="309">
        <v>1.0126470588235294E-3</v>
      </c>
      <c r="AS337" s="309">
        <v>1.0659442724458206E-3</v>
      </c>
      <c r="AT337" s="303">
        <v>66</v>
      </c>
      <c r="AU337" s="309">
        <v>1.9411764705882354E-2</v>
      </c>
      <c r="AV337" s="309">
        <v>2.0433436532507739E-2</v>
      </c>
      <c r="AW337" s="309"/>
      <c r="AX337" s="309"/>
      <c r="AY337" s="309"/>
      <c r="AZ337" s="309"/>
      <c r="BA337" s="309"/>
      <c r="BB337" s="309"/>
      <c r="BC337" s="303">
        <v>66</v>
      </c>
      <c r="BD337" s="309">
        <v>1.9411764705882354E-2</v>
      </c>
      <c r="BE337" s="309">
        <v>2.0433436532507739E-2</v>
      </c>
      <c r="BF337" s="303"/>
      <c r="BG337" s="303">
        <v>114</v>
      </c>
      <c r="BH337" s="309">
        <v>3.3529411764705884E-2</v>
      </c>
      <c r="BI337" s="309">
        <v>3.5294117647058823E-2</v>
      </c>
      <c r="BJ337" s="303">
        <f t="shared" si="330"/>
        <v>3230</v>
      </c>
      <c r="BK337" s="303">
        <v>987</v>
      </c>
      <c r="BL337" s="309">
        <f t="shared" si="315"/>
        <v>0.29029411764705881</v>
      </c>
      <c r="BM337" s="309">
        <f t="shared" si="279"/>
        <v>0.30557275541795664</v>
      </c>
      <c r="BN337" s="205">
        <f t="shared" si="312"/>
        <v>987</v>
      </c>
      <c r="BO337" s="205"/>
      <c r="BP337" s="310"/>
      <c r="BQ337" s="308">
        <f t="shared" si="316"/>
        <v>0</v>
      </c>
      <c r="BR337" s="310"/>
      <c r="BS337" s="308">
        <f t="shared" si="317"/>
        <v>0</v>
      </c>
      <c r="BT337" s="310">
        <f>$F337*0.1</f>
        <v>340</v>
      </c>
      <c r="BU337" s="308">
        <f t="shared" si="318"/>
        <v>0.1</v>
      </c>
      <c r="BV337" s="310">
        <f>$F337*0.2</f>
        <v>680</v>
      </c>
      <c r="BW337" s="308">
        <f t="shared" si="319"/>
        <v>0.2</v>
      </c>
      <c r="BX337" s="310">
        <f>$F337*0.3</f>
        <v>1020</v>
      </c>
      <c r="BY337" s="308">
        <f t="shared" si="320"/>
        <v>0.3</v>
      </c>
      <c r="BZ337" s="310">
        <f>$F337*0.4</f>
        <v>1360</v>
      </c>
      <c r="CA337" s="308">
        <f t="shared" si="321"/>
        <v>0.4</v>
      </c>
      <c r="CB337" s="310">
        <f>$F337*0.5</f>
        <v>1700</v>
      </c>
      <c r="CC337" s="308">
        <f t="shared" si="322"/>
        <v>0.5</v>
      </c>
      <c r="CD337" s="310">
        <f>$F337*0.55</f>
        <v>1870.0000000000002</v>
      </c>
      <c r="CE337" s="308">
        <f t="shared" si="323"/>
        <v>0.55000000000000004</v>
      </c>
      <c r="CF337" s="310">
        <v>2380</v>
      </c>
      <c r="CG337" s="308">
        <f t="shared" si="324"/>
        <v>0.7</v>
      </c>
      <c r="CH337" s="310">
        <f>$F337*0.7</f>
        <v>2380</v>
      </c>
      <c r="CI337" s="308">
        <f t="shared" si="325"/>
        <v>0.7</v>
      </c>
      <c r="CJ337" s="310">
        <f>$F337*0.75</f>
        <v>2550</v>
      </c>
      <c r="CK337" s="308">
        <f t="shared" si="326"/>
        <v>0.75</v>
      </c>
      <c r="CL337" s="310">
        <f>$F337*0.75</f>
        <v>2550</v>
      </c>
      <c r="CM337" s="308">
        <f t="shared" si="327"/>
        <v>0.75</v>
      </c>
      <c r="CN337" s="310">
        <f>$F337*0.95</f>
        <v>3230</v>
      </c>
      <c r="CO337" s="308">
        <f t="shared" si="328"/>
        <v>0.95</v>
      </c>
      <c r="CP337" s="213" t="str">
        <f t="shared" si="280"/>
        <v>Không đạt</v>
      </c>
      <c r="CQ337" s="213" t="str">
        <f t="shared" si="281"/>
        <v>Không đạt</v>
      </c>
      <c r="CR337" s="312"/>
      <c r="CS337" s="312"/>
      <c r="CT337" s="235"/>
      <c r="CU337" s="163"/>
      <c r="CW337" s="195"/>
      <c r="CX337" s="196"/>
      <c r="CY337" s="196"/>
      <c r="CZ337" s="197"/>
      <c r="DA337" s="196"/>
      <c r="DB337" s="196"/>
      <c r="DC337" s="196"/>
      <c r="DE337" s="199"/>
      <c r="DF337" s="200"/>
      <c r="DG337" s="181"/>
    </row>
    <row r="338" spans="1:111" ht="18" customHeight="1" x14ac:dyDescent="0.25">
      <c r="A338" s="213">
        <f>MAX(A$243:A336)+1</f>
        <v>27</v>
      </c>
      <c r="B338" s="240" t="s">
        <v>417</v>
      </c>
      <c r="C338" s="240"/>
      <c r="D338" s="188">
        <f t="shared" ref="D338:I338" si="331">D339+D340</f>
        <v>8750</v>
      </c>
      <c r="E338" s="188">
        <f t="shared" si="331"/>
        <v>0</v>
      </c>
      <c r="F338" s="188">
        <f t="shared" si="331"/>
        <v>8750</v>
      </c>
      <c r="G338" s="188">
        <f t="shared" si="331"/>
        <v>3000</v>
      </c>
      <c r="H338" s="188">
        <f t="shared" si="331"/>
        <v>5750</v>
      </c>
      <c r="I338" s="188">
        <f t="shared" si="331"/>
        <v>0</v>
      </c>
      <c r="J338" s="188"/>
      <c r="K338" s="188">
        <f>K339+K340</f>
        <v>0</v>
      </c>
      <c r="L338" s="188">
        <f>L339+L340</f>
        <v>0</v>
      </c>
      <c r="M338" s="188">
        <f>M339+M340</f>
        <v>0</v>
      </c>
      <c r="N338" s="188">
        <f>N339+N340</f>
        <v>0</v>
      </c>
      <c r="O338" s="188">
        <f>O339+O340</f>
        <v>3000</v>
      </c>
      <c r="P338" s="188">
        <v>0</v>
      </c>
      <c r="Q338" s="186">
        <f t="shared" si="329"/>
        <v>0</v>
      </c>
      <c r="R338" s="188">
        <v>0</v>
      </c>
      <c r="S338" s="185">
        <v>0</v>
      </c>
      <c r="T338" s="185">
        <v>0</v>
      </c>
      <c r="U338" s="188">
        <v>0</v>
      </c>
      <c r="V338" s="185">
        <v>0</v>
      </c>
      <c r="W338" s="185">
        <v>0</v>
      </c>
      <c r="X338" s="188">
        <v>0</v>
      </c>
      <c r="Y338" s="185">
        <v>0</v>
      </c>
      <c r="Z338" s="185">
        <v>0</v>
      </c>
      <c r="AA338" s="188">
        <v>0</v>
      </c>
      <c r="AB338" s="185">
        <v>0</v>
      </c>
      <c r="AC338" s="185">
        <v>0</v>
      </c>
      <c r="AD338" s="188">
        <v>103</v>
      </c>
      <c r="AE338" s="185">
        <v>1.1771428571428572E-2</v>
      </c>
      <c r="AF338" s="185">
        <v>1.2390977443609022E-2</v>
      </c>
      <c r="AG338" s="188">
        <v>103</v>
      </c>
      <c r="AH338" s="185">
        <v>1.1771428571428572E-2</v>
      </c>
      <c r="AI338" s="185">
        <v>1.2390977443609022E-2</v>
      </c>
      <c r="AJ338" s="303">
        <v>103</v>
      </c>
      <c r="AK338" s="185">
        <v>1.1771428571428572E-2</v>
      </c>
      <c r="AL338" s="185">
        <v>1.2390977443609022E-2</v>
      </c>
      <c r="AM338" s="188">
        <v>2332</v>
      </c>
      <c r="AN338" s="185">
        <v>0.2665142857142857</v>
      </c>
      <c r="AO338" s="185">
        <v>0.28054135338345865</v>
      </c>
      <c r="AP338" s="185"/>
      <c r="AQ338" s="188">
        <v>2880.3220000000001</v>
      </c>
      <c r="AR338" s="185">
        <v>0.32917965714285713</v>
      </c>
      <c r="AS338" s="185">
        <v>0.34650490225563912</v>
      </c>
      <c r="AT338" s="188">
        <v>3205.3220000000001</v>
      </c>
      <c r="AU338" s="185">
        <v>0.36632251428571427</v>
      </c>
      <c r="AV338" s="185">
        <v>0.38560264661654137</v>
      </c>
      <c r="AW338" s="185"/>
      <c r="AX338" s="185"/>
      <c r="AY338" s="185"/>
      <c r="AZ338" s="185"/>
      <c r="BA338" s="185"/>
      <c r="BB338" s="185"/>
      <c r="BC338" s="188">
        <v>3205.3220000000001</v>
      </c>
      <c r="BD338" s="185">
        <v>0.36632251428571427</v>
      </c>
      <c r="BE338" s="185">
        <v>0.38560264661654137</v>
      </c>
      <c r="BF338" s="188"/>
      <c r="BG338" s="188">
        <v>3578</v>
      </c>
      <c r="BH338" s="185">
        <v>0.40891428571428573</v>
      </c>
      <c r="BI338" s="185">
        <v>0.43043609022556389</v>
      </c>
      <c r="BJ338" s="188">
        <f t="shared" si="330"/>
        <v>8312.5</v>
      </c>
      <c r="BK338" s="188">
        <f>BK339+BK340</f>
        <v>3821</v>
      </c>
      <c r="BL338" s="185">
        <f t="shared" si="315"/>
        <v>0.43668571428571429</v>
      </c>
      <c r="BM338" s="185">
        <f t="shared" ref="BM338:BM401" si="332">BK338/(E338+0.95*F338)</f>
        <v>0.45966917293233084</v>
      </c>
      <c r="BN338" s="205">
        <f t="shared" si="312"/>
        <v>3718</v>
      </c>
      <c r="BO338" s="205"/>
      <c r="BP338" s="189">
        <f>BP339+BP340</f>
        <v>0</v>
      </c>
      <c r="BQ338" s="186">
        <f t="shared" si="316"/>
        <v>0</v>
      </c>
      <c r="BR338" s="189">
        <f>BR339+BR340</f>
        <v>0</v>
      </c>
      <c r="BS338" s="186">
        <f t="shared" si="317"/>
        <v>0</v>
      </c>
      <c r="BT338" s="189">
        <f>BT339+BT340</f>
        <v>875</v>
      </c>
      <c r="BU338" s="186">
        <f t="shared" si="318"/>
        <v>0.1</v>
      </c>
      <c r="BV338" s="189">
        <f>BV339+BV340</f>
        <v>1750</v>
      </c>
      <c r="BW338" s="186">
        <f t="shared" si="319"/>
        <v>0.2</v>
      </c>
      <c r="BX338" s="189">
        <f>BX339+BX340</f>
        <v>2625</v>
      </c>
      <c r="BY338" s="186">
        <f t="shared" si="320"/>
        <v>0.3</v>
      </c>
      <c r="BZ338" s="189">
        <f>BZ339+BZ340</f>
        <v>3500</v>
      </c>
      <c r="CA338" s="186">
        <f t="shared" si="321"/>
        <v>0.4</v>
      </c>
      <c r="CB338" s="189">
        <f>CB339+CB340</f>
        <v>4375</v>
      </c>
      <c r="CC338" s="186">
        <f t="shared" si="322"/>
        <v>0.5</v>
      </c>
      <c r="CD338" s="189">
        <f>CD339+CD340</f>
        <v>4812.5000000000009</v>
      </c>
      <c r="CE338" s="186">
        <f t="shared" si="323"/>
        <v>0.55000000000000016</v>
      </c>
      <c r="CF338" s="189">
        <f>CF339+CF340</f>
        <v>6125</v>
      </c>
      <c r="CG338" s="186">
        <f t="shared" si="324"/>
        <v>0.7</v>
      </c>
      <c r="CH338" s="189">
        <f>CH339+CH340</f>
        <v>6125</v>
      </c>
      <c r="CI338" s="186">
        <f t="shared" si="325"/>
        <v>0.7</v>
      </c>
      <c r="CJ338" s="189">
        <f>CJ339+CJ340</f>
        <v>6562.5</v>
      </c>
      <c r="CK338" s="186">
        <f t="shared" si="326"/>
        <v>0.75</v>
      </c>
      <c r="CL338" s="189">
        <f>CL339+CL340</f>
        <v>6562.5</v>
      </c>
      <c r="CM338" s="186">
        <f t="shared" si="327"/>
        <v>0.75</v>
      </c>
      <c r="CN338" s="189">
        <f>CN339+CN340</f>
        <v>8312.5</v>
      </c>
      <c r="CO338" s="186">
        <f t="shared" si="328"/>
        <v>0.95</v>
      </c>
      <c r="CP338" s="213" t="str">
        <f t="shared" ref="CP338:CP401" si="333">IF(BM338&gt;34.7%,"Đạt","Không đạt")</f>
        <v>Đạt</v>
      </c>
      <c r="CQ338" s="213" t="str">
        <f t="shared" ref="CQ338:CQ401" si="334">IF(BM338&gt;43.8%,"Đạt","Không đạt")</f>
        <v>Đạt</v>
      </c>
      <c r="CR338" s="213"/>
      <c r="CS338" s="213"/>
      <c r="CT338" s="231"/>
      <c r="CU338" s="163"/>
      <c r="CW338" s="195"/>
      <c r="CX338" s="196"/>
      <c r="CY338" s="196"/>
      <c r="CZ338" s="197"/>
      <c r="DA338" s="196"/>
      <c r="DB338" s="196"/>
      <c r="DC338" s="196"/>
      <c r="DE338" s="199"/>
      <c r="DF338" s="200"/>
      <c r="DG338" s="181"/>
    </row>
    <row r="339" spans="1:111" s="324" customFormat="1" outlineLevel="1" x14ac:dyDescent="0.25">
      <c r="A339" s="305" t="s">
        <v>34</v>
      </c>
      <c r="B339" s="318" t="s">
        <v>376</v>
      </c>
      <c r="C339" s="306"/>
      <c r="D339" s="307">
        <f>E339+F339</f>
        <v>3000</v>
      </c>
      <c r="E339" s="307"/>
      <c r="F339" s="307">
        <f>G339+H339+K339+M339</f>
        <v>3000</v>
      </c>
      <c r="G339" s="303">
        <v>3000</v>
      </c>
      <c r="H339" s="303"/>
      <c r="I339" s="235"/>
      <c r="J339" s="235"/>
      <c r="K339" s="303"/>
      <c r="L339" s="235"/>
      <c r="M339" s="223"/>
      <c r="N339" s="223"/>
      <c r="O339" s="303">
        <f>G339+I339+L339+N339</f>
        <v>3000</v>
      </c>
      <c r="P339" s="303">
        <v>0</v>
      </c>
      <c r="Q339" s="308">
        <f t="shared" si="329"/>
        <v>0</v>
      </c>
      <c r="R339" s="303"/>
      <c r="S339" s="309">
        <v>0</v>
      </c>
      <c r="T339" s="309">
        <v>0</v>
      </c>
      <c r="U339" s="303"/>
      <c r="V339" s="309">
        <v>0</v>
      </c>
      <c r="W339" s="309">
        <v>0</v>
      </c>
      <c r="X339" s="303"/>
      <c r="Y339" s="309">
        <v>0</v>
      </c>
      <c r="Z339" s="309">
        <v>0</v>
      </c>
      <c r="AA339" s="303"/>
      <c r="AB339" s="309">
        <v>0</v>
      </c>
      <c r="AC339" s="309">
        <v>0</v>
      </c>
      <c r="AD339" s="303">
        <v>103</v>
      </c>
      <c r="AE339" s="309">
        <v>3.4333333333333334E-2</v>
      </c>
      <c r="AF339" s="309">
        <v>3.614035087719298E-2</v>
      </c>
      <c r="AG339" s="303">
        <v>103</v>
      </c>
      <c r="AH339" s="309">
        <v>3.4333333333333334E-2</v>
      </c>
      <c r="AI339" s="309">
        <v>3.614035087719298E-2</v>
      </c>
      <c r="AJ339" s="303">
        <v>103</v>
      </c>
      <c r="AK339" s="309">
        <v>3.4333333333333334E-2</v>
      </c>
      <c r="AL339" s="309">
        <v>3.614035087719298E-2</v>
      </c>
      <c r="AM339" s="303">
        <v>2332</v>
      </c>
      <c r="AN339" s="309">
        <v>0.77733333333333332</v>
      </c>
      <c r="AO339" s="309">
        <v>0.81824561403508766</v>
      </c>
      <c r="AP339" s="309"/>
      <c r="AQ339" s="303">
        <v>2094.3510000000001</v>
      </c>
      <c r="AR339" s="309">
        <v>0.69811699999999999</v>
      </c>
      <c r="AS339" s="309">
        <v>0.73486000000000007</v>
      </c>
      <c r="AT339" s="303">
        <v>2419.3510000000001</v>
      </c>
      <c r="AU339" s="309">
        <v>0.80645033333333338</v>
      </c>
      <c r="AV339" s="309">
        <v>0.84889508771929834</v>
      </c>
      <c r="AW339" s="309"/>
      <c r="AX339" s="309"/>
      <c r="AY339" s="309"/>
      <c r="AZ339" s="309"/>
      <c r="BA339" s="309"/>
      <c r="BB339" s="309"/>
      <c r="BC339" s="303">
        <v>2419.3510000000001</v>
      </c>
      <c r="BD339" s="309">
        <v>0.80645033333333338</v>
      </c>
      <c r="BE339" s="309">
        <v>0.84889508771929834</v>
      </c>
      <c r="BF339" s="303"/>
      <c r="BG339" s="303">
        <v>2737</v>
      </c>
      <c r="BH339" s="309">
        <v>0.91233333333333333</v>
      </c>
      <c r="BI339" s="309">
        <v>0.96035087719298251</v>
      </c>
      <c r="BJ339" s="303">
        <f t="shared" si="330"/>
        <v>2850</v>
      </c>
      <c r="BK339" s="303">
        <v>2850</v>
      </c>
      <c r="BL339" s="309">
        <f t="shared" si="315"/>
        <v>0.95</v>
      </c>
      <c r="BM339" s="309">
        <f t="shared" si="332"/>
        <v>1</v>
      </c>
      <c r="BN339" s="205">
        <f t="shared" si="312"/>
        <v>2747</v>
      </c>
      <c r="BO339" s="205"/>
      <c r="BP339" s="310"/>
      <c r="BQ339" s="308">
        <f t="shared" si="316"/>
        <v>0</v>
      </c>
      <c r="BR339" s="310"/>
      <c r="BS339" s="308">
        <f t="shared" si="317"/>
        <v>0</v>
      </c>
      <c r="BT339" s="310">
        <f>$F339*0.1</f>
        <v>300</v>
      </c>
      <c r="BU339" s="308">
        <f t="shared" si="318"/>
        <v>0.1</v>
      </c>
      <c r="BV339" s="310">
        <f>$F339*0.2</f>
        <v>600</v>
      </c>
      <c r="BW339" s="308">
        <f t="shared" si="319"/>
        <v>0.2</v>
      </c>
      <c r="BX339" s="310">
        <f>$F339*0.3</f>
        <v>900</v>
      </c>
      <c r="BY339" s="308">
        <f t="shared" si="320"/>
        <v>0.3</v>
      </c>
      <c r="BZ339" s="310">
        <f>$F339*0.4</f>
        <v>1200</v>
      </c>
      <c r="CA339" s="308">
        <f t="shared" si="321"/>
        <v>0.4</v>
      </c>
      <c r="CB339" s="310">
        <f>$F339*0.5</f>
        <v>1500</v>
      </c>
      <c r="CC339" s="308">
        <f t="shared" si="322"/>
        <v>0.5</v>
      </c>
      <c r="CD339" s="310">
        <f>$F339*0.55</f>
        <v>1650.0000000000002</v>
      </c>
      <c r="CE339" s="308">
        <f t="shared" si="323"/>
        <v>0.55000000000000004</v>
      </c>
      <c r="CF339" s="310">
        <v>2100</v>
      </c>
      <c r="CG339" s="308">
        <f t="shared" si="324"/>
        <v>0.7</v>
      </c>
      <c r="CH339" s="310">
        <f>$F339*0.7</f>
        <v>2100</v>
      </c>
      <c r="CI339" s="308">
        <f t="shared" si="325"/>
        <v>0.7</v>
      </c>
      <c r="CJ339" s="310">
        <f>$F339*0.75</f>
        <v>2250</v>
      </c>
      <c r="CK339" s="308">
        <f t="shared" si="326"/>
        <v>0.75</v>
      </c>
      <c r="CL339" s="310">
        <f>$F339*0.75</f>
        <v>2250</v>
      </c>
      <c r="CM339" s="308">
        <f t="shared" si="327"/>
        <v>0.75</v>
      </c>
      <c r="CN339" s="310">
        <f>$F339*0.95</f>
        <v>2850</v>
      </c>
      <c r="CO339" s="308">
        <f t="shared" si="328"/>
        <v>0.95</v>
      </c>
      <c r="CP339" s="213" t="str">
        <f t="shared" si="333"/>
        <v>Đạt</v>
      </c>
      <c r="CQ339" s="213" t="str">
        <f t="shared" si="334"/>
        <v>Đạt</v>
      </c>
      <c r="CR339" s="312"/>
      <c r="CS339" s="312"/>
      <c r="CT339" s="235"/>
      <c r="CU339" s="163"/>
      <c r="CV339" s="323"/>
      <c r="CW339" s="195"/>
      <c r="CX339" s="196"/>
      <c r="CY339" s="196"/>
      <c r="CZ339" s="197"/>
      <c r="DA339" s="196"/>
      <c r="DB339" s="196"/>
      <c r="DC339" s="196"/>
      <c r="DE339" s="199"/>
      <c r="DF339" s="200"/>
      <c r="DG339" s="181"/>
    </row>
    <row r="340" spans="1:111" ht="25.5" outlineLevel="1" x14ac:dyDescent="0.25">
      <c r="A340" s="305" t="s">
        <v>34</v>
      </c>
      <c r="B340" s="306" t="s">
        <v>377</v>
      </c>
      <c r="C340" s="306"/>
      <c r="D340" s="307">
        <f>E340+F340</f>
        <v>5750</v>
      </c>
      <c r="E340" s="307"/>
      <c r="F340" s="307">
        <f>G340+H340+K340+M340</f>
        <v>5750</v>
      </c>
      <c r="G340" s="307"/>
      <c r="H340" s="307">
        <v>5750</v>
      </c>
      <c r="I340" s="235"/>
      <c r="J340" s="235"/>
      <c r="K340" s="303"/>
      <c r="L340" s="235"/>
      <c r="M340" s="223"/>
      <c r="N340" s="223"/>
      <c r="O340" s="303"/>
      <c r="P340" s="303">
        <v>0</v>
      </c>
      <c r="Q340" s="308">
        <f t="shared" si="329"/>
        <v>0</v>
      </c>
      <c r="R340" s="303"/>
      <c r="S340" s="309">
        <v>0</v>
      </c>
      <c r="T340" s="309">
        <v>0</v>
      </c>
      <c r="U340" s="303"/>
      <c r="V340" s="309">
        <v>0</v>
      </c>
      <c r="W340" s="309">
        <v>0</v>
      </c>
      <c r="X340" s="303"/>
      <c r="Y340" s="309">
        <v>0</v>
      </c>
      <c r="Z340" s="309">
        <v>0</v>
      </c>
      <c r="AA340" s="303"/>
      <c r="AB340" s="309">
        <v>0</v>
      </c>
      <c r="AC340" s="309">
        <v>0</v>
      </c>
      <c r="AD340" s="303"/>
      <c r="AE340" s="309">
        <v>0</v>
      </c>
      <c r="AF340" s="309">
        <v>0</v>
      </c>
      <c r="AG340" s="303"/>
      <c r="AH340" s="309">
        <v>0</v>
      </c>
      <c r="AI340" s="309">
        <v>0</v>
      </c>
      <c r="AJ340" s="188"/>
      <c r="AK340" s="309">
        <v>0</v>
      </c>
      <c r="AL340" s="309">
        <v>0</v>
      </c>
      <c r="AM340" s="303"/>
      <c r="AN340" s="309">
        <v>0</v>
      </c>
      <c r="AO340" s="309">
        <v>0</v>
      </c>
      <c r="AP340" s="309"/>
      <c r="AQ340" s="303">
        <v>785.971</v>
      </c>
      <c r="AR340" s="309">
        <v>0.13669060869565217</v>
      </c>
      <c r="AS340" s="309">
        <v>0.14388485125858125</v>
      </c>
      <c r="AT340" s="303">
        <v>785.971</v>
      </c>
      <c r="AU340" s="309">
        <v>0.13669060869565217</v>
      </c>
      <c r="AV340" s="309">
        <v>0.14388485125858125</v>
      </c>
      <c r="AW340" s="309"/>
      <c r="AX340" s="309"/>
      <c r="AY340" s="309"/>
      <c r="AZ340" s="309"/>
      <c r="BA340" s="309"/>
      <c r="BB340" s="309"/>
      <c r="BC340" s="303">
        <v>785.971</v>
      </c>
      <c r="BD340" s="309">
        <v>0.13669060869565217</v>
      </c>
      <c r="BE340" s="309">
        <v>0.14388485125858125</v>
      </c>
      <c r="BF340" s="303"/>
      <c r="BG340" s="303">
        <v>841</v>
      </c>
      <c r="BH340" s="309">
        <v>0.14626086956521739</v>
      </c>
      <c r="BI340" s="309">
        <v>0.15395881006864989</v>
      </c>
      <c r="BJ340" s="303">
        <f t="shared" si="330"/>
        <v>5462.5</v>
      </c>
      <c r="BK340" s="303">
        <v>971</v>
      </c>
      <c r="BL340" s="309">
        <f t="shared" si="315"/>
        <v>0.1688695652173913</v>
      </c>
      <c r="BM340" s="309">
        <f t="shared" si="332"/>
        <v>0.17775743707093822</v>
      </c>
      <c r="BN340" s="205">
        <f t="shared" si="312"/>
        <v>971</v>
      </c>
      <c r="BO340" s="205"/>
      <c r="BP340" s="310"/>
      <c r="BQ340" s="308">
        <f t="shared" si="316"/>
        <v>0</v>
      </c>
      <c r="BR340" s="310"/>
      <c r="BS340" s="308">
        <f t="shared" si="317"/>
        <v>0</v>
      </c>
      <c r="BT340" s="310">
        <f>$F340*0.1</f>
        <v>575</v>
      </c>
      <c r="BU340" s="308">
        <f t="shared" si="318"/>
        <v>0.1</v>
      </c>
      <c r="BV340" s="310">
        <f>$F340*0.2</f>
        <v>1150</v>
      </c>
      <c r="BW340" s="308">
        <f t="shared" si="319"/>
        <v>0.2</v>
      </c>
      <c r="BX340" s="310">
        <f>$F340*0.3</f>
        <v>1725</v>
      </c>
      <c r="BY340" s="308">
        <f t="shared" si="320"/>
        <v>0.3</v>
      </c>
      <c r="BZ340" s="310">
        <f>$F340*0.4</f>
        <v>2300</v>
      </c>
      <c r="CA340" s="308">
        <f t="shared" si="321"/>
        <v>0.4</v>
      </c>
      <c r="CB340" s="310">
        <f>$F340*0.5</f>
        <v>2875</v>
      </c>
      <c r="CC340" s="308">
        <f t="shared" si="322"/>
        <v>0.5</v>
      </c>
      <c r="CD340" s="310">
        <f>$F340*0.55</f>
        <v>3162.5000000000005</v>
      </c>
      <c r="CE340" s="308">
        <f t="shared" si="323"/>
        <v>0.55000000000000004</v>
      </c>
      <c r="CF340" s="310">
        <v>4024.9999999999995</v>
      </c>
      <c r="CG340" s="308">
        <f t="shared" si="324"/>
        <v>0.7</v>
      </c>
      <c r="CH340" s="310">
        <f>$F340*0.7</f>
        <v>4024.9999999999995</v>
      </c>
      <c r="CI340" s="308">
        <f t="shared" si="325"/>
        <v>0.7</v>
      </c>
      <c r="CJ340" s="310">
        <f>$F340*0.75</f>
        <v>4312.5</v>
      </c>
      <c r="CK340" s="308">
        <f t="shared" si="326"/>
        <v>0.75</v>
      </c>
      <c r="CL340" s="310">
        <f>$F340*0.75</f>
        <v>4312.5</v>
      </c>
      <c r="CM340" s="308">
        <f t="shared" si="327"/>
        <v>0.75</v>
      </c>
      <c r="CN340" s="310">
        <f>$F340*0.95</f>
        <v>5462.5</v>
      </c>
      <c r="CO340" s="308">
        <f t="shared" si="328"/>
        <v>0.95</v>
      </c>
      <c r="CP340" s="213" t="str">
        <f t="shared" si="333"/>
        <v>Không đạt</v>
      </c>
      <c r="CQ340" s="213" t="str">
        <f t="shared" si="334"/>
        <v>Không đạt</v>
      </c>
      <c r="CR340" s="312"/>
      <c r="CS340" s="312"/>
      <c r="CT340" s="235"/>
      <c r="CU340" s="163"/>
      <c r="CW340" s="195"/>
      <c r="CX340" s="196"/>
      <c r="CY340" s="196"/>
      <c r="CZ340" s="197"/>
      <c r="DA340" s="196"/>
      <c r="DB340" s="196"/>
      <c r="DC340" s="196"/>
      <c r="DE340" s="199"/>
      <c r="DF340" s="200"/>
      <c r="DG340" s="181"/>
    </row>
    <row r="341" spans="1:111" ht="18" customHeight="1" x14ac:dyDescent="0.25">
      <c r="A341" s="316">
        <f>MAX(A$243:A339)+1</f>
        <v>28</v>
      </c>
      <c r="B341" s="240" t="s">
        <v>418</v>
      </c>
      <c r="C341" s="240"/>
      <c r="D341" s="188">
        <f t="shared" ref="D341:I341" si="335">D342+D343</f>
        <v>3850</v>
      </c>
      <c r="E341" s="188">
        <f t="shared" si="335"/>
        <v>0</v>
      </c>
      <c r="F341" s="188">
        <f t="shared" si="335"/>
        <v>3850</v>
      </c>
      <c r="G341" s="188">
        <f t="shared" si="335"/>
        <v>3000</v>
      </c>
      <c r="H341" s="188">
        <f t="shared" si="335"/>
        <v>850</v>
      </c>
      <c r="I341" s="188">
        <f t="shared" si="335"/>
        <v>0</v>
      </c>
      <c r="J341" s="188"/>
      <c r="K341" s="188">
        <f>K342+K343</f>
        <v>0</v>
      </c>
      <c r="L341" s="188">
        <f>L342+L343</f>
        <v>0</v>
      </c>
      <c r="M341" s="188">
        <f>M342+M343</f>
        <v>0</v>
      </c>
      <c r="N341" s="188">
        <f>N342+N343</f>
        <v>0</v>
      </c>
      <c r="O341" s="188">
        <f>O342+O343</f>
        <v>3000</v>
      </c>
      <c r="P341" s="188">
        <v>0</v>
      </c>
      <c r="Q341" s="186">
        <f t="shared" si="329"/>
        <v>0</v>
      </c>
      <c r="R341" s="188">
        <v>0</v>
      </c>
      <c r="S341" s="185">
        <v>0</v>
      </c>
      <c r="T341" s="185">
        <v>0</v>
      </c>
      <c r="U341" s="188">
        <v>0</v>
      </c>
      <c r="V341" s="185">
        <v>0</v>
      </c>
      <c r="W341" s="185">
        <v>0</v>
      </c>
      <c r="X341" s="188">
        <v>0</v>
      </c>
      <c r="Y341" s="185">
        <v>0</v>
      </c>
      <c r="Z341" s="185">
        <v>0</v>
      </c>
      <c r="AA341" s="188">
        <v>0</v>
      </c>
      <c r="AB341" s="185">
        <v>0</v>
      </c>
      <c r="AC341" s="185">
        <v>0</v>
      </c>
      <c r="AD341" s="188">
        <v>0</v>
      </c>
      <c r="AE341" s="185">
        <v>0</v>
      </c>
      <c r="AF341" s="185">
        <v>0</v>
      </c>
      <c r="AG341" s="188">
        <v>0</v>
      </c>
      <c r="AH341" s="185">
        <v>0</v>
      </c>
      <c r="AI341" s="185">
        <v>0</v>
      </c>
      <c r="AJ341" s="303">
        <v>0</v>
      </c>
      <c r="AK341" s="185">
        <v>0</v>
      </c>
      <c r="AL341" s="185">
        <v>0</v>
      </c>
      <c r="AM341" s="188">
        <v>217</v>
      </c>
      <c r="AN341" s="185">
        <v>5.6363636363636366E-2</v>
      </c>
      <c r="AO341" s="185">
        <v>5.9330143540669858E-2</v>
      </c>
      <c r="AP341" s="185"/>
      <c r="AQ341" s="188">
        <v>612</v>
      </c>
      <c r="AR341" s="185">
        <v>0.15896103896103897</v>
      </c>
      <c r="AS341" s="185">
        <v>0.1673274094326726</v>
      </c>
      <c r="AT341" s="188">
        <v>753</v>
      </c>
      <c r="AU341" s="185">
        <v>0.19558441558441558</v>
      </c>
      <c r="AV341" s="185">
        <v>0.20587833219412166</v>
      </c>
      <c r="AW341" s="185"/>
      <c r="AX341" s="185"/>
      <c r="AY341" s="185"/>
      <c r="AZ341" s="185"/>
      <c r="BA341" s="185"/>
      <c r="BB341" s="185"/>
      <c r="BC341" s="188">
        <v>753</v>
      </c>
      <c r="BD341" s="185">
        <v>0.19558441558441558</v>
      </c>
      <c r="BE341" s="185">
        <v>0.20587833219412166</v>
      </c>
      <c r="BF341" s="188"/>
      <c r="BG341" s="188">
        <v>1209</v>
      </c>
      <c r="BH341" s="185">
        <v>0.31402597402597404</v>
      </c>
      <c r="BI341" s="185">
        <v>0.33055365686944632</v>
      </c>
      <c r="BJ341" s="188">
        <f t="shared" si="330"/>
        <v>3657.5</v>
      </c>
      <c r="BK341" s="188">
        <f>BK342+BK343</f>
        <v>1209</v>
      </c>
      <c r="BL341" s="185">
        <f t="shared" si="315"/>
        <v>0.31402597402597404</v>
      </c>
      <c r="BM341" s="185">
        <f t="shared" si="332"/>
        <v>0.33055365686944632</v>
      </c>
      <c r="BN341" s="205">
        <f t="shared" si="312"/>
        <v>1209</v>
      </c>
      <c r="BO341" s="205"/>
      <c r="BP341" s="189">
        <f>BP342+BP343</f>
        <v>0</v>
      </c>
      <c r="BQ341" s="186">
        <f t="shared" si="316"/>
        <v>0</v>
      </c>
      <c r="BR341" s="189">
        <f>BR342+BR343</f>
        <v>0</v>
      </c>
      <c r="BS341" s="186">
        <f t="shared" si="317"/>
        <v>0</v>
      </c>
      <c r="BT341" s="189">
        <f>BT342+BT343</f>
        <v>300</v>
      </c>
      <c r="BU341" s="186">
        <f t="shared" si="318"/>
        <v>7.792207792207792E-2</v>
      </c>
      <c r="BV341" s="189">
        <f>BV342+BV343</f>
        <v>300</v>
      </c>
      <c r="BW341" s="186">
        <f t="shared" si="319"/>
        <v>7.792207792207792E-2</v>
      </c>
      <c r="BX341" s="189">
        <f>BX342+BX343</f>
        <v>300</v>
      </c>
      <c r="BY341" s="186">
        <f t="shared" si="320"/>
        <v>7.792207792207792E-2</v>
      </c>
      <c r="BZ341" s="189">
        <f>BZ342+BZ343</f>
        <v>300</v>
      </c>
      <c r="CA341" s="186">
        <f t="shared" si="321"/>
        <v>7.792207792207792E-2</v>
      </c>
      <c r="CB341" s="189">
        <f>CB342+CB343</f>
        <v>1100</v>
      </c>
      <c r="CC341" s="186">
        <f t="shared" si="322"/>
        <v>0.2857142857142857</v>
      </c>
      <c r="CD341" s="189">
        <f>CD342+CD343</f>
        <v>2850</v>
      </c>
      <c r="CE341" s="186">
        <f t="shared" si="323"/>
        <v>0.74025974025974028</v>
      </c>
      <c r="CF341" s="189">
        <f>CF342+CF343</f>
        <v>2850</v>
      </c>
      <c r="CG341" s="186">
        <f t="shared" si="324"/>
        <v>0.74025974025974028</v>
      </c>
      <c r="CH341" s="189">
        <f>CH342+CH343</f>
        <v>2850</v>
      </c>
      <c r="CI341" s="186">
        <f t="shared" si="325"/>
        <v>0.74025974025974028</v>
      </c>
      <c r="CJ341" s="189">
        <f>CJ342+CJ343</f>
        <v>2850</v>
      </c>
      <c r="CK341" s="186">
        <f t="shared" si="326"/>
        <v>0.74025974025974028</v>
      </c>
      <c r="CL341" s="189">
        <f>CL342+CL343</f>
        <v>3657.5</v>
      </c>
      <c r="CM341" s="186">
        <f t="shared" si="327"/>
        <v>0.95</v>
      </c>
      <c r="CN341" s="189">
        <f>CN342+CN343</f>
        <v>3657.5</v>
      </c>
      <c r="CO341" s="186">
        <f t="shared" si="328"/>
        <v>0.95</v>
      </c>
      <c r="CP341" s="213" t="str">
        <f t="shared" si="333"/>
        <v>Không đạt</v>
      </c>
      <c r="CQ341" s="213" t="str">
        <f t="shared" si="334"/>
        <v>Không đạt</v>
      </c>
      <c r="CR341" s="213"/>
      <c r="CS341" s="213"/>
      <c r="CT341" s="231"/>
      <c r="CU341" s="163"/>
      <c r="CW341" s="195"/>
      <c r="CX341" s="196"/>
      <c r="CY341" s="196"/>
      <c r="CZ341" s="197"/>
      <c r="DA341" s="196"/>
      <c r="DB341" s="196"/>
      <c r="DC341" s="196"/>
      <c r="DE341" s="199"/>
      <c r="DF341" s="200"/>
      <c r="DG341" s="181"/>
    </row>
    <row r="342" spans="1:111" s="324" customFormat="1" outlineLevel="1" x14ac:dyDescent="0.25">
      <c r="A342" s="305" t="s">
        <v>34</v>
      </c>
      <c r="B342" s="318" t="s">
        <v>376</v>
      </c>
      <c r="C342" s="306"/>
      <c r="D342" s="307">
        <f>E342+F342</f>
        <v>3000</v>
      </c>
      <c r="E342" s="307"/>
      <c r="F342" s="307">
        <f>G342+H342+K342+M342</f>
        <v>3000</v>
      </c>
      <c r="G342" s="303">
        <v>3000</v>
      </c>
      <c r="H342" s="303"/>
      <c r="I342" s="235"/>
      <c r="J342" s="235"/>
      <c r="K342" s="303"/>
      <c r="L342" s="235"/>
      <c r="M342" s="223"/>
      <c r="N342" s="223"/>
      <c r="O342" s="303">
        <f>G342+I342+L342+N342</f>
        <v>3000</v>
      </c>
      <c r="P342" s="303">
        <v>0</v>
      </c>
      <c r="Q342" s="308">
        <f t="shared" si="329"/>
        <v>0</v>
      </c>
      <c r="R342" s="303"/>
      <c r="S342" s="313">
        <v>0</v>
      </c>
      <c r="T342" s="313">
        <v>0</v>
      </c>
      <c r="U342" s="303"/>
      <c r="V342" s="313">
        <v>0</v>
      </c>
      <c r="W342" s="313">
        <v>0</v>
      </c>
      <c r="X342" s="303"/>
      <c r="Y342" s="313">
        <v>0</v>
      </c>
      <c r="Z342" s="313">
        <v>0</v>
      </c>
      <c r="AA342" s="303"/>
      <c r="AB342" s="313">
        <v>0</v>
      </c>
      <c r="AC342" s="313">
        <v>0</v>
      </c>
      <c r="AD342" s="303"/>
      <c r="AE342" s="313">
        <v>0</v>
      </c>
      <c r="AF342" s="313">
        <v>0</v>
      </c>
      <c r="AG342" s="303"/>
      <c r="AH342" s="313">
        <v>0</v>
      </c>
      <c r="AI342" s="313">
        <v>0</v>
      </c>
      <c r="AJ342" s="303"/>
      <c r="AK342" s="313">
        <v>0</v>
      </c>
      <c r="AL342" s="313">
        <v>0</v>
      </c>
      <c r="AM342" s="303">
        <v>217</v>
      </c>
      <c r="AN342" s="313">
        <v>7.2333333333333333E-2</v>
      </c>
      <c r="AO342" s="313">
        <v>7.614035087719298E-2</v>
      </c>
      <c r="AP342" s="313"/>
      <c r="AQ342" s="303">
        <v>327</v>
      </c>
      <c r="AR342" s="313">
        <v>0.109</v>
      </c>
      <c r="AS342" s="313">
        <v>0.11473684210526315</v>
      </c>
      <c r="AT342" s="303">
        <v>468</v>
      </c>
      <c r="AU342" s="313">
        <v>0.156</v>
      </c>
      <c r="AV342" s="313">
        <v>0.16421052631578947</v>
      </c>
      <c r="AW342" s="313"/>
      <c r="AX342" s="313"/>
      <c r="AY342" s="313"/>
      <c r="AZ342" s="313"/>
      <c r="BA342" s="313"/>
      <c r="BB342" s="313"/>
      <c r="BC342" s="303">
        <v>468</v>
      </c>
      <c r="BD342" s="313">
        <v>0.156</v>
      </c>
      <c r="BE342" s="313">
        <v>0.16421052631578947</v>
      </c>
      <c r="BF342" s="303"/>
      <c r="BG342" s="303">
        <v>899</v>
      </c>
      <c r="BH342" s="313">
        <v>0.29966666666666669</v>
      </c>
      <c r="BI342" s="313">
        <v>0.31543859649122807</v>
      </c>
      <c r="BJ342" s="303">
        <f t="shared" si="330"/>
        <v>2850</v>
      </c>
      <c r="BK342" s="303">
        <v>899</v>
      </c>
      <c r="BL342" s="313">
        <f t="shared" si="315"/>
        <v>0.29966666666666669</v>
      </c>
      <c r="BM342" s="313">
        <f t="shared" si="332"/>
        <v>0.31543859649122807</v>
      </c>
      <c r="BN342" s="205">
        <f t="shared" si="312"/>
        <v>899</v>
      </c>
      <c r="BO342" s="205"/>
      <c r="BP342" s="310"/>
      <c r="BQ342" s="311">
        <f t="shared" si="316"/>
        <v>0</v>
      </c>
      <c r="BR342" s="310"/>
      <c r="BS342" s="311">
        <f t="shared" si="317"/>
        <v>0</v>
      </c>
      <c r="BT342" s="310">
        <v>300</v>
      </c>
      <c r="BU342" s="308">
        <f t="shared" si="318"/>
        <v>0.1</v>
      </c>
      <c r="BV342" s="310">
        <f>BT342</f>
        <v>300</v>
      </c>
      <c r="BW342" s="311">
        <f t="shared" si="319"/>
        <v>0.1</v>
      </c>
      <c r="BX342" s="310">
        <f>BV342</f>
        <v>300</v>
      </c>
      <c r="BY342" s="311">
        <f t="shared" si="320"/>
        <v>0.1</v>
      </c>
      <c r="BZ342" s="310">
        <f>BX342</f>
        <v>300</v>
      </c>
      <c r="CA342" s="311">
        <f t="shared" si="321"/>
        <v>0.1</v>
      </c>
      <c r="CB342" s="310">
        <v>1100</v>
      </c>
      <c r="CC342" s="311">
        <f t="shared" si="322"/>
        <v>0.36666666666666664</v>
      </c>
      <c r="CD342" s="310">
        <v>2850</v>
      </c>
      <c r="CE342" s="311">
        <f t="shared" si="323"/>
        <v>0.95</v>
      </c>
      <c r="CF342" s="310">
        <v>2850</v>
      </c>
      <c r="CG342" s="311">
        <f t="shared" si="324"/>
        <v>0.95</v>
      </c>
      <c r="CH342" s="310">
        <v>2850</v>
      </c>
      <c r="CI342" s="311">
        <f t="shared" si="325"/>
        <v>0.95</v>
      </c>
      <c r="CJ342" s="310">
        <v>2850</v>
      </c>
      <c r="CK342" s="311">
        <f t="shared" si="326"/>
        <v>0.95</v>
      </c>
      <c r="CL342" s="310">
        <v>2850</v>
      </c>
      <c r="CM342" s="311">
        <f t="shared" si="327"/>
        <v>0.95</v>
      </c>
      <c r="CN342" s="310">
        <v>2850</v>
      </c>
      <c r="CO342" s="311">
        <f t="shared" si="328"/>
        <v>0.95</v>
      </c>
      <c r="CP342" s="213" t="str">
        <f t="shared" si="333"/>
        <v>Không đạt</v>
      </c>
      <c r="CQ342" s="213" t="str">
        <f t="shared" si="334"/>
        <v>Không đạt</v>
      </c>
      <c r="CR342" s="312"/>
      <c r="CS342" s="312"/>
      <c r="CT342" s="235"/>
      <c r="CU342" s="163"/>
      <c r="CV342" s="323"/>
      <c r="CW342" s="340"/>
      <c r="CX342" s="341"/>
      <c r="CY342" s="341"/>
      <c r="CZ342" s="342"/>
      <c r="DA342" s="341"/>
      <c r="DB342" s="341"/>
      <c r="DC342" s="341"/>
      <c r="DE342" s="199"/>
      <c r="DF342" s="200"/>
      <c r="DG342" s="181"/>
    </row>
    <row r="343" spans="1:111" ht="25.5" outlineLevel="1" x14ac:dyDescent="0.25">
      <c r="A343" s="305" t="s">
        <v>34</v>
      </c>
      <c r="B343" s="306" t="s">
        <v>377</v>
      </c>
      <c r="C343" s="306"/>
      <c r="D343" s="307">
        <f>E343+F343</f>
        <v>850</v>
      </c>
      <c r="E343" s="307"/>
      <c r="F343" s="307">
        <f>G343+H343+K343+M343</f>
        <v>850</v>
      </c>
      <c r="G343" s="307"/>
      <c r="H343" s="307">
        <v>850</v>
      </c>
      <c r="I343" s="235"/>
      <c r="J343" s="235"/>
      <c r="K343" s="303"/>
      <c r="L343" s="235"/>
      <c r="M343" s="223"/>
      <c r="N343" s="223"/>
      <c r="O343" s="303"/>
      <c r="P343" s="303">
        <v>0</v>
      </c>
      <c r="Q343" s="308">
        <f t="shared" si="329"/>
        <v>0</v>
      </c>
      <c r="R343" s="303"/>
      <c r="S343" s="313">
        <v>0</v>
      </c>
      <c r="T343" s="313">
        <v>0</v>
      </c>
      <c r="U343" s="303"/>
      <c r="V343" s="313">
        <v>0</v>
      </c>
      <c r="W343" s="313">
        <v>0</v>
      </c>
      <c r="X343" s="303"/>
      <c r="Y343" s="313">
        <v>0</v>
      </c>
      <c r="Z343" s="313">
        <v>0</v>
      </c>
      <c r="AA343" s="303"/>
      <c r="AB343" s="313">
        <v>0</v>
      </c>
      <c r="AC343" s="313">
        <v>0</v>
      </c>
      <c r="AD343" s="303"/>
      <c r="AE343" s="313">
        <v>0</v>
      </c>
      <c r="AF343" s="313">
        <v>0</v>
      </c>
      <c r="AG343" s="303"/>
      <c r="AH343" s="313">
        <v>0</v>
      </c>
      <c r="AI343" s="313">
        <v>0</v>
      </c>
      <c r="AJ343" s="188"/>
      <c r="AK343" s="313">
        <v>0</v>
      </c>
      <c r="AL343" s="313">
        <v>0</v>
      </c>
      <c r="AM343" s="303"/>
      <c r="AN343" s="313">
        <v>0</v>
      </c>
      <c r="AO343" s="313">
        <v>0</v>
      </c>
      <c r="AP343" s="313"/>
      <c r="AQ343" s="303">
        <v>285</v>
      </c>
      <c r="AR343" s="313">
        <v>0.3352941176470588</v>
      </c>
      <c r="AS343" s="313">
        <v>0.35294117647058826</v>
      </c>
      <c r="AT343" s="303">
        <v>285</v>
      </c>
      <c r="AU343" s="313">
        <v>0.3352941176470588</v>
      </c>
      <c r="AV343" s="313">
        <v>0.35294117647058826</v>
      </c>
      <c r="AW343" s="313"/>
      <c r="AX343" s="313"/>
      <c r="AY343" s="313"/>
      <c r="AZ343" s="313"/>
      <c r="BA343" s="313"/>
      <c r="BB343" s="313"/>
      <c r="BC343" s="303">
        <v>285</v>
      </c>
      <c r="BD343" s="313">
        <v>0.3352941176470588</v>
      </c>
      <c r="BE343" s="313">
        <v>0.35294117647058826</v>
      </c>
      <c r="BF343" s="303"/>
      <c r="BG343" s="303">
        <v>310</v>
      </c>
      <c r="BH343" s="313">
        <v>0.36470588235294116</v>
      </c>
      <c r="BI343" s="313">
        <v>0.38390092879256965</v>
      </c>
      <c r="BJ343" s="303">
        <f t="shared" si="330"/>
        <v>807.5</v>
      </c>
      <c r="BK343" s="303">
        <v>310</v>
      </c>
      <c r="BL343" s="313">
        <f t="shared" si="315"/>
        <v>0.36470588235294116</v>
      </c>
      <c r="BM343" s="313">
        <f t="shared" si="332"/>
        <v>0.38390092879256965</v>
      </c>
      <c r="BN343" s="205">
        <f t="shared" si="312"/>
        <v>310</v>
      </c>
      <c r="BO343" s="205"/>
      <c r="BP343" s="310"/>
      <c r="BQ343" s="311">
        <f t="shared" si="316"/>
        <v>0</v>
      </c>
      <c r="BR343" s="310"/>
      <c r="BS343" s="311">
        <f t="shared" si="317"/>
        <v>0</v>
      </c>
      <c r="BT343" s="310"/>
      <c r="BU343" s="308">
        <f t="shared" si="318"/>
        <v>0</v>
      </c>
      <c r="BV343" s="310"/>
      <c r="BW343" s="311">
        <f t="shared" si="319"/>
        <v>0</v>
      </c>
      <c r="BX343" s="310"/>
      <c r="BY343" s="311">
        <f t="shared" si="320"/>
        <v>0</v>
      </c>
      <c r="BZ343" s="310"/>
      <c r="CA343" s="311">
        <f t="shared" si="321"/>
        <v>0</v>
      </c>
      <c r="CB343" s="310"/>
      <c r="CC343" s="311">
        <f t="shared" si="322"/>
        <v>0</v>
      </c>
      <c r="CD343" s="310"/>
      <c r="CE343" s="311">
        <f t="shared" si="323"/>
        <v>0</v>
      </c>
      <c r="CF343" s="310"/>
      <c r="CG343" s="311">
        <f t="shared" si="324"/>
        <v>0</v>
      </c>
      <c r="CH343" s="310"/>
      <c r="CI343" s="311">
        <f t="shared" si="325"/>
        <v>0</v>
      </c>
      <c r="CJ343" s="310"/>
      <c r="CK343" s="311">
        <f t="shared" si="326"/>
        <v>0</v>
      </c>
      <c r="CL343" s="310">
        <f>850*0.95</f>
        <v>807.5</v>
      </c>
      <c r="CM343" s="311">
        <f t="shared" si="327"/>
        <v>0.95</v>
      </c>
      <c r="CN343" s="310">
        <f>850*0.95</f>
        <v>807.5</v>
      </c>
      <c r="CO343" s="311">
        <f t="shared" si="328"/>
        <v>0.95</v>
      </c>
      <c r="CP343" s="213" t="str">
        <f t="shared" si="333"/>
        <v>Đạt</v>
      </c>
      <c r="CQ343" s="213" t="str">
        <f t="shared" si="334"/>
        <v>Không đạt</v>
      </c>
      <c r="CR343" s="312"/>
      <c r="CS343" s="312"/>
      <c r="CT343" s="235"/>
      <c r="CU343" s="163"/>
      <c r="CW343" s="195"/>
      <c r="CX343" s="196"/>
      <c r="CY343" s="196"/>
      <c r="CZ343" s="197"/>
      <c r="DA343" s="196"/>
      <c r="DB343" s="196"/>
      <c r="DC343" s="196"/>
      <c r="DE343" s="199"/>
      <c r="DF343" s="200"/>
      <c r="DG343" s="181"/>
    </row>
    <row r="344" spans="1:111" ht="18" customHeight="1" x14ac:dyDescent="0.25">
      <c r="A344" s="213">
        <f>MAX(A$243:A342)+1</f>
        <v>29</v>
      </c>
      <c r="B344" s="240" t="s">
        <v>419</v>
      </c>
      <c r="C344" s="240"/>
      <c r="D344" s="188">
        <f t="shared" ref="D344:I344" si="336">D345+D346</f>
        <v>3850</v>
      </c>
      <c r="E344" s="188">
        <f t="shared" si="336"/>
        <v>0</v>
      </c>
      <c r="F344" s="188">
        <f t="shared" si="336"/>
        <v>3850</v>
      </c>
      <c r="G344" s="188">
        <f t="shared" si="336"/>
        <v>3000</v>
      </c>
      <c r="H344" s="188">
        <f t="shared" si="336"/>
        <v>850</v>
      </c>
      <c r="I344" s="188">
        <f t="shared" si="336"/>
        <v>0</v>
      </c>
      <c r="J344" s="188"/>
      <c r="K344" s="188">
        <f>K345+K346</f>
        <v>0</v>
      </c>
      <c r="L344" s="188">
        <f>L345+L346</f>
        <v>0</v>
      </c>
      <c r="M344" s="188">
        <f>M345+M346</f>
        <v>0</v>
      </c>
      <c r="N344" s="188">
        <f>N345+N346</f>
        <v>0</v>
      </c>
      <c r="O344" s="188">
        <f>O345+O346</f>
        <v>3000</v>
      </c>
      <c r="P344" s="188">
        <v>0</v>
      </c>
      <c r="Q344" s="186">
        <f t="shared" si="329"/>
        <v>0</v>
      </c>
      <c r="R344" s="188">
        <v>0</v>
      </c>
      <c r="S344" s="185">
        <v>0</v>
      </c>
      <c r="T344" s="185">
        <v>0</v>
      </c>
      <c r="U344" s="188">
        <v>0</v>
      </c>
      <c r="V344" s="185">
        <v>0</v>
      </c>
      <c r="W344" s="185">
        <v>0</v>
      </c>
      <c r="X344" s="188">
        <v>0</v>
      </c>
      <c r="Y344" s="185">
        <v>0</v>
      </c>
      <c r="Z344" s="185">
        <v>0</v>
      </c>
      <c r="AA344" s="188">
        <v>0</v>
      </c>
      <c r="AB344" s="185">
        <v>0</v>
      </c>
      <c r="AC344" s="185">
        <v>0</v>
      </c>
      <c r="AD344" s="188">
        <v>1956</v>
      </c>
      <c r="AE344" s="185">
        <v>0.50805194805194809</v>
      </c>
      <c r="AF344" s="185">
        <v>0.53479152426520848</v>
      </c>
      <c r="AG344" s="188">
        <v>1956</v>
      </c>
      <c r="AH344" s="185">
        <v>0.50805194805194809</v>
      </c>
      <c r="AI344" s="185">
        <v>0.53479152426520848</v>
      </c>
      <c r="AJ344" s="303">
        <v>1956</v>
      </c>
      <c r="AK344" s="185">
        <v>0.50805194805194809</v>
      </c>
      <c r="AL344" s="185">
        <v>0.53479152426520848</v>
      </c>
      <c r="AM344" s="314">
        <v>1956</v>
      </c>
      <c r="AN344" s="185">
        <v>0.50805194805194809</v>
      </c>
      <c r="AO344" s="185">
        <v>0.53479152426520848</v>
      </c>
      <c r="AP344" s="185"/>
      <c r="AQ344" s="188">
        <v>2533.5</v>
      </c>
      <c r="AR344" s="185">
        <v>0.658051948051948</v>
      </c>
      <c r="AS344" s="185">
        <v>0.69268626110731379</v>
      </c>
      <c r="AT344" s="188">
        <v>2533.5</v>
      </c>
      <c r="AU344" s="185">
        <v>0.658051948051948</v>
      </c>
      <c r="AV344" s="185">
        <v>0.69268626110731379</v>
      </c>
      <c r="AW344" s="185"/>
      <c r="AX344" s="185"/>
      <c r="AY344" s="185"/>
      <c r="AZ344" s="185"/>
      <c r="BA344" s="185"/>
      <c r="BB344" s="185"/>
      <c r="BC344" s="188">
        <v>2533.5</v>
      </c>
      <c r="BD344" s="185">
        <v>0.658051948051948</v>
      </c>
      <c r="BE344" s="185">
        <v>0.69268626110731379</v>
      </c>
      <c r="BF344" s="188"/>
      <c r="BG344" s="188">
        <v>2676</v>
      </c>
      <c r="BH344" s="185">
        <v>0.69506493506493505</v>
      </c>
      <c r="BI344" s="185">
        <v>0.73164730006835266</v>
      </c>
      <c r="BJ344" s="188">
        <f t="shared" si="330"/>
        <v>3657.5</v>
      </c>
      <c r="BK344" s="188">
        <f>BK345+BK346</f>
        <v>2788</v>
      </c>
      <c r="BL344" s="185">
        <f t="shared" si="315"/>
        <v>0.72415584415584411</v>
      </c>
      <c r="BM344" s="185">
        <f t="shared" si="332"/>
        <v>0.76226930963773065</v>
      </c>
      <c r="BN344" s="205">
        <f t="shared" si="312"/>
        <v>832</v>
      </c>
      <c r="BO344" s="205"/>
      <c r="BP344" s="189">
        <f>BP345+BP346</f>
        <v>0</v>
      </c>
      <c r="BQ344" s="186">
        <f t="shared" si="316"/>
        <v>0</v>
      </c>
      <c r="BR344" s="189">
        <f>BR345+BR346</f>
        <v>0</v>
      </c>
      <c r="BS344" s="186">
        <f t="shared" si="317"/>
        <v>0</v>
      </c>
      <c r="BT344" s="189">
        <f>BT345+BT346</f>
        <v>385</v>
      </c>
      <c r="BU344" s="186">
        <f t="shared" si="318"/>
        <v>0.1</v>
      </c>
      <c r="BV344" s="189">
        <f>BV345+BV346</f>
        <v>770</v>
      </c>
      <c r="BW344" s="186">
        <f t="shared" si="319"/>
        <v>0.2</v>
      </c>
      <c r="BX344" s="189">
        <f>BX345+BX346</f>
        <v>1155</v>
      </c>
      <c r="BY344" s="186">
        <f t="shared" si="320"/>
        <v>0.3</v>
      </c>
      <c r="BZ344" s="189">
        <f>BZ345+BZ346</f>
        <v>1540</v>
      </c>
      <c r="CA344" s="186">
        <f t="shared" si="321"/>
        <v>0.4</v>
      </c>
      <c r="CB344" s="189">
        <f>CB345+CB346</f>
        <v>1925</v>
      </c>
      <c r="CC344" s="186">
        <f t="shared" si="322"/>
        <v>0.5</v>
      </c>
      <c r="CD344" s="189">
        <f>CD345+CD346</f>
        <v>2117.5000000000005</v>
      </c>
      <c r="CE344" s="186">
        <f t="shared" si="323"/>
        <v>0.55000000000000016</v>
      </c>
      <c r="CF344" s="189">
        <f>CF345+CF346</f>
        <v>2695</v>
      </c>
      <c r="CG344" s="186">
        <f t="shared" si="324"/>
        <v>0.7</v>
      </c>
      <c r="CH344" s="189">
        <f>CH345+CH346</f>
        <v>2695</v>
      </c>
      <c r="CI344" s="186">
        <f t="shared" si="325"/>
        <v>0.7</v>
      </c>
      <c r="CJ344" s="189">
        <f>CJ345+CJ346</f>
        <v>2887.5</v>
      </c>
      <c r="CK344" s="186">
        <f t="shared" si="326"/>
        <v>0.75</v>
      </c>
      <c r="CL344" s="189">
        <f>CL345+CL346</f>
        <v>2887.5</v>
      </c>
      <c r="CM344" s="186">
        <f t="shared" si="327"/>
        <v>0.75</v>
      </c>
      <c r="CN344" s="189">
        <f>CN345+CN346</f>
        <v>3657.5</v>
      </c>
      <c r="CO344" s="186">
        <f t="shared" si="328"/>
        <v>0.95</v>
      </c>
      <c r="CP344" s="213" t="str">
        <f t="shared" si="333"/>
        <v>Đạt</v>
      </c>
      <c r="CQ344" s="213" t="str">
        <f t="shared" si="334"/>
        <v>Đạt</v>
      </c>
      <c r="CR344" s="213"/>
      <c r="CS344" s="213"/>
      <c r="CT344" s="231"/>
      <c r="CU344" s="163"/>
      <c r="CW344" s="195"/>
      <c r="CX344" s="196"/>
      <c r="CY344" s="196"/>
      <c r="CZ344" s="197"/>
      <c r="DA344" s="196"/>
      <c r="DB344" s="196"/>
      <c r="DC344" s="196"/>
      <c r="DE344" s="199"/>
      <c r="DF344" s="200"/>
      <c r="DG344" s="181"/>
    </row>
    <row r="345" spans="1:111" s="324" customFormat="1" outlineLevel="1" x14ac:dyDescent="0.25">
      <c r="A345" s="305" t="s">
        <v>34</v>
      </c>
      <c r="B345" s="318" t="s">
        <v>376</v>
      </c>
      <c r="C345" s="306"/>
      <c r="D345" s="307">
        <f>E345+F345</f>
        <v>3000</v>
      </c>
      <c r="E345" s="307"/>
      <c r="F345" s="307">
        <f>G345+H345+K345+M345</f>
        <v>3000</v>
      </c>
      <c r="G345" s="303">
        <v>3000</v>
      </c>
      <c r="H345" s="303"/>
      <c r="I345" s="235"/>
      <c r="J345" s="235"/>
      <c r="K345" s="303"/>
      <c r="L345" s="235"/>
      <c r="M345" s="223"/>
      <c r="N345" s="223"/>
      <c r="O345" s="303">
        <f>G345+I345+L345+N345</f>
        <v>3000</v>
      </c>
      <c r="P345" s="303">
        <v>0</v>
      </c>
      <c r="Q345" s="308">
        <f t="shared" si="329"/>
        <v>0</v>
      </c>
      <c r="R345" s="303"/>
      <c r="S345" s="309">
        <v>0</v>
      </c>
      <c r="T345" s="309">
        <v>0</v>
      </c>
      <c r="U345" s="303"/>
      <c r="V345" s="309">
        <v>0</v>
      </c>
      <c r="W345" s="309">
        <v>0</v>
      </c>
      <c r="X345" s="303"/>
      <c r="Y345" s="309">
        <v>0</v>
      </c>
      <c r="Z345" s="309">
        <v>0</v>
      </c>
      <c r="AA345" s="303"/>
      <c r="AB345" s="309">
        <v>0</v>
      </c>
      <c r="AC345" s="309">
        <v>0</v>
      </c>
      <c r="AD345" s="303">
        <v>1956</v>
      </c>
      <c r="AE345" s="309">
        <v>0.65200000000000002</v>
      </c>
      <c r="AF345" s="309">
        <v>0.68631578947368421</v>
      </c>
      <c r="AG345" s="303">
        <v>1956</v>
      </c>
      <c r="AH345" s="309">
        <v>0.65200000000000002</v>
      </c>
      <c r="AI345" s="309">
        <v>0.68631578947368421</v>
      </c>
      <c r="AJ345" s="303">
        <v>1956</v>
      </c>
      <c r="AK345" s="309">
        <v>0.65200000000000002</v>
      </c>
      <c r="AL345" s="309">
        <v>0.68631578947368421</v>
      </c>
      <c r="AM345" s="303">
        <v>1956</v>
      </c>
      <c r="AN345" s="309">
        <v>0.65200000000000002</v>
      </c>
      <c r="AO345" s="309">
        <v>0.68631578947368421</v>
      </c>
      <c r="AP345" s="309"/>
      <c r="AQ345" s="303">
        <v>2533.5</v>
      </c>
      <c r="AR345" s="309">
        <v>0.84450000000000003</v>
      </c>
      <c r="AS345" s="309">
        <v>0.8889473684210526</v>
      </c>
      <c r="AT345" s="303">
        <v>2533.5</v>
      </c>
      <c r="AU345" s="309">
        <v>0.84450000000000003</v>
      </c>
      <c r="AV345" s="309">
        <v>0.8889473684210526</v>
      </c>
      <c r="AW345" s="309"/>
      <c r="AX345" s="309"/>
      <c r="AY345" s="309"/>
      <c r="AZ345" s="309"/>
      <c r="BA345" s="309"/>
      <c r="BB345" s="309"/>
      <c r="BC345" s="303">
        <v>2533.5</v>
      </c>
      <c r="BD345" s="309">
        <v>0.84450000000000003</v>
      </c>
      <c r="BE345" s="309">
        <v>0.8889473684210526</v>
      </c>
      <c r="BF345" s="303"/>
      <c r="BG345" s="303">
        <v>2676</v>
      </c>
      <c r="BH345" s="309">
        <v>0.89200000000000002</v>
      </c>
      <c r="BI345" s="309">
        <v>0.93894736842105264</v>
      </c>
      <c r="BJ345" s="303">
        <f t="shared" si="330"/>
        <v>2850</v>
      </c>
      <c r="BK345" s="303">
        <v>2788</v>
      </c>
      <c r="BL345" s="309">
        <f t="shared" si="315"/>
        <v>0.92933333333333334</v>
      </c>
      <c r="BM345" s="309">
        <f t="shared" si="332"/>
        <v>0.9782456140350877</v>
      </c>
      <c r="BN345" s="205">
        <f t="shared" si="312"/>
        <v>832</v>
      </c>
      <c r="BO345" s="205"/>
      <c r="BP345" s="310"/>
      <c r="BQ345" s="308">
        <f t="shared" si="316"/>
        <v>0</v>
      </c>
      <c r="BR345" s="310"/>
      <c r="BS345" s="308">
        <f t="shared" si="317"/>
        <v>0</v>
      </c>
      <c r="BT345" s="310">
        <f>$F345*0.1</f>
        <v>300</v>
      </c>
      <c r="BU345" s="308">
        <f t="shared" si="318"/>
        <v>0.1</v>
      </c>
      <c r="BV345" s="310">
        <f>$F345*0.2</f>
        <v>600</v>
      </c>
      <c r="BW345" s="308">
        <f t="shared" si="319"/>
        <v>0.2</v>
      </c>
      <c r="BX345" s="310">
        <f>$F345*0.3</f>
        <v>900</v>
      </c>
      <c r="BY345" s="308">
        <f t="shared" si="320"/>
        <v>0.3</v>
      </c>
      <c r="BZ345" s="310">
        <f>$F345*0.4</f>
        <v>1200</v>
      </c>
      <c r="CA345" s="308">
        <f t="shared" si="321"/>
        <v>0.4</v>
      </c>
      <c r="CB345" s="310">
        <f>$F345*0.5</f>
        <v>1500</v>
      </c>
      <c r="CC345" s="308">
        <f t="shared" si="322"/>
        <v>0.5</v>
      </c>
      <c r="CD345" s="310">
        <f>$F345*0.55</f>
        <v>1650.0000000000002</v>
      </c>
      <c r="CE345" s="308">
        <f t="shared" si="323"/>
        <v>0.55000000000000004</v>
      </c>
      <c r="CF345" s="310">
        <v>2100</v>
      </c>
      <c r="CG345" s="308">
        <f t="shared" si="324"/>
        <v>0.7</v>
      </c>
      <c r="CH345" s="310">
        <f>$F345*0.7</f>
        <v>2100</v>
      </c>
      <c r="CI345" s="308">
        <f t="shared" si="325"/>
        <v>0.7</v>
      </c>
      <c r="CJ345" s="310">
        <f>$F345*0.75</f>
        <v>2250</v>
      </c>
      <c r="CK345" s="308">
        <f t="shared" si="326"/>
        <v>0.75</v>
      </c>
      <c r="CL345" s="310">
        <f>$F345*0.75</f>
        <v>2250</v>
      </c>
      <c r="CM345" s="308">
        <f t="shared" si="327"/>
        <v>0.75</v>
      </c>
      <c r="CN345" s="310">
        <f>$F345*0.95</f>
        <v>2850</v>
      </c>
      <c r="CO345" s="308">
        <f t="shared" si="328"/>
        <v>0.95</v>
      </c>
      <c r="CP345" s="213" t="str">
        <f t="shared" si="333"/>
        <v>Đạt</v>
      </c>
      <c r="CQ345" s="213" t="str">
        <f t="shared" si="334"/>
        <v>Đạt</v>
      </c>
      <c r="CR345" s="312"/>
      <c r="CS345" s="312"/>
      <c r="CT345" s="235"/>
      <c r="CU345" s="163"/>
      <c r="CV345" s="323"/>
      <c r="CW345" s="195"/>
      <c r="CX345" s="196"/>
      <c r="CY345" s="196"/>
      <c r="CZ345" s="197"/>
      <c r="DA345" s="196"/>
      <c r="DB345" s="196"/>
      <c r="DC345" s="196"/>
      <c r="DE345" s="199"/>
      <c r="DF345" s="200"/>
      <c r="DG345" s="181"/>
    </row>
    <row r="346" spans="1:111" ht="25.5" outlineLevel="1" x14ac:dyDescent="0.25">
      <c r="A346" s="305" t="s">
        <v>34</v>
      </c>
      <c r="B346" s="306" t="s">
        <v>377</v>
      </c>
      <c r="C346" s="306"/>
      <c r="D346" s="307">
        <f>E346+F346</f>
        <v>850</v>
      </c>
      <c r="E346" s="307"/>
      <c r="F346" s="307">
        <f>G346+H346+K346+M346</f>
        <v>850</v>
      </c>
      <c r="G346" s="307"/>
      <c r="H346" s="307">
        <v>850</v>
      </c>
      <c r="I346" s="235"/>
      <c r="J346" s="235"/>
      <c r="K346" s="303"/>
      <c r="L346" s="235"/>
      <c r="M346" s="223"/>
      <c r="N346" s="223"/>
      <c r="O346" s="303"/>
      <c r="P346" s="303">
        <v>0</v>
      </c>
      <c r="Q346" s="308">
        <f t="shared" si="329"/>
        <v>0</v>
      </c>
      <c r="R346" s="303"/>
      <c r="S346" s="309">
        <v>0</v>
      </c>
      <c r="T346" s="309">
        <v>0</v>
      </c>
      <c r="U346" s="303"/>
      <c r="V346" s="309">
        <v>0</v>
      </c>
      <c r="W346" s="309">
        <v>0</v>
      </c>
      <c r="X346" s="303"/>
      <c r="Y346" s="309">
        <v>0</v>
      </c>
      <c r="Z346" s="309">
        <v>0</v>
      </c>
      <c r="AA346" s="303"/>
      <c r="AB346" s="309">
        <v>0</v>
      </c>
      <c r="AC346" s="309">
        <v>0</v>
      </c>
      <c r="AD346" s="303"/>
      <c r="AE346" s="309">
        <v>0</v>
      </c>
      <c r="AF346" s="309">
        <v>0</v>
      </c>
      <c r="AG346" s="303"/>
      <c r="AH346" s="309">
        <v>0</v>
      </c>
      <c r="AI346" s="309">
        <v>0</v>
      </c>
      <c r="AJ346" s="188"/>
      <c r="AK346" s="309">
        <v>0</v>
      </c>
      <c r="AL346" s="309">
        <v>0</v>
      </c>
      <c r="AM346" s="303"/>
      <c r="AN346" s="309">
        <v>0</v>
      </c>
      <c r="AO346" s="309">
        <v>0</v>
      </c>
      <c r="AP346" s="309"/>
      <c r="AQ346" s="303"/>
      <c r="AR346" s="309">
        <v>0</v>
      </c>
      <c r="AS346" s="309">
        <v>0</v>
      </c>
      <c r="AT346" s="303"/>
      <c r="AU346" s="309">
        <v>0</v>
      </c>
      <c r="AV346" s="309">
        <v>0</v>
      </c>
      <c r="AW346" s="309"/>
      <c r="AX346" s="309"/>
      <c r="AY346" s="309"/>
      <c r="AZ346" s="309"/>
      <c r="BA346" s="309"/>
      <c r="BB346" s="309"/>
      <c r="BC346" s="303"/>
      <c r="BD346" s="309">
        <v>0</v>
      </c>
      <c r="BE346" s="309">
        <v>0</v>
      </c>
      <c r="BF346" s="303"/>
      <c r="BG346" s="303"/>
      <c r="BH346" s="309">
        <v>0</v>
      </c>
      <c r="BI346" s="309">
        <v>0</v>
      </c>
      <c r="BJ346" s="303">
        <f t="shared" si="330"/>
        <v>807.5</v>
      </c>
      <c r="BK346" s="303"/>
      <c r="BL346" s="309">
        <f t="shared" si="315"/>
        <v>0</v>
      </c>
      <c r="BM346" s="309">
        <f t="shared" si="332"/>
        <v>0</v>
      </c>
      <c r="BN346" s="205">
        <f t="shared" si="312"/>
        <v>0</v>
      </c>
      <c r="BO346" s="205"/>
      <c r="BP346" s="310"/>
      <c r="BQ346" s="308">
        <f t="shared" si="316"/>
        <v>0</v>
      </c>
      <c r="BR346" s="310"/>
      <c r="BS346" s="308">
        <f t="shared" si="317"/>
        <v>0</v>
      </c>
      <c r="BT346" s="310">
        <f>$F346*0.1</f>
        <v>85</v>
      </c>
      <c r="BU346" s="308">
        <f t="shared" si="318"/>
        <v>0.1</v>
      </c>
      <c r="BV346" s="310">
        <f>$F346*0.2</f>
        <v>170</v>
      </c>
      <c r="BW346" s="308">
        <f t="shared" si="319"/>
        <v>0.2</v>
      </c>
      <c r="BX346" s="310">
        <f>$F346*0.3</f>
        <v>255</v>
      </c>
      <c r="BY346" s="308">
        <f t="shared" si="320"/>
        <v>0.3</v>
      </c>
      <c r="BZ346" s="310">
        <f>$F346*0.4</f>
        <v>340</v>
      </c>
      <c r="CA346" s="308">
        <f t="shared" si="321"/>
        <v>0.4</v>
      </c>
      <c r="CB346" s="310">
        <f>$F346*0.5</f>
        <v>425</v>
      </c>
      <c r="CC346" s="308">
        <f t="shared" si="322"/>
        <v>0.5</v>
      </c>
      <c r="CD346" s="310">
        <f>$F346*0.55</f>
        <v>467.50000000000006</v>
      </c>
      <c r="CE346" s="308">
        <f t="shared" si="323"/>
        <v>0.55000000000000004</v>
      </c>
      <c r="CF346" s="310">
        <v>595</v>
      </c>
      <c r="CG346" s="308">
        <f t="shared" si="324"/>
        <v>0.7</v>
      </c>
      <c r="CH346" s="310">
        <f>$F346*0.7</f>
        <v>595</v>
      </c>
      <c r="CI346" s="308">
        <f t="shared" si="325"/>
        <v>0.7</v>
      </c>
      <c r="CJ346" s="310">
        <f>$F346*0.75</f>
        <v>637.5</v>
      </c>
      <c r="CK346" s="308">
        <f t="shared" si="326"/>
        <v>0.75</v>
      </c>
      <c r="CL346" s="310">
        <f>$F346*0.75</f>
        <v>637.5</v>
      </c>
      <c r="CM346" s="308">
        <f t="shared" si="327"/>
        <v>0.75</v>
      </c>
      <c r="CN346" s="310">
        <f>$F346*0.95</f>
        <v>807.5</v>
      </c>
      <c r="CO346" s="308">
        <f t="shared" si="328"/>
        <v>0.95</v>
      </c>
      <c r="CP346" s="213" t="str">
        <f t="shared" si="333"/>
        <v>Không đạt</v>
      </c>
      <c r="CQ346" s="213" t="str">
        <f t="shared" si="334"/>
        <v>Không đạt</v>
      </c>
      <c r="CR346" s="312"/>
      <c r="CS346" s="312"/>
      <c r="CT346" s="235"/>
      <c r="CU346" s="163"/>
      <c r="CW346" s="195"/>
      <c r="CX346" s="196"/>
      <c r="CY346" s="196"/>
      <c r="CZ346" s="197"/>
      <c r="DA346" s="196"/>
      <c r="DB346" s="196"/>
      <c r="DC346" s="196"/>
      <c r="DE346" s="199"/>
      <c r="DF346" s="200"/>
      <c r="DG346" s="181"/>
    </row>
    <row r="347" spans="1:111" ht="18" customHeight="1" x14ac:dyDescent="0.25">
      <c r="A347" s="316">
        <f>MAX(A$243:A345)+1</f>
        <v>30</v>
      </c>
      <c r="B347" s="240" t="s">
        <v>420</v>
      </c>
      <c r="C347" s="240"/>
      <c r="D347" s="188">
        <f t="shared" ref="D347:I347" si="337">D348+D349</f>
        <v>8100</v>
      </c>
      <c r="E347" s="188">
        <f t="shared" si="337"/>
        <v>0</v>
      </c>
      <c r="F347" s="188">
        <f t="shared" si="337"/>
        <v>8100</v>
      </c>
      <c r="G347" s="188">
        <f t="shared" si="337"/>
        <v>3000</v>
      </c>
      <c r="H347" s="188">
        <f t="shared" si="337"/>
        <v>5100</v>
      </c>
      <c r="I347" s="188">
        <f t="shared" si="337"/>
        <v>0</v>
      </c>
      <c r="J347" s="188"/>
      <c r="K347" s="188">
        <f>K348+K349</f>
        <v>0</v>
      </c>
      <c r="L347" s="188">
        <f>L348+L349</f>
        <v>0</v>
      </c>
      <c r="M347" s="188">
        <f>M348+M349</f>
        <v>0</v>
      </c>
      <c r="N347" s="188">
        <f>N348+N349</f>
        <v>0</v>
      </c>
      <c r="O347" s="188">
        <f>O348+O349</f>
        <v>3000</v>
      </c>
      <c r="P347" s="188">
        <v>0</v>
      </c>
      <c r="Q347" s="186">
        <f t="shared" si="329"/>
        <v>0</v>
      </c>
      <c r="R347" s="188">
        <v>0</v>
      </c>
      <c r="S347" s="185">
        <v>0</v>
      </c>
      <c r="T347" s="185">
        <v>0</v>
      </c>
      <c r="U347" s="188">
        <v>0</v>
      </c>
      <c r="V347" s="185">
        <v>0</v>
      </c>
      <c r="W347" s="185">
        <v>0</v>
      </c>
      <c r="X347" s="188">
        <v>0</v>
      </c>
      <c r="Y347" s="185">
        <v>0</v>
      </c>
      <c r="Z347" s="185">
        <v>0</v>
      </c>
      <c r="AA347" s="188">
        <v>0</v>
      </c>
      <c r="AB347" s="185">
        <v>0</v>
      </c>
      <c r="AC347" s="185">
        <v>0</v>
      </c>
      <c r="AD347" s="188">
        <v>1122</v>
      </c>
      <c r="AE347" s="185">
        <v>0.13851851851851851</v>
      </c>
      <c r="AF347" s="185">
        <v>0.14580896686159844</v>
      </c>
      <c r="AG347" s="188">
        <v>1122</v>
      </c>
      <c r="AH347" s="185">
        <v>0.13851851851851851</v>
      </c>
      <c r="AI347" s="185">
        <v>0.14580896686159844</v>
      </c>
      <c r="AJ347" s="303">
        <v>1122</v>
      </c>
      <c r="AK347" s="185">
        <v>0.13851851851851851</v>
      </c>
      <c r="AL347" s="185">
        <v>0.14580896686159844</v>
      </c>
      <c r="AM347" s="188">
        <v>1484</v>
      </c>
      <c r="AN347" s="185">
        <v>0.18320987654320989</v>
      </c>
      <c r="AO347" s="185">
        <v>0.19285250162443146</v>
      </c>
      <c r="AP347" s="185"/>
      <c r="AQ347" s="188">
        <v>1484</v>
      </c>
      <c r="AR347" s="185">
        <v>0.18320987654320989</v>
      </c>
      <c r="AS347" s="185">
        <v>0.19285250162443146</v>
      </c>
      <c r="AT347" s="188">
        <v>1955.328</v>
      </c>
      <c r="AU347" s="185">
        <v>0.24139851851851851</v>
      </c>
      <c r="AV347" s="185">
        <v>0.25410370370370372</v>
      </c>
      <c r="AW347" s="185"/>
      <c r="AX347" s="185"/>
      <c r="AY347" s="185"/>
      <c r="AZ347" s="185"/>
      <c r="BA347" s="185"/>
      <c r="BB347" s="185"/>
      <c r="BC347" s="188">
        <v>1955.328</v>
      </c>
      <c r="BD347" s="185">
        <v>0.24139851851851851</v>
      </c>
      <c r="BE347" s="185">
        <v>0.25410370370370372</v>
      </c>
      <c r="BF347" s="188"/>
      <c r="BG347" s="188">
        <v>2768</v>
      </c>
      <c r="BH347" s="185">
        <v>0.34172839506172842</v>
      </c>
      <c r="BI347" s="185">
        <v>0.35971410006497728</v>
      </c>
      <c r="BJ347" s="188">
        <f t="shared" si="330"/>
        <v>7695</v>
      </c>
      <c r="BK347" s="188">
        <f>BK348+BK349</f>
        <v>4075.9832000000001</v>
      </c>
      <c r="BL347" s="185">
        <f t="shared" si="315"/>
        <v>0.50320780246913577</v>
      </c>
      <c r="BM347" s="185">
        <f t="shared" si="332"/>
        <v>0.52969242365172187</v>
      </c>
      <c r="BN347" s="205">
        <f t="shared" si="312"/>
        <v>2953.9832000000001</v>
      </c>
      <c r="BO347" s="205"/>
      <c r="BP347" s="189">
        <f>BP348+BP349</f>
        <v>0</v>
      </c>
      <c r="BQ347" s="186">
        <f t="shared" si="316"/>
        <v>0</v>
      </c>
      <c r="BR347" s="189">
        <f>BR348+BR349</f>
        <v>0</v>
      </c>
      <c r="BS347" s="186">
        <f t="shared" si="317"/>
        <v>0</v>
      </c>
      <c r="BT347" s="189">
        <f>BT348+BT349</f>
        <v>810</v>
      </c>
      <c r="BU347" s="186">
        <f t="shared" si="318"/>
        <v>0.1</v>
      </c>
      <c r="BV347" s="189">
        <f>BV348+BV349</f>
        <v>1620</v>
      </c>
      <c r="BW347" s="186">
        <f t="shared" si="319"/>
        <v>0.2</v>
      </c>
      <c r="BX347" s="189">
        <f>BX348+BX349</f>
        <v>2430</v>
      </c>
      <c r="BY347" s="186">
        <f t="shared" si="320"/>
        <v>0.3</v>
      </c>
      <c r="BZ347" s="189">
        <f>BZ348+BZ349</f>
        <v>3240</v>
      </c>
      <c r="CA347" s="186">
        <f t="shared" si="321"/>
        <v>0.4</v>
      </c>
      <c r="CB347" s="189">
        <f>CB348+CB349</f>
        <v>4050</v>
      </c>
      <c r="CC347" s="186">
        <f t="shared" si="322"/>
        <v>0.5</v>
      </c>
      <c r="CD347" s="189">
        <f>CD348+CD349</f>
        <v>4455</v>
      </c>
      <c r="CE347" s="186">
        <f t="shared" si="323"/>
        <v>0.55000000000000004</v>
      </c>
      <c r="CF347" s="189">
        <f>CF348+CF349</f>
        <v>5670</v>
      </c>
      <c r="CG347" s="186">
        <f t="shared" si="324"/>
        <v>0.7</v>
      </c>
      <c r="CH347" s="189">
        <f>CH348+CH349</f>
        <v>5670</v>
      </c>
      <c r="CI347" s="186">
        <f t="shared" si="325"/>
        <v>0.7</v>
      </c>
      <c r="CJ347" s="189">
        <f>CJ348+CJ349</f>
        <v>6075</v>
      </c>
      <c r="CK347" s="186">
        <f t="shared" si="326"/>
        <v>0.75</v>
      </c>
      <c r="CL347" s="189">
        <f>CL348+CL349</f>
        <v>6075</v>
      </c>
      <c r="CM347" s="186">
        <f t="shared" si="327"/>
        <v>0.75</v>
      </c>
      <c r="CN347" s="189">
        <f>CN348+CN349</f>
        <v>7695</v>
      </c>
      <c r="CO347" s="186">
        <f t="shared" si="328"/>
        <v>0.95</v>
      </c>
      <c r="CP347" s="213" t="str">
        <f t="shared" si="333"/>
        <v>Đạt</v>
      </c>
      <c r="CQ347" s="213" t="str">
        <f t="shared" si="334"/>
        <v>Đạt</v>
      </c>
      <c r="CR347" s="213"/>
      <c r="CS347" s="213"/>
      <c r="CT347" s="231"/>
      <c r="CU347" s="163"/>
      <c r="CW347" s="195"/>
      <c r="CX347" s="196"/>
      <c r="CY347" s="196"/>
      <c r="CZ347" s="197"/>
      <c r="DA347" s="196"/>
      <c r="DB347" s="196"/>
      <c r="DC347" s="196"/>
      <c r="DE347" s="199"/>
      <c r="DF347" s="200"/>
      <c r="DG347" s="181"/>
    </row>
    <row r="348" spans="1:111" s="324" customFormat="1" outlineLevel="1" x14ac:dyDescent="0.25">
      <c r="A348" s="305" t="s">
        <v>34</v>
      </c>
      <c r="B348" s="318" t="s">
        <v>376</v>
      </c>
      <c r="C348" s="306"/>
      <c r="D348" s="307">
        <f>E348+F348</f>
        <v>3000</v>
      </c>
      <c r="E348" s="307"/>
      <c r="F348" s="307">
        <f>G348+H348+K348+M348</f>
        <v>3000</v>
      </c>
      <c r="G348" s="303">
        <v>3000</v>
      </c>
      <c r="H348" s="303"/>
      <c r="I348" s="235"/>
      <c r="J348" s="235"/>
      <c r="K348" s="303"/>
      <c r="L348" s="235"/>
      <c r="M348" s="223"/>
      <c r="N348" s="223"/>
      <c r="O348" s="303">
        <f>G348+I348+L348+N348</f>
        <v>3000</v>
      </c>
      <c r="P348" s="303">
        <v>0</v>
      </c>
      <c r="Q348" s="308">
        <f t="shared" si="329"/>
        <v>0</v>
      </c>
      <c r="R348" s="303"/>
      <c r="S348" s="309">
        <v>0</v>
      </c>
      <c r="T348" s="309">
        <v>0</v>
      </c>
      <c r="U348" s="303"/>
      <c r="V348" s="309">
        <v>0</v>
      </c>
      <c r="W348" s="309">
        <v>0</v>
      </c>
      <c r="X348" s="303"/>
      <c r="Y348" s="309">
        <v>0</v>
      </c>
      <c r="Z348" s="309">
        <v>0</v>
      </c>
      <c r="AA348" s="303"/>
      <c r="AB348" s="309">
        <v>0</v>
      </c>
      <c r="AC348" s="309">
        <v>0</v>
      </c>
      <c r="AD348" s="303">
        <v>1122</v>
      </c>
      <c r="AE348" s="309">
        <v>0.374</v>
      </c>
      <c r="AF348" s="309">
        <v>0.3936842105263158</v>
      </c>
      <c r="AG348" s="303">
        <v>1122</v>
      </c>
      <c r="AH348" s="309">
        <v>0.374</v>
      </c>
      <c r="AI348" s="309">
        <v>0.3936842105263158</v>
      </c>
      <c r="AJ348" s="303">
        <v>1122</v>
      </c>
      <c r="AK348" s="309">
        <v>0.374</v>
      </c>
      <c r="AL348" s="309">
        <v>0.3936842105263158</v>
      </c>
      <c r="AM348" s="303">
        <v>1484</v>
      </c>
      <c r="AN348" s="309">
        <v>0.49466666666666664</v>
      </c>
      <c r="AO348" s="309">
        <v>0.52070175438596489</v>
      </c>
      <c r="AP348" s="309"/>
      <c r="AQ348" s="303">
        <v>1484</v>
      </c>
      <c r="AR348" s="309">
        <v>0.49466666666666664</v>
      </c>
      <c r="AS348" s="309">
        <v>0.52070175438596489</v>
      </c>
      <c r="AT348" s="303">
        <v>1955.328</v>
      </c>
      <c r="AU348" s="309">
        <v>0.65177600000000002</v>
      </c>
      <c r="AV348" s="309">
        <v>0.68608000000000002</v>
      </c>
      <c r="AW348" s="309"/>
      <c r="AX348" s="309"/>
      <c r="AY348" s="309"/>
      <c r="AZ348" s="309"/>
      <c r="BA348" s="309"/>
      <c r="BB348" s="309"/>
      <c r="BC348" s="303">
        <v>1955.328</v>
      </c>
      <c r="BD348" s="309">
        <v>0.65177600000000002</v>
      </c>
      <c r="BE348" s="309">
        <v>0.68608000000000002</v>
      </c>
      <c r="BF348" s="303"/>
      <c r="BG348" s="303">
        <v>963</v>
      </c>
      <c r="BH348" s="309">
        <v>0.32100000000000001</v>
      </c>
      <c r="BI348" s="309">
        <v>0.33789473684210525</v>
      </c>
      <c r="BJ348" s="303">
        <f t="shared" si="330"/>
        <v>2850</v>
      </c>
      <c r="BK348" s="303">
        <v>1419.509</v>
      </c>
      <c r="BL348" s="309">
        <f t="shared" si="315"/>
        <v>0.47316966666666666</v>
      </c>
      <c r="BM348" s="309">
        <f t="shared" si="332"/>
        <v>0.49807333333333331</v>
      </c>
      <c r="BN348" s="205">
        <f t="shared" si="312"/>
        <v>297.50900000000001</v>
      </c>
      <c r="BO348" s="205"/>
      <c r="BP348" s="310"/>
      <c r="BQ348" s="308">
        <f t="shared" si="316"/>
        <v>0</v>
      </c>
      <c r="BR348" s="310"/>
      <c r="BS348" s="308">
        <f t="shared" si="317"/>
        <v>0</v>
      </c>
      <c r="BT348" s="310">
        <f>$F348*0.1</f>
        <v>300</v>
      </c>
      <c r="BU348" s="308">
        <f t="shared" si="318"/>
        <v>0.1</v>
      </c>
      <c r="BV348" s="310">
        <f>$F348*0.2</f>
        <v>600</v>
      </c>
      <c r="BW348" s="308">
        <f t="shared" si="319"/>
        <v>0.2</v>
      </c>
      <c r="BX348" s="310">
        <f>$F348*0.3</f>
        <v>900</v>
      </c>
      <c r="BY348" s="308">
        <f t="shared" si="320"/>
        <v>0.3</v>
      </c>
      <c r="BZ348" s="310">
        <f>$F348*0.4</f>
        <v>1200</v>
      </c>
      <c r="CA348" s="308">
        <f t="shared" si="321"/>
        <v>0.4</v>
      </c>
      <c r="CB348" s="310">
        <f>$F348*0.5</f>
        <v>1500</v>
      </c>
      <c r="CC348" s="308">
        <f t="shared" si="322"/>
        <v>0.5</v>
      </c>
      <c r="CD348" s="310">
        <f>$F348*0.55</f>
        <v>1650.0000000000002</v>
      </c>
      <c r="CE348" s="308">
        <f t="shared" si="323"/>
        <v>0.55000000000000004</v>
      </c>
      <c r="CF348" s="310">
        <v>2100</v>
      </c>
      <c r="CG348" s="308">
        <f t="shared" si="324"/>
        <v>0.7</v>
      </c>
      <c r="CH348" s="310">
        <f>$F348*0.7</f>
        <v>2100</v>
      </c>
      <c r="CI348" s="308">
        <f t="shared" si="325"/>
        <v>0.7</v>
      </c>
      <c r="CJ348" s="310">
        <f>$F348*0.75</f>
        <v>2250</v>
      </c>
      <c r="CK348" s="308">
        <f t="shared" si="326"/>
        <v>0.75</v>
      </c>
      <c r="CL348" s="310">
        <f>$F348*0.75</f>
        <v>2250</v>
      </c>
      <c r="CM348" s="308">
        <f t="shared" si="327"/>
        <v>0.75</v>
      </c>
      <c r="CN348" s="310">
        <f>$F348*0.95</f>
        <v>2850</v>
      </c>
      <c r="CO348" s="308">
        <f t="shared" si="328"/>
        <v>0.95</v>
      </c>
      <c r="CP348" s="213" t="str">
        <f t="shared" si="333"/>
        <v>Đạt</v>
      </c>
      <c r="CQ348" s="213" t="str">
        <f t="shared" si="334"/>
        <v>Đạt</v>
      </c>
      <c r="CR348" s="312"/>
      <c r="CS348" s="312"/>
      <c r="CT348" s="235"/>
      <c r="CU348" s="163"/>
      <c r="CV348" s="323"/>
      <c r="CW348" s="195"/>
      <c r="CX348" s="196"/>
      <c r="CY348" s="196"/>
      <c r="CZ348" s="197"/>
      <c r="DA348" s="196"/>
      <c r="DB348" s="196"/>
      <c r="DC348" s="196"/>
      <c r="DE348" s="199"/>
      <c r="DF348" s="200"/>
      <c r="DG348" s="181"/>
    </row>
    <row r="349" spans="1:111" ht="25.5" outlineLevel="1" x14ac:dyDescent="0.25">
      <c r="A349" s="305" t="s">
        <v>34</v>
      </c>
      <c r="B349" s="306" t="s">
        <v>377</v>
      </c>
      <c r="C349" s="306"/>
      <c r="D349" s="307">
        <f>E349+F349</f>
        <v>5100</v>
      </c>
      <c r="E349" s="307"/>
      <c r="F349" s="307">
        <f>G349+H349+K349+M349</f>
        <v>5100</v>
      </c>
      <c r="G349" s="307"/>
      <c r="H349" s="307">
        <v>5100</v>
      </c>
      <c r="I349" s="235"/>
      <c r="J349" s="235"/>
      <c r="K349" s="303"/>
      <c r="L349" s="235"/>
      <c r="M349" s="223"/>
      <c r="N349" s="223"/>
      <c r="O349" s="303"/>
      <c r="P349" s="303">
        <v>0</v>
      </c>
      <c r="Q349" s="308">
        <f t="shared" si="329"/>
        <v>0</v>
      </c>
      <c r="R349" s="303"/>
      <c r="S349" s="309">
        <v>0</v>
      </c>
      <c r="T349" s="309">
        <v>0</v>
      </c>
      <c r="U349" s="303"/>
      <c r="V349" s="309">
        <v>0</v>
      </c>
      <c r="W349" s="309">
        <v>0</v>
      </c>
      <c r="X349" s="303"/>
      <c r="Y349" s="309">
        <v>0</v>
      </c>
      <c r="Z349" s="309">
        <v>0</v>
      </c>
      <c r="AA349" s="303"/>
      <c r="AB349" s="309">
        <v>0</v>
      </c>
      <c r="AC349" s="309">
        <v>0</v>
      </c>
      <c r="AD349" s="303"/>
      <c r="AE349" s="309">
        <v>0</v>
      </c>
      <c r="AF349" s="309">
        <v>0</v>
      </c>
      <c r="AG349" s="303"/>
      <c r="AH349" s="309">
        <v>0</v>
      </c>
      <c r="AI349" s="309">
        <v>0</v>
      </c>
      <c r="AJ349" s="188"/>
      <c r="AK349" s="309">
        <v>0</v>
      </c>
      <c r="AL349" s="309">
        <v>0</v>
      </c>
      <c r="AM349" s="303"/>
      <c r="AN349" s="309">
        <v>0</v>
      </c>
      <c r="AO349" s="309">
        <v>0</v>
      </c>
      <c r="AP349" s="309"/>
      <c r="AQ349" s="303"/>
      <c r="AR349" s="309">
        <v>0</v>
      </c>
      <c r="AS349" s="309">
        <v>0</v>
      </c>
      <c r="AT349" s="303"/>
      <c r="AU349" s="309">
        <v>0</v>
      </c>
      <c r="AV349" s="309">
        <v>0</v>
      </c>
      <c r="AW349" s="309"/>
      <c r="AX349" s="309"/>
      <c r="AY349" s="309"/>
      <c r="AZ349" s="309"/>
      <c r="BA349" s="309"/>
      <c r="BB349" s="309"/>
      <c r="BC349" s="303"/>
      <c r="BD349" s="309">
        <v>0</v>
      </c>
      <c r="BE349" s="309">
        <v>0</v>
      </c>
      <c r="BF349" s="303"/>
      <c r="BG349" s="303">
        <v>1805</v>
      </c>
      <c r="BH349" s="309">
        <v>0.353921568627451</v>
      </c>
      <c r="BI349" s="309">
        <v>0.37254901960784315</v>
      </c>
      <c r="BJ349" s="303">
        <f t="shared" si="330"/>
        <v>4845</v>
      </c>
      <c r="BK349" s="303">
        <v>2656.4742000000001</v>
      </c>
      <c r="BL349" s="309">
        <f t="shared" si="315"/>
        <v>0.52087729411764705</v>
      </c>
      <c r="BM349" s="309">
        <f t="shared" si="332"/>
        <v>0.54829188854489164</v>
      </c>
      <c r="BN349" s="205">
        <f t="shared" si="312"/>
        <v>2656.4742000000001</v>
      </c>
      <c r="BO349" s="205"/>
      <c r="BP349" s="310"/>
      <c r="BQ349" s="308">
        <f t="shared" si="316"/>
        <v>0</v>
      </c>
      <c r="BR349" s="310"/>
      <c r="BS349" s="308">
        <f t="shared" si="317"/>
        <v>0</v>
      </c>
      <c r="BT349" s="310">
        <f>$F349*0.1</f>
        <v>510</v>
      </c>
      <c r="BU349" s="308">
        <f t="shared" si="318"/>
        <v>0.1</v>
      </c>
      <c r="BV349" s="310">
        <f>$F349*0.2</f>
        <v>1020</v>
      </c>
      <c r="BW349" s="308">
        <f t="shared" si="319"/>
        <v>0.2</v>
      </c>
      <c r="BX349" s="310">
        <f>$F349*0.3</f>
        <v>1530</v>
      </c>
      <c r="BY349" s="308">
        <f t="shared" si="320"/>
        <v>0.3</v>
      </c>
      <c r="BZ349" s="310">
        <f>$F349*0.4</f>
        <v>2040</v>
      </c>
      <c r="CA349" s="308">
        <f t="shared" si="321"/>
        <v>0.4</v>
      </c>
      <c r="CB349" s="310">
        <f>$F349*0.5</f>
        <v>2550</v>
      </c>
      <c r="CC349" s="308">
        <f t="shared" si="322"/>
        <v>0.5</v>
      </c>
      <c r="CD349" s="310">
        <f>$F349*0.55</f>
        <v>2805</v>
      </c>
      <c r="CE349" s="308">
        <f t="shared" si="323"/>
        <v>0.55000000000000004</v>
      </c>
      <c r="CF349" s="310">
        <v>3570</v>
      </c>
      <c r="CG349" s="308">
        <f t="shared" si="324"/>
        <v>0.7</v>
      </c>
      <c r="CH349" s="310">
        <f>$F349*0.7</f>
        <v>3570</v>
      </c>
      <c r="CI349" s="308">
        <f t="shared" si="325"/>
        <v>0.7</v>
      </c>
      <c r="CJ349" s="310">
        <f>$F349*0.75</f>
        <v>3825</v>
      </c>
      <c r="CK349" s="308">
        <f t="shared" si="326"/>
        <v>0.75</v>
      </c>
      <c r="CL349" s="310">
        <f>$F349*0.75</f>
        <v>3825</v>
      </c>
      <c r="CM349" s="308">
        <f t="shared" si="327"/>
        <v>0.75</v>
      </c>
      <c r="CN349" s="310">
        <f>$F349*0.95</f>
        <v>4845</v>
      </c>
      <c r="CO349" s="308">
        <f t="shared" si="328"/>
        <v>0.95</v>
      </c>
      <c r="CP349" s="213" t="str">
        <f t="shared" si="333"/>
        <v>Đạt</v>
      </c>
      <c r="CQ349" s="213" t="str">
        <f t="shared" si="334"/>
        <v>Đạt</v>
      </c>
      <c r="CR349" s="312"/>
      <c r="CS349" s="312"/>
      <c r="CT349" s="235"/>
      <c r="CU349" s="163"/>
      <c r="CW349" s="195"/>
      <c r="CX349" s="196"/>
      <c r="CY349" s="196"/>
      <c r="CZ349" s="197"/>
      <c r="DA349" s="196"/>
      <c r="DB349" s="196"/>
      <c r="DC349" s="196"/>
      <c r="DE349" s="199"/>
      <c r="DF349" s="200"/>
      <c r="DG349" s="181"/>
    </row>
    <row r="350" spans="1:111" ht="18" customHeight="1" x14ac:dyDescent="0.25">
      <c r="A350" s="213">
        <f>MAX(A$243:A348)+1</f>
        <v>31</v>
      </c>
      <c r="B350" s="240" t="s">
        <v>421</v>
      </c>
      <c r="C350" s="240"/>
      <c r="D350" s="188">
        <f t="shared" ref="D350:I350" si="338">D351+D352</f>
        <v>4700</v>
      </c>
      <c r="E350" s="188">
        <f t="shared" si="338"/>
        <v>0</v>
      </c>
      <c r="F350" s="188">
        <f t="shared" si="338"/>
        <v>4700</v>
      </c>
      <c r="G350" s="188">
        <f t="shared" si="338"/>
        <v>3000</v>
      </c>
      <c r="H350" s="188">
        <f t="shared" si="338"/>
        <v>1700</v>
      </c>
      <c r="I350" s="188">
        <f t="shared" si="338"/>
        <v>0</v>
      </c>
      <c r="J350" s="188"/>
      <c r="K350" s="188">
        <f>K351+K352</f>
        <v>0</v>
      </c>
      <c r="L350" s="188">
        <f>L351+L352</f>
        <v>0</v>
      </c>
      <c r="M350" s="188">
        <f>M351+M352</f>
        <v>0</v>
      </c>
      <c r="N350" s="188">
        <f>N351+N352</f>
        <v>0</v>
      </c>
      <c r="O350" s="188">
        <f>O351+O352</f>
        <v>3000</v>
      </c>
      <c r="P350" s="188">
        <v>0</v>
      </c>
      <c r="Q350" s="186">
        <f t="shared" si="329"/>
        <v>0</v>
      </c>
      <c r="R350" s="188">
        <v>0</v>
      </c>
      <c r="S350" s="185">
        <v>0</v>
      </c>
      <c r="T350" s="185">
        <v>0</v>
      </c>
      <c r="U350" s="188">
        <v>0</v>
      </c>
      <c r="V350" s="185">
        <v>0</v>
      </c>
      <c r="W350" s="185">
        <v>0</v>
      </c>
      <c r="X350" s="188">
        <v>0</v>
      </c>
      <c r="Y350" s="185">
        <v>0</v>
      </c>
      <c r="Z350" s="185">
        <v>0</v>
      </c>
      <c r="AA350" s="188">
        <v>0</v>
      </c>
      <c r="AB350" s="185">
        <v>0</v>
      </c>
      <c r="AC350" s="185">
        <v>0</v>
      </c>
      <c r="AD350" s="188">
        <v>1088</v>
      </c>
      <c r="AE350" s="185">
        <v>0.23148936170212767</v>
      </c>
      <c r="AF350" s="185">
        <v>0.24367301231802913</v>
      </c>
      <c r="AG350" s="188">
        <v>1088</v>
      </c>
      <c r="AH350" s="185">
        <v>0.23148936170212767</v>
      </c>
      <c r="AI350" s="185">
        <v>0.24367301231802913</v>
      </c>
      <c r="AJ350" s="303">
        <v>1088</v>
      </c>
      <c r="AK350" s="185">
        <v>0.23148936170212767</v>
      </c>
      <c r="AL350" s="185">
        <v>0.24367301231802913</v>
      </c>
      <c r="AM350" s="314">
        <v>1088</v>
      </c>
      <c r="AN350" s="185">
        <v>0.23148936170212767</v>
      </c>
      <c r="AO350" s="185">
        <v>0.24367301231802913</v>
      </c>
      <c r="AP350" s="185"/>
      <c r="AQ350" s="188">
        <v>1088</v>
      </c>
      <c r="AR350" s="185">
        <v>0.23148936170212767</v>
      </c>
      <c r="AS350" s="185">
        <v>0.24367301231802913</v>
      </c>
      <c r="AT350" s="188">
        <v>1088</v>
      </c>
      <c r="AU350" s="185">
        <v>0.23148936170212767</v>
      </c>
      <c r="AV350" s="185">
        <v>0.24367301231802913</v>
      </c>
      <c r="AW350" s="185"/>
      <c r="AX350" s="185"/>
      <c r="AY350" s="185"/>
      <c r="AZ350" s="185"/>
      <c r="BA350" s="185"/>
      <c r="BB350" s="185"/>
      <c r="BC350" s="188">
        <v>1088</v>
      </c>
      <c r="BD350" s="185">
        <v>0.23148936170212767</v>
      </c>
      <c r="BE350" s="185">
        <v>0.24367301231802913</v>
      </c>
      <c r="BF350" s="188"/>
      <c r="BG350" s="188">
        <v>1088</v>
      </c>
      <c r="BH350" s="185">
        <v>0.23148936170212767</v>
      </c>
      <c r="BI350" s="185">
        <v>0.24367301231802913</v>
      </c>
      <c r="BJ350" s="188">
        <f t="shared" si="330"/>
        <v>4465</v>
      </c>
      <c r="BK350" s="188">
        <f>BK351+BK352</f>
        <v>1088</v>
      </c>
      <c r="BL350" s="185">
        <f t="shared" si="315"/>
        <v>0.23148936170212767</v>
      </c>
      <c r="BM350" s="185">
        <f t="shared" si="332"/>
        <v>0.24367301231802913</v>
      </c>
      <c r="BN350" s="205">
        <f t="shared" si="312"/>
        <v>0</v>
      </c>
      <c r="BO350" s="205"/>
      <c r="BP350" s="189">
        <f>BP351+BP352</f>
        <v>0</v>
      </c>
      <c r="BQ350" s="186">
        <f t="shared" si="316"/>
        <v>0</v>
      </c>
      <c r="BR350" s="189">
        <f>BR351+BR352</f>
        <v>0</v>
      </c>
      <c r="BS350" s="186">
        <f t="shared" si="317"/>
        <v>0</v>
      </c>
      <c r="BT350" s="189">
        <f>BT351+BT352</f>
        <v>470</v>
      </c>
      <c r="BU350" s="186">
        <f t="shared" si="318"/>
        <v>0.1</v>
      </c>
      <c r="BV350" s="189">
        <f>BV351+BV352</f>
        <v>940</v>
      </c>
      <c r="BW350" s="186">
        <f t="shared" si="319"/>
        <v>0.2</v>
      </c>
      <c r="BX350" s="189">
        <f>BX351+BX352</f>
        <v>1410</v>
      </c>
      <c r="BY350" s="186">
        <f t="shared" si="320"/>
        <v>0.3</v>
      </c>
      <c r="BZ350" s="189">
        <f>BZ351+BZ352</f>
        <v>1880</v>
      </c>
      <c r="CA350" s="186">
        <f t="shared" si="321"/>
        <v>0.4</v>
      </c>
      <c r="CB350" s="189">
        <f>CB351+CB352</f>
        <v>2350</v>
      </c>
      <c r="CC350" s="186">
        <f t="shared" si="322"/>
        <v>0.5</v>
      </c>
      <c r="CD350" s="189">
        <f>CD351+CD352</f>
        <v>2585.0000000000005</v>
      </c>
      <c r="CE350" s="186">
        <f t="shared" si="323"/>
        <v>0.55000000000000004</v>
      </c>
      <c r="CF350" s="189">
        <f>CF351+CF352</f>
        <v>3290</v>
      </c>
      <c r="CG350" s="186">
        <f t="shared" si="324"/>
        <v>0.7</v>
      </c>
      <c r="CH350" s="189">
        <f>CH351+CH352</f>
        <v>3290</v>
      </c>
      <c r="CI350" s="186">
        <f t="shared" si="325"/>
        <v>0.7</v>
      </c>
      <c r="CJ350" s="189">
        <f>CJ351+CJ352</f>
        <v>3525</v>
      </c>
      <c r="CK350" s="186">
        <f t="shared" si="326"/>
        <v>0.75</v>
      </c>
      <c r="CL350" s="189">
        <f>CL351+CL352</f>
        <v>3525</v>
      </c>
      <c r="CM350" s="186">
        <f t="shared" si="327"/>
        <v>0.75</v>
      </c>
      <c r="CN350" s="189">
        <f>CN351+CN352</f>
        <v>4465</v>
      </c>
      <c r="CO350" s="186">
        <f t="shared" si="328"/>
        <v>0.95</v>
      </c>
      <c r="CP350" s="213" t="str">
        <f t="shared" si="333"/>
        <v>Không đạt</v>
      </c>
      <c r="CQ350" s="213" t="str">
        <f t="shared" si="334"/>
        <v>Không đạt</v>
      </c>
      <c r="CR350" s="213"/>
      <c r="CS350" s="213"/>
      <c r="CT350" s="231"/>
      <c r="CU350" s="163"/>
      <c r="CW350" s="195"/>
      <c r="CX350" s="196"/>
      <c r="CY350" s="196"/>
      <c r="CZ350" s="197"/>
      <c r="DA350" s="196"/>
      <c r="DB350" s="196"/>
      <c r="DC350" s="196"/>
      <c r="DE350" s="199"/>
      <c r="DF350" s="200"/>
      <c r="DG350" s="181"/>
    </row>
    <row r="351" spans="1:111" s="324" customFormat="1" outlineLevel="1" x14ac:dyDescent="0.25">
      <c r="A351" s="305" t="s">
        <v>34</v>
      </c>
      <c r="B351" s="318" t="s">
        <v>376</v>
      </c>
      <c r="C351" s="306"/>
      <c r="D351" s="307">
        <f>E351+F351</f>
        <v>3000</v>
      </c>
      <c r="E351" s="307"/>
      <c r="F351" s="307">
        <f>G351+H351+K351+M351</f>
        <v>3000</v>
      </c>
      <c r="G351" s="303">
        <v>3000</v>
      </c>
      <c r="H351" s="303"/>
      <c r="I351" s="235"/>
      <c r="J351" s="235"/>
      <c r="K351" s="303"/>
      <c r="L351" s="235"/>
      <c r="M351" s="223"/>
      <c r="N351" s="223"/>
      <c r="O351" s="303">
        <f>G351+I351+L351+N351</f>
        <v>3000</v>
      </c>
      <c r="P351" s="303">
        <v>0</v>
      </c>
      <c r="Q351" s="308">
        <f t="shared" si="329"/>
        <v>0</v>
      </c>
      <c r="R351" s="303"/>
      <c r="S351" s="309">
        <v>0</v>
      </c>
      <c r="T351" s="309">
        <v>0</v>
      </c>
      <c r="U351" s="303"/>
      <c r="V351" s="309">
        <v>0</v>
      </c>
      <c r="W351" s="309">
        <v>0</v>
      </c>
      <c r="X351" s="303"/>
      <c r="Y351" s="309">
        <v>0</v>
      </c>
      <c r="Z351" s="309">
        <v>0</v>
      </c>
      <c r="AA351" s="303"/>
      <c r="AB351" s="309">
        <v>0</v>
      </c>
      <c r="AC351" s="309">
        <v>0</v>
      </c>
      <c r="AD351" s="303">
        <v>1088</v>
      </c>
      <c r="AE351" s="309">
        <v>0.36266666666666669</v>
      </c>
      <c r="AF351" s="309">
        <v>0.38175438596491229</v>
      </c>
      <c r="AG351" s="303">
        <v>1088</v>
      </c>
      <c r="AH351" s="309">
        <v>0.36266666666666669</v>
      </c>
      <c r="AI351" s="309">
        <v>0.38175438596491229</v>
      </c>
      <c r="AJ351" s="303">
        <v>1088</v>
      </c>
      <c r="AK351" s="309">
        <v>0.36266666666666669</v>
      </c>
      <c r="AL351" s="309">
        <v>0.38175438596491229</v>
      </c>
      <c r="AM351" s="303">
        <v>1088</v>
      </c>
      <c r="AN351" s="309">
        <v>0.36266666666666669</v>
      </c>
      <c r="AO351" s="309">
        <v>0.38175438596491229</v>
      </c>
      <c r="AP351" s="309"/>
      <c r="AQ351" s="303">
        <v>1088</v>
      </c>
      <c r="AR351" s="309">
        <v>0.36266666666666669</v>
      </c>
      <c r="AS351" s="309">
        <v>0.38175438596491229</v>
      </c>
      <c r="AT351" s="303">
        <v>1088</v>
      </c>
      <c r="AU351" s="309">
        <v>0.36266666666666669</v>
      </c>
      <c r="AV351" s="309">
        <v>0.38175438596491229</v>
      </c>
      <c r="AW351" s="309"/>
      <c r="AX351" s="309"/>
      <c r="AY351" s="309"/>
      <c r="AZ351" s="309"/>
      <c r="BA351" s="309"/>
      <c r="BB351" s="309"/>
      <c r="BC351" s="303">
        <v>1088</v>
      </c>
      <c r="BD351" s="309">
        <v>0.36266666666666669</v>
      </c>
      <c r="BE351" s="309">
        <v>0.38175438596491229</v>
      </c>
      <c r="BF351" s="303"/>
      <c r="BG351" s="303">
        <v>1088</v>
      </c>
      <c r="BH351" s="309">
        <v>0.36266666666666669</v>
      </c>
      <c r="BI351" s="309">
        <v>0.38175438596491229</v>
      </c>
      <c r="BJ351" s="303">
        <f t="shared" si="330"/>
        <v>2850</v>
      </c>
      <c r="BK351" s="303">
        <v>1088</v>
      </c>
      <c r="BL351" s="309">
        <f t="shared" si="315"/>
        <v>0.36266666666666669</v>
      </c>
      <c r="BM351" s="309">
        <f t="shared" si="332"/>
        <v>0.38175438596491229</v>
      </c>
      <c r="BN351" s="205">
        <f t="shared" si="312"/>
        <v>0</v>
      </c>
      <c r="BO351" s="205"/>
      <c r="BP351" s="310"/>
      <c r="BQ351" s="308">
        <f t="shared" si="316"/>
        <v>0</v>
      </c>
      <c r="BR351" s="310"/>
      <c r="BS351" s="308">
        <f t="shared" si="317"/>
        <v>0</v>
      </c>
      <c r="BT351" s="310">
        <f>$F351*0.1</f>
        <v>300</v>
      </c>
      <c r="BU351" s="308">
        <f t="shared" si="318"/>
        <v>0.1</v>
      </c>
      <c r="BV351" s="310">
        <f>$F351*0.2</f>
        <v>600</v>
      </c>
      <c r="BW351" s="308">
        <f t="shared" si="319"/>
        <v>0.2</v>
      </c>
      <c r="BX351" s="310">
        <f>$F351*0.3</f>
        <v>900</v>
      </c>
      <c r="BY351" s="308">
        <f t="shared" si="320"/>
        <v>0.3</v>
      </c>
      <c r="BZ351" s="310">
        <f>$F351*0.4</f>
        <v>1200</v>
      </c>
      <c r="CA351" s="308">
        <f t="shared" si="321"/>
        <v>0.4</v>
      </c>
      <c r="CB351" s="310">
        <f>$F351*0.5</f>
        <v>1500</v>
      </c>
      <c r="CC351" s="308">
        <f t="shared" si="322"/>
        <v>0.5</v>
      </c>
      <c r="CD351" s="310">
        <f>$F351*0.55</f>
        <v>1650.0000000000002</v>
      </c>
      <c r="CE351" s="308">
        <f t="shared" si="323"/>
        <v>0.55000000000000004</v>
      </c>
      <c r="CF351" s="310">
        <v>2100</v>
      </c>
      <c r="CG351" s="308">
        <f t="shared" si="324"/>
        <v>0.7</v>
      </c>
      <c r="CH351" s="310">
        <f>$F351*0.7</f>
        <v>2100</v>
      </c>
      <c r="CI351" s="308">
        <f t="shared" si="325"/>
        <v>0.7</v>
      </c>
      <c r="CJ351" s="310">
        <f>$F351*0.75</f>
        <v>2250</v>
      </c>
      <c r="CK351" s="308">
        <f t="shared" si="326"/>
        <v>0.75</v>
      </c>
      <c r="CL351" s="310">
        <f>$F351*0.75</f>
        <v>2250</v>
      </c>
      <c r="CM351" s="308">
        <f t="shared" si="327"/>
        <v>0.75</v>
      </c>
      <c r="CN351" s="310">
        <f>$F351*0.95</f>
        <v>2850</v>
      </c>
      <c r="CO351" s="308">
        <f t="shared" si="328"/>
        <v>0.95</v>
      </c>
      <c r="CP351" s="213" t="str">
        <f t="shared" si="333"/>
        <v>Đạt</v>
      </c>
      <c r="CQ351" s="213" t="str">
        <f t="shared" si="334"/>
        <v>Không đạt</v>
      </c>
      <c r="CR351" s="312"/>
      <c r="CS351" s="312"/>
      <c r="CT351" s="235"/>
      <c r="CU351" s="163"/>
      <c r="CV351" s="323"/>
      <c r="CW351" s="195"/>
      <c r="CX351" s="196"/>
      <c r="CY351" s="196"/>
      <c r="CZ351" s="197"/>
      <c r="DA351" s="196"/>
      <c r="DB351" s="196"/>
      <c r="DC351" s="196"/>
      <c r="DE351" s="199"/>
      <c r="DF351" s="200"/>
      <c r="DG351" s="181"/>
    </row>
    <row r="352" spans="1:111" ht="25.5" outlineLevel="1" x14ac:dyDescent="0.25">
      <c r="A352" s="305" t="s">
        <v>34</v>
      </c>
      <c r="B352" s="306" t="s">
        <v>377</v>
      </c>
      <c r="C352" s="306"/>
      <c r="D352" s="307">
        <f>E352+F352</f>
        <v>1700</v>
      </c>
      <c r="E352" s="307"/>
      <c r="F352" s="307">
        <f>G352+H352+K352+M352</f>
        <v>1700</v>
      </c>
      <c r="G352" s="307"/>
      <c r="H352" s="307">
        <v>1700</v>
      </c>
      <c r="I352" s="235"/>
      <c r="J352" s="235"/>
      <c r="K352" s="303"/>
      <c r="L352" s="235"/>
      <c r="M352" s="223"/>
      <c r="N352" s="223"/>
      <c r="O352" s="303"/>
      <c r="P352" s="303">
        <v>0</v>
      </c>
      <c r="Q352" s="308">
        <f t="shared" si="329"/>
        <v>0</v>
      </c>
      <c r="R352" s="303"/>
      <c r="S352" s="309">
        <v>0</v>
      </c>
      <c r="T352" s="309">
        <v>0</v>
      </c>
      <c r="U352" s="303"/>
      <c r="V352" s="309">
        <v>0</v>
      </c>
      <c r="W352" s="309">
        <v>0</v>
      </c>
      <c r="X352" s="303"/>
      <c r="Y352" s="309">
        <v>0</v>
      </c>
      <c r="Z352" s="309">
        <v>0</v>
      </c>
      <c r="AA352" s="303"/>
      <c r="AB352" s="309">
        <v>0</v>
      </c>
      <c r="AC352" s="309">
        <v>0</v>
      </c>
      <c r="AD352" s="303"/>
      <c r="AE352" s="309">
        <v>0</v>
      </c>
      <c r="AF352" s="309">
        <v>0</v>
      </c>
      <c r="AG352" s="303"/>
      <c r="AH352" s="309">
        <v>0</v>
      </c>
      <c r="AI352" s="309">
        <v>0</v>
      </c>
      <c r="AJ352" s="188"/>
      <c r="AK352" s="309">
        <v>0</v>
      </c>
      <c r="AL352" s="309">
        <v>0</v>
      </c>
      <c r="AM352" s="303"/>
      <c r="AN352" s="309">
        <v>0</v>
      </c>
      <c r="AO352" s="309">
        <v>0</v>
      </c>
      <c r="AP352" s="309"/>
      <c r="AQ352" s="303"/>
      <c r="AR352" s="309">
        <v>0</v>
      </c>
      <c r="AS352" s="309">
        <v>0</v>
      </c>
      <c r="AT352" s="303"/>
      <c r="AU352" s="309">
        <v>0</v>
      </c>
      <c r="AV352" s="309">
        <v>0</v>
      </c>
      <c r="AW352" s="309"/>
      <c r="AX352" s="309"/>
      <c r="AY352" s="309"/>
      <c r="AZ352" s="309"/>
      <c r="BA352" s="309"/>
      <c r="BB352" s="309"/>
      <c r="BC352" s="303"/>
      <c r="BD352" s="309">
        <v>0</v>
      </c>
      <c r="BE352" s="309">
        <v>0</v>
      </c>
      <c r="BF352" s="303"/>
      <c r="BG352" s="303"/>
      <c r="BH352" s="309">
        <v>0</v>
      </c>
      <c r="BI352" s="309">
        <v>0</v>
      </c>
      <c r="BJ352" s="303">
        <f t="shared" si="330"/>
        <v>1615</v>
      </c>
      <c r="BK352" s="303"/>
      <c r="BL352" s="309">
        <f t="shared" si="315"/>
        <v>0</v>
      </c>
      <c r="BM352" s="309">
        <f t="shared" si="332"/>
        <v>0</v>
      </c>
      <c r="BN352" s="205">
        <f t="shared" si="312"/>
        <v>0</v>
      </c>
      <c r="BO352" s="205"/>
      <c r="BP352" s="310"/>
      <c r="BQ352" s="308">
        <f t="shared" si="316"/>
        <v>0</v>
      </c>
      <c r="BR352" s="310"/>
      <c r="BS352" s="308">
        <f t="shared" si="317"/>
        <v>0</v>
      </c>
      <c r="BT352" s="310">
        <f>$F352*0.1</f>
        <v>170</v>
      </c>
      <c r="BU352" s="308">
        <f t="shared" si="318"/>
        <v>0.1</v>
      </c>
      <c r="BV352" s="310">
        <f>$F352*0.2</f>
        <v>340</v>
      </c>
      <c r="BW352" s="308">
        <f t="shared" si="319"/>
        <v>0.2</v>
      </c>
      <c r="BX352" s="310">
        <f>$F352*0.3</f>
        <v>510</v>
      </c>
      <c r="BY352" s="308">
        <f t="shared" si="320"/>
        <v>0.3</v>
      </c>
      <c r="BZ352" s="310">
        <f>$F352*0.4</f>
        <v>680</v>
      </c>
      <c r="CA352" s="308">
        <f t="shared" si="321"/>
        <v>0.4</v>
      </c>
      <c r="CB352" s="310">
        <f>$F352*0.5</f>
        <v>850</v>
      </c>
      <c r="CC352" s="308">
        <f t="shared" si="322"/>
        <v>0.5</v>
      </c>
      <c r="CD352" s="310">
        <f>$F352*0.55</f>
        <v>935.00000000000011</v>
      </c>
      <c r="CE352" s="308">
        <f t="shared" si="323"/>
        <v>0.55000000000000004</v>
      </c>
      <c r="CF352" s="310">
        <v>1190</v>
      </c>
      <c r="CG352" s="308">
        <f t="shared" si="324"/>
        <v>0.7</v>
      </c>
      <c r="CH352" s="310">
        <f>$F352*0.7</f>
        <v>1190</v>
      </c>
      <c r="CI352" s="308">
        <f t="shared" si="325"/>
        <v>0.7</v>
      </c>
      <c r="CJ352" s="310">
        <f>$F352*0.75</f>
        <v>1275</v>
      </c>
      <c r="CK352" s="308">
        <f t="shared" si="326"/>
        <v>0.75</v>
      </c>
      <c r="CL352" s="310">
        <f>$F352*0.75</f>
        <v>1275</v>
      </c>
      <c r="CM352" s="308">
        <f t="shared" si="327"/>
        <v>0.75</v>
      </c>
      <c r="CN352" s="310">
        <f>$F352*0.95</f>
        <v>1615</v>
      </c>
      <c r="CO352" s="308">
        <f t="shared" si="328"/>
        <v>0.95</v>
      </c>
      <c r="CP352" s="213" t="str">
        <f t="shared" si="333"/>
        <v>Không đạt</v>
      </c>
      <c r="CQ352" s="213" t="str">
        <f t="shared" si="334"/>
        <v>Không đạt</v>
      </c>
      <c r="CR352" s="312"/>
      <c r="CS352" s="312"/>
      <c r="CT352" s="235"/>
      <c r="CU352" s="163"/>
      <c r="CW352" s="195"/>
      <c r="CX352" s="196"/>
      <c r="CY352" s="196"/>
      <c r="CZ352" s="197"/>
      <c r="DA352" s="196"/>
      <c r="DB352" s="196"/>
      <c r="DC352" s="196"/>
      <c r="DE352" s="199"/>
      <c r="DF352" s="200"/>
      <c r="DG352" s="181"/>
    </row>
    <row r="353" spans="1:112" ht="18" customHeight="1" x14ac:dyDescent="0.25">
      <c r="A353" s="213">
        <f>MAX(A$243:A351)+1</f>
        <v>32</v>
      </c>
      <c r="B353" s="240" t="s">
        <v>422</v>
      </c>
      <c r="C353" s="240"/>
      <c r="D353" s="188">
        <f t="shared" ref="D353:I353" si="339">D354+D355</f>
        <v>3085</v>
      </c>
      <c r="E353" s="188">
        <f t="shared" si="339"/>
        <v>0</v>
      </c>
      <c r="F353" s="188">
        <f t="shared" si="339"/>
        <v>3085</v>
      </c>
      <c r="G353" s="188">
        <f t="shared" si="339"/>
        <v>3000</v>
      </c>
      <c r="H353" s="188">
        <f t="shared" si="339"/>
        <v>85</v>
      </c>
      <c r="I353" s="188">
        <f t="shared" si="339"/>
        <v>0</v>
      </c>
      <c r="J353" s="188"/>
      <c r="K353" s="188">
        <f>K354+K355</f>
        <v>0</v>
      </c>
      <c r="L353" s="188">
        <f>L354+L355</f>
        <v>0</v>
      </c>
      <c r="M353" s="188">
        <f>M354+M355</f>
        <v>0</v>
      </c>
      <c r="N353" s="188">
        <f>N354+N355</f>
        <v>0</v>
      </c>
      <c r="O353" s="188">
        <f>O354+O355</f>
        <v>3000</v>
      </c>
      <c r="P353" s="188">
        <v>0</v>
      </c>
      <c r="Q353" s="186">
        <f t="shared" si="329"/>
        <v>0</v>
      </c>
      <c r="R353" s="188">
        <v>0</v>
      </c>
      <c r="S353" s="185">
        <v>0</v>
      </c>
      <c r="T353" s="185">
        <v>0</v>
      </c>
      <c r="U353" s="188">
        <v>0</v>
      </c>
      <c r="V353" s="185">
        <v>0</v>
      </c>
      <c r="W353" s="185">
        <v>0</v>
      </c>
      <c r="X353" s="188">
        <v>0</v>
      </c>
      <c r="Y353" s="185">
        <v>0</v>
      </c>
      <c r="Z353" s="185">
        <v>0</v>
      </c>
      <c r="AA353" s="188">
        <v>0</v>
      </c>
      <c r="AB353" s="185">
        <v>0</v>
      </c>
      <c r="AC353" s="185">
        <v>0</v>
      </c>
      <c r="AD353" s="188">
        <v>0</v>
      </c>
      <c r="AE353" s="185">
        <v>0</v>
      </c>
      <c r="AF353" s="185">
        <v>0</v>
      </c>
      <c r="AG353" s="188">
        <v>0</v>
      </c>
      <c r="AH353" s="185">
        <v>0</v>
      </c>
      <c r="AI353" s="185">
        <v>0</v>
      </c>
      <c r="AJ353" s="303">
        <v>0</v>
      </c>
      <c r="AK353" s="185">
        <v>0</v>
      </c>
      <c r="AL353" s="185">
        <v>0</v>
      </c>
      <c r="AM353" s="314">
        <v>0</v>
      </c>
      <c r="AN353" s="185">
        <v>0</v>
      </c>
      <c r="AO353" s="185">
        <v>0</v>
      </c>
      <c r="AP353" s="185"/>
      <c r="AQ353" s="188">
        <v>1429.817</v>
      </c>
      <c r="AR353" s="185">
        <v>0.46347390599675853</v>
      </c>
      <c r="AS353" s="185">
        <v>0.48786726947027209</v>
      </c>
      <c r="AT353" s="188">
        <v>1794.452</v>
      </c>
      <c r="AU353" s="185">
        <v>0.5816700162074554</v>
      </c>
      <c r="AV353" s="185">
        <v>0.61228422758679524</v>
      </c>
      <c r="AW353" s="185"/>
      <c r="AX353" s="185"/>
      <c r="AY353" s="185"/>
      <c r="AZ353" s="185"/>
      <c r="BA353" s="185"/>
      <c r="BB353" s="185"/>
      <c r="BC353" s="188">
        <v>1794.452</v>
      </c>
      <c r="BD353" s="185">
        <v>0.5816700162074554</v>
      </c>
      <c r="BE353" s="185">
        <v>0.61228422758679524</v>
      </c>
      <c r="BF353" s="188"/>
      <c r="BG353" s="188">
        <v>1794.452</v>
      </c>
      <c r="BH353" s="185">
        <v>0.5816700162074554</v>
      </c>
      <c r="BI353" s="185">
        <v>0.61228422758679524</v>
      </c>
      <c r="BJ353" s="188">
        <f t="shared" si="330"/>
        <v>2930.75</v>
      </c>
      <c r="BK353" s="188">
        <f>BK354+BK355</f>
        <v>1886.6909999999998</v>
      </c>
      <c r="BL353" s="185">
        <f t="shared" si="315"/>
        <v>0.61156920583468388</v>
      </c>
      <c r="BM353" s="185">
        <f t="shared" si="332"/>
        <v>0.64375705877335143</v>
      </c>
      <c r="BN353" s="205">
        <f t="shared" si="312"/>
        <v>1886.6909999999998</v>
      </c>
      <c r="BO353" s="205"/>
      <c r="BP353" s="189">
        <f>BP354+BP355</f>
        <v>0</v>
      </c>
      <c r="BQ353" s="186">
        <f t="shared" si="316"/>
        <v>0</v>
      </c>
      <c r="BR353" s="189">
        <f>BR354+BR355</f>
        <v>0</v>
      </c>
      <c r="BS353" s="186">
        <f t="shared" si="317"/>
        <v>0</v>
      </c>
      <c r="BT353" s="189">
        <f>BT354+BT355</f>
        <v>150</v>
      </c>
      <c r="BU353" s="186">
        <f t="shared" si="318"/>
        <v>4.8622366288492709E-2</v>
      </c>
      <c r="BV353" s="189">
        <f>BV354+BV355</f>
        <v>450</v>
      </c>
      <c r="BW353" s="186">
        <f t="shared" si="319"/>
        <v>0.14586709886547811</v>
      </c>
      <c r="BX353" s="189">
        <f>BX354+BX355</f>
        <v>900</v>
      </c>
      <c r="BY353" s="186">
        <f t="shared" si="320"/>
        <v>0.29173419773095621</v>
      </c>
      <c r="BZ353" s="189">
        <f>BZ354+BZ355</f>
        <v>1545</v>
      </c>
      <c r="CA353" s="186">
        <f t="shared" si="321"/>
        <v>0.50081037277147489</v>
      </c>
      <c r="CB353" s="189">
        <f>CB354+CB355</f>
        <v>1745</v>
      </c>
      <c r="CC353" s="186">
        <f t="shared" si="322"/>
        <v>0.56564019448946512</v>
      </c>
      <c r="CD353" s="189">
        <f>CD354+CD355</f>
        <v>2045</v>
      </c>
      <c r="CE353" s="186">
        <f t="shared" si="323"/>
        <v>0.66288492706645052</v>
      </c>
      <c r="CF353" s="189">
        <f>CF354+CF355</f>
        <v>2545</v>
      </c>
      <c r="CG353" s="186">
        <f t="shared" si="324"/>
        <v>0.82495948136142627</v>
      </c>
      <c r="CH353" s="189">
        <f>CH354+CH355</f>
        <v>2930.75</v>
      </c>
      <c r="CI353" s="186">
        <f t="shared" si="325"/>
        <v>0.95</v>
      </c>
      <c r="CJ353" s="189">
        <f>CJ354+CJ355</f>
        <v>2930.75</v>
      </c>
      <c r="CK353" s="186">
        <f t="shared" si="326"/>
        <v>0.95</v>
      </c>
      <c r="CL353" s="189">
        <f>CL354+CL355</f>
        <v>2930.75</v>
      </c>
      <c r="CM353" s="186">
        <f t="shared" si="327"/>
        <v>0.95</v>
      </c>
      <c r="CN353" s="189">
        <f>CN354+CN355</f>
        <v>2930.75</v>
      </c>
      <c r="CO353" s="186">
        <f t="shared" si="328"/>
        <v>0.95</v>
      </c>
      <c r="CP353" s="213" t="str">
        <f t="shared" si="333"/>
        <v>Đạt</v>
      </c>
      <c r="CQ353" s="213" t="str">
        <f t="shared" si="334"/>
        <v>Đạt</v>
      </c>
      <c r="CR353" s="213"/>
      <c r="CS353" s="213"/>
      <c r="CT353" s="231"/>
      <c r="CU353" s="163"/>
      <c r="CW353" s="195"/>
      <c r="CX353" s="196"/>
      <c r="CY353" s="196"/>
      <c r="CZ353" s="197"/>
      <c r="DA353" s="196"/>
      <c r="DB353" s="196"/>
      <c r="DC353" s="196"/>
      <c r="DE353" s="199"/>
      <c r="DF353" s="200"/>
      <c r="DG353" s="181"/>
    </row>
    <row r="354" spans="1:112" s="324" customFormat="1" outlineLevel="1" x14ac:dyDescent="0.25">
      <c r="A354" s="305" t="s">
        <v>34</v>
      </c>
      <c r="B354" s="318" t="s">
        <v>376</v>
      </c>
      <c r="C354" s="306"/>
      <c r="D354" s="307">
        <f>E354+F354</f>
        <v>3000</v>
      </c>
      <c r="E354" s="307"/>
      <c r="F354" s="307">
        <f>G354+H354+K354+M354</f>
        <v>3000</v>
      </c>
      <c r="G354" s="303">
        <v>3000</v>
      </c>
      <c r="H354" s="303"/>
      <c r="I354" s="235"/>
      <c r="J354" s="235"/>
      <c r="K354" s="303"/>
      <c r="L354" s="235"/>
      <c r="M354" s="223"/>
      <c r="N354" s="223"/>
      <c r="O354" s="303">
        <f>G354+I354+L354+N354</f>
        <v>3000</v>
      </c>
      <c r="P354" s="303">
        <v>0</v>
      </c>
      <c r="Q354" s="308">
        <f t="shared" si="329"/>
        <v>0</v>
      </c>
      <c r="R354" s="303"/>
      <c r="S354" s="313">
        <v>0</v>
      </c>
      <c r="T354" s="313">
        <v>0</v>
      </c>
      <c r="U354" s="303"/>
      <c r="V354" s="313">
        <v>0</v>
      </c>
      <c r="W354" s="313">
        <v>0</v>
      </c>
      <c r="X354" s="303"/>
      <c r="Y354" s="313">
        <v>0</v>
      </c>
      <c r="Z354" s="313">
        <v>0</v>
      </c>
      <c r="AA354" s="303"/>
      <c r="AB354" s="313">
        <v>0</v>
      </c>
      <c r="AC354" s="313">
        <v>0</v>
      </c>
      <c r="AD354" s="303"/>
      <c r="AE354" s="313">
        <v>0</v>
      </c>
      <c r="AF354" s="313">
        <v>0</v>
      </c>
      <c r="AG354" s="303"/>
      <c r="AH354" s="313">
        <v>0</v>
      </c>
      <c r="AI354" s="313">
        <v>0</v>
      </c>
      <c r="AJ354" s="303"/>
      <c r="AK354" s="313">
        <v>0</v>
      </c>
      <c r="AL354" s="313">
        <v>0</v>
      </c>
      <c r="AM354" s="303"/>
      <c r="AN354" s="313">
        <v>0</v>
      </c>
      <c r="AO354" s="313">
        <v>0</v>
      </c>
      <c r="AP354" s="313"/>
      <c r="AQ354" s="215">
        <v>1429.817</v>
      </c>
      <c r="AR354" s="313">
        <v>0.47660566666666665</v>
      </c>
      <c r="AS354" s="313">
        <v>0.50169017543859651</v>
      </c>
      <c r="AT354" s="215">
        <v>1794.452</v>
      </c>
      <c r="AU354" s="313">
        <v>0.59815066666666672</v>
      </c>
      <c r="AV354" s="313">
        <v>0.62963228070175437</v>
      </c>
      <c r="AW354" s="313"/>
      <c r="AX354" s="313"/>
      <c r="AY354" s="313"/>
      <c r="AZ354" s="313"/>
      <c r="BA354" s="313"/>
      <c r="BB354" s="313"/>
      <c r="BC354" s="215">
        <v>1794.452</v>
      </c>
      <c r="BD354" s="313">
        <v>0.59815066666666672</v>
      </c>
      <c r="BE354" s="313">
        <v>0.62963228070175437</v>
      </c>
      <c r="BF354" s="215"/>
      <c r="BG354" s="215">
        <v>1794.452</v>
      </c>
      <c r="BH354" s="313">
        <v>0.59815066666666672</v>
      </c>
      <c r="BI354" s="313">
        <v>0.62963228070175437</v>
      </c>
      <c r="BJ354" s="215">
        <f t="shared" si="330"/>
        <v>2850</v>
      </c>
      <c r="BK354" s="215">
        <v>1886.6909999999998</v>
      </c>
      <c r="BL354" s="313">
        <f t="shared" si="315"/>
        <v>0.62889699999999993</v>
      </c>
      <c r="BM354" s="313">
        <f t="shared" si="332"/>
        <v>0.66199684210526311</v>
      </c>
      <c r="BN354" s="205">
        <f t="shared" si="312"/>
        <v>1886.6909999999998</v>
      </c>
      <c r="BO354" s="205"/>
      <c r="BP354" s="310"/>
      <c r="BQ354" s="311">
        <f t="shared" si="316"/>
        <v>0</v>
      </c>
      <c r="BR354" s="310"/>
      <c r="BS354" s="311">
        <f t="shared" si="317"/>
        <v>0</v>
      </c>
      <c r="BT354" s="310">
        <v>150</v>
      </c>
      <c r="BU354" s="308">
        <f t="shared" si="318"/>
        <v>0.05</v>
      </c>
      <c r="BV354" s="310">
        <v>450</v>
      </c>
      <c r="BW354" s="311">
        <f t="shared" si="319"/>
        <v>0.15</v>
      </c>
      <c r="BX354" s="310">
        <v>900</v>
      </c>
      <c r="BY354" s="311">
        <f t="shared" si="320"/>
        <v>0.3</v>
      </c>
      <c r="BZ354" s="310">
        <v>1500</v>
      </c>
      <c r="CA354" s="311">
        <f t="shared" si="321"/>
        <v>0.5</v>
      </c>
      <c r="CB354" s="310">
        <v>1700</v>
      </c>
      <c r="CC354" s="311">
        <f t="shared" si="322"/>
        <v>0.56666666666666665</v>
      </c>
      <c r="CD354" s="310">
        <v>2000</v>
      </c>
      <c r="CE354" s="311">
        <f t="shared" si="323"/>
        <v>0.66666666666666663</v>
      </c>
      <c r="CF354" s="310">
        <v>2500</v>
      </c>
      <c r="CG354" s="311">
        <f t="shared" si="324"/>
        <v>0.83333333333333337</v>
      </c>
      <c r="CH354" s="310">
        <v>2850</v>
      </c>
      <c r="CI354" s="311">
        <f t="shared" si="325"/>
        <v>0.95</v>
      </c>
      <c r="CJ354" s="310">
        <v>2850</v>
      </c>
      <c r="CK354" s="311">
        <f t="shared" si="326"/>
        <v>0.95</v>
      </c>
      <c r="CL354" s="310">
        <v>2850</v>
      </c>
      <c r="CM354" s="311">
        <f t="shared" si="327"/>
        <v>0.95</v>
      </c>
      <c r="CN354" s="310">
        <v>2850</v>
      </c>
      <c r="CO354" s="311">
        <f t="shared" si="328"/>
        <v>0.95</v>
      </c>
      <c r="CP354" s="213" t="str">
        <f t="shared" si="333"/>
        <v>Đạt</v>
      </c>
      <c r="CQ354" s="213" t="str">
        <f t="shared" si="334"/>
        <v>Đạt</v>
      </c>
      <c r="CR354" s="312"/>
      <c r="CS354" s="312"/>
      <c r="CT354" s="235"/>
      <c r="CU354" s="163"/>
      <c r="CV354" s="323"/>
      <c r="CW354" s="195"/>
      <c r="CX354" s="196"/>
      <c r="CY354" s="196"/>
      <c r="CZ354" s="197"/>
      <c r="DA354" s="196"/>
      <c r="DB354" s="196"/>
      <c r="DC354" s="196"/>
      <c r="DE354" s="199"/>
      <c r="DF354" s="200"/>
      <c r="DG354" s="181"/>
      <c r="DH354" s="337"/>
    </row>
    <row r="355" spans="1:112" ht="25.5" outlineLevel="1" x14ac:dyDescent="0.25">
      <c r="A355" s="305" t="s">
        <v>34</v>
      </c>
      <c r="B355" s="306" t="s">
        <v>377</v>
      </c>
      <c r="C355" s="306"/>
      <c r="D355" s="307">
        <f>E355+F355</f>
        <v>85</v>
      </c>
      <c r="E355" s="307"/>
      <c r="F355" s="307">
        <f>G355+H355+K355+M355</f>
        <v>85</v>
      </c>
      <c r="G355" s="307"/>
      <c r="H355" s="307">
        <v>85</v>
      </c>
      <c r="I355" s="235"/>
      <c r="J355" s="235"/>
      <c r="K355" s="303"/>
      <c r="L355" s="235"/>
      <c r="M355" s="223"/>
      <c r="N355" s="223"/>
      <c r="O355" s="303"/>
      <c r="P355" s="303">
        <v>0</v>
      </c>
      <c r="Q355" s="308">
        <f t="shared" si="329"/>
        <v>0</v>
      </c>
      <c r="R355" s="303"/>
      <c r="S355" s="313">
        <v>0</v>
      </c>
      <c r="T355" s="313">
        <v>0</v>
      </c>
      <c r="U355" s="303"/>
      <c r="V355" s="313">
        <v>0</v>
      </c>
      <c r="W355" s="313">
        <v>0</v>
      </c>
      <c r="X355" s="303"/>
      <c r="Y355" s="313">
        <v>0</v>
      </c>
      <c r="Z355" s="313">
        <v>0</v>
      </c>
      <c r="AA355" s="303"/>
      <c r="AB355" s="313">
        <v>0</v>
      </c>
      <c r="AC355" s="313">
        <v>0</v>
      </c>
      <c r="AD355" s="303"/>
      <c r="AE355" s="313">
        <v>0</v>
      </c>
      <c r="AF355" s="313">
        <v>0</v>
      </c>
      <c r="AG355" s="303"/>
      <c r="AH355" s="313">
        <v>0</v>
      </c>
      <c r="AI355" s="313">
        <v>0</v>
      </c>
      <c r="AJ355" s="188"/>
      <c r="AK355" s="313">
        <v>0</v>
      </c>
      <c r="AL355" s="313">
        <v>0</v>
      </c>
      <c r="AM355" s="303"/>
      <c r="AN355" s="313">
        <v>0</v>
      </c>
      <c r="AO355" s="313">
        <v>0</v>
      </c>
      <c r="AP355" s="313"/>
      <c r="AQ355" s="303"/>
      <c r="AR355" s="313">
        <v>0</v>
      </c>
      <c r="AS355" s="313">
        <v>0</v>
      </c>
      <c r="AT355" s="303"/>
      <c r="AU355" s="313">
        <v>0</v>
      </c>
      <c r="AV355" s="313">
        <v>0</v>
      </c>
      <c r="AW355" s="313"/>
      <c r="AX355" s="313"/>
      <c r="AY355" s="313"/>
      <c r="AZ355" s="313"/>
      <c r="BA355" s="313"/>
      <c r="BB355" s="313"/>
      <c r="BC355" s="303"/>
      <c r="BD355" s="313">
        <v>0</v>
      </c>
      <c r="BE355" s="313">
        <v>0</v>
      </c>
      <c r="BF355" s="303"/>
      <c r="BG355" s="303"/>
      <c r="BH355" s="313">
        <v>0</v>
      </c>
      <c r="BI355" s="313">
        <v>0</v>
      </c>
      <c r="BJ355" s="303">
        <f t="shared" si="330"/>
        <v>80.75</v>
      </c>
      <c r="BK355" s="303"/>
      <c r="BL355" s="313">
        <f t="shared" si="315"/>
        <v>0</v>
      </c>
      <c r="BM355" s="313">
        <f t="shared" si="332"/>
        <v>0</v>
      </c>
      <c r="BN355" s="205">
        <f t="shared" si="312"/>
        <v>0</v>
      </c>
      <c r="BO355" s="205"/>
      <c r="BP355" s="310"/>
      <c r="BQ355" s="311">
        <f t="shared" si="316"/>
        <v>0</v>
      </c>
      <c r="BR355" s="310"/>
      <c r="BS355" s="311">
        <f t="shared" si="317"/>
        <v>0</v>
      </c>
      <c r="BT355" s="310"/>
      <c r="BU355" s="308">
        <f t="shared" si="318"/>
        <v>0</v>
      </c>
      <c r="BV355" s="310"/>
      <c r="BW355" s="311">
        <f t="shared" si="319"/>
        <v>0</v>
      </c>
      <c r="BX355" s="310"/>
      <c r="BY355" s="311">
        <f t="shared" si="320"/>
        <v>0</v>
      </c>
      <c r="BZ355" s="310">
        <v>45</v>
      </c>
      <c r="CA355" s="311">
        <f t="shared" si="321"/>
        <v>0.52941176470588236</v>
      </c>
      <c r="CB355" s="310">
        <v>45</v>
      </c>
      <c r="CC355" s="311">
        <f t="shared" si="322"/>
        <v>0.52941176470588236</v>
      </c>
      <c r="CD355" s="310">
        <v>45</v>
      </c>
      <c r="CE355" s="311">
        <f t="shared" si="323"/>
        <v>0.52941176470588236</v>
      </c>
      <c r="CF355" s="310">
        <v>45</v>
      </c>
      <c r="CG355" s="311">
        <f t="shared" si="324"/>
        <v>0.52941176470588236</v>
      </c>
      <c r="CH355" s="310">
        <f>85*0.95</f>
        <v>80.75</v>
      </c>
      <c r="CI355" s="311">
        <f t="shared" si="325"/>
        <v>0.95</v>
      </c>
      <c r="CJ355" s="310">
        <f>85*0.95</f>
        <v>80.75</v>
      </c>
      <c r="CK355" s="311">
        <f t="shared" si="326"/>
        <v>0.95</v>
      </c>
      <c r="CL355" s="310">
        <f>85*0.95</f>
        <v>80.75</v>
      </c>
      <c r="CM355" s="311">
        <f t="shared" si="327"/>
        <v>0.95</v>
      </c>
      <c r="CN355" s="310">
        <f>85*0.95</f>
        <v>80.75</v>
      </c>
      <c r="CO355" s="311">
        <f t="shared" si="328"/>
        <v>0.95</v>
      </c>
      <c r="CP355" s="213" t="str">
        <f t="shared" si="333"/>
        <v>Không đạt</v>
      </c>
      <c r="CQ355" s="213" t="str">
        <f t="shared" si="334"/>
        <v>Không đạt</v>
      </c>
      <c r="CR355" s="312"/>
      <c r="CS355" s="312"/>
      <c r="CT355" s="235"/>
      <c r="CU355" s="163"/>
      <c r="CW355" s="195"/>
      <c r="CX355" s="196"/>
      <c r="CY355" s="196"/>
      <c r="CZ355" s="197"/>
      <c r="DA355" s="196"/>
      <c r="DB355" s="196"/>
      <c r="DC355" s="196"/>
      <c r="DE355" s="199"/>
      <c r="DF355" s="200"/>
      <c r="DG355" s="181"/>
    </row>
    <row r="356" spans="1:112" ht="18" customHeight="1" x14ac:dyDescent="0.25">
      <c r="A356" s="213">
        <f>MAX(A$243:A354)+1</f>
        <v>33</v>
      </c>
      <c r="B356" s="240" t="s">
        <v>423</v>
      </c>
      <c r="C356" s="240"/>
      <c r="D356" s="188">
        <f t="shared" ref="D356:I356" si="340">D357+D360+D361</f>
        <v>10600</v>
      </c>
      <c r="E356" s="188">
        <f t="shared" si="340"/>
        <v>0</v>
      </c>
      <c r="F356" s="188">
        <f t="shared" si="340"/>
        <v>10600</v>
      </c>
      <c r="G356" s="188">
        <f t="shared" si="340"/>
        <v>3000</v>
      </c>
      <c r="H356" s="188">
        <f t="shared" si="340"/>
        <v>7600</v>
      </c>
      <c r="I356" s="188">
        <f t="shared" si="340"/>
        <v>1425</v>
      </c>
      <c r="J356" s="188"/>
      <c r="K356" s="188">
        <f>K357+K360+K361</f>
        <v>0</v>
      </c>
      <c r="L356" s="188">
        <f>L357+L360+L361</f>
        <v>0</v>
      </c>
      <c r="M356" s="188">
        <f>M357+M360+M361</f>
        <v>0</v>
      </c>
      <c r="N356" s="188">
        <f>N357+N360+N361</f>
        <v>0</v>
      </c>
      <c r="O356" s="188">
        <f>O357+O360+O361</f>
        <v>4425</v>
      </c>
      <c r="P356" s="188">
        <v>0</v>
      </c>
      <c r="Q356" s="186">
        <f t="shared" si="329"/>
        <v>0</v>
      </c>
      <c r="R356" s="188">
        <v>0</v>
      </c>
      <c r="S356" s="185">
        <v>0</v>
      </c>
      <c r="T356" s="185">
        <v>0</v>
      </c>
      <c r="U356" s="188">
        <v>0</v>
      </c>
      <c r="V356" s="185">
        <v>0</v>
      </c>
      <c r="W356" s="185">
        <v>0</v>
      </c>
      <c r="X356" s="188">
        <v>0</v>
      </c>
      <c r="Y356" s="185">
        <v>0</v>
      </c>
      <c r="Z356" s="185">
        <v>0</v>
      </c>
      <c r="AA356" s="188">
        <v>0</v>
      </c>
      <c r="AB356" s="185">
        <v>0</v>
      </c>
      <c r="AC356" s="185">
        <v>0</v>
      </c>
      <c r="AD356" s="188">
        <v>604</v>
      </c>
      <c r="AE356" s="185">
        <v>5.6981132075471695E-2</v>
      </c>
      <c r="AF356" s="185">
        <v>5.9980139026812311E-2</v>
      </c>
      <c r="AG356" s="188">
        <v>604</v>
      </c>
      <c r="AH356" s="185">
        <v>5.6981132075471695E-2</v>
      </c>
      <c r="AI356" s="185">
        <v>5.9980139026812311E-2</v>
      </c>
      <c r="AJ356" s="317">
        <v>604</v>
      </c>
      <c r="AK356" s="185">
        <v>5.6981132075471695E-2</v>
      </c>
      <c r="AL356" s="185">
        <v>5.9980139026812311E-2</v>
      </c>
      <c r="AM356" s="188">
        <v>1628</v>
      </c>
      <c r="AN356" s="185">
        <v>0.15358490566037736</v>
      </c>
      <c r="AO356" s="185">
        <v>0.16166832174776563</v>
      </c>
      <c r="AP356" s="185"/>
      <c r="AQ356" s="188">
        <v>1683.9950899999999</v>
      </c>
      <c r="AR356" s="185">
        <v>0.15886746132075472</v>
      </c>
      <c r="AS356" s="185">
        <v>0.16722890665342602</v>
      </c>
      <c r="AT356" s="188">
        <v>1683.9950899999999</v>
      </c>
      <c r="AU356" s="185">
        <v>0.15886746132075472</v>
      </c>
      <c r="AV356" s="185">
        <v>0.16722890665342602</v>
      </c>
      <c r="AW356" s="185"/>
      <c r="AX356" s="185"/>
      <c r="AY356" s="185"/>
      <c r="AZ356" s="185"/>
      <c r="BA356" s="185"/>
      <c r="BB356" s="185"/>
      <c r="BC356" s="188">
        <v>1683.9950899999999</v>
      </c>
      <c r="BD356" s="185">
        <v>0.15886746132075472</v>
      </c>
      <c r="BE356" s="185">
        <v>0.16722890665342602</v>
      </c>
      <c r="BF356" s="188"/>
      <c r="BG356" s="188">
        <v>2685.8945779999999</v>
      </c>
      <c r="BH356" s="185">
        <v>0.25338628094339621</v>
      </c>
      <c r="BI356" s="185">
        <v>0.26672240099304867</v>
      </c>
      <c r="BJ356" s="188">
        <f t="shared" si="330"/>
        <v>10070</v>
      </c>
      <c r="BK356" s="188">
        <v>3718</v>
      </c>
      <c r="BL356" s="185">
        <f t="shared" si="315"/>
        <v>0.35075471698113209</v>
      </c>
      <c r="BM356" s="185">
        <f t="shared" si="332"/>
        <v>0.3692154915590864</v>
      </c>
      <c r="BN356" s="205">
        <f t="shared" si="312"/>
        <v>3114</v>
      </c>
      <c r="BO356" s="205"/>
      <c r="BP356" s="189">
        <f>BP357+BP360+BP361</f>
        <v>0</v>
      </c>
      <c r="BQ356" s="186">
        <f t="shared" si="316"/>
        <v>0</v>
      </c>
      <c r="BR356" s="189">
        <f>BR357+BR360+BR361</f>
        <v>0</v>
      </c>
      <c r="BS356" s="186">
        <f t="shared" si="317"/>
        <v>0</v>
      </c>
      <c r="BT356" s="189">
        <f>BT357+BT360+BT361</f>
        <v>1060</v>
      </c>
      <c r="BU356" s="186">
        <f t="shared" si="318"/>
        <v>0.1</v>
      </c>
      <c r="BV356" s="189">
        <f>BV357+BV360+BV361</f>
        <v>2120</v>
      </c>
      <c r="BW356" s="186">
        <f t="shared" si="319"/>
        <v>0.2</v>
      </c>
      <c r="BX356" s="189">
        <f>BX357+BX360+BX361</f>
        <v>3180</v>
      </c>
      <c r="BY356" s="186">
        <f t="shared" si="320"/>
        <v>0.3</v>
      </c>
      <c r="BZ356" s="189">
        <f>BZ357+BZ360+BZ361</f>
        <v>4240</v>
      </c>
      <c r="CA356" s="186">
        <f t="shared" si="321"/>
        <v>0.4</v>
      </c>
      <c r="CB356" s="189">
        <f>CB357+CB360+CB361</f>
        <v>5300</v>
      </c>
      <c r="CC356" s="186">
        <f t="shared" si="322"/>
        <v>0.5</v>
      </c>
      <c r="CD356" s="189">
        <f>CD357+CD360+CD361</f>
        <v>5830</v>
      </c>
      <c r="CE356" s="186">
        <f t="shared" si="323"/>
        <v>0.55000000000000004</v>
      </c>
      <c r="CF356" s="189">
        <f>CF357+CF360+CF361</f>
        <v>7420</v>
      </c>
      <c r="CG356" s="186">
        <f t="shared" si="324"/>
        <v>0.7</v>
      </c>
      <c r="CH356" s="189">
        <f>CH357+CH360+CH361</f>
        <v>7420</v>
      </c>
      <c r="CI356" s="186">
        <f t="shared" si="325"/>
        <v>0.7</v>
      </c>
      <c r="CJ356" s="189">
        <f>CJ357+CJ360+CJ361</f>
        <v>7950</v>
      </c>
      <c r="CK356" s="186">
        <f t="shared" si="326"/>
        <v>0.75</v>
      </c>
      <c r="CL356" s="189">
        <f>CL357+CL360+CL361</f>
        <v>7950</v>
      </c>
      <c r="CM356" s="186">
        <f t="shared" si="327"/>
        <v>0.75</v>
      </c>
      <c r="CN356" s="189">
        <f>CN357+CN360+CN361</f>
        <v>10070</v>
      </c>
      <c r="CO356" s="186">
        <f t="shared" si="328"/>
        <v>0.95</v>
      </c>
      <c r="CP356" s="213" t="str">
        <f t="shared" si="333"/>
        <v>Đạt</v>
      </c>
      <c r="CQ356" s="213" t="str">
        <f t="shared" si="334"/>
        <v>Không đạt</v>
      </c>
      <c r="CR356" s="213"/>
      <c r="CS356" s="213"/>
      <c r="CT356" s="231"/>
      <c r="CU356" s="163"/>
      <c r="CW356" s="195"/>
      <c r="CX356" s="196"/>
      <c r="CY356" s="196"/>
      <c r="CZ356" s="197"/>
      <c r="DA356" s="196"/>
      <c r="DB356" s="196"/>
      <c r="DC356" s="196"/>
      <c r="DE356" s="199"/>
      <c r="DF356" s="200"/>
      <c r="DG356" s="181"/>
    </row>
    <row r="357" spans="1:112" s="324" customFormat="1" outlineLevel="1" x14ac:dyDescent="0.25">
      <c r="A357" s="305" t="s">
        <v>34</v>
      </c>
      <c r="B357" s="318" t="s">
        <v>381</v>
      </c>
      <c r="C357" s="306"/>
      <c r="D357" s="317">
        <f t="shared" ref="D357:I357" si="341">D358+D359</f>
        <v>2500</v>
      </c>
      <c r="E357" s="317">
        <f t="shared" si="341"/>
        <v>0</v>
      </c>
      <c r="F357" s="317">
        <f t="shared" si="341"/>
        <v>2500</v>
      </c>
      <c r="G357" s="317">
        <f t="shared" si="341"/>
        <v>0</v>
      </c>
      <c r="H357" s="317">
        <f t="shared" si="341"/>
        <v>2500</v>
      </c>
      <c r="I357" s="214">
        <f t="shared" si="341"/>
        <v>1425</v>
      </c>
      <c r="J357" s="214"/>
      <c r="K357" s="317">
        <f>K358+K359</f>
        <v>0</v>
      </c>
      <c r="L357" s="214">
        <f>L358+L359</f>
        <v>0</v>
      </c>
      <c r="M357" s="223"/>
      <c r="N357" s="223"/>
      <c r="O357" s="317">
        <f>G357+I357+L357+N357</f>
        <v>1425</v>
      </c>
      <c r="P357" s="317">
        <v>0</v>
      </c>
      <c r="Q357" s="319">
        <f t="shared" si="329"/>
        <v>0</v>
      </c>
      <c r="R357" s="317">
        <v>0</v>
      </c>
      <c r="S357" s="187">
        <v>0</v>
      </c>
      <c r="T357" s="187">
        <v>0</v>
      </c>
      <c r="U357" s="317">
        <v>0</v>
      </c>
      <c r="V357" s="187">
        <v>0</v>
      </c>
      <c r="W357" s="187">
        <v>0</v>
      </c>
      <c r="X357" s="317">
        <v>0</v>
      </c>
      <c r="Y357" s="187">
        <v>0</v>
      </c>
      <c r="Z357" s="187">
        <v>0</v>
      </c>
      <c r="AA357" s="317">
        <v>0</v>
      </c>
      <c r="AB357" s="187">
        <v>0</v>
      </c>
      <c r="AC357" s="187">
        <v>0</v>
      </c>
      <c r="AD357" s="317">
        <v>0</v>
      </c>
      <c r="AE357" s="187">
        <v>0</v>
      </c>
      <c r="AF357" s="187">
        <v>0</v>
      </c>
      <c r="AG357" s="317">
        <v>0</v>
      </c>
      <c r="AH357" s="187">
        <v>0</v>
      </c>
      <c r="AI357" s="187">
        <v>0</v>
      </c>
      <c r="AJ357" s="333">
        <v>0</v>
      </c>
      <c r="AK357" s="187">
        <v>0</v>
      </c>
      <c r="AL357" s="187">
        <v>0</v>
      </c>
      <c r="AM357" s="317">
        <v>518</v>
      </c>
      <c r="AN357" s="187">
        <v>0.2072</v>
      </c>
      <c r="AO357" s="187">
        <v>0.21810526315789475</v>
      </c>
      <c r="AP357" s="187"/>
      <c r="AQ357" s="317">
        <v>518</v>
      </c>
      <c r="AR357" s="187">
        <v>0.2072</v>
      </c>
      <c r="AS357" s="187">
        <v>0.21810526315789475</v>
      </c>
      <c r="AT357" s="317">
        <v>518</v>
      </c>
      <c r="AU357" s="187">
        <v>0.2072</v>
      </c>
      <c r="AV357" s="187">
        <v>0.21810526315789475</v>
      </c>
      <c r="AW357" s="187"/>
      <c r="AX357" s="187"/>
      <c r="AY357" s="187"/>
      <c r="AZ357" s="187"/>
      <c r="BA357" s="187"/>
      <c r="BB357" s="187"/>
      <c r="BC357" s="317">
        <v>518</v>
      </c>
      <c r="BD357" s="187">
        <v>0.2072</v>
      </c>
      <c r="BE357" s="187">
        <v>0.21810526315789475</v>
      </c>
      <c r="BF357" s="317"/>
      <c r="BG357" s="317">
        <v>1401.05</v>
      </c>
      <c r="BH357" s="187">
        <v>0.56042000000000003</v>
      </c>
      <c r="BI357" s="187">
        <v>0.58991578947368417</v>
      </c>
      <c r="BJ357" s="317">
        <f t="shared" si="330"/>
        <v>2375</v>
      </c>
      <c r="BK357" s="317">
        <f>BK358+BK359</f>
        <v>1401.05</v>
      </c>
      <c r="BL357" s="187">
        <f t="shared" si="315"/>
        <v>0.56042000000000003</v>
      </c>
      <c r="BM357" s="187">
        <f t="shared" si="332"/>
        <v>0.58991578947368417</v>
      </c>
      <c r="BN357" s="205">
        <f t="shared" si="312"/>
        <v>1401.05</v>
      </c>
      <c r="BO357" s="205"/>
      <c r="BP357" s="307">
        <f>BP358+BP359</f>
        <v>0</v>
      </c>
      <c r="BQ357" s="319">
        <f t="shared" si="316"/>
        <v>0</v>
      </c>
      <c r="BR357" s="307">
        <f>BR358+BR359</f>
        <v>0</v>
      </c>
      <c r="BS357" s="319">
        <f t="shared" si="317"/>
        <v>0</v>
      </c>
      <c r="BT357" s="307">
        <f>BT358+BT359</f>
        <v>250</v>
      </c>
      <c r="BU357" s="319">
        <f t="shared" si="318"/>
        <v>0.1</v>
      </c>
      <c r="BV357" s="307">
        <f>BV358+BV359</f>
        <v>500</v>
      </c>
      <c r="BW357" s="319">
        <f t="shared" si="319"/>
        <v>0.2</v>
      </c>
      <c r="BX357" s="307">
        <f>BX358+BX359</f>
        <v>750</v>
      </c>
      <c r="BY357" s="319">
        <f t="shared" si="320"/>
        <v>0.3</v>
      </c>
      <c r="BZ357" s="307">
        <f>BZ358+BZ359</f>
        <v>1000</v>
      </c>
      <c r="CA357" s="319">
        <f t="shared" si="321"/>
        <v>0.4</v>
      </c>
      <c r="CB357" s="307">
        <f>CB358+CB359</f>
        <v>1250</v>
      </c>
      <c r="CC357" s="319">
        <f t="shared" si="322"/>
        <v>0.5</v>
      </c>
      <c r="CD357" s="307">
        <f>CD358+CD359</f>
        <v>1375</v>
      </c>
      <c r="CE357" s="319">
        <f t="shared" si="323"/>
        <v>0.55000000000000004</v>
      </c>
      <c r="CF357" s="307">
        <f>CF358+CF359</f>
        <v>1750</v>
      </c>
      <c r="CG357" s="319">
        <f t="shared" si="324"/>
        <v>0.7</v>
      </c>
      <c r="CH357" s="307">
        <f>CH358+CH359</f>
        <v>1750</v>
      </c>
      <c r="CI357" s="319">
        <f t="shared" si="325"/>
        <v>0.7</v>
      </c>
      <c r="CJ357" s="307">
        <f>CJ358+CJ359</f>
        <v>1875</v>
      </c>
      <c r="CK357" s="319">
        <f t="shared" si="326"/>
        <v>0.75</v>
      </c>
      <c r="CL357" s="307">
        <f>CL358+CL359</f>
        <v>1875</v>
      </c>
      <c r="CM357" s="319">
        <f t="shared" si="327"/>
        <v>0.75</v>
      </c>
      <c r="CN357" s="307">
        <f>CN358+CN359</f>
        <v>2375</v>
      </c>
      <c r="CO357" s="319">
        <f t="shared" si="328"/>
        <v>0.95</v>
      </c>
      <c r="CP357" s="213" t="str">
        <f t="shared" si="333"/>
        <v>Đạt</v>
      </c>
      <c r="CQ357" s="213" t="str">
        <f t="shared" si="334"/>
        <v>Đạt</v>
      </c>
      <c r="CR357" s="312"/>
      <c r="CS357" s="312"/>
      <c r="CT357" s="235"/>
      <c r="CU357" s="163"/>
      <c r="CV357" s="323"/>
      <c r="CW357" s="195"/>
      <c r="CX357" s="196"/>
      <c r="CY357" s="196"/>
      <c r="CZ357" s="197"/>
      <c r="DA357" s="196"/>
      <c r="DB357" s="196"/>
      <c r="DC357" s="196"/>
      <c r="DE357" s="199"/>
      <c r="DF357" s="200"/>
      <c r="DG357" s="181"/>
    </row>
    <row r="358" spans="1:112" ht="25.5" outlineLevel="1" x14ac:dyDescent="0.25">
      <c r="A358" s="192">
        <v>1</v>
      </c>
      <c r="B358" s="325" t="s">
        <v>424</v>
      </c>
      <c r="C358" s="325"/>
      <c r="D358" s="214">
        <f>E358+F358</f>
        <v>1000</v>
      </c>
      <c r="E358" s="215"/>
      <c r="F358" s="214">
        <f>G358+H358+K358+M358</f>
        <v>1000</v>
      </c>
      <c r="G358" s="223"/>
      <c r="H358" s="333">
        <v>1000</v>
      </c>
      <c r="I358" s="235"/>
      <c r="J358" s="235"/>
      <c r="K358" s="223"/>
      <c r="L358" s="235"/>
      <c r="M358" s="223"/>
      <c r="N358" s="223"/>
      <c r="O358" s="333">
        <f>G358+I358+L358+N358</f>
        <v>0</v>
      </c>
      <c r="P358" s="333">
        <v>0</v>
      </c>
      <c r="Q358" s="224">
        <f t="shared" si="329"/>
        <v>0</v>
      </c>
      <c r="R358" s="333"/>
      <c r="S358" s="225">
        <v>0</v>
      </c>
      <c r="T358" s="225">
        <v>0</v>
      </c>
      <c r="U358" s="333"/>
      <c r="V358" s="225">
        <v>0</v>
      </c>
      <c r="W358" s="225">
        <v>0</v>
      </c>
      <c r="X358" s="333"/>
      <c r="Y358" s="225">
        <v>0</v>
      </c>
      <c r="Z358" s="225">
        <v>0</v>
      </c>
      <c r="AA358" s="333"/>
      <c r="AB358" s="225">
        <v>0</v>
      </c>
      <c r="AC358" s="225">
        <v>0</v>
      </c>
      <c r="AD358" s="333"/>
      <c r="AE358" s="225">
        <v>0</v>
      </c>
      <c r="AF358" s="225">
        <v>0</v>
      </c>
      <c r="AG358" s="333"/>
      <c r="AH358" s="225">
        <v>0</v>
      </c>
      <c r="AI358" s="225">
        <v>0</v>
      </c>
      <c r="AJ358" s="333"/>
      <c r="AK358" s="225">
        <v>0</v>
      </c>
      <c r="AL358" s="225">
        <v>0</v>
      </c>
      <c r="AM358" s="333"/>
      <c r="AN358" s="225">
        <v>0</v>
      </c>
      <c r="AO358" s="225">
        <v>0</v>
      </c>
      <c r="AP358" s="225"/>
      <c r="AQ358" s="333"/>
      <c r="AR358" s="225">
        <v>0</v>
      </c>
      <c r="AS358" s="225">
        <v>0</v>
      </c>
      <c r="AT358" s="333"/>
      <c r="AU358" s="225">
        <v>0</v>
      </c>
      <c r="AV358" s="225">
        <v>0</v>
      </c>
      <c r="AW358" s="225"/>
      <c r="AX358" s="225"/>
      <c r="AY358" s="225"/>
      <c r="AZ358" s="225"/>
      <c r="BA358" s="225"/>
      <c r="BB358" s="225"/>
      <c r="BC358" s="333"/>
      <c r="BD358" s="225">
        <v>0</v>
      </c>
      <c r="BE358" s="225">
        <v>0</v>
      </c>
      <c r="BF358" s="333"/>
      <c r="BG358" s="333"/>
      <c r="BH358" s="225">
        <v>0</v>
      </c>
      <c r="BI358" s="225">
        <v>0</v>
      </c>
      <c r="BJ358" s="333">
        <f t="shared" si="330"/>
        <v>950</v>
      </c>
      <c r="BK358" s="333"/>
      <c r="BL358" s="225">
        <f t="shared" si="315"/>
        <v>0</v>
      </c>
      <c r="BM358" s="225">
        <f t="shared" si="332"/>
        <v>0</v>
      </c>
      <c r="BN358" s="205">
        <f t="shared" si="312"/>
        <v>0</v>
      </c>
      <c r="BO358" s="205"/>
      <c r="BP358" s="227"/>
      <c r="BQ358" s="224">
        <f t="shared" si="316"/>
        <v>0</v>
      </c>
      <c r="BR358" s="227"/>
      <c r="BS358" s="224">
        <f t="shared" si="317"/>
        <v>0</v>
      </c>
      <c r="BT358" s="227">
        <f>$F358*0.1</f>
        <v>100</v>
      </c>
      <c r="BU358" s="224">
        <f t="shared" si="318"/>
        <v>0.1</v>
      </c>
      <c r="BV358" s="227">
        <f>$F358*0.2</f>
        <v>200</v>
      </c>
      <c r="BW358" s="224">
        <f t="shared" si="319"/>
        <v>0.2</v>
      </c>
      <c r="BX358" s="227">
        <f>$F358*0.3</f>
        <v>300</v>
      </c>
      <c r="BY358" s="224">
        <f t="shared" si="320"/>
        <v>0.3</v>
      </c>
      <c r="BZ358" s="227">
        <f>$F358*0.4</f>
        <v>400</v>
      </c>
      <c r="CA358" s="224">
        <f t="shared" si="321"/>
        <v>0.4</v>
      </c>
      <c r="CB358" s="227">
        <f>$F358*0.5</f>
        <v>500</v>
      </c>
      <c r="CC358" s="224">
        <f t="shared" si="322"/>
        <v>0.5</v>
      </c>
      <c r="CD358" s="227">
        <f>$F358*0.55</f>
        <v>550</v>
      </c>
      <c r="CE358" s="224">
        <f t="shared" si="323"/>
        <v>0.55000000000000004</v>
      </c>
      <c r="CF358" s="227">
        <v>700</v>
      </c>
      <c r="CG358" s="224">
        <f t="shared" si="324"/>
        <v>0.7</v>
      </c>
      <c r="CH358" s="227">
        <f>$F358*0.7</f>
        <v>700</v>
      </c>
      <c r="CI358" s="224">
        <f t="shared" si="325"/>
        <v>0.7</v>
      </c>
      <c r="CJ358" s="227">
        <f>$F358*0.75</f>
        <v>750</v>
      </c>
      <c r="CK358" s="224">
        <f t="shared" si="326"/>
        <v>0.75</v>
      </c>
      <c r="CL358" s="227">
        <f>$F358*0.75</f>
        <v>750</v>
      </c>
      <c r="CM358" s="224">
        <f t="shared" si="327"/>
        <v>0.75</v>
      </c>
      <c r="CN358" s="227">
        <f>$F358*0.95</f>
        <v>950</v>
      </c>
      <c r="CO358" s="224">
        <f t="shared" si="328"/>
        <v>0.95</v>
      </c>
      <c r="CP358" s="213" t="str">
        <f t="shared" si="333"/>
        <v>Không đạt</v>
      </c>
      <c r="CQ358" s="213" t="str">
        <f t="shared" si="334"/>
        <v>Không đạt</v>
      </c>
      <c r="CR358" s="192"/>
      <c r="CS358" s="192"/>
      <c r="CT358" s="223"/>
      <c r="CU358" s="163"/>
      <c r="CW358" s="195"/>
      <c r="CX358" s="196"/>
      <c r="CY358" s="196"/>
      <c r="CZ358" s="197"/>
      <c r="DA358" s="196"/>
      <c r="DB358" s="196"/>
      <c r="DC358" s="196"/>
      <c r="DE358" s="199"/>
      <c r="DF358" s="200"/>
      <c r="DG358" s="181"/>
    </row>
    <row r="359" spans="1:112" ht="25.5" outlineLevel="1" x14ac:dyDescent="0.25">
      <c r="A359" s="192">
        <v>2</v>
      </c>
      <c r="B359" s="325" t="s">
        <v>425</v>
      </c>
      <c r="C359" s="325"/>
      <c r="D359" s="214">
        <f>E359+F359</f>
        <v>1500</v>
      </c>
      <c r="E359" s="215"/>
      <c r="F359" s="214">
        <f>G359+H359+K359+M359</f>
        <v>1500</v>
      </c>
      <c r="G359" s="223"/>
      <c r="H359" s="333">
        <v>1500</v>
      </c>
      <c r="I359" s="235">
        <v>1425</v>
      </c>
      <c r="J359" s="333">
        <v>518</v>
      </c>
      <c r="K359" s="223"/>
      <c r="L359" s="235"/>
      <c r="M359" s="223"/>
      <c r="N359" s="223"/>
      <c r="O359" s="333">
        <f>G359+I359+L359+N359</f>
        <v>1425</v>
      </c>
      <c r="P359" s="333">
        <v>0</v>
      </c>
      <c r="Q359" s="224">
        <f t="shared" si="329"/>
        <v>0</v>
      </c>
      <c r="R359" s="333"/>
      <c r="S359" s="225">
        <v>0</v>
      </c>
      <c r="T359" s="225">
        <v>0</v>
      </c>
      <c r="U359" s="333"/>
      <c r="V359" s="225">
        <v>0</v>
      </c>
      <c r="W359" s="225">
        <v>0</v>
      </c>
      <c r="X359" s="333"/>
      <c r="Y359" s="225">
        <v>0</v>
      </c>
      <c r="Z359" s="225">
        <v>0</v>
      </c>
      <c r="AA359" s="333"/>
      <c r="AB359" s="225">
        <v>0</v>
      </c>
      <c r="AC359" s="225">
        <v>0</v>
      </c>
      <c r="AD359" s="333"/>
      <c r="AE359" s="225">
        <v>0</v>
      </c>
      <c r="AF359" s="225">
        <v>0</v>
      </c>
      <c r="AG359" s="333"/>
      <c r="AH359" s="225">
        <v>0</v>
      </c>
      <c r="AI359" s="225">
        <v>0</v>
      </c>
      <c r="AJ359" s="303"/>
      <c r="AK359" s="225">
        <v>0</v>
      </c>
      <c r="AL359" s="225">
        <v>0</v>
      </c>
      <c r="AM359" s="333">
        <v>518</v>
      </c>
      <c r="AN359" s="225">
        <v>0.34533333333333333</v>
      </c>
      <c r="AO359" s="225">
        <v>0.36350877192982456</v>
      </c>
      <c r="AP359" s="225"/>
      <c r="AQ359" s="333">
        <v>518</v>
      </c>
      <c r="AR359" s="225">
        <v>0.34533333333333333</v>
      </c>
      <c r="AS359" s="225">
        <v>0.36350877192982456</v>
      </c>
      <c r="AT359" s="333">
        <v>518</v>
      </c>
      <c r="AU359" s="225">
        <v>0.34533333333333333</v>
      </c>
      <c r="AV359" s="225">
        <v>0.36350877192982456</v>
      </c>
      <c r="AW359" s="225"/>
      <c r="AX359" s="225"/>
      <c r="AY359" s="225"/>
      <c r="AZ359" s="225"/>
      <c r="BA359" s="225"/>
      <c r="BB359" s="225"/>
      <c r="BC359" s="333">
        <v>518</v>
      </c>
      <c r="BD359" s="225">
        <v>0.34533333333333333</v>
      </c>
      <c r="BE359" s="225">
        <v>0.36350877192982456</v>
      </c>
      <c r="BF359" s="333">
        <v>1401.05</v>
      </c>
      <c r="BG359" s="333">
        <v>1401.05</v>
      </c>
      <c r="BH359" s="225">
        <v>0.93403333333333327</v>
      </c>
      <c r="BI359" s="225">
        <v>0.98319298245614029</v>
      </c>
      <c r="BJ359" s="333">
        <f t="shared" si="330"/>
        <v>1425</v>
      </c>
      <c r="BK359" s="333">
        <v>1401.05</v>
      </c>
      <c r="BL359" s="225">
        <f t="shared" si="315"/>
        <v>0.93403333333333327</v>
      </c>
      <c r="BM359" s="225">
        <f t="shared" si="332"/>
        <v>0.98319298245614029</v>
      </c>
      <c r="BN359" s="205">
        <f t="shared" si="312"/>
        <v>1401.05</v>
      </c>
      <c r="BO359" s="205"/>
      <c r="BP359" s="227"/>
      <c r="BQ359" s="224">
        <f t="shared" si="316"/>
        <v>0</v>
      </c>
      <c r="BR359" s="227"/>
      <c r="BS359" s="224">
        <f t="shared" si="317"/>
        <v>0</v>
      </c>
      <c r="BT359" s="227">
        <f>$F359*0.1</f>
        <v>150</v>
      </c>
      <c r="BU359" s="224">
        <f t="shared" si="318"/>
        <v>0.1</v>
      </c>
      <c r="BV359" s="227">
        <f>$F359*0.2</f>
        <v>300</v>
      </c>
      <c r="BW359" s="224">
        <f t="shared" si="319"/>
        <v>0.2</v>
      </c>
      <c r="BX359" s="227">
        <f>$F359*0.3</f>
        <v>450</v>
      </c>
      <c r="BY359" s="224">
        <f t="shared" si="320"/>
        <v>0.3</v>
      </c>
      <c r="BZ359" s="227">
        <f>$F359*0.4</f>
        <v>600</v>
      </c>
      <c r="CA359" s="224">
        <f t="shared" si="321"/>
        <v>0.4</v>
      </c>
      <c r="CB359" s="227">
        <f>$F359*0.5</f>
        <v>750</v>
      </c>
      <c r="CC359" s="224">
        <f t="shared" si="322"/>
        <v>0.5</v>
      </c>
      <c r="CD359" s="227">
        <f>$F359*0.55</f>
        <v>825.00000000000011</v>
      </c>
      <c r="CE359" s="224">
        <f t="shared" si="323"/>
        <v>0.55000000000000004</v>
      </c>
      <c r="CF359" s="227">
        <v>1050</v>
      </c>
      <c r="CG359" s="224">
        <f t="shared" si="324"/>
        <v>0.7</v>
      </c>
      <c r="CH359" s="227">
        <f>$F359*0.7</f>
        <v>1050</v>
      </c>
      <c r="CI359" s="224">
        <f t="shared" si="325"/>
        <v>0.7</v>
      </c>
      <c r="CJ359" s="227">
        <f>$F359*0.75</f>
        <v>1125</v>
      </c>
      <c r="CK359" s="224">
        <f t="shared" si="326"/>
        <v>0.75</v>
      </c>
      <c r="CL359" s="227">
        <f>$F359*0.75</f>
        <v>1125</v>
      </c>
      <c r="CM359" s="224">
        <f t="shared" si="327"/>
        <v>0.75</v>
      </c>
      <c r="CN359" s="227">
        <f>$F359*0.95</f>
        <v>1425</v>
      </c>
      <c r="CO359" s="224">
        <f t="shared" si="328"/>
        <v>0.95</v>
      </c>
      <c r="CP359" s="213" t="str">
        <f t="shared" si="333"/>
        <v>Đạt</v>
      </c>
      <c r="CQ359" s="213" t="str">
        <f t="shared" si="334"/>
        <v>Đạt</v>
      </c>
      <c r="CR359" s="192"/>
      <c r="CS359" s="192"/>
      <c r="CT359" s="223"/>
      <c r="CU359" s="163"/>
      <c r="CW359" s="195"/>
      <c r="CX359" s="196"/>
      <c r="CY359" s="196"/>
      <c r="CZ359" s="197"/>
      <c r="DA359" s="196"/>
      <c r="DB359" s="196"/>
      <c r="DC359" s="196"/>
      <c r="DE359" s="199"/>
      <c r="DF359" s="200"/>
      <c r="DG359" s="181"/>
    </row>
    <row r="360" spans="1:112" s="324" customFormat="1" outlineLevel="1" x14ac:dyDescent="0.25">
      <c r="A360" s="305" t="s">
        <v>34</v>
      </c>
      <c r="B360" s="318" t="s">
        <v>376</v>
      </c>
      <c r="C360" s="306"/>
      <c r="D360" s="307">
        <f>E360+F360</f>
        <v>3000</v>
      </c>
      <c r="E360" s="307"/>
      <c r="F360" s="307">
        <f>G360+H360+K360+M360</f>
        <v>3000</v>
      </c>
      <c r="G360" s="303">
        <v>3000</v>
      </c>
      <c r="H360" s="303"/>
      <c r="I360" s="235"/>
      <c r="J360" s="235"/>
      <c r="K360" s="303"/>
      <c r="L360" s="235"/>
      <c r="M360" s="223"/>
      <c r="N360" s="223"/>
      <c r="O360" s="303">
        <f>G360+I360+L360+N360</f>
        <v>3000</v>
      </c>
      <c r="P360" s="303">
        <v>0</v>
      </c>
      <c r="Q360" s="308">
        <f t="shared" si="329"/>
        <v>0</v>
      </c>
      <c r="R360" s="303"/>
      <c r="S360" s="309">
        <v>0</v>
      </c>
      <c r="T360" s="309">
        <v>0</v>
      </c>
      <c r="U360" s="303"/>
      <c r="V360" s="309">
        <v>0</v>
      </c>
      <c r="W360" s="309">
        <v>0</v>
      </c>
      <c r="X360" s="303"/>
      <c r="Y360" s="309">
        <v>0</v>
      </c>
      <c r="Z360" s="309">
        <v>0</v>
      </c>
      <c r="AA360" s="303"/>
      <c r="AB360" s="309">
        <v>0</v>
      </c>
      <c r="AC360" s="309">
        <v>0</v>
      </c>
      <c r="AD360" s="303">
        <v>604</v>
      </c>
      <c r="AE360" s="309">
        <v>0.20133333333333334</v>
      </c>
      <c r="AF360" s="309">
        <v>0.2119298245614035</v>
      </c>
      <c r="AG360" s="303">
        <v>604</v>
      </c>
      <c r="AH360" s="309">
        <v>0.20133333333333334</v>
      </c>
      <c r="AI360" s="309">
        <v>0.2119298245614035</v>
      </c>
      <c r="AJ360" s="303">
        <v>604</v>
      </c>
      <c r="AK360" s="309">
        <v>0.20133333333333334</v>
      </c>
      <c r="AL360" s="309">
        <v>0.2119298245614035</v>
      </c>
      <c r="AM360" s="303">
        <v>1110</v>
      </c>
      <c r="AN360" s="309">
        <v>0.37</v>
      </c>
      <c r="AO360" s="309">
        <v>0.38947368421052631</v>
      </c>
      <c r="AP360" s="309"/>
      <c r="AQ360" s="303">
        <v>1165.9950899999999</v>
      </c>
      <c r="AR360" s="309">
        <v>0.38866502999999997</v>
      </c>
      <c r="AS360" s="309">
        <v>0.40912108421052629</v>
      </c>
      <c r="AT360" s="303">
        <v>1165.9950899999999</v>
      </c>
      <c r="AU360" s="309">
        <v>0.38866502999999997</v>
      </c>
      <c r="AV360" s="309">
        <v>0.40912108421052629</v>
      </c>
      <c r="AW360" s="309"/>
      <c r="AX360" s="309"/>
      <c r="AY360" s="309"/>
      <c r="AZ360" s="309"/>
      <c r="BA360" s="309"/>
      <c r="BB360" s="309"/>
      <c r="BC360" s="303">
        <v>1165.9950899999999</v>
      </c>
      <c r="BD360" s="309">
        <v>0.38866502999999997</v>
      </c>
      <c r="BE360" s="309">
        <v>0.40912108421052629</v>
      </c>
      <c r="BF360" s="303"/>
      <c r="BG360" s="303">
        <v>1284.844578</v>
      </c>
      <c r="BH360" s="309">
        <v>0.42828152599999997</v>
      </c>
      <c r="BI360" s="309">
        <v>0.45082265894736839</v>
      </c>
      <c r="BJ360" s="303">
        <f t="shared" si="330"/>
        <v>2850</v>
      </c>
      <c r="BK360" s="303">
        <v>1483</v>
      </c>
      <c r="BL360" s="309">
        <f t="shared" si="315"/>
        <v>0.49433333333333335</v>
      </c>
      <c r="BM360" s="309">
        <f t="shared" si="332"/>
        <v>0.52035087719298245</v>
      </c>
      <c r="BN360" s="205">
        <f t="shared" si="312"/>
        <v>879</v>
      </c>
      <c r="BO360" s="205"/>
      <c r="BP360" s="310"/>
      <c r="BQ360" s="308">
        <f t="shared" si="316"/>
        <v>0</v>
      </c>
      <c r="BR360" s="310"/>
      <c r="BS360" s="308">
        <f t="shared" si="317"/>
        <v>0</v>
      </c>
      <c r="BT360" s="310">
        <f>$F360*0.1</f>
        <v>300</v>
      </c>
      <c r="BU360" s="308">
        <f t="shared" si="318"/>
        <v>0.1</v>
      </c>
      <c r="BV360" s="310">
        <f>$F360*0.2</f>
        <v>600</v>
      </c>
      <c r="BW360" s="308">
        <f t="shared" si="319"/>
        <v>0.2</v>
      </c>
      <c r="BX360" s="310">
        <f>$F360*0.3</f>
        <v>900</v>
      </c>
      <c r="BY360" s="308">
        <f t="shared" si="320"/>
        <v>0.3</v>
      </c>
      <c r="BZ360" s="310">
        <f>$F360*0.4</f>
        <v>1200</v>
      </c>
      <c r="CA360" s="308">
        <f t="shared" si="321"/>
        <v>0.4</v>
      </c>
      <c r="CB360" s="310">
        <f>$F360*0.5</f>
        <v>1500</v>
      </c>
      <c r="CC360" s="308">
        <f t="shared" si="322"/>
        <v>0.5</v>
      </c>
      <c r="CD360" s="310">
        <f>$F360*0.55</f>
        <v>1650.0000000000002</v>
      </c>
      <c r="CE360" s="308">
        <f t="shared" si="323"/>
        <v>0.55000000000000004</v>
      </c>
      <c r="CF360" s="310">
        <v>2100</v>
      </c>
      <c r="CG360" s="308">
        <f t="shared" si="324"/>
        <v>0.7</v>
      </c>
      <c r="CH360" s="310">
        <f>$F360*0.7</f>
        <v>2100</v>
      </c>
      <c r="CI360" s="308">
        <f t="shared" si="325"/>
        <v>0.7</v>
      </c>
      <c r="CJ360" s="310">
        <f>$F360*0.75</f>
        <v>2250</v>
      </c>
      <c r="CK360" s="308">
        <f t="shared" si="326"/>
        <v>0.75</v>
      </c>
      <c r="CL360" s="310">
        <f>$F360*0.75</f>
        <v>2250</v>
      </c>
      <c r="CM360" s="308">
        <f t="shared" si="327"/>
        <v>0.75</v>
      </c>
      <c r="CN360" s="310">
        <f>$F360*0.95</f>
        <v>2850</v>
      </c>
      <c r="CO360" s="308">
        <f t="shared" si="328"/>
        <v>0.95</v>
      </c>
      <c r="CP360" s="213" t="str">
        <f t="shared" si="333"/>
        <v>Đạt</v>
      </c>
      <c r="CQ360" s="213" t="str">
        <f t="shared" si="334"/>
        <v>Đạt</v>
      </c>
      <c r="CR360" s="312"/>
      <c r="CS360" s="312"/>
      <c r="CT360" s="235"/>
      <c r="CU360" s="163"/>
      <c r="CV360" s="323"/>
      <c r="CW360" s="195"/>
      <c r="CX360" s="196"/>
      <c r="CY360" s="196"/>
      <c r="CZ360" s="197"/>
      <c r="DA360" s="196"/>
      <c r="DB360" s="196"/>
      <c r="DC360" s="196"/>
      <c r="DE360" s="199"/>
      <c r="DF360" s="200"/>
      <c r="DG360" s="181"/>
    </row>
    <row r="361" spans="1:112" ht="25.5" outlineLevel="1" x14ac:dyDescent="0.25">
      <c r="A361" s="305" t="s">
        <v>34</v>
      </c>
      <c r="B361" s="306" t="s">
        <v>377</v>
      </c>
      <c r="C361" s="306"/>
      <c r="D361" s="307">
        <f>E361+F361</f>
        <v>5100</v>
      </c>
      <c r="E361" s="307"/>
      <c r="F361" s="307">
        <f>G361+H361+K361+M361</f>
        <v>5100</v>
      </c>
      <c r="G361" s="307"/>
      <c r="H361" s="307">
        <v>5100</v>
      </c>
      <c r="I361" s="235"/>
      <c r="J361" s="235"/>
      <c r="K361" s="303"/>
      <c r="L361" s="235"/>
      <c r="M361" s="223"/>
      <c r="N361" s="223"/>
      <c r="O361" s="303"/>
      <c r="P361" s="303">
        <v>0</v>
      </c>
      <c r="Q361" s="308">
        <f t="shared" si="329"/>
        <v>0</v>
      </c>
      <c r="R361" s="303"/>
      <c r="S361" s="309">
        <v>0</v>
      </c>
      <c r="T361" s="309">
        <v>0</v>
      </c>
      <c r="U361" s="303"/>
      <c r="V361" s="309">
        <v>0</v>
      </c>
      <c r="W361" s="309">
        <v>0</v>
      </c>
      <c r="X361" s="303"/>
      <c r="Y361" s="309">
        <v>0</v>
      </c>
      <c r="Z361" s="309">
        <v>0</v>
      </c>
      <c r="AA361" s="303"/>
      <c r="AB361" s="309">
        <v>0</v>
      </c>
      <c r="AC361" s="309">
        <v>0</v>
      </c>
      <c r="AD361" s="303"/>
      <c r="AE361" s="309">
        <v>0</v>
      </c>
      <c r="AF361" s="309">
        <v>0</v>
      </c>
      <c r="AG361" s="303"/>
      <c r="AH361" s="309">
        <v>0</v>
      </c>
      <c r="AI361" s="309">
        <v>0</v>
      </c>
      <c r="AJ361" s="188"/>
      <c r="AK361" s="309">
        <v>0</v>
      </c>
      <c r="AL361" s="309">
        <v>0</v>
      </c>
      <c r="AM361" s="303"/>
      <c r="AN361" s="309">
        <v>0</v>
      </c>
      <c r="AO361" s="309">
        <v>0</v>
      </c>
      <c r="AP361" s="309"/>
      <c r="AQ361" s="303"/>
      <c r="AR361" s="309">
        <v>0</v>
      </c>
      <c r="AS361" s="309">
        <v>0</v>
      </c>
      <c r="AT361" s="303"/>
      <c r="AU361" s="309">
        <v>0</v>
      </c>
      <c r="AV361" s="309">
        <v>0</v>
      </c>
      <c r="AW361" s="309"/>
      <c r="AX361" s="309"/>
      <c r="AY361" s="309"/>
      <c r="AZ361" s="309"/>
      <c r="BA361" s="309"/>
      <c r="BB361" s="309"/>
      <c r="BC361" s="303"/>
      <c r="BD361" s="309">
        <v>0</v>
      </c>
      <c r="BE361" s="309">
        <v>0</v>
      </c>
      <c r="BF361" s="303"/>
      <c r="BG361" s="303"/>
      <c r="BH361" s="309">
        <v>0</v>
      </c>
      <c r="BI361" s="309">
        <v>0</v>
      </c>
      <c r="BJ361" s="303">
        <f t="shared" si="330"/>
        <v>4845</v>
      </c>
      <c r="BK361" s="303"/>
      <c r="BL361" s="309">
        <f t="shared" si="315"/>
        <v>0</v>
      </c>
      <c r="BM361" s="309">
        <f t="shared" si="332"/>
        <v>0</v>
      </c>
      <c r="BN361" s="205">
        <f t="shared" si="312"/>
        <v>0</v>
      </c>
      <c r="BO361" s="205"/>
      <c r="BP361" s="310"/>
      <c r="BQ361" s="308">
        <f t="shared" si="316"/>
        <v>0</v>
      </c>
      <c r="BR361" s="310"/>
      <c r="BS361" s="308">
        <f t="shared" si="317"/>
        <v>0</v>
      </c>
      <c r="BT361" s="310">
        <f>$F361*0.1</f>
        <v>510</v>
      </c>
      <c r="BU361" s="308">
        <f t="shared" si="318"/>
        <v>0.1</v>
      </c>
      <c r="BV361" s="310">
        <f>$F361*0.2</f>
        <v>1020</v>
      </c>
      <c r="BW361" s="308">
        <f t="shared" si="319"/>
        <v>0.2</v>
      </c>
      <c r="BX361" s="310">
        <f>$F361*0.3</f>
        <v>1530</v>
      </c>
      <c r="BY361" s="308">
        <f t="shared" si="320"/>
        <v>0.3</v>
      </c>
      <c r="BZ361" s="310">
        <f>$F361*0.4</f>
        <v>2040</v>
      </c>
      <c r="CA361" s="308">
        <f t="shared" si="321"/>
        <v>0.4</v>
      </c>
      <c r="CB361" s="310">
        <f>$F361*0.5</f>
        <v>2550</v>
      </c>
      <c r="CC361" s="308">
        <f t="shared" si="322"/>
        <v>0.5</v>
      </c>
      <c r="CD361" s="310">
        <f>$F361*0.55</f>
        <v>2805</v>
      </c>
      <c r="CE361" s="308">
        <f t="shared" si="323"/>
        <v>0.55000000000000004</v>
      </c>
      <c r="CF361" s="310">
        <v>3570</v>
      </c>
      <c r="CG361" s="308">
        <f t="shared" si="324"/>
        <v>0.7</v>
      </c>
      <c r="CH361" s="310">
        <f>$F361*0.7</f>
        <v>3570</v>
      </c>
      <c r="CI361" s="308">
        <f t="shared" si="325"/>
        <v>0.7</v>
      </c>
      <c r="CJ361" s="310">
        <f>$F361*0.75</f>
        <v>3825</v>
      </c>
      <c r="CK361" s="308">
        <f t="shared" si="326"/>
        <v>0.75</v>
      </c>
      <c r="CL361" s="310">
        <f>$F361*0.75</f>
        <v>3825</v>
      </c>
      <c r="CM361" s="308">
        <f t="shared" si="327"/>
        <v>0.75</v>
      </c>
      <c r="CN361" s="310">
        <f>$F361*0.95</f>
        <v>4845</v>
      </c>
      <c r="CO361" s="308">
        <f t="shared" si="328"/>
        <v>0.95</v>
      </c>
      <c r="CP361" s="213" t="str">
        <f t="shared" si="333"/>
        <v>Không đạt</v>
      </c>
      <c r="CQ361" s="213" t="str">
        <f t="shared" si="334"/>
        <v>Không đạt</v>
      </c>
      <c r="CR361" s="312"/>
      <c r="CS361" s="312"/>
      <c r="CT361" s="235"/>
      <c r="CU361" s="163"/>
      <c r="CW361" s="195"/>
      <c r="CX361" s="196"/>
      <c r="CY361" s="196"/>
      <c r="CZ361" s="197"/>
      <c r="DA361" s="196"/>
      <c r="DB361" s="196"/>
      <c r="DC361" s="196"/>
      <c r="DE361" s="199"/>
      <c r="DF361" s="200"/>
      <c r="DG361" s="181"/>
    </row>
    <row r="362" spans="1:112" ht="18" customHeight="1" x14ac:dyDescent="0.25">
      <c r="A362" s="316">
        <f>MAX(A$243:A360)+1</f>
        <v>34</v>
      </c>
      <c r="B362" s="240" t="s">
        <v>426</v>
      </c>
      <c r="C362" s="240"/>
      <c r="D362" s="188">
        <f t="shared" ref="D362:I362" si="342">D363+D365+D366</f>
        <v>8250</v>
      </c>
      <c r="E362" s="188">
        <f t="shared" si="342"/>
        <v>0</v>
      </c>
      <c r="F362" s="188">
        <f t="shared" si="342"/>
        <v>8250</v>
      </c>
      <c r="G362" s="188">
        <f t="shared" si="342"/>
        <v>3000</v>
      </c>
      <c r="H362" s="188">
        <f t="shared" si="342"/>
        <v>5250</v>
      </c>
      <c r="I362" s="188">
        <f t="shared" si="342"/>
        <v>950</v>
      </c>
      <c r="J362" s="188"/>
      <c r="K362" s="188">
        <f>K363+K365+K366</f>
        <v>0</v>
      </c>
      <c r="L362" s="188">
        <f>L363+L365+L366</f>
        <v>0</v>
      </c>
      <c r="M362" s="188">
        <f>M363+M365+M366</f>
        <v>0</v>
      </c>
      <c r="N362" s="188">
        <f>N363+N365+N366</f>
        <v>0</v>
      </c>
      <c r="O362" s="188">
        <f>O363+O365+O366</f>
        <v>3950</v>
      </c>
      <c r="P362" s="188">
        <v>0</v>
      </c>
      <c r="Q362" s="186">
        <f t="shared" si="329"/>
        <v>0</v>
      </c>
      <c r="R362" s="188">
        <v>0</v>
      </c>
      <c r="S362" s="185">
        <v>0</v>
      </c>
      <c r="T362" s="185">
        <v>0</v>
      </c>
      <c r="U362" s="188">
        <v>0</v>
      </c>
      <c r="V362" s="185">
        <v>0</v>
      </c>
      <c r="W362" s="185">
        <v>0</v>
      </c>
      <c r="X362" s="188">
        <v>0</v>
      </c>
      <c r="Y362" s="185">
        <v>0</v>
      </c>
      <c r="Z362" s="185">
        <v>0</v>
      </c>
      <c r="AA362" s="188">
        <v>0</v>
      </c>
      <c r="AB362" s="185">
        <v>0</v>
      </c>
      <c r="AC362" s="185">
        <v>0</v>
      </c>
      <c r="AD362" s="188">
        <v>0</v>
      </c>
      <c r="AE362" s="185">
        <v>0</v>
      </c>
      <c r="AF362" s="185">
        <v>0</v>
      </c>
      <c r="AG362" s="188">
        <v>0</v>
      </c>
      <c r="AH362" s="185">
        <v>0</v>
      </c>
      <c r="AI362" s="185">
        <v>0</v>
      </c>
      <c r="AJ362" s="317">
        <v>0</v>
      </c>
      <c r="AK362" s="185">
        <v>0</v>
      </c>
      <c r="AL362" s="185">
        <v>0</v>
      </c>
      <c r="AM362" s="188">
        <v>1872</v>
      </c>
      <c r="AN362" s="185">
        <v>0.22690909090909092</v>
      </c>
      <c r="AO362" s="185">
        <v>0.23885167464114831</v>
      </c>
      <c r="AP362" s="185"/>
      <c r="AQ362" s="188">
        <v>2101.5160000000001</v>
      </c>
      <c r="AR362" s="185">
        <v>0.25472921212121213</v>
      </c>
      <c r="AS362" s="185">
        <v>0.26813601275917065</v>
      </c>
      <c r="AT362" s="188">
        <v>2101.5160000000001</v>
      </c>
      <c r="AU362" s="185">
        <v>0.25472921212121213</v>
      </c>
      <c r="AV362" s="185">
        <v>0.26813601275917065</v>
      </c>
      <c r="AW362" s="185"/>
      <c r="AX362" s="185"/>
      <c r="AY362" s="185"/>
      <c r="AZ362" s="185"/>
      <c r="BA362" s="185"/>
      <c r="BB362" s="185"/>
      <c r="BC362" s="188">
        <v>2101.5160000000001</v>
      </c>
      <c r="BD362" s="185">
        <v>0.25472921212121213</v>
      </c>
      <c r="BE362" s="185">
        <v>0.26813601275917065</v>
      </c>
      <c r="BF362" s="188"/>
      <c r="BG362" s="188">
        <v>2542.5970000000002</v>
      </c>
      <c r="BH362" s="185">
        <v>0.30819357575757578</v>
      </c>
      <c r="BI362" s="185">
        <v>0.32441429027113239</v>
      </c>
      <c r="BJ362" s="188">
        <f t="shared" si="330"/>
        <v>7837.5</v>
      </c>
      <c r="BK362" s="188">
        <v>3541</v>
      </c>
      <c r="BL362" s="185">
        <f t="shared" si="315"/>
        <v>0.42921212121212121</v>
      </c>
      <c r="BM362" s="185">
        <f t="shared" si="332"/>
        <v>0.45180223285486443</v>
      </c>
      <c r="BN362" s="205">
        <f t="shared" si="312"/>
        <v>3541</v>
      </c>
      <c r="BO362" s="205"/>
      <c r="BP362" s="189">
        <f>BP363+BP365+BP366</f>
        <v>0</v>
      </c>
      <c r="BQ362" s="186">
        <f t="shared" si="316"/>
        <v>0</v>
      </c>
      <c r="BR362" s="189">
        <f>BR363+BR365+BR366</f>
        <v>0</v>
      </c>
      <c r="BS362" s="186">
        <f t="shared" si="317"/>
        <v>0</v>
      </c>
      <c r="BT362" s="189">
        <f>BT363+BT365+BT366</f>
        <v>1300</v>
      </c>
      <c r="BU362" s="186">
        <f t="shared" si="318"/>
        <v>0.15757575757575756</v>
      </c>
      <c r="BV362" s="189">
        <f>BV363+BV365+BV366</f>
        <v>3500</v>
      </c>
      <c r="BW362" s="186">
        <f t="shared" si="319"/>
        <v>0.42424242424242425</v>
      </c>
      <c r="BX362" s="189">
        <f>BX363+BX365+BX366</f>
        <v>3800</v>
      </c>
      <c r="BY362" s="186">
        <f t="shared" si="320"/>
        <v>0.46060606060606063</v>
      </c>
      <c r="BZ362" s="189">
        <f>BZ363+BZ365+BZ366</f>
        <v>4700</v>
      </c>
      <c r="CA362" s="186">
        <f t="shared" si="321"/>
        <v>0.5696969696969697</v>
      </c>
      <c r="CB362" s="189">
        <f>CB363+CB365+CB366</f>
        <v>5000</v>
      </c>
      <c r="CC362" s="186">
        <f t="shared" si="322"/>
        <v>0.60606060606060608</v>
      </c>
      <c r="CD362" s="189">
        <f>CD363+CD365+CD366</f>
        <v>5900</v>
      </c>
      <c r="CE362" s="186">
        <f t="shared" si="323"/>
        <v>0.7151515151515152</v>
      </c>
      <c r="CF362" s="189">
        <f>CF363+CF365+CF366</f>
        <v>6300</v>
      </c>
      <c r="CG362" s="186">
        <f t="shared" si="324"/>
        <v>0.76363636363636367</v>
      </c>
      <c r="CH362" s="189">
        <f>CH363+CH365+CH366</f>
        <v>6800</v>
      </c>
      <c r="CI362" s="186">
        <f t="shared" si="325"/>
        <v>0.82424242424242422</v>
      </c>
      <c r="CJ362" s="189">
        <f>CJ363+CJ365+CJ366</f>
        <v>7300</v>
      </c>
      <c r="CK362" s="186">
        <f t="shared" si="326"/>
        <v>0.88484848484848488</v>
      </c>
      <c r="CL362" s="189">
        <f>CL363+CL365+CL366</f>
        <v>7837.5</v>
      </c>
      <c r="CM362" s="186">
        <f t="shared" si="327"/>
        <v>0.95</v>
      </c>
      <c r="CN362" s="189">
        <f>CN363+CN365+CN366</f>
        <v>7837.5</v>
      </c>
      <c r="CO362" s="186">
        <f t="shared" si="328"/>
        <v>0.95</v>
      </c>
      <c r="CP362" s="213" t="str">
        <f t="shared" si="333"/>
        <v>Đạt</v>
      </c>
      <c r="CQ362" s="213" t="str">
        <f t="shared" si="334"/>
        <v>Đạt</v>
      </c>
      <c r="CR362" s="213"/>
      <c r="CS362" s="213"/>
      <c r="CT362" s="231"/>
      <c r="CU362" s="163"/>
      <c r="CW362" s="195"/>
      <c r="CX362" s="196"/>
      <c r="CY362" s="196"/>
      <c r="CZ362" s="197"/>
      <c r="DA362" s="196"/>
      <c r="DB362" s="196"/>
      <c r="DC362" s="196"/>
      <c r="DE362" s="199"/>
      <c r="DF362" s="200"/>
      <c r="DG362" s="181"/>
    </row>
    <row r="363" spans="1:112" s="324" customFormat="1" outlineLevel="1" x14ac:dyDescent="0.25">
      <c r="A363" s="305" t="s">
        <v>34</v>
      </c>
      <c r="B363" s="318" t="s">
        <v>381</v>
      </c>
      <c r="C363" s="306"/>
      <c r="D363" s="317">
        <f>D364</f>
        <v>1000</v>
      </c>
      <c r="E363" s="317">
        <f t="shared" ref="E363:L363" si="343">E364</f>
        <v>0</v>
      </c>
      <c r="F363" s="317">
        <f t="shared" si="343"/>
        <v>1000</v>
      </c>
      <c r="G363" s="317">
        <f t="shared" si="343"/>
        <v>0</v>
      </c>
      <c r="H363" s="317">
        <f t="shared" si="343"/>
        <v>1000</v>
      </c>
      <c r="I363" s="214">
        <f t="shared" si="343"/>
        <v>950</v>
      </c>
      <c r="J363" s="214"/>
      <c r="K363" s="317">
        <f t="shared" si="343"/>
        <v>0</v>
      </c>
      <c r="L363" s="214">
        <f t="shared" si="343"/>
        <v>0</v>
      </c>
      <c r="M363" s="223"/>
      <c r="N363" s="223"/>
      <c r="O363" s="317">
        <f>G363+I363+L363+N363</f>
        <v>950</v>
      </c>
      <c r="P363" s="317">
        <v>0</v>
      </c>
      <c r="Q363" s="319">
        <f t="shared" si="329"/>
        <v>0</v>
      </c>
      <c r="R363" s="317">
        <v>0</v>
      </c>
      <c r="S363" s="320">
        <v>0</v>
      </c>
      <c r="T363" s="320">
        <v>0</v>
      </c>
      <c r="U363" s="317">
        <v>0</v>
      </c>
      <c r="V363" s="320">
        <v>0</v>
      </c>
      <c r="W363" s="320">
        <v>0</v>
      </c>
      <c r="X363" s="317">
        <v>0</v>
      </c>
      <c r="Y363" s="320">
        <v>0</v>
      </c>
      <c r="Z363" s="320">
        <v>0</v>
      </c>
      <c r="AA363" s="317">
        <v>0</v>
      </c>
      <c r="AB363" s="320">
        <v>0</v>
      </c>
      <c r="AC363" s="320">
        <v>0</v>
      </c>
      <c r="AD363" s="317">
        <v>0</v>
      </c>
      <c r="AE363" s="320">
        <v>0</v>
      </c>
      <c r="AF363" s="320">
        <v>0</v>
      </c>
      <c r="AG363" s="317">
        <v>0</v>
      </c>
      <c r="AH363" s="320">
        <v>0</v>
      </c>
      <c r="AI363" s="320">
        <v>0</v>
      </c>
      <c r="AJ363" s="257">
        <v>0</v>
      </c>
      <c r="AK363" s="320">
        <v>0</v>
      </c>
      <c r="AL363" s="320">
        <v>0</v>
      </c>
      <c r="AM363" s="317">
        <v>950</v>
      </c>
      <c r="AN363" s="320">
        <v>0.95</v>
      </c>
      <c r="AO363" s="320">
        <v>1</v>
      </c>
      <c r="AP363" s="320"/>
      <c r="AQ363" s="317">
        <v>950</v>
      </c>
      <c r="AR363" s="320">
        <v>0.95</v>
      </c>
      <c r="AS363" s="320">
        <v>1</v>
      </c>
      <c r="AT363" s="317">
        <v>950</v>
      </c>
      <c r="AU363" s="320">
        <v>0.95</v>
      </c>
      <c r="AV363" s="320">
        <v>1</v>
      </c>
      <c r="AW363" s="320"/>
      <c r="AX363" s="320"/>
      <c r="AY363" s="320"/>
      <c r="AZ363" s="320"/>
      <c r="BA363" s="320"/>
      <c r="BB363" s="320"/>
      <c r="BC363" s="317">
        <v>950</v>
      </c>
      <c r="BD363" s="320">
        <v>0.95</v>
      </c>
      <c r="BE363" s="320">
        <v>1</v>
      </c>
      <c r="BF363" s="317"/>
      <c r="BG363" s="317">
        <v>950</v>
      </c>
      <c r="BH363" s="320">
        <v>0.95</v>
      </c>
      <c r="BI363" s="320">
        <v>1</v>
      </c>
      <c r="BJ363" s="317">
        <f t="shared" si="330"/>
        <v>950</v>
      </c>
      <c r="BK363" s="317">
        <f>BK364</f>
        <v>950</v>
      </c>
      <c r="BL363" s="320">
        <f t="shared" si="315"/>
        <v>0.95</v>
      </c>
      <c r="BM363" s="320">
        <f t="shared" si="332"/>
        <v>1</v>
      </c>
      <c r="BN363" s="205">
        <f t="shared" si="312"/>
        <v>950</v>
      </c>
      <c r="BO363" s="205"/>
      <c r="BP363" s="307">
        <f>BP364</f>
        <v>0</v>
      </c>
      <c r="BQ363" s="322">
        <f t="shared" si="316"/>
        <v>0</v>
      </c>
      <c r="BR363" s="307">
        <f>BR364</f>
        <v>0</v>
      </c>
      <c r="BS363" s="322">
        <f t="shared" si="317"/>
        <v>0</v>
      </c>
      <c r="BT363" s="307">
        <f>BT364</f>
        <v>300</v>
      </c>
      <c r="BU363" s="319">
        <f t="shared" si="318"/>
        <v>0.3</v>
      </c>
      <c r="BV363" s="307">
        <f>BV364</f>
        <v>500</v>
      </c>
      <c r="BW363" s="322">
        <f t="shared" si="319"/>
        <v>0.5</v>
      </c>
      <c r="BX363" s="307">
        <f>BX364</f>
        <v>600</v>
      </c>
      <c r="BY363" s="322">
        <f t="shared" si="320"/>
        <v>0.6</v>
      </c>
      <c r="BZ363" s="307">
        <f>BZ364</f>
        <v>700</v>
      </c>
      <c r="CA363" s="322">
        <f t="shared" si="321"/>
        <v>0.7</v>
      </c>
      <c r="CB363" s="307">
        <f>CB364</f>
        <v>800</v>
      </c>
      <c r="CC363" s="322">
        <f t="shared" si="322"/>
        <v>0.8</v>
      </c>
      <c r="CD363" s="307">
        <f>CD364</f>
        <v>900</v>
      </c>
      <c r="CE363" s="322">
        <f t="shared" si="323"/>
        <v>0.9</v>
      </c>
      <c r="CF363" s="307">
        <f>CF364</f>
        <v>950</v>
      </c>
      <c r="CG363" s="322">
        <f t="shared" si="324"/>
        <v>0.95</v>
      </c>
      <c r="CH363" s="307">
        <f>CH364</f>
        <v>950</v>
      </c>
      <c r="CI363" s="322">
        <f t="shared" si="325"/>
        <v>0.95</v>
      </c>
      <c r="CJ363" s="307">
        <f>CJ364</f>
        <v>950</v>
      </c>
      <c r="CK363" s="322">
        <f t="shared" si="326"/>
        <v>0.95</v>
      </c>
      <c r="CL363" s="307">
        <f>CL364</f>
        <v>950</v>
      </c>
      <c r="CM363" s="322">
        <f t="shared" si="327"/>
        <v>0.95</v>
      </c>
      <c r="CN363" s="307">
        <f>CN364</f>
        <v>950</v>
      </c>
      <c r="CO363" s="322">
        <f t="shared" si="328"/>
        <v>0.95</v>
      </c>
      <c r="CP363" s="213" t="str">
        <f t="shared" si="333"/>
        <v>Đạt</v>
      </c>
      <c r="CQ363" s="213" t="str">
        <f t="shared" si="334"/>
        <v>Đạt</v>
      </c>
      <c r="CR363" s="312"/>
      <c r="CS363" s="312"/>
      <c r="CT363" s="235"/>
      <c r="CU363" s="163"/>
      <c r="CV363" s="323"/>
      <c r="CW363" s="195"/>
      <c r="CX363" s="196"/>
      <c r="CY363" s="196"/>
      <c r="CZ363" s="197"/>
      <c r="DA363" s="196"/>
      <c r="DB363" s="196"/>
      <c r="DC363" s="196"/>
      <c r="DE363" s="199"/>
      <c r="DF363" s="200"/>
      <c r="DG363" s="181"/>
    </row>
    <row r="364" spans="1:112" ht="25.5" outlineLevel="1" x14ac:dyDescent="0.25">
      <c r="A364" s="192"/>
      <c r="B364" s="325" t="s">
        <v>427</v>
      </c>
      <c r="C364" s="325"/>
      <c r="D364" s="214">
        <f>E364+F364</f>
        <v>1000</v>
      </c>
      <c r="E364" s="215"/>
      <c r="F364" s="214">
        <f>G364+H364+K364+M364</f>
        <v>1000</v>
      </c>
      <c r="G364" s="223"/>
      <c r="H364" s="257">
        <v>1000</v>
      </c>
      <c r="I364" s="235">
        <v>950</v>
      </c>
      <c r="J364" s="257">
        <v>950</v>
      </c>
      <c r="K364" s="223"/>
      <c r="L364" s="235"/>
      <c r="M364" s="223"/>
      <c r="N364" s="223"/>
      <c r="O364" s="257">
        <f>G364+I364+L364+N364</f>
        <v>950</v>
      </c>
      <c r="P364" s="257">
        <v>0</v>
      </c>
      <c r="Q364" s="224">
        <f t="shared" si="329"/>
        <v>0</v>
      </c>
      <c r="R364" s="257"/>
      <c r="S364" s="326">
        <v>0</v>
      </c>
      <c r="T364" s="326">
        <v>0</v>
      </c>
      <c r="U364" s="257"/>
      <c r="V364" s="326">
        <v>0</v>
      </c>
      <c r="W364" s="326">
        <v>0</v>
      </c>
      <c r="X364" s="257"/>
      <c r="Y364" s="326">
        <v>0</v>
      </c>
      <c r="Z364" s="326">
        <v>0</v>
      </c>
      <c r="AA364" s="257"/>
      <c r="AB364" s="326">
        <v>0</v>
      </c>
      <c r="AC364" s="326">
        <v>0</v>
      </c>
      <c r="AD364" s="257"/>
      <c r="AE364" s="326">
        <v>0</v>
      </c>
      <c r="AF364" s="326">
        <v>0</v>
      </c>
      <c r="AG364" s="257"/>
      <c r="AH364" s="326">
        <v>0</v>
      </c>
      <c r="AI364" s="326">
        <v>0</v>
      </c>
      <c r="AJ364" s="303"/>
      <c r="AK364" s="326">
        <v>0</v>
      </c>
      <c r="AL364" s="326">
        <v>0</v>
      </c>
      <c r="AM364" s="257">
        <v>950</v>
      </c>
      <c r="AN364" s="326">
        <v>0.95</v>
      </c>
      <c r="AO364" s="326">
        <v>1</v>
      </c>
      <c r="AP364" s="326"/>
      <c r="AQ364" s="257">
        <v>950</v>
      </c>
      <c r="AR364" s="326">
        <v>0.95</v>
      </c>
      <c r="AS364" s="326">
        <v>1</v>
      </c>
      <c r="AT364" s="257">
        <v>950</v>
      </c>
      <c r="AU364" s="326">
        <v>0.95</v>
      </c>
      <c r="AV364" s="326">
        <v>1</v>
      </c>
      <c r="AW364" s="326"/>
      <c r="AX364" s="326"/>
      <c r="AY364" s="326"/>
      <c r="AZ364" s="326"/>
      <c r="BA364" s="326"/>
      <c r="BB364" s="326"/>
      <c r="BC364" s="257">
        <v>950</v>
      </c>
      <c r="BD364" s="326">
        <v>0.95</v>
      </c>
      <c r="BE364" s="326">
        <v>1</v>
      </c>
      <c r="BF364" s="257">
        <v>950</v>
      </c>
      <c r="BG364" s="257">
        <v>950</v>
      </c>
      <c r="BH364" s="326">
        <v>0.95</v>
      </c>
      <c r="BI364" s="326">
        <v>1</v>
      </c>
      <c r="BJ364" s="257">
        <f t="shared" si="330"/>
        <v>950</v>
      </c>
      <c r="BK364" s="257">
        <v>950</v>
      </c>
      <c r="BL364" s="326">
        <f t="shared" si="315"/>
        <v>0.95</v>
      </c>
      <c r="BM364" s="326">
        <f t="shared" si="332"/>
        <v>1</v>
      </c>
      <c r="BN364" s="205">
        <f t="shared" si="312"/>
        <v>950</v>
      </c>
      <c r="BO364" s="205"/>
      <c r="BP364" s="227"/>
      <c r="BQ364" s="327">
        <f t="shared" si="316"/>
        <v>0</v>
      </c>
      <c r="BR364" s="227"/>
      <c r="BS364" s="327">
        <f t="shared" si="317"/>
        <v>0</v>
      </c>
      <c r="BT364" s="227">
        <v>300</v>
      </c>
      <c r="BU364" s="224">
        <f t="shared" si="318"/>
        <v>0.3</v>
      </c>
      <c r="BV364" s="227">
        <v>500</v>
      </c>
      <c r="BW364" s="327">
        <f t="shared" si="319"/>
        <v>0.5</v>
      </c>
      <c r="BX364" s="227">
        <v>600</v>
      </c>
      <c r="BY364" s="327">
        <f t="shared" si="320"/>
        <v>0.6</v>
      </c>
      <c r="BZ364" s="227">
        <v>700</v>
      </c>
      <c r="CA364" s="327">
        <f t="shared" si="321"/>
        <v>0.7</v>
      </c>
      <c r="CB364" s="227">
        <v>800</v>
      </c>
      <c r="CC364" s="327">
        <f t="shared" si="322"/>
        <v>0.8</v>
      </c>
      <c r="CD364" s="227">
        <v>900</v>
      </c>
      <c r="CE364" s="327">
        <f t="shared" si="323"/>
        <v>0.9</v>
      </c>
      <c r="CF364" s="227">
        <v>950</v>
      </c>
      <c r="CG364" s="327">
        <f t="shared" si="324"/>
        <v>0.95</v>
      </c>
      <c r="CH364" s="227">
        <v>950</v>
      </c>
      <c r="CI364" s="327">
        <f t="shared" si="325"/>
        <v>0.95</v>
      </c>
      <c r="CJ364" s="227">
        <v>950</v>
      </c>
      <c r="CK364" s="327">
        <f t="shared" si="326"/>
        <v>0.95</v>
      </c>
      <c r="CL364" s="227">
        <v>950</v>
      </c>
      <c r="CM364" s="327">
        <f t="shared" si="327"/>
        <v>0.95</v>
      </c>
      <c r="CN364" s="227">
        <v>950</v>
      </c>
      <c r="CO364" s="327">
        <f t="shared" si="328"/>
        <v>0.95</v>
      </c>
      <c r="CP364" s="213" t="str">
        <f t="shared" si="333"/>
        <v>Đạt</v>
      </c>
      <c r="CQ364" s="213" t="str">
        <f t="shared" si="334"/>
        <v>Đạt</v>
      </c>
      <c r="CR364" s="192"/>
      <c r="CS364" s="192"/>
      <c r="CT364" s="223"/>
      <c r="CU364" s="163"/>
      <c r="CW364" s="195"/>
      <c r="CX364" s="196"/>
      <c r="CY364" s="196"/>
      <c r="CZ364" s="197"/>
      <c r="DA364" s="196"/>
      <c r="DB364" s="196"/>
      <c r="DC364" s="196"/>
      <c r="DE364" s="199"/>
      <c r="DF364" s="200"/>
      <c r="DG364" s="181"/>
    </row>
    <row r="365" spans="1:112" s="324" customFormat="1" outlineLevel="1" x14ac:dyDescent="0.25">
      <c r="A365" s="305" t="s">
        <v>34</v>
      </c>
      <c r="B365" s="318" t="s">
        <v>376</v>
      </c>
      <c r="C365" s="306"/>
      <c r="D365" s="307">
        <f>E365+F365</f>
        <v>3000</v>
      </c>
      <c r="E365" s="307"/>
      <c r="F365" s="307">
        <f>G365+H365+K365+M365</f>
        <v>3000</v>
      </c>
      <c r="G365" s="303">
        <v>3000</v>
      </c>
      <c r="H365" s="303"/>
      <c r="I365" s="235"/>
      <c r="J365" s="235"/>
      <c r="K365" s="303"/>
      <c r="L365" s="235"/>
      <c r="M365" s="223"/>
      <c r="N365" s="223"/>
      <c r="O365" s="303">
        <f>G365+I365+L365+N365</f>
        <v>3000</v>
      </c>
      <c r="P365" s="303">
        <v>0</v>
      </c>
      <c r="Q365" s="308">
        <f t="shared" si="329"/>
        <v>0</v>
      </c>
      <c r="R365" s="303"/>
      <c r="S365" s="313">
        <v>0</v>
      </c>
      <c r="T365" s="313">
        <v>0</v>
      </c>
      <c r="U365" s="303"/>
      <c r="V365" s="313">
        <v>0</v>
      </c>
      <c r="W365" s="313">
        <v>0</v>
      </c>
      <c r="X365" s="303"/>
      <c r="Y365" s="313">
        <v>0</v>
      </c>
      <c r="Z365" s="313">
        <v>0</v>
      </c>
      <c r="AA365" s="303"/>
      <c r="AB365" s="313">
        <v>0</v>
      </c>
      <c r="AC365" s="313">
        <v>0</v>
      </c>
      <c r="AD365" s="303"/>
      <c r="AE365" s="313">
        <v>0</v>
      </c>
      <c r="AF365" s="313">
        <v>0</v>
      </c>
      <c r="AG365" s="303"/>
      <c r="AH365" s="313">
        <v>0</v>
      </c>
      <c r="AI365" s="313">
        <v>0</v>
      </c>
      <c r="AJ365" s="303"/>
      <c r="AK365" s="313">
        <v>0</v>
      </c>
      <c r="AL365" s="313">
        <v>0</v>
      </c>
      <c r="AM365" s="303">
        <v>922</v>
      </c>
      <c r="AN365" s="313">
        <v>0.30733333333333335</v>
      </c>
      <c r="AO365" s="313">
        <v>0.32350877192982458</v>
      </c>
      <c r="AP365" s="313"/>
      <c r="AQ365" s="303">
        <v>1151.5160000000001</v>
      </c>
      <c r="AR365" s="313">
        <v>0.38383866666666672</v>
      </c>
      <c r="AS365" s="313">
        <v>0.404040701754386</v>
      </c>
      <c r="AT365" s="303">
        <v>1151.5160000000001</v>
      </c>
      <c r="AU365" s="313">
        <v>0.38383866666666672</v>
      </c>
      <c r="AV365" s="313">
        <v>0.404040701754386</v>
      </c>
      <c r="AW365" s="313"/>
      <c r="AX365" s="313"/>
      <c r="AY365" s="313"/>
      <c r="AZ365" s="313"/>
      <c r="BA365" s="313"/>
      <c r="BB365" s="313"/>
      <c r="BC365" s="303">
        <v>1151.5160000000001</v>
      </c>
      <c r="BD365" s="313">
        <v>0.38383866666666672</v>
      </c>
      <c r="BE365" s="313">
        <v>0.404040701754386</v>
      </c>
      <c r="BF365" s="303"/>
      <c r="BG365" s="303">
        <v>1151.5160000000001</v>
      </c>
      <c r="BH365" s="313">
        <v>0.38383866666666672</v>
      </c>
      <c r="BI365" s="313">
        <v>0.404040701754386</v>
      </c>
      <c r="BJ365" s="303">
        <f t="shared" si="330"/>
        <v>2850</v>
      </c>
      <c r="BK365" s="303">
        <v>1556</v>
      </c>
      <c r="BL365" s="313">
        <f t="shared" si="315"/>
        <v>0.51866666666666672</v>
      </c>
      <c r="BM365" s="313">
        <f t="shared" si="332"/>
        <v>0.54596491228070176</v>
      </c>
      <c r="BN365" s="205">
        <f t="shared" si="312"/>
        <v>1556</v>
      </c>
      <c r="BO365" s="205"/>
      <c r="BP365" s="310"/>
      <c r="BQ365" s="311">
        <f t="shared" si="316"/>
        <v>0</v>
      </c>
      <c r="BR365" s="310"/>
      <c r="BS365" s="311">
        <f t="shared" si="317"/>
        <v>0</v>
      </c>
      <c r="BT365" s="310">
        <v>1000</v>
      </c>
      <c r="BU365" s="308">
        <f t="shared" si="318"/>
        <v>0.33333333333333331</v>
      </c>
      <c r="BV365" s="310">
        <v>1500</v>
      </c>
      <c r="BW365" s="311">
        <f t="shared" si="319"/>
        <v>0.5</v>
      </c>
      <c r="BX365" s="310">
        <v>1700</v>
      </c>
      <c r="BY365" s="311">
        <f t="shared" si="320"/>
        <v>0.56666666666666665</v>
      </c>
      <c r="BZ365" s="310">
        <v>2000</v>
      </c>
      <c r="CA365" s="311">
        <f t="shared" si="321"/>
        <v>0.66666666666666663</v>
      </c>
      <c r="CB365" s="310">
        <v>2200</v>
      </c>
      <c r="CC365" s="311">
        <f t="shared" si="322"/>
        <v>0.73333333333333328</v>
      </c>
      <c r="CD365" s="310">
        <v>2500</v>
      </c>
      <c r="CE365" s="311">
        <f t="shared" si="323"/>
        <v>0.83333333333333337</v>
      </c>
      <c r="CF365" s="310">
        <v>2850</v>
      </c>
      <c r="CG365" s="311">
        <f t="shared" si="324"/>
        <v>0.95</v>
      </c>
      <c r="CH365" s="310">
        <v>2850</v>
      </c>
      <c r="CI365" s="311">
        <f t="shared" si="325"/>
        <v>0.95</v>
      </c>
      <c r="CJ365" s="310">
        <v>2850</v>
      </c>
      <c r="CK365" s="311">
        <f t="shared" si="326"/>
        <v>0.95</v>
      </c>
      <c r="CL365" s="310">
        <v>2850</v>
      </c>
      <c r="CM365" s="311">
        <f t="shared" si="327"/>
        <v>0.95</v>
      </c>
      <c r="CN365" s="310">
        <v>2850</v>
      </c>
      <c r="CO365" s="311">
        <f t="shared" si="328"/>
        <v>0.95</v>
      </c>
      <c r="CP365" s="213" t="str">
        <f t="shared" si="333"/>
        <v>Đạt</v>
      </c>
      <c r="CQ365" s="213" t="str">
        <f t="shared" si="334"/>
        <v>Đạt</v>
      </c>
      <c r="CR365" s="312"/>
      <c r="CS365" s="312"/>
      <c r="CT365" s="235"/>
      <c r="CU365" s="163"/>
      <c r="CV365" s="323"/>
      <c r="CW365" s="195"/>
      <c r="CX365" s="196"/>
      <c r="CY365" s="196"/>
      <c r="CZ365" s="197"/>
      <c r="DA365" s="196"/>
      <c r="DB365" s="196"/>
      <c r="DC365" s="196"/>
      <c r="DE365" s="199"/>
      <c r="DF365" s="200"/>
      <c r="DG365" s="181"/>
    </row>
    <row r="366" spans="1:112" ht="25.5" outlineLevel="1" x14ac:dyDescent="0.25">
      <c r="A366" s="305" t="s">
        <v>34</v>
      </c>
      <c r="B366" s="306" t="s">
        <v>377</v>
      </c>
      <c r="C366" s="306"/>
      <c r="D366" s="307">
        <f>E366+F366</f>
        <v>4250</v>
      </c>
      <c r="E366" s="307"/>
      <c r="F366" s="307">
        <f>G366+H366+K366+M366</f>
        <v>4250</v>
      </c>
      <c r="G366" s="307"/>
      <c r="H366" s="307">
        <v>4250</v>
      </c>
      <c r="I366" s="235"/>
      <c r="J366" s="235"/>
      <c r="K366" s="303"/>
      <c r="L366" s="235"/>
      <c r="M366" s="223"/>
      <c r="N366" s="223"/>
      <c r="O366" s="303"/>
      <c r="P366" s="303">
        <v>0</v>
      </c>
      <c r="Q366" s="308">
        <f t="shared" si="329"/>
        <v>0</v>
      </c>
      <c r="R366" s="303"/>
      <c r="S366" s="313">
        <v>0</v>
      </c>
      <c r="T366" s="313">
        <v>0</v>
      </c>
      <c r="U366" s="303"/>
      <c r="V366" s="313">
        <v>0</v>
      </c>
      <c r="W366" s="313">
        <v>0</v>
      </c>
      <c r="X366" s="303"/>
      <c r="Y366" s="313">
        <v>0</v>
      </c>
      <c r="Z366" s="313">
        <v>0</v>
      </c>
      <c r="AA366" s="303"/>
      <c r="AB366" s="313">
        <v>0</v>
      </c>
      <c r="AC366" s="313">
        <v>0</v>
      </c>
      <c r="AD366" s="303"/>
      <c r="AE366" s="313">
        <v>0</v>
      </c>
      <c r="AF366" s="313">
        <v>0</v>
      </c>
      <c r="AG366" s="303"/>
      <c r="AH366" s="313">
        <v>0</v>
      </c>
      <c r="AI366" s="313">
        <v>0</v>
      </c>
      <c r="AJ366" s="188"/>
      <c r="AK366" s="313">
        <v>0</v>
      </c>
      <c r="AL366" s="313">
        <v>0</v>
      </c>
      <c r="AM366" s="303"/>
      <c r="AN366" s="313">
        <v>0</v>
      </c>
      <c r="AO366" s="313">
        <v>0</v>
      </c>
      <c r="AP366" s="313"/>
      <c r="AQ366" s="303"/>
      <c r="AR366" s="313">
        <v>0</v>
      </c>
      <c r="AS366" s="313">
        <v>0</v>
      </c>
      <c r="AT366" s="303"/>
      <c r="AU366" s="313">
        <v>0</v>
      </c>
      <c r="AV366" s="313">
        <v>0</v>
      </c>
      <c r="AW366" s="313"/>
      <c r="AX366" s="313"/>
      <c r="AY366" s="313"/>
      <c r="AZ366" s="313"/>
      <c r="BA366" s="313"/>
      <c r="BB366" s="313"/>
      <c r="BC366" s="303"/>
      <c r="BD366" s="313">
        <v>0</v>
      </c>
      <c r="BE366" s="313">
        <v>0</v>
      </c>
      <c r="BF366" s="303"/>
      <c r="BG366" s="303">
        <v>441.08100000000002</v>
      </c>
      <c r="BH366" s="313">
        <v>0.10378376470588235</v>
      </c>
      <c r="BI366" s="313">
        <v>0.10924606811145511</v>
      </c>
      <c r="BJ366" s="303">
        <f t="shared" si="330"/>
        <v>4037.5</v>
      </c>
      <c r="BK366" s="303">
        <v>441.08100000000002</v>
      </c>
      <c r="BL366" s="313">
        <f t="shared" si="315"/>
        <v>0.10378376470588235</v>
      </c>
      <c r="BM366" s="313">
        <f t="shared" si="332"/>
        <v>0.10924606811145511</v>
      </c>
      <c r="BN366" s="205">
        <f t="shared" si="312"/>
        <v>441.08100000000002</v>
      </c>
      <c r="BO366" s="205"/>
      <c r="BP366" s="310"/>
      <c r="BQ366" s="311">
        <f t="shared" si="316"/>
        <v>0</v>
      </c>
      <c r="BR366" s="310"/>
      <c r="BS366" s="311">
        <f t="shared" si="317"/>
        <v>0</v>
      </c>
      <c r="BT366" s="310"/>
      <c r="BU366" s="308">
        <f t="shared" si="318"/>
        <v>0</v>
      </c>
      <c r="BV366" s="310">
        <v>1500</v>
      </c>
      <c r="BW366" s="311">
        <f t="shared" si="319"/>
        <v>0.35294117647058826</v>
      </c>
      <c r="BX366" s="310">
        <v>1500</v>
      </c>
      <c r="BY366" s="311">
        <f t="shared" si="320"/>
        <v>0.35294117647058826</v>
      </c>
      <c r="BZ366" s="310">
        <v>2000</v>
      </c>
      <c r="CA366" s="311">
        <f t="shared" si="321"/>
        <v>0.47058823529411764</v>
      </c>
      <c r="CB366" s="310">
        <v>2000</v>
      </c>
      <c r="CC366" s="311">
        <f t="shared" si="322"/>
        <v>0.47058823529411764</v>
      </c>
      <c r="CD366" s="310">
        <v>2500</v>
      </c>
      <c r="CE366" s="311">
        <f t="shared" si="323"/>
        <v>0.58823529411764708</v>
      </c>
      <c r="CF366" s="310">
        <v>2500</v>
      </c>
      <c r="CG366" s="311">
        <f t="shared" si="324"/>
        <v>0.58823529411764708</v>
      </c>
      <c r="CH366" s="310">
        <v>3000</v>
      </c>
      <c r="CI366" s="311">
        <f t="shared" si="325"/>
        <v>0.70588235294117652</v>
      </c>
      <c r="CJ366" s="310">
        <v>3500</v>
      </c>
      <c r="CK366" s="311">
        <f t="shared" si="326"/>
        <v>0.82352941176470584</v>
      </c>
      <c r="CL366" s="310">
        <f>4250*0.95</f>
        <v>4037.5</v>
      </c>
      <c r="CM366" s="311">
        <f t="shared" si="327"/>
        <v>0.95</v>
      </c>
      <c r="CN366" s="310">
        <f>4250*0.95</f>
        <v>4037.5</v>
      </c>
      <c r="CO366" s="311">
        <f t="shared" si="328"/>
        <v>0.95</v>
      </c>
      <c r="CP366" s="213" t="str">
        <f t="shared" si="333"/>
        <v>Không đạt</v>
      </c>
      <c r="CQ366" s="213" t="str">
        <f t="shared" si="334"/>
        <v>Không đạt</v>
      </c>
      <c r="CR366" s="312"/>
      <c r="CS366" s="312"/>
      <c r="CT366" s="235"/>
      <c r="CU366" s="163"/>
      <c r="CW366" s="195"/>
      <c r="CX366" s="196"/>
      <c r="CY366" s="196"/>
      <c r="CZ366" s="197"/>
      <c r="DA366" s="196"/>
      <c r="DB366" s="196"/>
      <c r="DC366" s="196"/>
      <c r="DE366" s="199"/>
      <c r="DF366" s="200"/>
      <c r="DG366" s="181"/>
    </row>
    <row r="367" spans="1:112" ht="18" customHeight="1" x14ac:dyDescent="0.25">
      <c r="A367" s="316">
        <f>MAX(A$243:A365)+1</f>
        <v>35</v>
      </c>
      <c r="B367" s="240" t="s">
        <v>428</v>
      </c>
      <c r="C367" s="240"/>
      <c r="D367" s="188">
        <f t="shared" ref="D367:I367" si="344">D368+D369</f>
        <v>8100</v>
      </c>
      <c r="E367" s="188">
        <f t="shared" si="344"/>
        <v>0</v>
      </c>
      <c r="F367" s="188">
        <f t="shared" si="344"/>
        <v>8100</v>
      </c>
      <c r="G367" s="188">
        <f t="shared" si="344"/>
        <v>3000</v>
      </c>
      <c r="H367" s="188">
        <f t="shared" si="344"/>
        <v>5100</v>
      </c>
      <c r="I367" s="188">
        <f t="shared" si="344"/>
        <v>0</v>
      </c>
      <c r="J367" s="188"/>
      <c r="K367" s="188">
        <f>K368+K369</f>
        <v>0</v>
      </c>
      <c r="L367" s="188">
        <f>L368+L369</f>
        <v>0</v>
      </c>
      <c r="M367" s="188">
        <f>M368+M369</f>
        <v>0</v>
      </c>
      <c r="N367" s="188">
        <f>N368+N369</f>
        <v>0</v>
      </c>
      <c r="O367" s="188">
        <f>O368+O369</f>
        <v>3000</v>
      </c>
      <c r="P367" s="188">
        <v>0</v>
      </c>
      <c r="Q367" s="186">
        <f t="shared" si="329"/>
        <v>0</v>
      </c>
      <c r="R367" s="188">
        <v>0</v>
      </c>
      <c r="S367" s="185">
        <v>0</v>
      </c>
      <c r="T367" s="185">
        <v>0</v>
      </c>
      <c r="U367" s="188">
        <v>276.92660000000001</v>
      </c>
      <c r="V367" s="185">
        <v>3.4188469135802473E-2</v>
      </c>
      <c r="W367" s="185">
        <v>3.5987862248213126E-2</v>
      </c>
      <c r="X367" s="188">
        <v>276.92660000000001</v>
      </c>
      <c r="Y367" s="185">
        <v>3.4188469135802473E-2</v>
      </c>
      <c r="Z367" s="185">
        <v>3.5987862248213126E-2</v>
      </c>
      <c r="AA367" s="188">
        <v>276.92660000000001</v>
      </c>
      <c r="AB367" s="185">
        <v>3.4188469135802473E-2</v>
      </c>
      <c r="AC367" s="185">
        <v>3.5987862248213126E-2</v>
      </c>
      <c r="AD367" s="188">
        <v>1122</v>
      </c>
      <c r="AE367" s="185">
        <v>0.13851851851851851</v>
      </c>
      <c r="AF367" s="185">
        <v>0.14580896686159844</v>
      </c>
      <c r="AG367" s="188">
        <v>1122</v>
      </c>
      <c r="AH367" s="185">
        <v>0.13851851851851851</v>
      </c>
      <c r="AI367" s="185">
        <v>0.14580896686159844</v>
      </c>
      <c r="AJ367" s="303">
        <v>1122</v>
      </c>
      <c r="AK367" s="185">
        <v>0.13851851851851851</v>
      </c>
      <c r="AL367" s="185">
        <v>0.14580896686159844</v>
      </c>
      <c r="AM367" s="188">
        <v>3913</v>
      </c>
      <c r="AN367" s="185">
        <v>0.48308641975308642</v>
      </c>
      <c r="AO367" s="185">
        <v>0.50851202079272251</v>
      </c>
      <c r="AP367" s="185"/>
      <c r="AQ367" s="188">
        <v>1727</v>
      </c>
      <c r="AR367" s="185">
        <v>0.21320987654320989</v>
      </c>
      <c r="AS367" s="185">
        <v>0.2244314489928525</v>
      </c>
      <c r="AT367" s="188">
        <v>1852</v>
      </c>
      <c r="AU367" s="185">
        <v>0.22864197530864197</v>
      </c>
      <c r="AV367" s="185">
        <v>0.24067576348278102</v>
      </c>
      <c r="AW367" s="185"/>
      <c r="AX367" s="185"/>
      <c r="AY367" s="185"/>
      <c r="AZ367" s="185"/>
      <c r="BA367" s="185"/>
      <c r="BB367" s="185"/>
      <c r="BC367" s="188">
        <v>1852</v>
      </c>
      <c r="BD367" s="185">
        <v>0.22864197530864197</v>
      </c>
      <c r="BE367" s="185">
        <v>0.24067576348278102</v>
      </c>
      <c r="BF367" s="188"/>
      <c r="BG367" s="188">
        <v>3349</v>
      </c>
      <c r="BH367" s="185">
        <v>0.41345679012345676</v>
      </c>
      <c r="BI367" s="185">
        <v>0.43521767381416504</v>
      </c>
      <c r="BJ367" s="188">
        <f t="shared" si="330"/>
        <v>7695</v>
      </c>
      <c r="BK367" s="188">
        <v>3757</v>
      </c>
      <c r="BL367" s="185">
        <f t="shared" si="315"/>
        <v>0.46382716049382716</v>
      </c>
      <c r="BM367" s="185">
        <f t="shared" si="332"/>
        <v>0.48823911630929173</v>
      </c>
      <c r="BN367" s="205">
        <f t="shared" si="312"/>
        <v>2635</v>
      </c>
      <c r="BO367" s="205"/>
      <c r="BP367" s="189">
        <f>BP368+BP369</f>
        <v>855</v>
      </c>
      <c r="BQ367" s="186">
        <f t="shared" si="316"/>
        <v>0.10555555555555556</v>
      </c>
      <c r="BR367" s="189">
        <f>BR368+BR369</f>
        <v>855</v>
      </c>
      <c r="BS367" s="186">
        <f t="shared" si="317"/>
        <v>0.10555555555555556</v>
      </c>
      <c r="BT367" s="189">
        <f>BT368+BT369</f>
        <v>1665</v>
      </c>
      <c r="BU367" s="186">
        <f t="shared" si="318"/>
        <v>0.20555555555555555</v>
      </c>
      <c r="BV367" s="189">
        <f>BV368+BV369</f>
        <v>2175</v>
      </c>
      <c r="BW367" s="186">
        <f t="shared" si="319"/>
        <v>0.26851851851851855</v>
      </c>
      <c r="BX367" s="189">
        <f>BX368+BX369</f>
        <v>2830</v>
      </c>
      <c r="BY367" s="186">
        <f t="shared" si="320"/>
        <v>0.3493827160493827</v>
      </c>
      <c r="BZ367" s="189">
        <f>BZ368+BZ369</f>
        <v>3085</v>
      </c>
      <c r="CA367" s="186">
        <f t="shared" si="321"/>
        <v>0.3808641975308642</v>
      </c>
      <c r="CB367" s="189">
        <f>CB368+CB369</f>
        <v>3995</v>
      </c>
      <c r="CC367" s="186">
        <f t="shared" si="322"/>
        <v>0.49320987654320986</v>
      </c>
      <c r="CD367" s="189">
        <f>CD368+CD369</f>
        <v>4505</v>
      </c>
      <c r="CE367" s="186">
        <f t="shared" si="323"/>
        <v>0.5561728395061728</v>
      </c>
      <c r="CF367" s="189">
        <f>CF368+CF369</f>
        <v>4760</v>
      </c>
      <c r="CG367" s="186">
        <f t="shared" si="324"/>
        <v>0.58765432098765435</v>
      </c>
      <c r="CH367" s="189">
        <f>CH368+CH369</f>
        <v>5315</v>
      </c>
      <c r="CI367" s="186">
        <f t="shared" si="325"/>
        <v>0.65617283950617289</v>
      </c>
      <c r="CJ367" s="189">
        <f>CJ368+CJ369</f>
        <v>6120</v>
      </c>
      <c r="CK367" s="186">
        <f t="shared" si="326"/>
        <v>0.75555555555555554</v>
      </c>
      <c r="CL367" s="189">
        <f>CL368+CL369</f>
        <v>6930</v>
      </c>
      <c r="CM367" s="186">
        <f t="shared" si="327"/>
        <v>0.85555555555555551</v>
      </c>
      <c r="CN367" s="189">
        <f>CN368+CN369</f>
        <v>7695</v>
      </c>
      <c r="CO367" s="186">
        <f t="shared" si="328"/>
        <v>0.95</v>
      </c>
      <c r="CP367" s="213" t="str">
        <f t="shared" si="333"/>
        <v>Đạt</v>
      </c>
      <c r="CQ367" s="213" t="str">
        <f t="shared" si="334"/>
        <v>Đạt</v>
      </c>
      <c r="CR367" s="213"/>
      <c r="CS367" s="213"/>
      <c r="CT367" s="231"/>
      <c r="CU367" s="163"/>
      <c r="CW367" s="195"/>
      <c r="CX367" s="196"/>
      <c r="CY367" s="196"/>
      <c r="CZ367" s="197"/>
      <c r="DA367" s="196"/>
      <c r="DB367" s="196"/>
      <c r="DC367" s="196"/>
      <c r="DE367" s="199"/>
      <c r="DF367" s="200"/>
      <c r="DG367" s="181"/>
    </row>
    <row r="368" spans="1:112" s="324" customFormat="1" outlineLevel="1" x14ac:dyDescent="0.25">
      <c r="A368" s="305" t="s">
        <v>34</v>
      </c>
      <c r="B368" s="306" t="s">
        <v>376</v>
      </c>
      <c r="C368" s="306"/>
      <c r="D368" s="307">
        <f>E368+F368</f>
        <v>3000</v>
      </c>
      <c r="E368" s="307"/>
      <c r="F368" s="307">
        <f>G368+H368+K368+M368</f>
        <v>3000</v>
      </c>
      <c r="G368" s="303">
        <v>3000</v>
      </c>
      <c r="H368" s="303"/>
      <c r="I368" s="235"/>
      <c r="J368" s="235"/>
      <c r="K368" s="303"/>
      <c r="L368" s="235"/>
      <c r="M368" s="223"/>
      <c r="N368" s="223"/>
      <c r="O368" s="303">
        <f>G368+I368+L368+N368</f>
        <v>3000</v>
      </c>
      <c r="P368" s="303">
        <v>0</v>
      </c>
      <c r="Q368" s="308">
        <f t="shared" si="329"/>
        <v>0</v>
      </c>
      <c r="R368" s="303"/>
      <c r="S368" s="309">
        <v>0</v>
      </c>
      <c r="T368" s="309">
        <v>0</v>
      </c>
      <c r="U368" s="303">
        <v>276.92660000000001</v>
      </c>
      <c r="V368" s="309">
        <v>9.230886666666667E-2</v>
      </c>
      <c r="W368" s="309">
        <v>9.7167228070175443E-2</v>
      </c>
      <c r="X368" s="303">
        <v>276.92660000000001</v>
      </c>
      <c r="Y368" s="309">
        <v>9.230886666666667E-2</v>
      </c>
      <c r="Z368" s="309">
        <v>9.7167228070175443E-2</v>
      </c>
      <c r="AA368" s="303">
        <v>276.92660000000001</v>
      </c>
      <c r="AB368" s="309">
        <v>9.230886666666667E-2</v>
      </c>
      <c r="AC368" s="309">
        <v>9.7167228070175443E-2</v>
      </c>
      <c r="AD368" s="303">
        <v>1122</v>
      </c>
      <c r="AE368" s="309">
        <v>0.374</v>
      </c>
      <c r="AF368" s="309">
        <v>0.3936842105263158</v>
      </c>
      <c r="AG368" s="303">
        <v>1122</v>
      </c>
      <c r="AH368" s="309">
        <v>0.374</v>
      </c>
      <c r="AI368" s="309">
        <v>0.3936842105263158</v>
      </c>
      <c r="AJ368" s="303">
        <v>1122</v>
      </c>
      <c r="AK368" s="309">
        <v>0.374</v>
      </c>
      <c r="AL368" s="309">
        <v>0.3936842105263158</v>
      </c>
      <c r="AM368" s="303">
        <v>1709</v>
      </c>
      <c r="AN368" s="309">
        <v>0.65900000000000003</v>
      </c>
      <c r="AO368" s="309">
        <v>0.69368421052631579</v>
      </c>
      <c r="AP368" s="309"/>
      <c r="AQ368" s="303">
        <v>1727</v>
      </c>
      <c r="AR368" s="309">
        <v>0.57566666666666666</v>
      </c>
      <c r="AS368" s="309">
        <v>0.60596491228070171</v>
      </c>
      <c r="AT368" s="303">
        <v>1727</v>
      </c>
      <c r="AU368" s="309">
        <v>0.57566666666666666</v>
      </c>
      <c r="AV368" s="309">
        <v>0.60596491228070171</v>
      </c>
      <c r="AW368" s="309"/>
      <c r="AX368" s="309"/>
      <c r="AY368" s="309"/>
      <c r="AZ368" s="309"/>
      <c r="BA368" s="309"/>
      <c r="BB368" s="309"/>
      <c r="BC368" s="303">
        <v>1727</v>
      </c>
      <c r="BD368" s="309">
        <v>0.57566666666666666</v>
      </c>
      <c r="BE368" s="309">
        <v>0.60596491228070171</v>
      </c>
      <c r="BF368" s="303"/>
      <c r="BG368" s="303">
        <v>2496</v>
      </c>
      <c r="BH368" s="309">
        <v>0.83199999999999996</v>
      </c>
      <c r="BI368" s="309">
        <v>0.87578947368421056</v>
      </c>
      <c r="BJ368" s="303">
        <f t="shared" si="330"/>
        <v>2850</v>
      </c>
      <c r="BK368" s="303">
        <v>2503</v>
      </c>
      <c r="BL368" s="309">
        <f t="shared" si="315"/>
        <v>0.83433333333333337</v>
      </c>
      <c r="BM368" s="309">
        <f t="shared" si="332"/>
        <v>0.87824561403508772</v>
      </c>
      <c r="BN368" s="205">
        <f t="shared" si="312"/>
        <v>1381</v>
      </c>
      <c r="BO368" s="205"/>
      <c r="BP368" s="310">
        <v>855</v>
      </c>
      <c r="BQ368" s="308">
        <f t="shared" si="316"/>
        <v>0.28499999999999998</v>
      </c>
      <c r="BR368" s="310">
        <v>855</v>
      </c>
      <c r="BS368" s="308">
        <f t="shared" si="317"/>
        <v>0.28499999999999998</v>
      </c>
      <c r="BT368" s="310">
        <f>BR368+300</f>
        <v>1155</v>
      </c>
      <c r="BU368" s="308">
        <f t="shared" si="318"/>
        <v>0.38500000000000001</v>
      </c>
      <c r="BV368" s="310">
        <v>1155</v>
      </c>
      <c r="BW368" s="308">
        <f t="shared" si="319"/>
        <v>0.38500000000000001</v>
      </c>
      <c r="BX368" s="310">
        <f>BV368+400</f>
        <v>1555</v>
      </c>
      <c r="BY368" s="308">
        <f t="shared" si="320"/>
        <v>0.51833333333333331</v>
      </c>
      <c r="BZ368" s="310">
        <v>1555</v>
      </c>
      <c r="CA368" s="308">
        <f t="shared" si="321"/>
        <v>0.51833333333333331</v>
      </c>
      <c r="CB368" s="310">
        <f>BZ368+400</f>
        <v>1955</v>
      </c>
      <c r="CC368" s="308">
        <f t="shared" si="322"/>
        <v>0.65166666666666662</v>
      </c>
      <c r="CD368" s="310">
        <v>1955</v>
      </c>
      <c r="CE368" s="308">
        <f>CD368/$D368</f>
        <v>0.65166666666666662</v>
      </c>
      <c r="CF368" s="310">
        <v>1955</v>
      </c>
      <c r="CG368" s="308">
        <f t="shared" si="324"/>
        <v>0.65166666666666662</v>
      </c>
      <c r="CH368" s="310">
        <f>CF368+300</f>
        <v>2255</v>
      </c>
      <c r="CI368" s="308">
        <f>CH368/$D368</f>
        <v>0.75166666666666671</v>
      </c>
      <c r="CJ368" s="310">
        <f>CH368+295</f>
        <v>2550</v>
      </c>
      <c r="CK368" s="308">
        <f t="shared" si="326"/>
        <v>0.85</v>
      </c>
      <c r="CL368" s="310">
        <f>CJ368+300</f>
        <v>2850</v>
      </c>
      <c r="CM368" s="308">
        <f t="shared" si="327"/>
        <v>0.95</v>
      </c>
      <c r="CN368" s="310">
        <v>2850</v>
      </c>
      <c r="CO368" s="308">
        <f t="shared" si="328"/>
        <v>0.95</v>
      </c>
      <c r="CP368" s="213" t="str">
        <f t="shared" si="333"/>
        <v>Đạt</v>
      </c>
      <c r="CQ368" s="213" t="str">
        <f t="shared" si="334"/>
        <v>Đạt</v>
      </c>
      <c r="CR368" s="312"/>
      <c r="CS368" s="312"/>
      <c r="CT368" s="235"/>
      <c r="CU368" s="163"/>
      <c r="CV368" s="323"/>
      <c r="CW368" s="195"/>
      <c r="CX368" s="196"/>
      <c r="CY368" s="196"/>
      <c r="CZ368" s="197"/>
      <c r="DA368" s="196"/>
      <c r="DB368" s="196"/>
      <c r="DC368" s="196"/>
      <c r="DE368" s="199"/>
      <c r="DF368" s="200"/>
      <c r="DG368" s="181"/>
    </row>
    <row r="369" spans="1:112" ht="25.5" outlineLevel="1" x14ac:dyDescent="0.25">
      <c r="A369" s="305" t="s">
        <v>34</v>
      </c>
      <c r="B369" s="306" t="s">
        <v>377</v>
      </c>
      <c r="C369" s="306"/>
      <c r="D369" s="307">
        <f>E369+F369</f>
        <v>5100</v>
      </c>
      <c r="E369" s="307"/>
      <c r="F369" s="307">
        <f>G369+H369+K369+M369</f>
        <v>5100</v>
      </c>
      <c r="G369" s="307"/>
      <c r="H369" s="307">
        <v>5100</v>
      </c>
      <c r="I369" s="235"/>
      <c r="J369" s="235"/>
      <c r="K369" s="303"/>
      <c r="L369" s="235"/>
      <c r="M369" s="223"/>
      <c r="N369" s="223"/>
      <c r="O369" s="303"/>
      <c r="P369" s="303">
        <v>0</v>
      </c>
      <c r="Q369" s="308">
        <f t="shared" si="329"/>
        <v>0</v>
      </c>
      <c r="R369" s="303"/>
      <c r="S369" s="309">
        <v>0</v>
      </c>
      <c r="T369" s="309">
        <v>0</v>
      </c>
      <c r="U369" s="303"/>
      <c r="V369" s="309">
        <v>0</v>
      </c>
      <c r="W369" s="309">
        <v>0</v>
      </c>
      <c r="X369" s="303"/>
      <c r="Y369" s="309">
        <v>0</v>
      </c>
      <c r="Z369" s="309">
        <v>0</v>
      </c>
      <c r="AA369" s="303"/>
      <c r="AB369" s="309">
        <v>0</v>
      </c>
      <c r="AC369" s="309">
        <v>0</v>
      </c>
      <c r="AD369" s="303"/>
      <c r="AE369" s="309">
        <v>0</v>
      </c>
      <c r="AF369" s="309">
        <v>0</v>
      </c>
      <c r="AG369" s="303"/>
      <c r="AH369" s="309">
        <v>0</v>
      </c>
      <c r="AI369" s="309">
        <v>0</v>
      </c>
      <c r="AJ369" s="188"/>
      <c r="AK369" s="309">
        <v>0</v>
      </c>
      <c r="AL369" s="309">
        <v>0</v>
      </c>
      <c r="AM369" s="303">
        <v>0</v>
      </c>
      <c r="AN369" s="309">
        <v>0.37960784313725487</v>
      </c>
      <c r="AO369" s="309">
        <v>0.39958720330237357</v>
      </c>
      <c r="AP369" s="309"/>
      <c r="AQ369" s="303">
        <v>0</v>
      </c>
      <c r="AR369" s="309">
        <v>0</v>
      </c>
      <c r="AS369" s="309">
        <v>0</v>
      </c>
      <c r="AT369" s="303">
        <v>125</v>
      </c>
      <c r="AU369" s="309">
        <v>2.4509803921568627E-2</v>
      </c>
      <c r="AV369" s="309">
        <v>2.5799793601651185E-2</v>
      </c>
      <c r="AW369" s="309"/>
      <c r="AX369" s="309"/>
      <c r="AY369" s="309"/>
      <c r="AZ369" s="309"/>
      <c r="BA369" s="309"/>
      <c r="BB369" s="309"/>
      <c r="BC369" s="303">
        <v>125</v>
      </c>
      <c r="BD369" s="309">
        <v>2.4509803921568627E-2</v>
      </c>
      <c r="BE369" s="309">
        <v>2.5799793601651185E-2</v>
      </c>
      <c r="BF369" s="303"/>
      <c r="BG369" s="303">
        <v>853</v>
      </c>
      <c r="BH369" s="309">
        <v>0.16725490196078432</v>
      </c>
      <c r="BI369" s="309">
        <v>0.17605779153766771</v>
      </c>
      <c r="BJ369" s="303">
        <f t="shared" si="330"/>
        <v>4845</v>
      </c>
      <c r="BK369" s="303">
        <v>853</v>
      </c>
      <c r="BL369" s="309">
        <f t="shared" si="315"/>
        <v>0.16725490196078432</v>
      </c>
      <c r="BM369" s="309">
        <f t="shared" si="332"/>
        <v>0.17605779153766771</v>
      </c>
      <c r="BN369" s="205">
        <f t="shared" si="312"/>
        <v>853</v>
      </c>
      <c r="BO369" s="205"/>
      <c r="BP369" s="310"/>
      <c r="BQ369" s="308">
        <f t="shared" si="316"/>
        <v>0</v>
      </c>
      <c r="BR369" s="310"/>
      <c r="BS369" s="308">
        <f t="shared" si="317"/>
        <v>0</v>
      </c>
      <c r="BT369" s="310">
        <f>5100*0.1</f>
        <v>510</v>
      </c>
      <c r="BU369" s="308">
        <f t="shared" si="318"/>
        <v>0.1</v>
      </c>
      <c r="BV369" s="310">
        <f>5100*0.2</f>
        <v>1020</v>
      </c>
      <c r="BW369" s="308">
        <f t="shared" si="319"/>
        <v>0.2</v>
      </c>
      <c r="BX369" s="310">
        <f>5100*0.25</f>
        <v>1275</v>
      </c>
      <c r="BY369" s="308">
        <f t="shared" si="320"/>
        <v>0.25</v>
      </c>
      <c r="BZ369" s="310">
        <f>5100*0.3</f>
        <v>1530</v>
      </c>
      <c r="CA369" s="308">
        <f t="shared" si="321"/>
        <v>0.3</v>
      </c>
      <c r="CB369" s="310">
        <f>5100*0.4</f>
        <v>2040</v>
      </c>
      <c r="CC369" s="308">
        <f t="shared" si="322"/>
        <v>0.4</v>
      </c>
      <c r="CD369" s="310">
        <f>5100*0.5</f>
        <v>2550</v>
      </c>
      <c r="CE369" s="308">
        <f t="shared" ref="CE369:CE432" si="345">CD369/$D369</f>
        <v>0.5</v>
      </c>
      <c r="CF369" s="310">
        <f>5100*0.55</f>
        <v>2805</v>
      </c>
      <c r="CG369" s="308">
        <f t="shared" si="324"/>
        <v>0.55000000000000004</v>
      </c>
      <c r="CH369" s="310">
        <f>5100*0.6</f>
        <v>3060</v>
      </c>
      <c r="CI369" s="308">
        <f t="shared" ref="CI369:CI432" si="346">CH369/$D369</f>
        <v>0.6</v>
      </c>
      <c r="CJ369" s="310">
        <f>5100*0.7</f>
        <v>3570</v>
      </c>
      <c r="CK369" s="308">
        <f t="shared" si="326"/>
        <v>0.7</v>
      </c>
      <c r="CL369" s="310">
        <f>5100*0.8</f>
        <v>4080</v>
      </c>
      <c r="CM369" s="308">
        <f t="shared" si="327"/>
        <v>0.8</v>
      </c>
      <c r="CN369" s="310">
        <f>5100*0.95</f>
        <v>4845</v>
      </c>
      <c r="CO369" s="308">
        <f t="shared" si="328"/>
        <v>0.95</v>
      </c>
      <c r="CP369" s="213" t="str">
        <f t="shared" si="333"/>
        <v>Không đạt</v>
      </c>
      <c r="CQ369" s="213" t="str">
        <f t="shared" si="334"/>
        <v>Không đạt</v>
      </c>
      <c r="CR369" s="312"/>
      <c r="CS369" s="312"/>
      <c r="CT369" s="235"/>
      <c r="CU369" s="163"/>
      <c r="CW369" s="195"/>
      <c r="CX369" s="196"/>
      <c r="CY369" s="196"/>
      <c r="CZ369" s="197"/>
      <c r="DA369" s="196"/>
      <c r="DB369" s="196"/>
      <c r="DC369" s="196"/>
      <c r="DE369" s="199"/>
      <c r="DF369" s="200"/>
      <c r="DG369" s="181"/>
    </row>
    <row r="370" spans="1:112" ht="18" customHeight="1" x14ac:dyDescent="0.25">
      <c r="A370" s="343">
        <f>MAX(A$243:A368)+1</f>
        <v>36</v>
      </c>
      <c r="B370" s="344" t="s">
        <v>429</v>
      </c>
      <c r="C370" s="240"/>
      <c r="D370" s="188">
        <f t="shared" ref="D370:I370" si="347">D371+D372</f>
        <v>7675</v>
      </c>
      <c r="E370" s="188">
        <f t="shared" si="347"/>
        <v>0</v>
      </c>
      <c r="F370" s="188">
        <f t="shared" si="347"/>
        <v>7675</v>
      </c>
      <c r="G370" s="188">
        <f t="shared" si="347"/>
        <v>3000</v>
      </c>
      <c r="H370" s="188">
        <f t="shared" si="347"/>
        <v>4675</v>
      </c>
      <c r="I370" s="188">
        <f t="shared" si="347"/>
        <v>0</v>
      </c>
      <c r="J370" s="188"/>
      <c r="K370" s="188">
        <f>K371+K372</f>
        <v>0</v>
      </c>
      <c r="L370" s="188">
        <f>L371+L372</f>
        <v>0</v>
      </c>
      <c r="M370" s="188">
        <f>M371+M372</f>
        <v>0</v>
      </c>
      <c r="N370" s="188">
        <f>N371+N372</f>
        <v>0</v>
      </c>
      <c r="O370" s="188">
        <f>O371+O372</f>
        <v>3000</v>
      </c>
      <c r="P370" s="188">
        <v>0</v>
      </c>
      <c r="Q370" s="186">
        <f t="shared" si="329"/>
        <v>0</v>
      </c>
      <c r="R370" s="188">
        <v>0</v>
      </c>
      <c r="S370" s="185">
        <v>0</v>
      </c>
      <c r="T370" s="185">
        <v>0</v>
      </c>
      <c r="U370" s="188">
        <v>595.112572</v>
      </c>
      <c r="V370" s="185">
        <v>7.7539097328990225E-2</v>
      </c>
      <c r="W370" s="185">
        <v>8.1620102451568657E-2</v>
      </c>
      <c r="X370" s="188">
        <v>595.112572</v>
      </c>
      <c r="Y370" s="185">
        <v>7.7539097328990225E-2</v>
      </c>
      <c r="Z370" s="185">
        <v>8.1620102451568657E-2</v>
      </c>
      <c r="AA370" s="188">
        <v>595.112572</v>
      </c>
      <c r="AB370" s="185">
        <v>7.7539097328990225E-2</v>
      </c>
      <c r="AC370" s="185">
        <v>8.1620102451568657E-2</v>
      </c>
      <c r="AD370" s="188">
        <v>1041</v>
      </c>
      <c r="AE370" s="185">
        <v>0.13563517915309448</v>
      </c>
      <c r="AF370" s="185">
        <v>0.14277387279273102</v>
      </c>
      <c r="AG370" s="188">
        <v>1041</v>
      </c>
      <c r="AH370" s="185">
        <v>0.13563517915309448</v>
      </c>
      <c r="AI370" s="185">
        <v>0.14277387279273102</v>
      </c>
      <c r="AJ370" s="303">
        <v>1041</v>
      </c>
      <c r="AK370" s="185">
        <v>0.13563517915309448</v>
      </c>
      <c r="AL370" s="185">
        <v>0.14277387279273102</v>
      </c>
      <c r="AM370" s="314">
        <v>1041</v>
      </c>
      <c r="AN370" s="185">
        <v>0.13563517915309448</v>
      </c>
      <c r="AO370" s="185">
        <v>0.14277387279273102</v>
      </c>
      <c r="AP370" s="185"/>
      <c r="AQ370" s="188">
        <v>1041</v>
      </c>
      <c r="AR370" s="185">
        <v>0.13563517915309448</v>
      </c>
      <c r="AS370" s="185">
        <v>0.14277387279273102</v>
      </c>
      <c r="AT370" s="188">
        <v>1041</v>
      </c>
      <c r="AU370" s="185">
        <v>0.13563517915309448</v>
      </c>
      <c r="AV370" s="185">
        <v>0.14277387279273102</v>
      </c>
      <c r="AW370" s="185"/>
      <c r="AX370" s="185"/>
      <c r="AY370" s="185"/>
      <c r="AZ370" s="185"/>
      <c r="BA370" s="185"/>
      <c r="BB370" s="185"/>
      <c r="BC370" s="188">
        <v>1041</v>
      </c>
      <c r="BD370" s="185">
        <v>0.13563517915309448</v>
      </c>
      <c r="BE370" s="185">
        <v>0.14277387279273102</v>
      </c>
      <c r="BF370" s="188"/>
      <c r="BG370" s="188">
        <v>1041</v>
      </c>
      <c r="BH370" s="185">
        <v>0.13563517915309448</v>
      </c>
      <c r="BI370" s="185">
        <v>0.14277387279273102</v>
      </c>
      <c r="BJ370" s="188">
        <f t="shared" si="330"/>
        <v>7291.25</v>
      </c>
      <c r="BK370" s="188">
        <v>2567</v>
      </c>
      <c r="BL370" s="185">
        <f t="shared" si="315"/>
        <v>0.33446254071661236</v>
      </c>
      <c r="BM370" s="185">
        <f t="shared" si="332"/>
        <v>0.35206583233327621</v>
      </c>
      <c r="BN370" s="205">
        <f t="shared" si="312"/>
        <v>1526</v>
      </c>
      <c r="BO370" s="205"/>
      <c r="BP370" s="189">
        <f>BP371+BP372</f>
        <v>0</v>
      </c>
      <c r="BQ370" s="186">
        <f t="shared" si="316"/>
        <v>0</v>
      </c>
      <c r="BR370" s="189">
        <f>BR371+BR372</f>
        <v>0</v>
      </c>
      <c r="BS370" s="186">
        <f t="shared" si="317"/>
        <v>0</v>
      </c>
      <c r="BT370" s="189">
        <f>BT371+BT372</f>
        <v>767.5</v>
      </c>
      <c r="BU370" s="186">
        <f t="shared" si="318"/>
        <v>0.1</v>
      </c>
      <c r="BV370" s="189">
        <f>BV371+BV372</f>
        <v>1535</v>
      </c>
      <c r="BW370" s="186">
        <f t="shared" si="319"/>
        <v>0.2</v>
      </c>
      <c r="BX370" s="189">
        <f>BX371+BX372</f>
        <v>2302.5</v>
      </c>
      <c r="BY370" s="186">
        <f t="shared" si="320"/>
        <v>0.3</v>
      </c>
      <c r="BZ370" s="189">
        <f>BZ371+BZ372</f>
        <v>3070</v>
      </c>
      <c r="CA370" s="186">
        <f t="shared" si="321"/>
        <v>0.4</v>
      </c>
      <c r="CB370" s="189">
        <f>CB371+CB372</f>
        <v>3837.5</v>
      </c>
      <c r="CC370" s="186">
        <f t="shared" si="322"/>
        <v>0.5</v>
      </c>
      <c r="CD370" s="189">
        <f>CD371+CD372</f>
        <v>4221.25</v>
      </c>
      <c r="CE370" s="186">
        <f t="shared" si="345"/>
        <v>0.55000000000000004</v>
      </c>
      <c r="CF370" s="189">
        <f>CF371+CF372</f>
        <v>5372.5</v>
      </c>
      <c r="CG370" s="186">
        <f t="shared" si="324"/>
        <v>0.7</v>
      </c>
      <c r="CH370" s="189">
        <f>CH371+CH372</f>
        <v>5372.5</v>
      </c>
      <c r="CI370" s="186">
        <f t="shared" si="346"/>
        <v>0.7</v>
      </c>
      <c r="CJ370" s="189">
        <f>CJ371+CJ372</f>
        <v>5756.25</v>
      </c>
      <c r="CK370" s="186">
        <f t="shared" si="326"/>
        <v>0.75</v>
      </c>
      <c r="CL370" s="189">
        <f>CL371+CL372</f>
        <v>5756.25</v>
      </c>
      <c r="CM370" s="186">
        <f t="shared" si="327"/>
        <v>0.75</v>
      </c>
      <c r="CN370" s="189">
        <f>CN371+CN372</f>
        <v>7291.25</v>
      </c>
      <c r="CO370" s="186">
        <f t="shared" si="328"/>
        <v>0.95</v>
      </c>
      <c r="CP370" s="213" t="str">
        <f t="shared" si="333"/>
        <v>Đạt</v>
      </c>
      <c r="CQ370" s="213" t="str">
        <f t="shared" si="334"/>
        <v>Không đạt</v>
      </c>
      <c r="CR370" s="213"/>
      <c r="CS370" s="213"/>
      <c r="CT370" s="231"/>
      <c r="CU370" s="163"/>
      <c r="CW370" s="195"/>
      <c r="CX370" s="196"/>
      <c r="CY370" s="196"/>
      <c r="CZ370" s="197"/>
      <c r="DA370" s="196"/>
      <c r="DB370" s="196"/>
      <c r="DC370" s="196"/>
      <c r="DE370" s="199"/>
      <c r="DF370" s="200"/>
      <c r="DG370" s="181"/>
    </row>
    <row r="371" spans="1:112" s="324" customFormat="1" outlineLevel="1" x14ac:dyDescent="0.25">
      <c r="A371" s="305" t="s">
        <v>34</v>
      </c>
      <c r="B371" s="306" t="s">
        <v>376</v>
      </c>
      <c r="C371" s="306"/>
      <c r="D371" s="307">
        <f>E371+F371</f>
        <v>3000</v>
      </c>
      <c r="E371" s="307"/>
      <c r="F371" s="307">
        <f>G371+H371+K371+M371</f>
        <v>3000</v>
      </c>
      <c r="G371" s="303">
        <v>3000</v>
      </c>
      <c r="H371" s="303"/>
      <c r="I371" s="235"/>
      <c r="J371" s="235"/>
      <c r="K371" s="303"/>
      <c r="L371" s="235"/>
      <c r="M371" s="223"/>
      <c r="N371" s="223"/>
      <c r="O371" s="303">
        <f>G371+I371+L371+N371</f>
        <v>3000</v>
      </c>
      <c r="P371" s="303">
        <v>0</v>
      </c>
      <c r="Q371" s="308">
        <f t="shared" si="329"/>
        <v>0</v>
      </c>
      <c r="R371" s="303"/>
      <c r="S371" s="309">
        <v>0</v>
      </c>
      <c r="T371" s="309">
        <v>0</v>
      </c>
      <c r="U371" s="303">
        <v>595.112572</v>
      </c>
      <c r="V371" s="309">
        <v>0.19837085733333334</v>
      </c>
      <c r="W371" s="309">
        <v>0.20881142877192982</v>
      </c>
      <c r="X371" s="303">
        <v>595.112572</v>
      </c>
      <c r="Y371" s="309">
        <v>0.19837085733333334</v>
      </c>
      <c r="Z371" s="309">
        <v>0.20881142877192982</v>
      </c>
      <c r="AA371" s="303">
        <v>595.112572</v>
      </c>
      <c r="AB371" s="309">
        <v>0.19837085733333334</v>
      </c>
      <c r="AC371" s="309">
        <v>0.20881142877192982</v>
      </c>
      <c r="AD371" s="303">
        <v>1041</v>
      </c>
      <c r="AE371" s="309">
        <v>0.34699999999999998</v>
      </c>
      <c r="AF371" s="309">
        <v>0.36526315789473685</v>
      </c>
      <c r="AG371" s="303">
        <v>1041</v>
      </c>
      <c r="AH371" s="309">
        <v>0.34699999999999998</v>
      </c>
      <c r="AI371" s="309">
        <v>0.36526315789473685</v>
      </c>
      <c r="AJ371" s="303">
        <v>1041</v>
      </c>
      <c r="AK371" s="309">
        <v>0.34699999999999998</v>
      </c>
      <c r="AL371" s="309">
        <v>0.36526315789473685</v>
      </c>
      <c r="AM371" s="303">
        <v>1041</v>
      </c>
      <c r="AN371" s="309">
        <v>0.34699999999999998</v>
      </c>
      <c r="AO371" s="309">
        <v>0.36526315789473685</v>
      </c>
      <c r="AP371" s="309"/>
      <c r="AQ371" s="303">
        <v>1041</v>
      </c>
      <c r="AR371" s="309">
        <v>0.34699999999999998</v>
      </c>
      <c r="AS371" s="309">
        <v>0.36526315789473685</v>
      </c>
      <c r="AT371" s="303">
        <v>1041</v>
      </c>
      <c r="AU371" s="309">
        <v>0.34699999999999998</v>
      </c>
      <c r="AV371" s="309">
        <v>0.36526315789473685</v>
      </c>
      <c r="AW371" s="309"/>
      <c r="AX371" s="309"/>
      <c r="AY371" s="309"/>
      <c r="AZ371" s="309"/>
      <c r="BA371" s="309"/>
      <c r="BB371" s="309"/>
      <c r="BC371" s="303">
        <v>1041</v>
      </c>
      <c r="BD371" s="309">
        <v>0.34699999999999998</v>
      </c>
      <c r="BE371" s="309">
        <v>0.36526315789473685</v>
      </c>
      <c r="BF371" s="303"/>
      <c r="BG371" s="303">
        <v>1041</v>
      </c>
      <c r="BH371" s="309">
        <v>0.34699999999999998</v>
      </c>
      <c r="BI371" s="309">
        <v>0.36526315789473685</v>
      </c>
      <c r="BJ371" s="303">
        <f t="shared" si="330"/>
        <v>2850</v>
      </c>
      <c r="BK371" s="303">
        <v>2250</v>
      </c>
      <c r="BL371" s="309">
        <f t="shared" si="315"/>
        <v>0.75</v>
      </c>
      <c r="BM371" s="309">
        <f t="shared" si="332"/>
        <v>0.78947368421052633</v>
      </c>
      <c r="BN371" s="205">
        <f t="shared" si="312"/>
        <v>1209</v>
      </c>
      <c r="BO371" s="205"/>
      <c r="BP371" s="310"/>
      <c r="BQ371" s="308">
        <f t="shared" si="316"/>
        <v>0</v>
      </c>
      <c r="BR371" s="310"/>
      <c r="BS371" s="308">
        <f t="shared" si="317"/>
        <v>0</v>
      </c>
      <c r="BT371" s="310">
        <f>$F371*0.1</f>
        <v>300</v>
      </c>
      <c r="BU371" s="308">
        <f t="shared" si="318"/>
        <v>0.1</v>
      </c>
      <c r="BV371" s="310">
        <f>$F371*0.2</f>
        <v>600</v>
      </c>
      <c r="BW371" s="308">
        <f t="shared" si="319"/>
        <v>0.2</v>
      </c>
      <c r="BX371" s="310">
        <f>$F371*0.3</f>
        <v>900</v>
      </c>
      <c r="BY371" s="308">
        <f t="shared" si="320"/>
        <v>0.3</v>
      </c>
      <c r="BZ371" s="310">
        <f>$F371*0.4</f>
        <v>1200</v>
      </c>
      <c r="CA371" s="308">
        <f t="shared" si="321"/>
        <v>0.4</v>
      </c>
      <c r="CB371" s="310">
        <f>$F371*0.5</f>
        <v>1500</v>
      </c>
      <c r="CC371" s="308">
        <f t="shared" si="322"/>
        <v>0.5</v>
      </c>
      <c r="CD371" s="310">
        <f>$F371*0.55</f>
        <v>1650.0000000000002</v>
      </c>
      <c r="CE371" s="308">
        <f t="shared" si="345"/>
        <v>0.55000000000000004</v>
      </c>
      <c r="CF371" s="310">
        <v>2100</v>
      </c>
      <c r="CG371" s="308">
        <f t="shared" si="324"/>
        <v>0.7</v>
      </c>
      <c r="CH371" s="310">
        <f>$F371*0.7</f>
        <v>2100</v>
      </c>
      <c r="CI371" s="308">
        <f t="shared" si="346"/>
        <v>0.7</v>
      </c>
      <c r="CJ371" s="310">
        <f>$F371*0.75</f>
        <v>2250</v>
      </c>
      <c r="CK371" s="308">
        <f t="shared" si="326"/>
        <v>0.75</v>
      </c>
      <c r="CL371" s="310">
        <f>$F371*0.75</f>
        <v>2250</v>
      </c>
      <c r="CM371" s="308">
        <f t="shared" si="327"/>
        <v>0.75</v>
      </c>
      <c r="CN371" s="310">
        <f>$F371*0.95</f>
        <v>2850</v>
      </c>
      <c r="CO371" s="308">
        <f t="shared" si="328"/>
        <v>0.95</v>
      </c>
      <c r="CP371" s="213" t="str">
        <f t="shared" si="333"/>
        <v>Đạt</v>
      </c>
      <c r="CQ371" s="213" t="str">
        <f t="shared" si="334"/>
        <v>Đạt</v>
      </c>
      <c r="CR371" s="312"/>
      <c r="CS371" s="312"/>
      <c r="CT371" s="235"/>
      <c r="CU371" s="163"/>
      <c r="CV371" s="323"/>
      <c r="CW371" s="195"/>
      <c r="CX371" s="196"/>
      <c r="CY371" s="196"/>
      <c r="CZ371" s="197"/>
      <c r="DA371" s="196"/>
      <c r="DB371" s="196"/>
      <c r="DC371" s="196"/>
      <c r="DE371" s="199"/>
      <c r="DF371" s="200"/>
      <c r="DG371" s="181"/>
    </row>
    <row r="372" spans="1:112" ht="25.5" outlineLevel="1" x14ac:dyDescent="0.25">
      <c r="A372" s="305" t="s">
        <v>34</v>
      </c>
      <c r="B372" s="306" t="s">
        <v>377</v>
      </c>
      <c r="C372" s="306"/>
      <c r="D372" s="307">
        <f>E372+F372</f>
        <v>4675</v>
      </c>
      <c r="E372" s="307"/>
      <c r="F372" s="307">
        <f>G372+H372+K372+M372</f>
        <v>4675</v>
      </c>
      <c r="G372" s="307"/>
      <c r="H372" s="307">
        <v>4675</v>
      </c>
      <c r="I372" s="235"/>
      <c r="J372" s="235"/>
      <c r="K372" s="303"/>
      <c r="L372" s="235"/>
      <c r="M372" s="223"/>
      <c r="N372" s="223"/>
      <c r="O372" s="303"/>
      <c r="P372" s="303">
        <v>0</v>
      </c>
      <c r="Q372" s="308">
        <f t="shared" si="329"/>
        <v>0</v>
      </c>
      <c r="R372" s="303"/>
      <c r="S372" s="309">
        <v>0</v>
      </c>
      <c r="T372" s="309">
        <v>0</v>
      </c>
      <c r="U372" s="303"/>
      <c r="V372" s="309">
        <v>0</v>
      </c>
      <c r="W372" s="309">
        <v>0</v>
      </c>
      <c r="X372" s="303"/>
      <c r="Y372" s="309">
        <v>0</v>
      </c>
      <c r="Z372" s="309">
        <v>0</v>
      </c>
      <c r="AA372" s="303"/>
      <c r="AB372" s="309">
        <v>0</v>
      </c>
      <c r="AC372" s="309">
        <v>0</v>
      </c>
      <c r="AD372" s="303"/>
      <c r="AE372" s="309">
        <v>0</v>
      </c>
      <c r="AF372" s="309">
        <v>0</v>
      </c>
      <c r="AG372" s="303"/>
      <c r="AH372" s="309">
        <v>0</v>
      </c>
      <c r="AI372" s="309">
        <v>0</v>
      </c>
      <c r="AJ372" s="188"/>
      <c r="AK372" s="309">
        <v>0</v>
      </c>
      <c r="AL372" s="309">
        <v>0</v>
      </c>
      <c r="AM372" s="303"/>
      <c r="AN372" s="309">
        <v>0</v>
      </c>
      <c r="AO372" s="309">
        <v>0</v>
      </c>
      <c r="AP372" s="309"/>
      <c r="AQ372" s="303"/>
      <c r="AR372" s="309">
        <v>0</v>
      </c>
      <c r="AS372" s="309">
        <v>0</v>
      </c>
      <c r="AT372" s="303"/>
      <c r="AU372" s="309">
        <v>0</v>
      </c>
      <c r="AV372" s="309">
        <v>0</v>
      </c>
      <c r="AW372" s="309"/>
      <c r="AX372" s="309"/>
      <c r="AY372" s="309"/>
      <c r="AZ372" s="309"/>
      <c r="BA372" s="309"/>
      <c r="BB372" s="309"/>
      <c r="BC372" s="303"/>
      <c r="BD372" s="309">
        <v>0</v>
      </c>
      <c r="BE372" s="309">
        <v>0</v>
      </c>
      <c r="BF372" s="303"/>
      <c r="BG372" s="303"/>
      <c r="BH372" s="309">
        <v>0</v>
      </c>
      <c r="BI372" s="309">
        <v>0</v>
      </c>
      <c r="BJ372" s="303">
        <f t="shared" si="330"/>
        <v>4441.25</v>
      </c>
      <c r="BK372" s="303"/>
      <c r="BL372" s="309">
        <f t="shared" si="315"/>
        <v>0</v>
      </c>
      <c r="BM372" s="309">
        <f t="shared" si="332"/>
        <v>0</v>
      </c>
      <c r="BN372" s="205">
        <f t="shared" si="312"/>
        <v>0</v>
      </c>
      <c r="BO372" s="205"/>
      <c r="BP372" s="310"/>
      <c r="BQ372" s="308">
        <f t="shared" si="316"/>
        <v>0</v>
      </c>
      <c r="BR372" s="310"/>
      <c r="BS372" s="308">
        <f t="shared" si="317"/>
        <v>0</v>
      </c>
      <c r="BT372" s="310">
        <f>$F372*0.1</f>
        <v>467.5</v>
      </c>
      <c r="BU372" s="308">
        <f t="shared" si="318"/>
        <v>0.1</v>
      </c>
      <c r="BV372" s="310">
        <f>$F372*0.2</f>
        <v>935</v>
      </c>
      <c r="BW372" s="308">
        <f t="shared" si="319"/>
        <v>0.2</v>
      </c>
      <c r="BX372" s="310">
        <f>$F372*0.3</f>
        <v>1402.5</v>
      </c>
      <c r="BY372" s="308">
        <f t="shared" si="320"/>
        <v>0.3</v>
      </c>
      <c r="BZ372" s="310">
        <f>$F372*0.4</f>
        <v>1870</v>
      </c>
      <c r="CA372" s="308">
        <f t="shared" si="321"/>
        <v>0.4</v>
      </c>
      <c r="CB372" s="310">
        <f>$F372*0.5</f>
        <v>2337.5</v>
      </c>
      <c r="CC372" s="308">
        <f t="shared" si="322"/>
        <v>0.5</v>
      </c>
      <c r="CD372" s="310">
        <f>$F372*0.55</f>
        <v>2571.25</v>
      </c>
      <c r="CE372" s="308">
        <f t="shared" si="345"/>
        <v>0.55000000000000004</v>
      </c>
      <c r="CF372" s="310">
        <v>3272.5</v>
      </c>
      <c r="CG372" s="308">
        <f t="shared" si="324"/>
        <v>0.7</v>
      </c>
      <c r="CH372" s="310">
        <f>$F372*0.7</f>
        <v>3272.5</v>
      </c>
      <c r="CI372" s="308">
        <f t="shared" si="346"/>
        <v>0.7</v>
      </c>
      <c r="CJ372" s="310">
        <f>$F372*0.75</f>
        <v>3506.25</v>
      </c>
      <c r="CK372" s="308">
        <f t="shared" si="326"/>
        <v>0.75</v>
      </c>
      <c r="CL372" s="310">
        <f>$F372*0.75</f>
        <v>3506.25</v>
      </c>
      <c r="CM372" s="308">
        <f t="shared" si="327"/>
        <v>0.75</v>
      </c>
      <c r="CN372" s="310">
        <f>$F372*0.95</f>
        <v>4441.25</v>
      </c>
      <c r="CO372" s="308">
        <f t="shared" si="328"/>
        <v>0.95</v>
      </c>
      <c r="CP372" s="213" t="str">
        <f t="shared" si="333"/>
        <v>Không đạt</v>
      </c>
      <c r="CQ372" s="213" t="str">
        <f t="shared" si="334"/>
        <v>Không đạt</v>
      </c>
      <c r="CR372" s="312"/>
      <c r="CS372" s="312"/>
      <c r="CT372" s="235"/>
      <c r="CU372" s="163"/>
      <c r="CW372" s="195"/>
      <c r="CX372" s="196"/>
      <c r="CY372" s="196"/>
      <c r="CZ372" s="197"/>
      <c r="DA372" s="196"/>
      <c r="DB372" s="196"/>
      <c r="DC372" s="196"/>
      <c r="DE372" s="199"/>
      <c r="DF372" s="200"/>
      <c r="DG372" s="181"/>
    </row>
    <row r="373" spans="1:112" ht="18" customHeight="1" x14ac:dyDescent="0.25">
      <c r="A373" s="316">
        <f>MAX(A$243:A371)+1</f>
        <v>37</v>
      </c>
      <c r="B373" s="240" t="s">
        <v>430</v>
      </c>
      <c r="C373" s="240"/>
      <c r="D373" s="188">
        <f t="shared" ref="D373:I373" si="348">D374+D375</f>
        <v>5040</v>
      </c>
      <c r="E373" s="188">
        <f t="shared" si="348"/>
        <v>0</v>
      </c>
      <c r="F373" s="188">
        <f t="shared" si="348"/>
        <v>5040</v>
      </c>
      <c r="G373" s="188">
        <f t="shared" si="348"/>
        <v>3000</v>
      </c>
      <c r="H373" s="188">
        <f t="shared" si="348"/>
        <v>2040</v>
      </c>
      <c r="I373" s="188">
        <f t="shared" si="348"/>
        <v>0</v>
      </c>
      <c r="J373" s="188"/>
      <c r="K373" s="188">
        <f>K374+K375</f>
        <v>0</v>
      </c>
      <c r="L373" s="188">
        <f>L374+L375</f>
        <v>0</v>
      </c>
      <c r="M373" s="188">
        <f>M374+M375</f>
        <v>0</v>
      </c>
      <c r="N373" s="188">
        <f>N374+N375</f>
        <v>0</v>
      </c>
      <c r="O373" s="188">
        <f>O374+O375</f>
        <v>3000</v>
      </c>
      <c r="P373" s="188">
        <v>0</v>
      </c>
      <c r="Q373" s="186">
        <f t="shared" si="329"/>
        <v>0</v>
      </c>
      <c r="R373" s="188">
        <v>0</v>
      </c>
      <c r="S373" s="185">
        <v>0</v>
      </c>
      <c r="T373" s="185">
        <v>0</v>
      </c>
      <c r="U373" s="188">
        <v>0</v>
      </c>
      <c r="V373" s="185">
        <v>0</v>
      </c>
      <c r="W373" s="185">
        <v>0</v>
      </c>
      <c r="X373" s="188">
        <v>0</v>
      </c>
      <c r="Y373" s="185">
        <v>0</v>
      </c>
      <c r="Z373" s="185">
        <v>0</v>
      </c>
      <c r="AA373" s="188">
        <v>0</v>
      </c>
      <c r="AB373" s="185">
        <v>0</v>
      </c>
      <c r="AC373" s="185">
        <v>0</v>
      </c>
      <c r="AD373" s="188">
        <v>732</v>
      </c>
      <c r="AE373" s="185">
        <v>0.14523809523809525</v>
      </c>
      <c r="AF373" s="185">
        <v>0.15288220551378445</v>
      </c>
      <c r="AG373" s="188">
        <v>732</v>
      </c>
      <c r="AH373" s="185">
        <v>0.14523809523809525</v>
      </c>
      <c r="AI373" s="185">
        <v>0.15288220551378445</v>
      </c>
      <c r="AJ373" s="303">
        <v>732</v>
      </c>
      <c r="AK373" s="185">
        <v>0.14523809523809525</v>
      </c>
      <c r="AL373" s="185">
        <v>0.15288220551378445</v>
      </c>
      <c r="AM373" s="188">
        <v>1593</v>
      </c>
      <c r="AN373" s="185">
        <v>0.31607142857142856</v>
      </c>
      <c r="AO373" s="185">
        <v>0.33270676691729323</v>
      </c>
      <c r="AP373" s="185"/>
      <c r="AQ373" s="188">
        <v>1593</v>
      </c>
      <c r="AR373" s="185">
        <v>0.31607142857142856</v>
      </c>
      <c r="AS373" s="185">
        <v>0.33270676691729323</v>
      </c>
      <c r="AT373" s="188">
        <v>1593</v>
      </c>
      <c r="AU373" s="185">
        <v>0.31607142857142856</v>
      </c>
      <c r="AV373" s="185">
        <v>0.33270676691729323</v>
      </c>
      <c r="AW373" s="185"/>
      <c r="AX373" s="185"/>
      <c r="AY373" s="185"/>
      <c r="AZ373" s="185"/>
      <c r="BA373" s="185"/>
      <c r="BB373" s="185"/>
      <c r="BC373" s="188">
        <v>1593</v>
      </c>
      <c r="BD373" s="185">
        <v>0.31607142857142856</v>
      </c>
      <c r="BE373" s="185">
        <v>0.33270676691729323</v>
      </c>
      <c r="BF373" s="188"/>
      <c r="BG373" s="188">
        <v>3165</v>
      </c>
      <c r="BH373" s="185">
        <v>0.95</v>
      </c>
      <c r="BI373" s="185">
        <v>1</v>
      </c>
      <c r="BJ373" s="188">
        <f t="shared" si="330"/>
        <v>4788</v>
      </c>
      <c r="BK373" s="188">
        <v>4032</v>
      </c>
      <c r="BL373" s="185">
        <f t="shared" si="315"/>
        <v>0.8</v>
      </c>
      <c r="BM373" s="185">
        <f t="shared" si="332"/>
        <v>0.84210526315789469</v>
      </c>
      <c r="BN373" s="205">
        <f t="shared" si="312"/>
        <v>3300</v>
      </c>
      <c r="BO373" s="205"/>
      <c r="BP373" s="189">
        <f>BP374+BP375</f>
        <v>0</v>
      </c>
      <c r="BQ373" s="186">
        <f t="shared" si="316"/>
        <v>0</v>
      </c>
      <c r="BR373" s="189">
        <f>BR374+BR375</f>
        <v>0</v>
      </c>
      <c r="BS373" s="186">
        <f t="shared" si="317"/>
        <v>0</v>
      </c>
      <c r="BT373" s="189">
        <f>BT374+BT375</f>
        <v>504</v>
      </c>
      <c r="BU373" s="186">
        <f t="shared" si="318"/>
        <v>0.1</v>
      </c>
      <c r="BV373" s="189">
        <f>BV374+BV375</f>
        <v>1008</v>
      </c>
      <c r="BW373" s="186">
        <f t="shared" si="319"/>
        <v>0.2</v>
      </c>
      <c r="BX373" s="189">
        <f>BX374+BX375</f>
        <v>1512</v>
      </c>
      <c r="BY373" s="186">
        <f t="shared" si="320"/>
        <v>0.3</v>
      </c>
      <c r="BZ373" s="189">
        <f>BZ374+BZ375</f>
        <v>2016</v>
      </c>
      <c r="CA373" s="186">
        <f t="shared" si="321"/>
        <v>0.4</v>
      </c>
      <c r="CB373" s="189">
        <f>CB374+CB375</f>
        <v>2520</v>
      </c>
      <c r="CC373" s="186">
        <f t="shared" si="322"/>
        <v>0.5</v>
      </c>
      <c r="CD373" s="189">
        <f>CD374+CD375</f>
        <v>2772</v>
      </c>
      <c r="CE373" s="186">
        <f t="shared" si="345"/>
        <v>0.55000000000000004</v>
      </c>
      <c r="CF373" s="189">
        <f>CF374+CF375</f>
        <v>3528</v>
      </c>
      <c r="CG373" s="186">
        <f t="shared" si="324"/>
        <v>0.7</v>
      </c>
      <c r="CH373" s="189">
        <f>CH374+CH375</f>
        <v>3528</v>
      </c>
      <c r="CI373" s="186">
        <f t="shared" si="346"/>
        <v>0.7</v>
      </c>
      <c r="CJ373" s="189">
        <f>CJ374+CJ375</f>
        <v>3780</v>
      </c>
      <c r="CK373" s="186">
        <f t="shared" si="326"/>
        <v>0.75</v>
      </c>
      <c r="CL373" s="189">
        <f>CL374+CL375</f>
        <v>3780</v>
      </c>
      <c r="CM373" s="186">
        <f t="shared" si="327"/>
        <v>0.75</v>
      </c>
      <c r="CN373" s="189">
        <f>CN374+CN375</f>
        <v>4788</v>
      </c>
      <c r="CO373" s="186">
        <f t="shared" si="328"/>
        <v>0.95</v>
      </c>
      <c r="CP373" s="213" t="str">
        <f t="shared" si="333"/>
        <v>Đạt</v>
      </c>
      <c r="CQ373" s="213" t="str">
        <f t="shared" si="334"/>
        <v>Đạt</v>
      </c>
      <c r="CR373" s="213"/>
      <c r="CS373" s="213"/>
      <c r="CT373" s="231"/>
      <c r="CU373" s="163"/>
      <c r="CW373" s="195"/>
      <c r="CX373" s="196"/>
      <c r="CY373" s="196"/>
      <c r="CZ373" s="197"/>
      <c r="DA373" s="196"/>
      <c r="DB373" s="196"/>
      <c r="DC373" s="196"/>
      <c r="DE373" s="199"/>
      <c r="DF373" s="200"/>
      <c r="DG373" s="181"/>
      <c r="DH373" s="336"/>
    </row>
    <row r="374" spans="1:112" outlineLevel="1" x14ac:dyDescent="0.25">
      <c r="A374" s="305" t="s">
        <v>34</v>
      </c>
      <c r="B374" s="306" t="s">
        <v>376</v>
      </c>
      <c r="C374" s="306"/>
      <c r="D374" s="307">
        <f>E374+F374</f>
        <v>3000</v>
      </c>
      <c r="E374" s="307"/>
      <c r="F374" s="307">
        <f>G374+H374+K374+M374</f>
        <v>3000</v>
      </c>
      <c r="G374" s="303">
        <v>3000</v>
      </c>
      <c r="H374" s="303"/>
      <c r="I374" s="303"/>
      <c r="J374" s="303"/>
      <c r="K374" s="303"/>
      <c r="L374" s="303"/>
      <c r="M374" s="223"/>
      <c r="N374" s="223"/>
      <c r="O374" s="303">
        <f>G374+I374+L374+N374</f>
        <v>3000</v>
      </c>
      <c r="P374" s="303">
        <v>0</v>
      </c>
      <c r="Q374" s="308">
        <f t="shared" si="329"/>
        <v>0</v>
      </c>
      <c r="R374" s="303"/>
      <c r="S374" s="309">
        <v>0</v>
      </c>
      <c r="T374" s="309">
        <v>0</v>
      </c>
      <c r="U374" s="303"/>
      <c r="V374" s="309">
        <v>0</v>
      </c>
      <c r="W374" s="309">
        <v>0</v>
      </c>
      <c r="X374" s="303"/>
      <c r="Y374" s="309">
        <v>0</v>
      </c>
      <c r="Z374" s="309">
        <v>0</v>
      </c>
      <c r="AA374" s="303"/>
      <c r="AB374" s="309">
        <v>0</v>
      </c>
      <c r="AC374" s="309">
        <v>0</v>
      </c>
      <c r="AD374" s="303">
        <v>732</v>
      </c>
      <c r="AE374" s="309">
        <v>0.24399999999999999</v>
      </c>
      <c r="AF374" s="309">
        <v>0.25684210526315787</v>
      </c>
      <c r="AG374" s="303">
        <v>732</v>
      </c>
      <c r="AH374" s="309">
        <v>0.24399999999999999</v>
      </c>
      <c r="AI374" s="309">
        <v>0.25684210526315787</v>
      </c>
      <c r="AJ374" s="303">
        <v>732</v>
      </c>
      <c r="AK374" s="309">
        <v>0.24399999999999999</v>
      </c>
      <c r="AL374" s="309">
        <v>0.25684210526315787</v>
      </c>
      <c r="AM374" s="303">
        <v>1593</v>
      </c>
      <c r="AN374" s="309">
        <v>0.53100000000000003</v>
      </c>
      <c r="AO374" s="309">
        <v>0.55894736842105264</v>
      </c>
      <c r="AP374" s="309"/>
      <c r="AQ374" s="303">
        <v>897</v>
      </c>
      <c r="AR374" s="309">
        <v>0.29899999999999999</v>
      </c>
      <c r="AS374" s="309">
        <v>0.31473684210526315</v>
      </c>
      <c r="AT374" s="303">
        <v>897</v>
      </c>
      <c r="AU374" s="309">
        <v>0.29899999999999999</v>
      </c>
      <c r="AV374" s="309">
        <v>0.31473684210526315</v>
      </c>
      <c r="AW374" s="309"/>
      <c r="AX374" s="309"/>
      <c r="AY374" s="309"/>
      <c r="AZ374" s="309"/>
      <c r="BA374" s="309"/>
      <c r="BB374" s="309"/>
      <c r="BC374" s="303">
        <v>897</v>
      </c>
      <c r="BD374" s="309">
        <v>0.29899999999999999</v>
      </c>
      <c r="BE374" s="309">
        <v>0.31473684210526315</v>
      </c>
      <c r="BF374" s="303"/>
      <c r="BG374" s="303">
        <v>2096</v>
      </c>
      <c r="BH374" s="309">
        <v>0.95</v>
      </c>
      <c r="BI374" s="309">
        <v>1</v>
      </c>
      <c r="BJ374" s="303">
        <f t="shared" si="330"/>
        <v>2850</v>
      </c>
      <c r="BK374" s="303">
        <v>2096</v>
      </c>
      <c r="BL374" s="309">
        <f t="shared" si="315"/>
        <v>0.69866666666666666</v>
      </c>
      <c r="BM374" s="309">
        <f t="shared" si="332"/>
        <v>0.73543859649122811</v>
      </c>
      <c r="BN374" s="205">
        <f t="shared" si="312"/>
        <v>1364</v>
      </c>
      <c r="BO374" s="205"/>
      <c r="BP374" s="310"/>
      <c r="BQ374" s="308">
        <f t="shared" si="316"/>
        <v>0</v>
      </c>
      <c r="BR374" s="310"/>
      <c r="BS374" s="308">
        <f t="shared" si="317"/>
        <v>0</v>
      </c>
      <c r="BT374" s="310">
        <f>$F374*0.1</f>
        <v>300</v>
      </c>
      <c r="BU374" s="308">
        <f t="shared" si="318"/>
        <v>0.1</v>
      </c>
      <c r="BV374" s="310">
        <f>$F374*0.2</f>
        <v>600</v>
      </c>
      <c r="BW374" s="308">
        <f t="shared" si="319"/>
        <v>0.2</v>
      </c>
      <c r="BX374" s="310">
        <f>$F374*0.3</f>
        <v>900</v>
      </c>
      <c r="BY374" s="308">
        <f t="shared" si="320"/>
        <v>0.3</v>
      </c>
      <c r="BZ374" s="310">
        <f>$F374*0.4</f>
        <v>1200</v>
      </c>
      <c r="CA374" s="308">
        <f t="shared" si="321"/>
        <v>0.4</v>
      </c>
      <c r="CB374" s="310">
        <f>$F374*0.5</f>
        <v>1500</v>
      </c>
      <c r="CC374" s="308">
        <f t="shared" si="322"/>
        <v>0.5</v>
      </c>
      <c r="CD374" s="310">
        <f>$F374*0.55</f>
        <v>1650.0000000000002</v>
      </c>
      <c r="CE374" s="308">
        <f t="shared" si="345"/>
        <v>0.55000000000000004</v>
      </c>
      <c r="CF374" s="310">
        <v>2100</v>
      </c>
      <c r="CG374" s="308">
        <f t="shared" si="324"/>
        <v>0.7</v>
      </c>
      <c r="CH374" s="310">
        <f>$F374*0.7</f>
        <v>2100</v>
      </c>
      <c r="CI374" s="308">
        <f t="shared" si="346"/>
        <v>0.7</v>
      </c>
      <c r="CJ374" s="310">
        <f>$F374*0.75</f>
        <v>2250</v>
      </c>
      <c r="CK374" s="308">
        <f t="shared" si="326"/>
        <v>0.75</v>
      </c>
      <c r="CL374" s="310">
        <f>$F374*0.75</f>
        <v>2250</v>
      </c>
      <c r="CM374" s="308">
        <f t="shared" si="327"/>
        <v>0.75</v>
      </c>
      <c r="CN374" s="310">
        <f>$F374*0.95</f>
        <v>2850</v>
      </c>
      <c r="CO374" s="308">
        <f t="shared" si="328"/>
        <v>0.95</v>
      </c>
      <c r="CP374" s="213" t="str">
        <f t="shared" si="333"/>
        <v>Đạt</v>
      </c>
      <c r="CQ374" s="213" t="str">
        <f t="shared" si="334"/>
        <v>Đạt</v>
      </c>
      <c r="CR374" s="312"/>
      <c r="CS374" s="312"/>
      <c r="CT374" s="235"/>
      <c r="CU374" s="163"/>
      <c r="CW374" s="195"/>
      <c r="CX374" s="196"/>
      <c r="CY374" s="196"/>
      <c r="CZ374" s="197"/>
      <c r="DA374" s="196"/>
      <c r="DB374" s="196"/>
      <c r="DC374" s="196"/>
      <c r="DE374" s="199"/>
      <c r="DF374" s="200"/>
      <c r="DG374" s="181"/>
    </row>
    <row r="375" spans="1:112" ht="25.5" outlineLevel="1" x14ac:dyDescent="0.25">
      <c r="A375" s="305" t="s">
        <v>34</v>
      </c>
      <c r="B375" s="306" t="s">
        <v>377</v>
      </c>
      <c r="C375" s="306"/>
      <c r="D375" s="307">
        <f>E375+F375</f>
        <v>2040</v>
      </c>
      <c r="E375" s="307"/>
      <c r="F375" s="307">
        <f>G375+H375+K375+M375</f>
        <v>2040</v>
      </c>
      <c r="G375" s="307"/>
      <c r="H375" s="307">
        <v>2040</v>
      </c>
      <c r="I375" s="235"/>
      <c r="J375" s="235"/>
      <c r="K375" s="303"/>
      <c r="L375" s="235"/>
      <c r="M375" s="223"/>
      <c r="N375" s="223"/>
      <c r="O375" s="303"/>
      <c r="P375" s="303">
        <v>0</v>
      </c>
      <c r="Q375" s="308">
        <f t="shared" si="329"/>
        <v>0</v>
      </c>
      <c r="R375" s="303"/>
      <c r="S375" s="309">
        <v>0</v>
      </c>
      <c r="T375" s="309">
        <v>0</v>
      </c>
      <c r="U375" s="303"/>
      <c r="V375" s="309">
        <v>0</v>
      </c>
      <c r="W375" s="309">
        <v>0</v>
      </c>
      <c r="X375" s="303"/>
      <c r="Y375" s="309">
        <v>0</v>
      </c>
      <c r="Z375" s="309">
        <v>0</v>
      </c>
      <c r="AA375" s="303"/>
      <c r="AB375" s="309">
        <v>0</v>
      </c>
      <c r="AC375" s="309">
        <v>0</v>
      </c>
      <c r="AD375" s="303"/>
      <c r="AE375" s="309">
        <v>0</v>
      </c>
      <c r="AF375" s="309">
        <v>0</v>
      </c>
      <c r="AG375" s="303"/>
      <c r="AH375" s="309">
        <v>0</v>
      </c>
      <c r="AI375" s="309">
        <v>0</v>
      </c>
      <c r="AJ375" s="188"/>
      <c r="AK375" s="309">
        <v>0</v>
      </c>
      <c r="AL375" s="309">
        <v>0</v>
      </c>
      <c r="AM375" s="303"/>
      <c r="AN375" s="309">
        <v>0</v>
      </c>
      <c r="AO375" s="309">
        <v>0</v>
      </c>
      <c r="AP375" s="309"/>
      <c r="AQ375" s="303">
        <v>696</v>
      </c>
      <c r="AR375" s="309">
        <v>0.3411764705882353</v>
      </c>
      <c r="AS375" s="309">
        <v>0.3591331269349845</v>
      </c>
      <c r="AT375" s="303">
        <v>696</v>
      </c>
      <c r="AU375" s="309">
        <v>0.3411764705882353</v>
      </c>
      <c r="AV375" s="309">
        <v>0.3591331269349845</v>
      </c>
      <c r="AW375" s="309"/>
      <c r="AX375" s="309"/>
      <c r="AY375" s="309"/>
      <c r="AZ375" s="309"/>
      <c r="BA375" s="309"/>
      <c r="BB375" s="309"/>
      <c r="BC375" s="303">
        <v>696</v>
      </c>
      <c r="BD375" s="309">
        <v>0.3411764705882353</v>
      </c>
      <c r="BE375" s="309">
        <v>0.3591331269349845</v>
      </c>
      <c r="BF375" s="303"/>
      <c r="BG375" s="303">
        <v>1069</v>
      </c>
      <c r="BH375" s="309">
        <v>0.95</v>
      </c>
      <c r="BI375" s="309">
        <v>1</v>
      </c>
      <c r="BJ375" s="303">
        <f t="shared" si="330"/>
        <v>1938</v>
      </c>
      <c r="BK375" s="303">
        <v>1886</v>
      </c>
      <c r="BL375" s="309">
        <f t="shared" si="315"/>
        <v>0.92450980392156867</v>
      </c>
      <c r="BM375" s="309">
        <f t="shared" si="332"/>
        <v>0.97316821465428271</v>
      </c>
      <c r="BN375" s="205">
        <f t="shared" si="312"/>
        <v>1886</v>
      </c>
      <c r="BO375" s="205"/>
      <c r="BP375" s="310"/>
      <c r="BQ375" s="308">
        <f t="shared" si="316"/>
        <v>0</v>
      </c>
      <c r="BR375" s="310"/>
      <c r="BS375" s="308">
        <f t="shared" si="317"/>
        <v>0</v>
      </c>
      <c r="BT375" s="310">
        <f>$F375*0.1</f>
        <v>204</v>
      </c>
      <c r="BU375" s="308">
        <f t="shared" si="318"/>
        <v>0.1</v>
      </c>
      <c r="BV375" s="310">
        <f>$F375*0.2</f>
        <v>408</v>
      </c>
      <c r="BW375" s="308">
        <f t="shared" si="319"/>
        <v>0.2</v>
      </c>
      <c r="BX375" s="310">
        <f>$F375*0.3</f>
        <v>612</v>
      </c>
      <c r="BY375" s="308">
        <f t="shared" si="320"/>
        <v>0.3</v>
      </c>
      <c r="BZ375" s="310">
        <f>$F375*0.4</f>
        <v>816</v>
      </c>
      <c r="CA375" s="308">
        <f t="shared" si="321"/>
        <v>0.4</v>
      </c>
      <c r="CB375" s="310">
        <f>$F375*0.5</f>
        <v>1020</v>
      </c>
      <c r="CC375" s="308">
        <f t="shared" si="322"/>
        <v>0.5</v>
      </c>
      <c r="CD375" s="310">
        <f>$F375*0.55</f>
        <v>1122</v>
      </c>
      <c r="CE375" s="308">
        <f t="shared" si="345"/>
        <v>0.55000000000000004</v>
      </c>
      <c r="CF375" s="310">
        <v>1428</v>
      </c>
      <c r="CG375" s="308">
        <f t="shared" si="324"/>
        <v>0.7</v>
      </c>
      <c r="CH375" s="310">
        <f>$F375*0.7</f>
        <v>1428</v>
      </c>
      <c r="CI375" s="308">
        <f t="shared" si="346"/>
        <v>0.7</v>
      </c>
      <c r="CJ375" s="310">
        <f>$F375*0.75</f>
        <v>1530</v>
      </c>
      <c r="CK375" s="308">
        <f t="shared" si="326"/>
        <v>0.75</v>
      </c>
      <c r="CL375" s="310">
        <f>$F375*0.75</f>
        <v>1530</v>
      </c>
      <c r="CM375" s="308">
        <f t="shared" si="327"/>
        <v>0.75</v>
      </c>
      <c r="CN375" s="310">
        <f>$F375*0.95</f>
        <v>1938</v>
      </c>
      <c r="CO375" s="308">
        <f t="shared" si="328"/>
        <v>0.95</v>
      </c>
      <c r="CP375" s="213" t="str">
        <f t="shared" si="333"/>
        <v>Đạt</v>
      </c>
      <c r="CQ375" s="213" t="str">
        <f t="shared" si="334"/>
        <v>Đạt</v>
      </c>
      <c r="CR375" s="312"/>
      <c r="CS375" s="312"/>
      <c r="CT375" s="345"/>
      <c r="CU375" s="163"/>
      <c r="CW375" s="195"/>
      <c r="CX375" s="196"/>
      <c r="CY375" s="196"/>
      <c r="CZ375" s="197"/>
      <c r="DA375" s="196"/>
      <c r="DB375" s="196"/>
      <c r="DC375" s="196"/>
      <c r="DE375" s="199"/>
      <c r="DF375" s="200"/>
      <c r="DG375" s="181"/>
    </row>
    <row r="376" spans="1:112" ht="18" customHeight="1" x14ac:dyDescent="0.25">
      <c r="A376" s="213">
        <f>MAX(A$243:A374)+1</f>
        <v>38</v>
      </c>
      <c r="B376" s="240" t="s">
        <v>431</v>
      </c>
      <c r="C376" s="240"/>
      <c r="D376" s="188">
        <f t="shared" ref="D376:I376" si="349">D377+D378</f>
        <v>11500</v>
      </c>
      <c r="E376" s="188">
        <f t="shared" si="349"/>
        <v>0</v>
      </c>
      <c r="F376" s="188">
        <f t="shared" si="349"/>
        <v>11500</v>
      </c>
      <c r="G376" s="188">
        <f t="shared" si="349"/>
        <v>3000</v>
      </c>
      <c r="H376" s="188">
        <f t="shared" si="349"/>
        <v>8500</v>
      </c>
      <c r="I376" s="188">
        <f t="shared" si="349"/>
        <v>0</v>
      </c>
      <c r="J376" s="188"/>
      <c r="K376" s="188">
        <f>K377+K378</f>
        <v>0</v>
      </c>
      <c r="L376" s="188">
        <f>L377+L378</f>
        <v>0</v>
      </c>
      <c r="M376" s="188">
        <f>M377+M378</f>
        <v>0</v>
      </c>
      <c r="N376" s="188">
        <f>N377+N378</f>
        <v>0</v>
      </c>
      <c r="O376" s="188">
        <f>O377+O378</f>
        <v>3000</v>
      </c>
      <c r="P376" s="188">
        <v>0</v>
      </c>
      <c r="Q376" s="186">
        <f t="shared" si="329"/>
        <v>0</v>
      </c>
      <c r="R376" s="188">
        <v>0</v>
      </c>
      <c r="S376" s="185">
        <v>0</v>
      </c>
      <c r="T376" s="185">
        <v>0</v>
      </c>
      <c r="U376" s="188">
        <v>0</v>
      </c>
      <c r="V376" s="185">
        <v>0</v>
      </c>
      <c r="W376" s="185">
        <v>0</v>
      </c>
      <c r="X376" s="188">
        <v>0</v>
      </c>
      <c r="Y376" s="185">
        <v>0</v>
      </c>
      <c r="Z376" s="185">
        <v>0</v>
      </c>
      <c r="AA376" s="188">
        <v>0</v>
      </c>
      <c r="AB376" s="185">
        <v>0</v>
      </c>
      <c r="AC376" s="185">
        <v>0</v>
      </c>
      <c r="AD376" s="188">
        <v>413</v>
      </c>
      <c r="AE376" s="185">
        <v>3.5913043478260867E-2</v>
      </c>
      <c r="AF376" s="185">
        <v>3.780320366132723E-2</v>
      </c>
      <c r="AG376" s="188">
        <v>413</v>
      </c>
      <c r="AH376" s="185">
        <v>3.5913043478260867E-2</v>
      </c>
      <c r="AI376" s="185">
        <v>3.780320366132723E-2</v>
      </c>
      <c r="AJ376" s="303">
        <v>413</v>
      </c>
      <c r="AK376" s="185">
        <v>3.5913043478260867E-2</v>
      </c>
      <c r="AL376" s="185">
        <v>3.780320366132723E-2</v>
      </c>
      <c r="AM376" s="188">
        <v>1549</v>
      </c>
      <c r="AN376" s="185">
        <v>0.13469565217391305</v>
      </c>
      <c r="AO376" s="185">
        <v>0.14178489702517164</v>
      </c>
      <c r="AP376" s="185"/>
      <c r="AQ376" s="188">
        <v>2417</v>
      </c>
      <c r="AR376" s="185">
        <v>0.21017391304347827</v>
      </c>
      <c r="AS376" s="185">
        <v>0.22123569794050343</v>
      </c>
      <c r="AT376" s="188">
        <v>2417</v>
      </c>
      <c r="AU376" s="185">
        <v>0.21017391304347827</v>
      </c>
      <c r="AV376" s="185">
        <v>0.22123569794050343</v>
      </c>
      <c r="AW376" s="185"/>
      <c r="AX376" s="185"/>
      <c r="AY376" s="185"/>
      <c r="AZ376" s="185"/>
      <c r="BA376" s="185"/>
      <c r="BB376" s="185"/>
      <c r="BC376" s="188">
        <v>2417</v>
      </c>
      <c r="BD376" s="185">
        <v>0.21017391304347827</v>
      </c>
      <c r="BE376" s="185">
        <v>0.22123569794050343</v>
      </c>
      <c r="BF376" s="188"/>
      <c r="BG376" s="188">
        <v>4361.5556319999996</v>
      </c>
      <c r="BH376" s="185">
        <v>0.37926570713043473</v>
      </c>
      <c r="BI376" s="185">
        <v>0.39922706013729975</v>
      </c>
      <c r="BJ376" s="188">
        <f t="shared" si="330"/>
        <v>10925</v>
      </c>
      <c r="BK376" s="188">
        <v>6555.8</v>
      </c>
      <c r="BL376" s="185">
        <f t="shared" si="315"/>
        <v>0.57006956521739127</v>
      </c>
      <c r="BM376" s="185">
        <f t="shared" si="332"/>
        <v>0.60007322654462247</v>
      </c>
      <c r="BN376" s="205">
        <f t="shared" si="312"/>
        <v>6142.8</v>
      </c>
      <c r="BO376" s="205"/>
      <c r="BP376" s="189">
        <f>BP377+BP378</f>
        <v>0</v>
      </c>
      <c r="BQ376" s="186">
        <f t="shared" si="316"/>
        <v>0</v>
      </c>
      <c r="BR376" s="189">
        <f>BR377+BR378</f>
        <v>0</v>
      </c>
      <c r="BS376" s="186">
        <f t="shared" si="317"/>
        <v>0</v>
      </c>
      <c r="BT376" s="189">
        <f>BT377+BT378</f>
        <v>1150</v>
      </c>
      <c r="BU376" s="186">
        <f t="shared" si="318"/>
        <v>0.1</v>
      </c>
      <c r="BV376" s="189">
        <f>BV377+BV378</f>
        <v>2300</v>
      </c>
      <c r="BW376" s="186">
        <f t="shared" si="319"/>
        <v>0.2</v>
      </c>
      <c r="BX376" s="189">
        <f>BX377+BX378</f>
        <v>3450</v>
      </c>
      <c r="BY376" s="186">
        <f t="shared" si="320"/>
        <v>0.3</v>
      </c>
      <c r="BZ376" s="189">
        <f>BZ377+BZ378</f>
        <v>4600</v>
      </c>
      <c r="CA376" s="186">
        <f t="shared" si="321"/>
        <v>0.4</v>
      </c>
      <c r="CB376" s="189">
        <f>CB377+CB378</f>
        <v>5750</v>
      </c>
      <c r="CC376" s="186">
        <f t="shared" si="322"/>
        <v>0.5</v>
      </c>
      <c r="CD376" s="189">
        <f>CD377+CD378</f>
        <v>6325</v>
      </c>
      <c r="CE376" s="186">
        <f t="shared" si="345"/>
        <v>0.55000000000000004</v>
      </c>
      <c r="CF376" s="189">
        <f>CF377+CF378</f>
        <v>8050</v>
      </c>
      <c r="CG376" s="186">
        <f t="shared" si="324"/>
        <v>0.7</v>
      </c>
      <c r="CH376" s="189">
        <f>CH377+CH378</f>
        <v>8050</v>
      </c>
      <c r="CI376" s="186">
        <f t="shared" si="346"/>
        <v>0.7</v>
      </c>
      <c r="CJ376" s="189">
        <f>CJ377+CJ378</f>
        <v>8625</v>
      </c>
      <c r="CK376" s="186">
        <f t="shared" si="326"/>
        <v>0.75</v>
      </c>
      <c r="CL376" s="189">
        <f>CL377+CL378</f>
        <v>8625</v>
      </c>
      <c r="CM376" s="186">
        <f t="shared" si="327"/>
        <v>0.75</v>
      </c>
      <c r="CN376" s="189">
        <f>CN377+CN378</f>
        <v>10925</v>
      </c>
      <c r="CO376" s="186">
        <f t="shared" si="328"/>
        <v>0.95</v>
      </c>
      <c r="CP376" s="213" t="str">
        <f t="shared" si="333"/>
        <v>Đạt</v>
      </c>
      <c r="CQ376" s="213" t="str">
        <f t="shared" si="334"/>
        <v>Đạt</v>
      </c>
      <c r="CR376" s="213"/>
      <c r="CS376" s="213"/>
      <c r="CT376" s="231"/>
      <c r="CU376" s="163"/>
      <c r="CW376" s="195"/>
      <c r="CX376" s="196"/>
      <c r="CY376" s="196"/>
      <c r="CZ376" s="197"/>
      <c r="DA376" s="196"/>
      <c r="DB376" s="196"/>
      <c r="DC376" s="196"/>
      <c r="DE376" s="199"/>
      <c r="DF376" s="200"/>
      <c r="DG376" s="181"/>
    </row>
    <row r="377" spans="1:112" outlineLevel="1" x14ac:dyDescent="0.25">
      <c r="A377" s="305" t="s">
        <v>34</v>
      </c>
      <c r="B377" s="306" t="s">
        <v>376</v>
      </c>
      <c r="C377" s="306"/>
      <c r="D377" s="307">
        <f>E377+F377</f>
        <v>3000</v>
      </c>
      <c r="E377" s="307"/>
      <c r="F377" s="307">
        <f>G377+H377+K377+M377</f>
        <v>3000</v>
      </c>
      <c r="G377" s="303">
        <v>3000</v>
      </c>
      <c r="H377" s="303"/>
      <c r="I377" s="303"/>
      <c r="J377" s="303"/>
      <c r="K377" s="303"/>
      <c r="L377" s="303"/>
      <c r="M377" s="223"/>
      <c r="N377" s="223"/>
      <c r="O377" s="303">
        <f>G377+I377+L377+N377</f>
        <v>3000</v>
      </c>
      <c r="P377" s="303">
        <v>0</v>
      </c>
      <c r="Q377" s="308">
        <f t="shared" si="329"/>
        <v>0</v>
      </c>
      <c r="R377" s="303"/>
      <c r="S377" s="309">
        <v>0</v>
      </c>
      <c r="T377" s="309">
        <v>0</v>
      </c>
      <c r="U377" s="303"/>
      <c r="V377" s="309">
        <v>0</v>
      </c>
      <c r="W377" s="309">
        <v>0</v>
      </c>
      <c r="X377" s="303"/>
      <c r="Y377" s="309">
        <v>0</v>
      </c>
      <c r="Z377" s="309">
        <v>0</v>
      </c>
      <c r="AA377" s="303"/>
      <c r="AB377" s="309">
        <v>0</v>
      </c>
      <c r="AC377" s="309">
        <v>0</v>
      </c>
      <c r="AD377" s="303">
        <v>413</v>
      </c>
      <c r="AE377" s="309">
        <v>0.13766666666666666</v>
      </c>
      <c r="AF377" s="309">
        <v>0.14491228070175438</v>
      </c>
      <c r="AG377" s="303">
        <v>413</v>
      </c>
      <c r="AH377" s="309">
        <v>0.13766666666666666</v>
      </c>
      <c r="AI377" s="309">
        <v>0.14491228070175438</v>
      </c>
      <c r="AJ377" s="303">
        <v>413</v>
      </c>
      <c r="AK377" s="309">
        <v>0.13766666666666666</v>
      </c>
      <c r="AL377" s="309">
        <v>0.14491228070175438</v>
      </c>
      <c r="AM377" s="303">
        <v>1549</v>
      </c>
      <c r="AN377" s="309">
        <v>0.51633333333333331</v>
      </c>
      <c r="AO377" s="309">
        <v>0.54350877192982461</v>
      </c>
      <c r="AP377" s="309"/>
      <c r="AQ377" s="303">
        <v>2105</v>
      </c>
      <c r="AR377" s="309">
        <v>0.70166666666666666</v>
      </c>
      <c r="AS377" s="309">
        <v>0.73859649122807014</v>
      </c>
      <c r="AT377" s="303">
        <v>2105</v>
      </c>
      <c r="AU377" s="309">
        <v>0.70166666666666666</v>
      </c>
      <c r="AV377" s="309">
        <v>0.73859649122807014</v>
      </c>
      <c r="AW377" s="309"/>
      <c r="AX377" s="309"/>
      <c r="AY377" s="309"/>
      <c r="AZ377" s="309"/>
      <c r="BA377" s="309"/>
      <c r="BB377" s="309"/>
      <c r="BC377" s="303">
        <v>2105</v>
      </c>
      <c r="BD377" s="309">
        <v>0.70166666666666666</v>
      </c>
      <c r="BE377" s="309">
        <v>0.73859649122807014</v>
      </c>
      <c r="BF377" s="303"/>
      <c r="BG377" s="303">
        <v>2451.1806320000001</v>
      </c>
      <c r="BH377" s="309">
        <v>0.81706021066666668</v>
      </c>
      <c r="BI377" s="309">
        <v>0.86006337964912283</v>
      </c>
      <c r="BJ377" s="303">
        <f t="shared" si="330"/>
        <v>2850</v>
      </c>
      <c r="BK377" s="303">
        <v>2508</v>
      </c>
      <c r="BL377" s="309">
        <f t="shared" si="315"/>
        <v>0.83599999999999997</v>
      </c>
      <c r="BM377" s="309">
        <f t="shared" si="332"/>
        <v>0.88</v>
      </c>
      <c r="BN377" s="205">
        <f t="shared" si="312"/>
        <v>2095</v>
      </c>
      <c r="BO377" s="205"/>
      <c r="BP377" s="310"/>
      <c r="BQ377" s="308">
        <f t="shared" si="316"/>
        <v>0</v>
      </c>
      <c r="BR377" s="310"/>
      <c r="BS377" s="308">
        <f t="shared" si="317"/>
        <v>0</v>
      </c>
      <c r="BT377" s="310">
        <f>$F377*0.1</f>
        <v>300</v>
      </c>
      <c r="BU377" s="308">
        <f t="shared" si="318"/>
        <v>0.1</v>
      </c>
      <c r="BV377" s="310">
        <f>$F377*0.2</f>
        <v>600</v>
      </c>
      <c r="BW377" s="308">
        <f t="shared" si="319"/>
        <v>0.2</v>
      </c>
      <c r="BX377" s="310">
        <f>$F377*0.3</f>
        <v>900</v>
      </c>
      <c r="BY377" s="308">
        <f t="shared" si="320"/>
        <v>0.3</v>
      </c>
      <c r="BZ377" s="310">
        <f>$F377*0.4</f>
        <v>1200</v>
      </c>
      <c r="CA377" s="308">
        <f t="shared" si="321"/>
        <v>0.4</v>
      </c>
      <c r="CB377" s="310">
        <f>$F377*0.5</f>
        <v>1500</v>
      </c>
      <c r="CC377" s="308">
        <f t="shared" si="322"/>
        <v>0.5</v>
      </c>
      <c r="CD377" s="310">
        <f>$F377*0.55</f>
        <v>1650.0000000000002</v>
      </c>
      <c r="CE377" s="308">
        <f t="shared" si="345"/>
        <v>0.55000000000000004</v>
      </c>
      <c r="CF377" s="310">
        <v>2100</v>
      </c>
      <c r="CG377" s="308">
        <f t="shared" si="324"/>
        <v>0.7</v>
      </c>
      <c r="CH377" s="310">
        <f>$F377*0.7</f>
        <v>2100</v>
      </c>
      <c r="CI377" s="308">
        <f t="shared" si="346"/>
        <v>0.7</v>
      </c>
      <c r="CJ377" s="310">
        <f>$F377*0.75</f>
        <v>2250</v>
      </c>
      <c r="CK377" s="308">
        <f t="shared" si="326"/>
        <v>0.75</v>
      </c>
      <c r="CL377" s="310">
        <f>$F377*0.75</f>
        <v>2250</v>
      </c>
      <c r="CM377" s="308">
        <f t="shared" si="327"/>
        <v>0.75</v>
      </c>
      <c r="CN377" s="310">
        <f>$F377*0.95</f>
        <v>2850</v>
      </c>
      <c r="CO377" s="308">
        <f t="shared" si="328"/>
        <v>0.95</v>
      </c>
      <c r="CP377" s="213" t="str">
        <f t="shared" si="333"/>
        <v>Đạt</v>
      </c>
      <c r="CQ377" s="213" t="str">
        <f t="shared" si="334"/>
        <v>Đạt</v>
      </c>
      <c r="CR377" s="312"/>
      <c r="CS377" s="312"/>
      <c r="CT377" s="235"/>
      <c r="CU377" s="163"/>
      <c r="CW377" s="195"/>
      <c r="CX377" s="196"/>
      <c r="CY377" s="196"/>
      <c r="CZ377" s="197"/>
      <c r="DA377" s="196"/>
      <c r="DB377" s="196"/>
      <c r="DC377" s="196"/>
      <c r="DE377" s="199"/>
      <c r="DF377" s="200"/>
      <c r="DG377" s="181"/>
    </row>
    <row r="378" spans="1:112" ht="25.5" outlineLevel="1" x14ac:dyDescent="0.25">
      <c r="A378" s="305" t="s">
        <v>34</v>
      </c>
      <c r="B378" s="306" t="s">
        <v>377</v>
      </c>
      <c r="C378" s="306"/>
      <c r="D378" s="307">
        <f>E378+F378</f>
        <v>8500</v>
      </c>
      <c r="E378" s="307"/>
      <c r="F378" s="307">
        <f>G378+H378+K378+M378</f>
        <v>8500</v>
      </c>
      <c r="G378" s="307"/>
      <c r="H378" s="307">
        <v>8500</v>
      </c>
      <c r="I378" s="235"/>
      <c r="J378" s="235"/>
      <c r="K378" s="303"/>
      <c r="L378" s="235"/>
      <c r="M378" s="223"/>
      <c r="N378" s="223"/>
      <c r="O378" s="303"/>
      <c r="P378" s="303">
        <v>0</v>
      </c>
      <c r="Q378" s="308">
        <f t="shared" si="329"/>
        <v>0</v>
      </c>
      <c r="R378" s="303"/>
      <c r="S378" s="309">
        <v>0</v>
      </c>
      <c r="T378" s="309">
        <v>0</v>
      </c>
      <c r="U378" s="303"/>
      <c r="V378" s="309">
        <v>0</v>
      </c>
      <c r="W378" s="309">
        <v>0</v>
      </c>
      <c r="X378" s="303"/>
      <c r="Y378" s="309">
        <v>0</v>
      </c>
      <c r="Z378" s="309">
        <v>0</v>
      </c>
      <c r="AA378" s="303"/>
      <c r="AB378" s="309">
        <v>0</v>
      </c>
      <c r="AC378" s="309">
        <v>0</v>
      </c>
      <c r="AD378" s="303"/>
      <c r="AE378" s="309">
        <v>0</v>
      </c>
      <c r="AF378" s="309">
        <v>0</v>
      </c>
      <c r="AG378" s="303"/>
      <c r="AH378" s="309">
        <v>0</v>
      </c>
      <c r="AI378" s="309">
        <v>0</v>
      </c>
      <c r="AJ378" s="188"/>
      <c r="AK378" s="309">
        <v>0</v>
      </c>
      <c r="AL378" s="309">
        <v>0</v>
      </c>
      <c r="AM378" s="303"/>
      <c r="AN378" s="309">
        <v>0</v>
      </c>
      <c r="AO378" s="309">
        <v>0</v>
      </c>
      <c r="AP378" s="309"/>
      <c r="AQ378" s="303">
        <v>312</v>
      </c>
      <c r="AR378" s="309">
        <v>3.6705882352941178E-2</v>
      </c>
      <c r="AS378" s="309">
        <v>3.8637770897832817E-2</v>
      </c>
      <c r="AT378" s="303">
        <v>312</v>
      </c>
      <c r="AU378" s="309">
        <v>3.6705882352941178E-2</v>
      </c>
      <c r="AV378" s="309">
        <v>3.8637770897832817E-2</v>
      </c>
      <c r="AW378" s="309"/>
      <c r="AX378" s="309"/>
      <c r="AY378" s="309"/>
      <c r="AZ378" s="309"/>
      <c r="BA378" s="309"/>
      <c r="BB378" s="309"/>
      <c r="BC378" s="303">
        <v>312</v>
      </c>
      <c r="BD378" s="309">
        <v>3.6705882352941178E-2</v>
      </c>
      <c r="BE378" s="309">
        <v>3.8637770897832817E-2</v>
      </c>
      <c r="BF378" s="303"/>
      <c r="BG378" s="303">
        <v>1910.375</v>
      </c>
      <c r="BH378" s="309">
        <v>0.22475000000000001</v>
      </c>
      <c r="BI378" s="309">
        <v>0.23657894736842106</v>
      </c>
      <c r="BJ378" s="303">
        <f t="shared" si="330"/>
        <v>8075</v>
      </c>
      <c r="BK378" s="303">
        <v>1910.375</v>
      </c>
      <c r="BL378" s="309">
        <f t="shared" si="315"/>
        <v>0.22475000000000001</v>
      </c>
      <c r="BM378" s="309">
        <f t="shared" si="332"/>
        <v>0.23657894736842106</v>
      </c>
      <c r="BN378" s="205">
        <f t="shared" si="312"/>
        <v>1910.375</v>
      </c>
      <c r="BO378" s="205"/>
      <c r="BP378" s="310"/>
      <c r="BQ378" s="308">
        <f t="shared" si="316"/>
        <v>0</v>
      </c>
      <c r="BR378" s="310"/>
      <c r="BS378" s="308">
        <f t="shared" si="317"/>
        <v>0</v>
      </c>
      <c r="BT378" s="310">
        <f>$F378*0.1</f>
        <v>850</v>
      </c>
      <c r="BU378" s="308">
        <f t="shared" si="318"/>
        <v>0.1</v>
      </c>
      <c r="BV378" s="310">
        <f>$F378*0.2</f>
        <v>1700</v>
      </c>
      <c r="BW378" s="308">
        <f t="shared" si="319"/>
        <v>0.2</v>
      </c>
      <c r="BX378" s="310">
        <f>$F378*0.3</f>
        <v>2550</v>
      </c>
      <c r="BY378" s="308">
        <f t="shared" si="320"/>
        <v>0.3</v>
      </c>
      <c r="BZ378" s="310">
        <f>$F378*0.4</f>
        <v>3400</v>
      </c>
      <c r="CA378" s="308">
        <f t="shared" si="321"/>
        <v>0.4</v>
      </c>
      <c r="CB378" s="310">
        <f>$F378*0.5</f>
        <v>4250</v>
      </c>
      <c r="CC378" s="308">
        <f t="shared" si="322"/>
        <v>0.5</v>
      </c>
      <c r="CD378" s="310">
        <f>$F378*0.55</f>
        <v>4675</v>
      </c>
      <c r="CE378" s="308">
        <f t="shared" si="345"/>
        <v>0.55000000000000004</v>
      </c>
      <c r="CF378" s="310">
        <v>5950</v>
      </c>
      <c r="CG378" s="308">
        <f t="shared" si="324"/>
        <v>0.7</v>
      </c>
      <c r="CH378" s="310">
        <f>$F378*0.7</f>
        <v>5950</v>
      </c>
      <c r="CI378" s="308">
        <f t="shared" si="346"/>
        <v>0.7</v>
      </c>
      <c r="CJ378" s="310">
        <f>$F378*0.75</f>
        <v>6375</v>
      </c>
      <c r="CK378" s="308">
        <f t="shared" si="326"/>
        <v>0.75</v>
      </c>
      <c r="CL378" s="310">
        <f>$F378*0.75</f>
        <v>6375</v>
      </c>
      <c r="CM378" s="308">
        <f t="shared" si="327"/>
        <v>0.75</v>
      </c>
      <c r="CN378" s="310">
        <f>$F378*0.95</f>
        <v>8075</v>
      </c>
      <c r="CO378" s="308">
        <f t="shared" si="328"/>
        <v>0.95</v>
      </c>
      <c r="CP378" s="213" t="str">
        <f t="shared" si="333"/>
        <v>Không đạt</v>
      </c>
      <c r="CQ378" s="213" t="str">
        <f t="shared" si="334"/>
        <v>Không đạt</v>
      </c>
      <c r="CR378" s="312"/>
      <c r="CS378" s="312"/>
      <c r="CT378" s="235"/>
      <c r="CU378" s="163"/>
      <c r="CW378" s="195"/>
      <c r="CX378" s="196"/>
      <c r="CY378" s="196"/>
      <c r="CZ378" s="197"/>
      <c r="DA378" s="196"/>
      <c r="DB378" s="196"/>
      <c r="DC378" s="196"/>
      <c r="DE378" s="199"/>
      <c r="DF378" s="200"/>
      <c r="DG378" s="181"/>
    </row>
    <row r="379" spans="1:112" ht="18" customHeight="1" x14ac:dyDescent="0.25">
      <c r="A379" s="213">
        <f>MAX(A$243:A377)+1</f>
        <v>39</v>
      </c>
      <c r="B379" s="240" t="s">
        <v>432</v>
      </c>
      <c r="C379" s="240"/>
      <c r="D379" s="188">
        <f t="shared" ref="D379:I379" si="350">D380+D381</f>
        <v>4275</v>
      </c>
      <c r="E379" s="188">
        <f t="shared" si="350"/>
        <v>0</v>
      </c>
      <c r="F379" s="188">
        <f t="shared" si="350"/>
        <v>4275</v>
      </c>
      <c r="G379" s="188">
        <f t="shared" si="350"/>
        <v>3000</v>
      </c>
      <c r="H379" s="188">
        <f t="shared" si="350"/>
        <v>1275</v>
      </c>
      <c r="I379" s="188">
        <f t="shared" si="350"/>
        <v>0</v>
      </c>
      <c r="J379" s="188"/>
      <c r="K379" s="188">
        <f>K380+K381</f>
        <v>0</v>
      </c>
      <c r="L379" s="188">
        <f>L380+L381</f>
        <v>0</v>
      </c>
      <c r="M379" s="188">
        <f>M380+M381</f>
        <v>0</v>
      </c>
      <c r="N379" s="188">
        <f>N380+N381</f>
        <v>0</v>
      </c>
      <c r="O379" s="188">
        <f>O380+O381</f>
        <v>3000</v>
      </c>
      <c r="P379" s="188">
        <v>0</v>
      </c>
      <c r="Q379" s="186">
        <f t="shared" si="329"/>
        <v>0</v>
      </c>
      <c r="R379" s="188">
        <v>0</v>
      </c>
      <c r="S379" s="185">
        <v>0</v>
      </c>
      <c r="T379" s="185">
        <v>0</v>
      </c>
      <c r="U379" s="188">
        <v>0</v>
      </c>
      <c r="V379" s="185">
        <v>0</v>
      </c>
      <c r="W379" s="185">
        <v>0</v>
      </c>
      <c r="X379" s="188">
        <v>0</v>
      </c>
      <c r="Y379" s="185">
        <v>0</v>
      </c>
      <c r="Z379" s="185">
        <v>0</v>
      </c>
      <c r="AA379" s="188">
        <v>0</v>
      </c>
      <c r="AB379" s="185">
        <v>0</v>
      </c>
      <c r="AC379" s="185">
        <v>0</v>
      </c>
      <c r="AD379" s="188">
        <v>0</v>
      </c>
      <c r="AE379" s="185">
        <v>0</v>
      </c>
      <c r="AF379" s="185">
        <v>0</v>
      </c>
      <c r="AG379" s="188">
        <v>0</v>
      </c>
      <c r="AH379" s="185">
        <v>0</v>
      </c>
      <c r="AI379" s="185">
        <v>0</v>
      </c>
      <c r="AJ379" s="303">
        <v>0</v>
      </c>
      <c r="AK379" s="185">
        <v>0</v>
      </c>
      <c r="AL379" s="185">
        <v>0</v>
      </c>
      <c r="AM379" s="314">
        <v>0</v>
      </c>
      <c r="AN379" s="185">
        <v>0</v>
      </c>
      <c r="AO379" s="185">
        <v>0</v>
      </c>
      <c r="AP379" s="185"/>
      <c r="AQ379" s="188">
        <v>1800.9659999999999</v>
      </c>
      <c r="AR379" s="185">
        <v>0.42127859649122806</v>
      </c>
      <c r="AS379" s="185">
        <v>0.44345115420129266</v>
      </c>
      <c r="AT379" s="188">
        <v>1800.9659999999999</v>
      </c>
      <c r="AU379" s="185">
        <v>0.42127859649122806</v>
      </c>
      <c r="AV379" s="185">
        <v>0.44345115420129266</v>
      </c>
      <c r="AW379" s="185"/>
      <c r="AX379" s="185"/>
      <c r="AY379" s="185"/>
      <c r="AZ379" s="185"/>
      <c r="BA379" s="185"/>
      <c r="BB379" s="185"/>
      <c r="BC379" s="188">
        <v>1800.9659999999999</v>
      </c>
      <c r="BD379" s="185">
        <v>0.42127859649122806</v>
      </c>
      <c r="BE379" s="185">
        <v>0.44345115420129266</v>
      </c>
      <c r="BF379" s="188"/>
      <c r="BG379" s="188">
        <v>1800.9659999999999</v>
      </c>
      <c r="BH379" s="185">
        <v>0.42127859649122806</v>
      </c>
      <c r="BI379" s="185">
        <v>0.44345115420129266</v>
      </c>
      <c r="BJ379" s="188">
        <f t="shared" si="330"/>
        <v>4061.25</v>
      </c>
      <c r="BK379" s="188">
        <f>BK380+BK381</f>
        <v>1800.9659999999999</v>
      </c>
      <c r="BL379" s="185">
        <f t="shared" si="315"/>
        <v>0.42127859649122806</v>
      </c>
      <c r="BM379" s="185">
        <f t="shared" si="332"/>
        <v>0.44345115420129266</v>
      </c>
      <c r="BN379" s="205">
        <f t="shared" si="312"/>
        <v>1800.9659999999999</v>
      </c>
      <c r="BO379" s="205"/>
      <c r="BP379" s="189">
        <f>BP380+BP381</f>
        <v>0</v>
      </c>
      <c r="BQ379" s="186">
        <f t="shared" si="316"/>
        <v>0</v>
      </c>
      <c r="BR379" s="189">
        <f>BR380+BR381</f>
        <v>0</v>
      </c>
      <c r="BS379" s="186">
        <f t="shared" si="317"/>
        <v>0</v>
      </c>
      <c r="BT379" s="189">
        <f>BT380+BT381</f>
        <v>427.5</v>
      </c>
      <c r="BU379" s="186">
        <f t="shared" si="318"/>
        <v>0.1</v>
      </c>
      <c r="BV379" s="189">
        <f>BV380+BV381</f>
        <v>855</v>
      </c>
      <c r="BW379" s="186">
        <f t="shared" si="319"/>
        <v>0.2</v>
      </c>
      <c r="BX379" s="189">
        <f>BX380+BX381</f>
        <v>1282.5</v>
      </c>
      <c r="BY379" s="186">
        <f t="shared" si="320"/>
        <v>0.3</v>
      </c>
      <c r="BZ379" s="189">
        <f>BZ380+BZ381</f>
        <v>1710</v>
      </c>
      <c r="CA379" s="186">
        <f t="shared" si="321"/>
        <v>0.4</v>
      </c>
      <c r="CB379" s="189">
        <f>CB380+CB381</f>
        <v>2137.5</v>
      </c>
      <c r="CC379" s="186">
        <f t="shared" si="322"/>
        <v>0.5</v>
      </c>
      <c r="CD379" s="189">
        <f>CD380+CD381</f>
        <v>2351.25</v>
      </c>
      <c r="CE379" s="186">
        <f t="shared" si="345"/>
        <v>0.55000000000000004</v>
      </c>
      <c r="CF379" s="189">
        <f>CF380+CF381</f>
        <v>2992.5</v>
      </c>
      <c r="CG379" s="186">
        <f t="shared" si="324"/>
        <v>0.7</v>
      </c>
      <c r="CH379" s="189">
        <f>CH380+CH381</f>
        <v>2992.5</v>
      </c>
      <c r="CI379" s="186">
        <f t="shared" si="346"/>
        <v>0.7</v>
      </c>
      <c r="CJ379" s="189">
        <f>CJ380+CJ381</f>
        <v>3206.25</v>
      </c>
      <c r="CK379" s="186">
        <f t="shared" si="326"/>
        <v>0.75</v>
      </c>
      <c r="CL379" s="189">
        <f>CL380+CL381</f>
        <v>3206.25</v>
      </c>
      <c r="CM379" s="186">
        <f t="shared" si="327"/>
        <v>0.75</v>
      </c>
      <c r="CN379" s="189">
        <f>CN380+CN381</f>
        <v>4061.25</v>
      </c>
      <c r="CO379" s="186">
        <f t="shared" si="328"/>
        <v>0.95</v>
      </c>
      <c r="CP379" s="213" t="str">
        <f t="shared" si="333"/>
        <v>Đạt</v>
      </c>
      <c r="CQ379" s="213" t="str">
        <f t="shared" si="334"/>
        <v>Đạt</v>
      </c>
      <c r="CR379" s="213"/>
      <c r="CS379" s="213"/>
      <c r="CT379" s="229"/>
      <c r="CU379" s="163"/>
      <c r="CW379" s="195"/>
      <c r="CX379" s="196"/>
      <c r="CY379" s="196"/>
      <c r="CZ379" s="197"/>
      <c r="DA379" s="196"/>
      <c r="DB379" s="196"/>
      <c r="DC379" s="196"/>
      <c r="DE379" s="199"/>
      <c r="DF379" s="200"/>
      <c r="DG379" s="181"/>
    </row>
    <row r="380" spans="1:112" outlineLevel="1" x14ac:dyDescent="0.25">
      <c r="A380" s="305" t="s">
        <v>34</v>
      </c>
      <c r="B380" s="306" t="s">
        <v>376</v>
      </c>
      <c r="C380" s="306"/>
      <c r="D380" s="307">
        <f>E380+F380</f>
        <v>3000</v>
      </c>
      <c r="E380" s="307"/>
      <c r="F380" s="307">
        <f>G380+H380+K380+M380</f>
        <v>3000</v>
      </c>
      <c r="G380" s="303">
        <v>3000</v>
      </c>
      <c r="H380" s="303"/>
      <c r="I380" s="303"/>
      <c r="J380" s="303"/>
      <c r="K380" s="303"/>
      <c r="L380" s="235"/>
      <c r="M380" s="223"/>
      <c r="N380" s="223"/>
      <c r="O380" s="303">
        <f>G380+I380+L380+N380</f>
        <v>3000</v>
      </c>
      <c r="P380" s="303">
        <v>0</v>
      </c>
      <c r="Q380" s="308">
        <f t="shared" si="329"/>
        <v>0</v>
      </c>
      <c r="R380" s="303"/>
      <c r="S380" s="309">
        <v>0</v>
      </c>
      <c r="T380" s="309">
        <v>0</v>
      </c>
      <c r="U380" s="303"/>
      <c r="V380" s="309">
        <v>0</v>
      </c>
      <c r="W380" s="309">
        <v>0</v>
      </c>
      <c r="X380" s="303"/>
      <c r="Y380" s="309">
        <v>0</v>
      </c>
      <c r="Z380" s="309">
        <v>0</v>
      </c>
      <c r="AA380" s="303"/>
      <c r="AB380" s="309">
        <v>0</v>
      </c>
      <c r="AC380" s="309">
        <v>0</v>
      </c>
      <c r="AD380" s="303"/>
      <c r="AE380" s="309">
        <v>0</v>
      </c>
      <c r="AF380" s="309">
        <v>0</v>
      </c>
      <c r="AG380" s="303"/>
      <c r="AH380" s="309">
        <v>0</v>
      </c>
      <c r="AI380" s="309">
        <v>0</v>
      </c>
      <c r="AJ380" s="303"/>
      <c r="AK380" s="309">
        <v>0</v>
      </c>
      <c r="AL380" s="309">
        <v>0</v>
      </c>
      <c r="AM380" s="303"/>
      <c r="AN380" s="309">
        <v>0</v>
      </c>
      <c r="AO380" s="309">
        <v>0</v>
      </c>
      <c r="AP380" s="309"/>
      <c r="AQ380" s="303">
        <v>1800.9659999999999</v>
      </c>
      <c r="AR380" s="309">
        <v>0.60032199999999991</v>
      </c>
      <c r="AS380" s="309">
        <v>0.63191789473684212</v>
      </c>
      <c r="AT380" s="303">
        <v>1800.9659999999999</v>
      </c>
      <c r="AU380" s="309">
        <v>0.60032199999999991</v>
      </c>
      <c r="AV380" s="309">
        <v>0.63191789473684212</v>
      </c>
      <c r="AW380" s="309"/>
      <c r="AX380" s="309"/>
      <c r="AY380" s="309"/>
      <c r="AZ380" s="309"/>
      <c r="BA380" s="309"/>
      <c r="BB380" s="309"/>
      <c r="BC380" s="303">
        <v>1800.9659999999999</v>
      </c>
      <c r="BD380" s="309">
        <v>0.60032199999999991</v>
      </c>
      <c r="BE380" s="309">
        <v>0.63191789473684212</v>
      </c>
      <c r="BF380" s="303"/>
      <c r="BG380" s="303">
        <v>1800.9659999999999</v>
      </c>
      <c r="BH380" s="309">
        <v>0.60032199999999991</v>
      </c>
      <c r="BI380" s="309">
        <v>0.63191789473684212</v>
      </c>
      <c r="BJ380" s="303">
        <f t="shared" si="330"/>
        <v>2850</v>
      </c>
      <c r="BK380" s="303">
        <v>1800.9659999999999</v>
      </c>
      <c r="BL380" s="309">
        <f t="shared" si="315"/>
        <v>0.60032199999999991</v>
      </c>
      <c r="BM380" s="309">
        <f t="shared" si="332"/>
        <v>0.63191789473684212</v>
      </c>
      <c r="BN380" s="205">
        <f t="shared" si="312"/>
        <v>1800.9659999999999</v>
      </c>
      <c r="BO380" s="205"/>
      <c r="BP380" s="310"/>
      <c r="BQ380" s="308">
        <f t="shared" si="316"/>
        <v>0</v>
      </c>
      <c r="BR380" s="310"/>
      <c r="BS380" s="308">
        <f t="shared" si="317"/>
        <v>0</v>
      </c>
      <c r="BT380" s="310">
        <f>$F380*0.1</f>
        <v>300</v>
      </c>
      <c r="BU380" s="308">
        <f t="shared" si="318"/>
        <v>0.1</v>
      </c>
      <c r="BV380" s="310">
        <f>$F380*0.2</f>
        <v>600</v>
      </c>
      <c r="BW380" s="308">
        <f t="shared" si="319"/>
        <v>0.2</v>
      </c>
      <c r="BX380" s="310">
        <f>$F380*0.3</f>
        <v>900</v>
      </c>
      <c r="BY380" s="308">
        <f t="shared" si="320"/>
        <v>0.3</v>
      </c>
      <c r="BZ380" s="310">
        <f>$F380*0.4</f>
        <v>1200</v>
      </c>
      <c r="CA380" s="308">
        <f t="shared" si="321"/>
        <v>0.4</v>
      </c>
      <c r="CB380" s="310">
        <f>$F380*0.5</f>
        <v>1500</v>
      </c>
      <c r="CC380" s="308">
        <f t="shared" si="322"/>
        <v>0.5</v>
      </c>
      <c r="CD380" s="310">
        <f>$F380*0.55</f>
        <v>1650.0000000000002</v>
      </c>
      <c r="CE380" s="308">
        <f t="shared" si="345"/>
        <v>0.55000000000000004</v>
      </c>
      <c r="CF380" s="310">
        <v>2100</v>
      </c>
      <c r="CG380" s="308">
        <f t="shared" si="324"/>
        <v>0.7</v>
      </c>
      <c r="CH380" s="310">
        <f>$F380*0.7</f>
        <v>2100</v>
      </c>
      <c r="CI380" s="308">
        <f t="shared" si="346"/>
        <v>0.7</v>
      </c>
      <c r="CJ380" s="310">
        <f>$F380*0.75</f>
        <v>2250</v>
      </c>
      <c r="CK380" s="308">
        <f t="shared" si="326"/>
        <v>0.75</v>
      </c>
      <c r="CL380" s="310">
        <f>$F380*0.75</f>
        <v>2250</v>
      </c>
      <c r="CM380" s="308">
        <f t="shared" si="327"/>
        <v>0.75</v>
      </c>
      <c r="CN380" s="310">
        <f>$F380*0.95</f>
        <v>2850</v>
      </c>
      <c r="CO380" s="308">
        <f t="shared" si="328"/>
        <v>0.95</v>
      </c>
      <c r="CP380" s="213" t="str">
        <f t="shared" si="333"/>
        <v>Đạt</v>
      </c>
      <c r="CQ380" s="213" t="str">
        <f t="shared" si="334"/>
        <v>Đạt</v>
      </c>
      <c r="CR380" s="312"/>
      <c r="CS380" s="312"/>
      <c r="CT380" s="235"/>
      <c r="CU380" s="163"/>
      <c r="CW380" s="195"/>
      <c r="CX380" s="196"/>
      <c r="CY380" s="196"/>
      <c r="CZ380" s="197"/>
      <c r="DA380" s="196"/>
      <c r="DB380" s="196"/>
      <c r="DC380" s="196"/>
      <c r="DE380" s="199"/>
      <c r="DF380" s="200"/>
      <c r="DG380" s="181"/>
    </row>
    <row r="381" spans="1:112" ht="25.5" outlineLevel="1" x14ac:dyDescent="0.25">
      <c r="A381" s="305" t="s">
        <v>34</v>
      </c>
      <c r="B381" s="306" t="s">
        <v>377</v>
      </c>
      <c r="C381" s="306"/>
      <c r="D381" s="307">
        <f>E381+F381</f>
        <v>1275</v>
      </c>
      <c r="E381" s="307"/>
      <c r="F381" s="307">
        <f>G381+H381+K381+M381</f>
        <v>1275</v>
      </c>
      <c r="G381" s="307"/>
      <c r="H381" s="307">
        <v>1275</v>
      </c>
      <c r="I381" s="235"/>
      <c r="J381" s="235"/>
      <c r="K381" s="303"/>
      <c r="L381" s="235"/>
      <c r="M381" s="223"/>
      <c r="N381" s="223"/>
      <c r="O381" s="303"/>
      <c r="P381" s="303">
        <v>0</v>
      </c>
      <c r="Q381" s="308">
        <f t="shared" si="329"/>
        <v>0</v>
      </c>
      <c r="R381" s="303"/>
      <c r="S381" s="309">
        <v>0</v>
      </c>
      <c r="T381" s="309">
        <v>0</v>
      </c>
      <c r="U381" s="303"/>
      <c r="V381" s="309">
        <v>0</v>
      </c>
      <c r="W381" s="309">
        <v>0</v>
      </c>
      <c r="X381" s="303"/>
      <c r="Y381" s="309">
        <v>0</v>
      </c>
      <c r="Z381" s="309">
        <v>0</v>
      </c>
      <c r="AA381" s="303"/>
      <c r="AB381" s="309">
        <v>0</v>
      </c>
      <c r="AC381" s="309">
        <v>0</v>
      </c>
      <c r="AD381" s="303"/>
      <c r="AE381" s="309">
        <v>0</v>
      </c>
      <c r="AF381" s="309">
        <v>0</v>
      </c>
      <c r="AG381" s="303"/>
      <c r="AH381" s="309">
        <v>0</v>
      </c>
      <c r="AI381" s="309">
        <v>0</v>
      </c>
      <c r="AJ381" s="188"/>
      <c r="AK381" s="309">
        <v>0</v>
      </c>
      <c r="AL381" s="309">
        <v>0</v>
      </c>
      <c r="AM381" s="303"/>
      <c r="AN381" s="309">
        <v>0</v>
      </c>
      <c r="AO381" s="309">
        <v>0</v>
      </c>
      <c r="AP381" s="309"/>
      <c r="AQ381" s="303"/>
      <c r="AR381" s="309">
        <v>0</v>
      </c>
      <c r="AS381" s="309">
        <v>0</v>
      </c>
      <c r="AT381" s="303"/>
      <c r="AU381" s="309">
        <v>0</v>
      </c>
      <c r="AV381" s="309">
        <v>0</v>
      </c>
      <c r="AW381" s="309"/>
      <c r="AX381" s="309"/>
      <c r="AY381" s="309"/>
      <c r="AZ381" s="309"/>
      <c r="BA381" s="309"/>
      <c r="BB381" s="309"/>
      <c r="BC381" s="303"/>
      <c r="BD381" s="309">
        <v>0</v>
      </c>
      <c r="BE381" s="309">
        <v>0</v>
      </c>
      <c r="BF381" s="303"/>
      <c r="BG381" s="303"/>
      <c r="BH381" s="309">
        <v>0</v>
      </c>
      <c r="BI381" s="309">
        <v>0</v>
      </c>
      <c r="BJ381" s="303">
        <f t="shared" si="330"/>
        <v>1211.25</v>
      </c>
      <c r="BK381" s="303"/>
      <c r="BL381" s="309">
        <f t="shared" si="315"/>
        <v>0</v>
      </c>
      <c r="BM381" s="309">
        <f t="shared" si="332"/>
        <v>0</v>
      </c>
      <c r="BN381" s="205">
        <f t="shared" si="312"/>
        <v>0</v>
      </c>
      <c r="BO381" s="205"/>
      <c r="BP381" s="310"/>
      <c r="BQ381" s="308">
        <f t="shared" si="316"/>
        <v>0</v>
      </c>
      <c r="BR381" s="310"/>
      <c r="BS381" s="308">
        <f t="shared" si="317"/>
        <v>0</v>
      </c>
      <c r="BT381" s="310">
        <f>$F381*0.1</f>
        <v>127.5</v>
      </c>
      <c r="BU381" s="308">
        <f t="shared" si="318"/>
        <v>0.1</v>
      </c>
      <c r="BV381" s="310">
        <f>$F381*0.2</f>
        <v>255</v>
      </c>
      <c r="BW381" s="308">
        <f t="shared" si="319"/>
        <v>0.2</v>
      </c>
      <c r="BX381" s="310">
        <f>$F381*0.3</f>
        <v>382.5</v>
      </c>
      <c r="BY381" s="308">
        <f t="shared" si="320"/>
        <v>0.3</v>
      </c>
      <c r="BZ381" s="310">
        <f>$F381*0.4</f>
        <v>510</v>
      </c>
      <c r="CA381" s="308">
        <f t="shared" si="321"/>
        <v>0.4</v>
      </c>
      <c r="CB381" s="310">
        <f>$F381*0.5</f>
        <v>637.5</v>
      </c>
      <c r="CC381" s="308">
        <f t="shared" si="322"/>
        <v>0.5</v>
      </c>
      <c r="CD381" s="310">
        <f>$F381*0.55</f>
        <v>701.25</v>
      </c>
      <c r="CE381" s="308">
        <f t="shared" si="345"/>
        <v>0.55000000000000004</v>
      </c>
      <c r="CF381" s="310">
        <v>892.5</v>
      </c>
      <c r="CG381" s="308">
        <f t="shared" si="324"/>
        <v>0.7</v>
      </c>
      <c r="CH381" s="310">
        <f>$F381*0.7</f>
        <v>892.5</v>
      </c>
      <c r="CI381" s="308">
        <f t="shared" si="346"/>
        <v>0.7</v>
      </c>
      <c r="CJ381" s="310">
        <f>$F381*0.75</f>
        <v>956.25</v>
      </c>
      <c r="CK381" s="308">
        <f t="shared" si="326"/>
        <v>0.75</v>
      </c>
      <c r="CL381" s="310">
        <f>$F381*0.75</f>
        <v>956.25</v>
      </c>
      <c r="CM381" s="308">
        <f t="shared" si="327"/>
        <v>0.75</v>
      </c>
      <c r="CN381" s="310">
        <f>$F381*0.95</f>
        <v>1211.25</v>
      </c>
      <c r="CO381" s="308">
        <f t="shared" si="328"/>
        <v>0.95</v>
      </c>
      <c r="CP381" s="213" t="str">
        <f t="shared" si="333"/>
        <v>Không đạt</v>
      </c>
      <c r="CQ381" s="213" t="str">
        <f t="shared" si="334"/>
        <v>Không đạt</v>
      </c>
      <c r="CR381" s="312"/>
      <c r="CS381" s="312"/>
      <c r="CT381" s="235"/>
      <c r="CU381" s="163"/>
      <c r="CW381" s="195"/>
      <c r="CX381" s="196"/>
      <c r="CY381" s="196"/>
      <c r="CZ381" s="197"/>
      <c r="DA381" s="196"/>
      <c r="DB381" s="196"/>
      <c r="DC381" s="196"/>
      <c r="DE381" s="199"/>
      <c r="DF381" s="200"/>
      <c r="DG381" s="181"/>
    </row>
    <row r="382" spans="1:112" ht="18" customHeight="1" x14ac:dyDescent="0.25">
      <c r="A382" s="213">
        <f>MAX(A$243:A380)+1</f>
        <v>40</v>
      </c>
      <c r="B382" s="240" t="s">
        <v>433</v>
      </c>
      <c r="C382" s="240"/>
      <c r="D382" s="188">
        <f t="shared" ref="D382:I382" si="351">D383+D384</f>
        <v>6825</v>
      </c>
      <c r="E382" s="188">
        <f t="shared" si="351"/>
        <v>0</v>
      </c>
      <c r="F382" s="188">
        <f t="shared" si="351"/>
        <v>6825</v>
      </c>
      <c r="G382" s="188">
        <f t="shared" si="351"/>
        <v>3000</v>
      </c>
      <c r="H382" s="188">
        <f t="shared" si="351"/>
        <v>3825</v>
      </c>
      <c r="I382" s="188">
        <f t="shared" si="351"/>
        <v>0</v>
      </c>
      <c r="J382" s="188"/>
      <c r="K382" s="188">
        <f>K383+K384</f>
        <v>0</v>
      </c>
      <c r="L382" s="188">
        <f>L383+L384</f>
        <v>0</v>
      </c>
      <c r="M382" s="188">
        <f>M383+M384</f>
        <v>0</v>
      </c>
      <c r="N382" s="188">
        <f>N383+N384</f>
        <v>0</v>
      </c>
      <c r="O382" s="188">
        <f>O383+O384</f>
        <v>3000</v>
      </c>
      <c r="P382" s="188">
        <v>0</v>
      </c>
      <c r="Q382" s="186">
        <f t="shared" si="329"/>
        <v>0</v>
      </c>
      <c r="R382" s="188">
        <v>0</v>
      </c>
      <c r="S382" s="185">
        <v>0</v>
      </c>
      <c r="T382" s="185">
        <v>0</v>
      </c>
      <c r="U382" s="188">
        <v>181.10059999999999</v>
      </c>
      <c r="V382" s="185">
        <v>2.6534886446886445E-2</v>
      </c>
      <c r="W382" s="185">
        <v>2.7931459417775206E-2</v>
      </c>
      <c r="X382" s="188">
        <v>181.10059999999999</v>
      </c>
      <c r="Y382" s="185">
        <v>2.6534886446886445E-2</v>
      </c>
      <c r="Z382" s="185">
        <v>2.7931459417775206E-2</v>
      </c>
      <c r="AA382" s="188">
        <v>181.10059999999999</v>
      </c>
      <c r="AB382" s="185">
        <v>2.6534886446886445E-2</v>
      </c>
      <c r="AC382" s="185">
        <v>2.7931459417775206E-2</v>
      </c>
      <c r="AD382" s="188">
        <v>1612</v>
      </c>
      <c r="AE382" s="185">
        <v>0.2361904761904762</v>
      </c>
      <c r="AF382" s="185">
        <v>0.24862155388471177</v>
      </c>
      <c r="AG382" s="188">
        <v>1612</v>
      </c>
      <c r="AH382" s="185">
        <v>0.2361904761904762</v>
      </c>
      <c r="AI382" s="185">
        <v>0.24862155388471177</v>
      </c>
      <c r="AJ382" s="303">
        <v>1612</v>
      </c>
      <c r="AK382" s="185">
        <v>0.2361904761904762</v>
      </c>
      <c r="AL382" s="185">
        <v>0.24862155388471177</v>
      </c>
      <c r="AM382" s="314">
        <v>1612</v>
      </c>
      <c r="AN382" s="185">
        <v>0.2361904761904762</v>
      </c>
      <c r="AO382" s="185">
        <v>0.24862155388471177</v>
      </c>
      <c r="AP382" s="185"/>
      <c r="AQ382" s="188">
        <v>1612</v>
      </c>
      <c r="AR382" s="185">
        <v>0.2361904761904762</v>
      </c>
      <c r="AS382" s="185">
        <v>0.24862155388471177</v>
      </c>
      <c r="AT382" s="188">
        <v>1612</v>
      </c>
      <c r="AU382" s="185">
        <v>0.2361904761904762</v>
      </c>
      <c r="AV382" s="185">
        <v>0.24862155388471177</v>
      </c>
      <c r="AW382" s="185"/>
      <c r="AX382" s="185"/>
      <c r="AY382" s="185"/>
      <c r="AZ382" s="185"/>
      <c r="BA382" s="185"/>
      <c r="BB382" s="185"/>
      <c r="BC382" s="188">
        <v>1612</v>
      </c>
      <c r="BD382" s="185">
        <v>0.2361904761904762</v>
      </c>
      <c r="BE382" s="185">
        <v>0.24862155388471177</v>
      </c>
      <c r="BF382" s="188"/>
      <c r="BG382" s="188">
        <v>1811</v>
      </c>
      <c r="BH382" s="185">
        <v>0.26534798534798537</v>
      </c>
      <c r="BI382" s="185">
        <v>0.27931366878735298</v>
      </c>
      <c r="BJ382" s="188">
        <f t="shared" si="330"/>
        <v>6483.75</v>
      </c>
      <c r="BK382" s="188">
        <f>BK383+BK384</f>
        <v>3442</v>
      </c>
      <c r="BL382" s="185">
        <f t="shared" si="315"/>
        <v>0.50432234432234435</v>
      </c>
      <c r="BM382" s="185">
        <f t="shared" si="332"/>
        <v>0.53086562560246775</v>
      </c>
      <c r="BN382" s="205">
        <f t="shared" si="312"/>
        <v>1830</v>
      </c>
      <c r="BO382" s="205"/>
      <c r="BP382" s="189">
        <f>BP383+BP384</f>
        <v>0</v>
      </c>
      <c r="BQ382" s="186">
        <f t="shared" si="316"/>
        <v>0</v>
      </c>
      <c r="BR382" s="189">
        <f>BR383+BR384</f>
        <v>0</v>
      </c>
      <c r="BS382" s="186">
        <f t="shared" si="317"/>
        <v>0</v>
      </c>
      <c r="BT382" s="189">
        <f>BT383+BT384</f>
        <v>602.5</v>
      </c>
      <c r="BU382" s="186">
        <f t="shared" si="318"/>
        <v>8.8278388278388284E-2</v>
      </c>
      <c r="BV382" s="189">
        <f>BV383+BV384</f>
        <v>1645</v>
      </c>
      <c r="BW382" s="186">
        <f t="shared" si="319"/>
        <v>0.24102564102564103</v>
      </c>
      <c r="BX382" s="189">
        <f>BX383+BX384</f>
        <v>2047.5</v>
      </c>
      <c r="BY382" s="186">
        <f t="shared" si="320"/>
        <v>0.3</v>
      </c>
      <c r="BZ382" s="189">
        <f>BZ383+BZ384</f>
        <v>3080</v>
      </c>
      <c r="CA382" s="186">
        <f t="shared" si="321"/>
        <v>0.45128205128205129</v>
      </c>
      <c r="CB382" s="189">
        <f>CB383+CB384</f>
        <v>4762.5</v>
      </c>
      <c r="CC382" s="186">
        <f t="shared" si="322"/>
        <v>0.69780219780219777</v>
      </c>
      <c r="CD382" s="189">
        <f>CD383+CD384</f>
        <v>4953.75</v>
      </c>
      <c r="CE382" s="186">
        <f t="shared" si="345"/>
        <v>0.7258241758241758</v>
      </c>
      <c r="CF382" s="189">
        <f>CF383+CF384</f>
        <v>5145</v>
      </c>
      <c r="CG382" s="186">
        <f t="shared" si="324"/>
        <v>0.75384615384615383</v>
      </c>
      <c r="CH382" s="189">
        <f>CH383+CH384</f>
        <v>5527.5</v>
      </c>
      <c r="CI382" s="186">
        <f t="shared" si="346"/>
        <v>0.8098901098901099</v>
      </c>
      <c r="CJ382" s="189">
        <f>CJ383+CJ384</f>
        <v>5718.75</v>
      </c>
      <c r="CK382" s="186">
        <f t="shared" si="326"/>
        <v>0.83791208791208793</v>
      </c>
      <c r="CL382" s="189">
        <f>CL383+CL384</f>
        <v>5718.75</v>
      </c>
      <c r="CM382" s="186">
        <f t="shared" si="327"/>
        <v>0.83791208791208793</v>
      </c>
      <c r="CN382" s="189">
        <f>CN383+CN384</f>
        <v>6483.75</v>
      </c>
      <c r="CO382" s="186">
        <f t="shared" si="328"/>
        <v>0.95</v>
      </c>
      <c r="CP382" s="213" t="str">
        <f t="shared" si="333"/>
        <v>Đạt</v>
      </c>
      <c r="CQ382" s="213" t="str">
        <f t="shared" si="334"/>
        <v>Đạt</v>
      </c>
      <c r="CR382" s="213"/>
      <c r="CS382" s="213"/>
      <c r="CT382" s="231"/>
      <c r="CU382" s="163"/>
      <c r="CW382" s="195"/>
      <c r="CX382" s="196"/>
      <c r="CY382" s="196"/>
      <c r="CZ382" s="197"/>
      <c r="DA382" s="196"/>
      <c r="DB382" s="196"/>
      <c r="DC382" s="196"/>
      <c r="DE382" s="199"/>
      <c r="DF382" s="200"/>
      <c r="DG382" s="181"/>
    </row>
    <row r="383" spans="1:112" s="324" customFormat="1" outlineLevel="1" x14ac:dyDescent="0.25">
      <c r="A383" s="305" t="s">
        <v>34</v>
      </c>
      <c r="B383" s="306" t="s">
        <v>376</v>
      </c>
      <c r="C383" s="306"/>
      <c r="D383" s="307">
        <f>E383+F383</f>
        <v>3000</v>
      </c>
      <c r="E383" s="307"/>
      <c r="F383" s="307">
        <f>G383+H383+K383+M383</f>
        <v>3000</v>
      </c>
      <c r="G383" s="303">
        <v>3000</v>
      </c>
      <c r="H383" s="303"/>
      <c r="I383" s="235"/>
      <c r="J383" s="235"/>
      <c r="K383" s="303"/>
      <c r="L383" s="235"/>
      <c r="M383" s="223"/>
      <c r="N383" s="223"/>
      <c r="O383" s="303">
        <f>G383+I383+L383+N383</f>
        <v>3000</v>
      </c>
      <c r="P383" s="303">
        <v>0</v>
      </c>
      <c r="Q383" s="308">
        <f t="shared" si="329"/>
        <v>0</v>
      </c>
      <c r="R383" s="303"/>
      <c r="S383" s="309">
        <v>0</v>
      </c>
      <c r="T383" s="309">
        <v>0</v>
      </c>
      <c r="U383" s="303">
        <v>181.10059999999999</v>
      </c>
      <c r="V383" s="309">
        <v>6.0366866666666665E-2</v>
      </c>
      <c r="W383" s="309">
        <v>6.3544070175438588E-2</v>
      </c>
      <c r="X383" s="303">
        <v>181.10059999999999</v>
      </c>
      <c r="Y383" s="309">
        <v>6.0366866666666665E-2</v>
      </c>
      <c r="Z383" s="309">
        <v>6.3544070175438588E-2</v>
      </c>
      <c r="AA383" s="303">
        <v>181.10059999999999</v>
      </c>
      <c r="AB383" s="309">
        <v>6.0366866666666665E-2</v>
      </c>
      <c r="AC383" s="309">
        <v>6.3544070175438588E-2</v>
      </c>
      <c r="AD383" s="303">
        <v>1612</v>
      </c>
      <c r="AE383" s="309">
        <v>0.53733333333333333</v>
      </c>
      <c r="AF383" s="309">
        <v>0.56561403508771935</v>
      </c>
      <c r="AG383" s="303">
        <v>1612</v>
      </c>
      <c r="AH383" s="309">
        <v>0.53733333333333333</v>
      </c>
      <c r="AI383" s="309">
        <v>0.56561403508771935</v>
      </c>
      <c r="AJ383" s="303">
        <v>1612</v>
      </c>
      <c r="AK383" s="309">
        <v>0.53733333333333333</v>
      </c>
      <c r="AL383" s="309">
        <v>0.56561403508771935</v>
      </c>
      <c r="AM383" s="303">
        <v>1612</v>
      </c>
      <c r="AN383" s="309">
        <v>0.53733333333333333</v>
      </c>
      <c r="AO383" s="309">
        <v>0.56561403508771935</v>
      </c>
      <c r="AP383" s="309"/>
      <c r="AQ383" s="303">
        <v>1612</v>
      </c>
      <c r="AR383" s="309">
        <v>0.53733333333333333</v>
      </c>
      <c r="AS383" s="309">
        <v>0.56561403508771935</v>
      </c>
      <c r="AT383" s="303">
        <v>1612</v>
      </c>
      <c r="AU383" s="309">
        <v>0.53733333333333333</v>
      </c>
      <c r="AV383" s="309">
        <v>0.56561403508771935</v>
      </c>
      <c r="AW383" s="309"/>
      <c r="AX383" s="309"/>
      <c r="AY383" s="309"/>
      <c r="AZ383" s="309"/>
      <c r="BA383" s="309"/>
      <c r="BB383" s="309"/>
      <c r="BC383" s="303">
        <v>1612</v>
      </c>
      <c r="BD383" s="309">
        <v>0.53733333333333333</v>
      </c>
      <c r="BE383" s="309">
        <v>0.56561403508771935</v>
      </c>
      <c r="BF383" s="303"/>
      <c r="BG383" s="303">
        <v>1811</v>
      </c>
      <c r="BH383" s="309">
        <v>0.60366666666666668</v>
      </c>
      <c r="BI383" s="309">
        <v>0.63543859649122802</v>
      </c>
      <c r="BJ383" s="303">
        <f t="shared" si="330"/>
        <v>2850</v>
      </c>
      <c r="BK383" s="303">
        <v>2850</v>
      </c>
      <c r="BL383" s="309">
        <f t="shared" si="315"/>
        <v>0.95</v>
      </c>
      <c r="BM383" s="309">
        <f t="shared" si="332"/>
        <v>1</v>
      </c>
      <c r="BN383" s="205">
        <f t="shared" si="312"/>
        <v>1238</v>
      </c>
      <c r="BO383" s="205"/>
      <c r="BP383" s="310"/>
      <c r="BQ383" s="308">
        <f t="shared" si="316"/>
        <v>0</v>
      </c>
      <c r="BR383" s="310"/>
      <c r="BS383" s="308">
        <f t="shared" si="317"/>
        <v>0</v>
      </c>
      <c r="BT383" s="310">
        <v>220</v>
      </c>
      <c r="BU383" s="308">
        <f t="shared" si="318"/>
        <v>7.3333333333333334E-2</v>
      </c>
      <c r="BV383" s="310">
        <v>880</v>
      </c>
      <c r="BW383" s="308">
        <f t="shared" si="319"/>
        <v>0.29333333333333333</v>
      </c>
      <c r="BX383" s="310">
        <f>$F383*0.3</f>
        <v>900</v>
      </c>
      <c r="BY383" s="308">
        <f t="shared" si="320"/>
        <v>0.3</v>
      </c>
      <c r="BZ383" s="310">
        <v>1550</v>
      </c>
      <c r="CA383" s="308">
        <f t="shared" si="321"/>
        <v>0.51666666666666672</v>
      </c>
      <c r="CB383" s="310">
        <v>2850</v>
      </c>
      <c r="CC383" s="308">
        <f t="shared" si="322"/>
        <v>0.95</v>
      </c>
      <c r="CD383" s="310">
        <v>2850</v>
      </c>
      <c r="CE383" s="308">
        <f t="shared" si="345"/>
        <v>0.95</v>
      </c>
      <c r="CF383" s="310">
        <v>2850</v>
      </c>
      <c r="CG383" s="308">
        <f t="shared" si="324"/>
        <v>0.95</v>
      </c>
      <c r="CH383" s="310">
        <v>2850</v>
      </c>
      <c r="CI383" s="308">
        <f t="shared" si="346"/>
        <v>0.95</v>
      </c>
      <c r="CJ383" s="310">
        <v>2850</v>
      </c>
      <c r="CK383" s="308">
        <f t="shared" si="326"/>
        <v>0.95</v>
      </c>
      <c r="CL383" s="310">
        <v>2850</v>
      </c>
      <c r="CM383" s="308">
        <f t="shared" si="327"/>
        <v>0.95</v>
      </c>
      <c r="CN383" s="310">
        <f>$F383*0.95</f>
        <v>2850</v>
      </c>
      <c r="CO383" s="308">
        <f t="shared" si="328"/>
        <v>0.95</v>
      </c>
      <c r="CP383" s="213" t="str">
        <f t="shared" si="333"/>
        <v>Đạt</v>
      </c>
      <c r="CQ383" s="213" t="str">
        <f t="shared" si="334"/>
        <v>Đạt</v>
      </c>
      <c r="CR383" s="312"/>
      <c r="CS383" s="312"/>
      <c r="CT383" s="235"/>
      <c r="CU383" s="163"/>
      <c r="CV383" s="323"/>
      <c r="CW383" s="195"/>
      <c r="CX383" s="196"/>
      <c r="CY383" s="196"/>
      <c r="CZ383" s="197"/>
      <c r="DA383" s="196"/>
      <c r="DB383" s="196"/>
      <c r="DC383" s="196"/>
      <c r="DE383" s="199"/>
      <c r="DF383" s="200"/>
      <c r="DG383" s="181"/>
    </row>
    <row r="384" spans="1:112" ht="25.5" outlineLevel="1" x14ac:dyDescent="0.25">
      <c r="A384" s="305" t="s">
        <v>34</v>
      </c>
      <c r="B384" s="306" t="s">
        <v>377</v>
      </c>
      <c r="C384" s="306"/>
      <c r="D384" s="307">
        <f>E384+F384</f>
        <v>3825</v>
      </c>
      <c r="E384" s="307"/>
      <c r="F384" s="307">
        <f>G384+H384+K384+M384</f>
        <v>3825</v>
      </c>
      <c r="G384" s="307"/>
      <c r="H384" s="307">
        <v>3825</v>
      </c>
      <c r="I384" s="235"/>
      <c r="J384" s="235"/>
      <c r="K384" s="303"/>
      <c r="L384" s="235"/>
      <c r="M384" s="223"/>
      <c r="N384" s="223"/>
      <c r="O384" s="303"/>
      <c r="P384" s="303">
        <v>0</v>
      </c>
      <c r="Q384" s="308">
        <f t="shared" si="329"/>
        <v>0</v>
      </c>
      <c r="R384" s="303"/>
      <c r="S384" s="309">
        <v>0</v>
      </c>
      <c r="T384" s="309">
        <v>0</v>
      </c>
      <c r="U384" s="303"/>
      <c r="V384" s="309">
        <v>0</v>
      </c>
      <c r="W384" s="309">
        <v>0</v>
      </c>
      <c r="X384" s="303"/>
      <c r="Y384" s="309">
        <v>0</v>
      </c>
      <c r="Z384" s="309">
        <v>0</v>
      </c>
      <c r="AA384" s="303"/>
      <c r="AB384" s="309">
        <v>0</v>
      </c>
      <c r="AC384" s="309">
        <v>0</v>
      </c>
      <c r="AD384" s="303"/>
      <c r="AE384" s="309">
        <v>0</v>
      </c>
      <c r="AF384" s="309">
        <v>0</v>
      </c>
      <c r="AG384" s="303"/>
      <c r="AH384" s="309">
        <v>0</v>
      </c>
      <c r="AI384" s="309">
        <v>0</v>
      </c>
      <c r="AJ384" s="188"/>
      <c r="AK384" s="309">
        <v>0</v>
      </c>
      <c r="AL384" s="309">
        <v>0</v>
      </c>
      <c r="AM384" s="303"/>
      <c r="AN384" s="309">
        <v>0</v>
      </c>
      <c r="AO384" s="309">
        <v>0</v>
      </c>
      <c r="AP384" s="309"/>
      <c r="AQ384" s="303"/>
      <c r="AR384" s="309">
        <v>0</v>
      </c>
      <c r="AS384" s="309">
        <v>0</v>
      </c>
      <c r="AT384" s="303"/>
      <c r="AU384" s="309">
        <v>0</v>
      </c>
      <c r="AV384" s="309">
        <v>0</v>
      </c>
      <c r="AW384" s="309"/>
      <c r="AX384" s="309"/>
      <c r="AY384" s="309"/>
      <c r="AZ384" s="309"/>
      <c r="BA384" s="309"/>
      <c r="BB384" s="309"/>
      <c r="BC384" s="303"/>
      <c r="BD384" s="309">
        <v>0</v>
      </c>
      <c r="BE384" s="309">
        <v>0</v>
      </c>
      <c r="BF384" s="303"/>
      <c r="BG384" s="303"/>
      <c r="BH384" s="309">
        <v>0</v>
      </c>
      <c r="BI384" s="309">
        <v>0</v>
      </c>
      <c r="BJ384" s="303">
        <f t="shared" si="330"/>
        <v>3633.75</v>
      </c>
      <c r="BK384" s="303">
        <v>592</v>
      </c>
      <c r="BL384" s="309">
        <f t="shared" si="315"/>
        <v>0.15477124183006535</v>
      </c>
      <c r="BM384" s="309">
        <f t="shared" si="332"/>
        <v>0.16291709666322671</v>
      </c>
      <c r="BN384" s="205">
        <f t="shared" si="312"/>
        <v>592</v>
      </c>
      <c r="BO384" s="205"/>
      <c r="BP384" s="310"/>
      <c r="BQ384" s="308">
        <f t="shared" si="316"/>
        <v>0</v>
      </c>
      <c r="BR384" s="310"/>
      <c r="BS384" s="308">
        <f t="shared" si="317"/>
        <v>0</v>
      </c>
      <c r="BT384" s="310">
        <f>$F384*0.1</f>
        <v>382.5</v>
      </c>
      <c r="BU384" s="308">
        <f t="shared" si="318"/>
        <v>0.1</v>
      </c>
      <c r="BV384" s="310">
        <f>$F384*0.2</f>
        <v>765</v>
      </c>
      <c r="BW384" s="308">
        <f t="shared" si="319"/>
        <v>0.2</v>
      </c>
      <c r="BX384" s="310">
        <f>$F384*0.3</f>
        <v>1147.5</v>
      </c>
      <c r="BY384" s="308">
        <f t="shared" si="320"/>
        <v>0.3</v>
      </c>
      <c r="BZ384" s="310">
        <f>$F384*0.4</f>
        <v>1530</v>
      </c>
      <c r="CA384" s="308">
        <f t="shared" si="321"/>
        <v>0.4</v>
      </c>
      <c r="CB384" s="310">
        <f>$F384*0.5</f>
        <v>1912.5</v>
      </c>
      <c r="CC384" s="308">
        <f t="shared" si="322"/>
        <v>0.5</v>
      </c>
      <c r="CD384" s="310">
        <f>$F384*0.55</f>
        <v>2103.75</v>
      </c>
      <c r="CE384" s="308">
        <f t="shared" si="345"/>
        <v>0.55000000000000004</v>
      </c>
      <c r="CF384" s="310">
        <f>$F384*0.6</f>
        <v>2295</v>
      </c>
      <c r="CG384" s="308">
        <f t="shared" si="324"/>
        <v>0.6</v>
      </c>
      <c r="CH384" s="310">
        <f>$F384*0.7</f>
        <v>2677.5</v>
      </c>
      <c r="CI384" s="308">
        <f t="shared" si="346"/>
        <v>0.7</v>
      </c>
      <c r="CJ384" s="310">
        <f>$F384*0.75</f>
        <v>2868.75</v>
      </c>
      <c r="CK384" s="308">
        <f t="shared" si="326"/>
        <v>0.75</v>
      </c>
      <c r="CL384" s="310">
        <f>$F384*0.75</f>
        <v>2868.75</v>
      </c>
      <c r="CM384" s="308">
        <f t="shared" si="327"/>
        <v>0.75</v>
      </c>
      <c r="CN384" s="310">
        <f>$F384*0.95</f>
        <v>3633.75</v>
      </c>
      <c r="CO384" s="308">
        <f t="shared" si="328"/>
        <v>0.95</v>
      </c>
      <c r="CP384" s="213" t="str">
        <f t="shared" si="333"/>
        <v>Không đạt</v>
      </c>
      <c r="CQ384" s="213" t="str">
        <f t="shared" si="334"/>
        <v>Không đạt</v>
      </c>
      <c r="CR384" s="312"/>
      <c r="CS384" s="312"/>
      <c r="CT384" s="235"/>
      <c r="CU384" s="163"/>
      <c r="CW384" s="195"/>
      <c r="CX384" s="196"/>
      <c r="CY384" s="196"/>
      <c r="CZ384" s="197"/>
      <c r="DA384" s="196"/>
      <c r="DB384" s="196"/>
      <c r="DC384" s="196"/>
      <c r="DE384" s="199"/>
      <c r="DF384" s="200"/>
      <c r="DG384" s="181"/>
    </row>
    <row r="385" spans="1:112" ht="18" customHeight="1" x14ac:dyDescent="0.25">
      <c r="A385" s="213">
        <f>MAX(A$243:A383)+1</f>
        <v>41</v>
      </c>
      <c r="B385" s="240" t="s">
        <v>434</v>
      </c>
      <c r="C385" s="240"/>
      <c r="D385" s="188">
        <f t="shared" ref="D385:I385" si="352">D386+D387</f>
        <v>4275</v>
      </c>
      <c r="E385" s="188">
        <f t="shared" si="352"/>
        <v>0</v>
      </c>
      <c r="F385" s="188">
        <f t="shared" si="352"/>
        <v>4275</v>
      </c>
      <c r="G385" s="188">
        <f t="shared" si="352"/>
        <v>3000</v>
      </c>
      <c r="H385" s="188">
        <f t="shared" si="352"/>
        <v>1275</v>
      </c>
      <c r="I385" s="188">
        <f t="shared" si="352"/>
        <v>0</v>
      </c>
      <c r="J385" s="188"/>
      <c r="K385" s="188">
        <f>K386+K387</f>
        <v>0</v>
      </c>
      <c r="L385" s="188">
        <f>L386+L387</f>
        <v>0</v>
      </c>
      <c r="M385" s="188">
        <f>M386+M387</f>
        <v>0</v>
      </c>
      <c r="N385" s="188">
        <f>N386+N387</f>
        <v>0</v>
      </c>
      <c r="O385" s="188">
        <f>O386+O387</f>
        <v>3000</v>
      </c>
      <c r="P385" s="188">
        <v>0</v>
      </c>
      <c r="Q385" s="186">
        <f t="shared" si="329"/>
        <v>0</v>
      </c>
      <c r="R385" s="188">
        <v>0</v>
      </c>
      <c r="S385" s="185">
        <v>0</v>
      </c>
      <c r="T385" s="185">
        <v>0</v>
      </c>
      <c r="U385" s="188">
        <v>0</v>
      </c>
      <c r="V385" s="185">
        <v>0</v>
      </c>
      <c r="W385" s="185">
        <v>0</v>
      </c>
      <c r="X385" s="188">
        <v>0</v>
      </c>
      <c r="Y385" s="185">
        <v>0</v>
      </c>
      <c r="Z385" s="185">
        <v>0</v>
      </c>
      <c r="AA385" s="188">
        <v>0</v>
      </c>
      <c r="AB385" s="185">
        <v>0</v>
      </c>
      <c r="AC385" s="185">
        <v>0</v>
      </c>
      <c r="AD385" s="188">
        <v>1289</v>
      </c>
      <c r="AE385" s="185">
        <v>0.3015204678362573</v>
      </c>
      <c r="AF385" s="185">
        <v>0.31738996614342874</v>
      </c>
      <c r="AG385" s="188">
        <v>1289</v>
      </c>
      <c r="AH385" s="185">
        <v>0.3015204678362573</v>
      </c>
      <c r="AI385" s="185">
        <v>0.31738996614342874</v>
      </c>
      <c r="AJ385" s="303">
        <v>1289</v>
      </c>
      <c r="AK385" s="185">
        <v>0.3015204678362573</v>
      </c>
      <c r="AL385" s="185">
        <v>0.31738996614342874</v>
      </c>
      <c r="AM385" s="188">
        <v>1289</v>
      </c>
      <c r="AN385" s="185">
        <v>0.3015204678362573</v>
      </c>
      <c r="AO385" s="185">
        <v>0.31738996614342874</v>
      </c>
      <c r="AP385" s="185"/>
      <c r="AQ385" s="188">
        <v>1289</v>
      </c>
      <c r="AR385" s="185">
        <v>0.3015204678362573</v>
      </c>
      <c r="AS385" s="185">
        <v>0.31738996614342874</v>
      </c>
      <c r="AT385" s="188">
        <v>1289</v>
      </c>
      <c r="AU385" s="185">
        <v>0.3015204678362573</v>
      </c>
      <c r="AV385" s="185">
        <v>0.31738996614342874</v>
      </c>
      <c r="AW385" s="185"/>
      <c r="AX385" s="185"/>
      <c r="AY385" s="185"/>
      <c r="AZ385" s="185"/>
      <c r="BA385" s="185"/>
      <c r="BB385" s="185"/>
      <c r="BC385" s="188">
        <v>1289</v>
      </c>
      <c r="BD385" s="185">
        <v>0.3015204678362573</v>
      </c>
      <c r="BE385" s="185">
        <v>0.31738996614342874</v>
      </c>
      <c r="BF385" s="188"/>
      <c r="BG385" s="188">
        <v>2727</v>
      </c>
      <c r="BH385" s="185">
        <v>0.63789473684210529</v>
      </c>
      <c r="BI385" s="185">
        <v>0.67146814404432131</v>
      </c>
      <c r="BJ385" s="188">
        <f t="shared" si="330"/>
        <v>4061.25</v>
      </c>
      <c r="BK385" s="188">
        <f>BK386+BK387</f>
        <v>2856</v>
      </c>
      <c r="BL385" s="185">
        <f t="shared" si="315"/>
        <v>0.66807017543859648</v>
      </c>
      <c r="BM385" s="185">
        <f t="shared" si="332"/>
        <v>0.70323176361957529</v>
      </c>
      <c r="BN385" s="205">
        <f t="shared" si="312"/>
        <v>1567</v>
      </c>
      <c r="BO385" s="205"/>
      <c r="BP385" s="189">
        <f>BP386+BP387</f>
        <v>0</v>
      </c>
      <c r="BQ385" s="186">
        <f t="shared" si="316"/>
        <v>0</v>
      </c>
      <c r="BR385" s="189">
        <f>BR386+BR387</f>
        <v>0</v>
      </c>
      <c r="BS385" s="186">
        <f t="shared" si="317"/>
        <v>0</v>
      </c>
      <c r="BT385" s="189">
        <f>BT386+BT387</f>
        <v>300</v>
      </c>
      <c r="BU385" s="186">
        <f t="shared" si="318"/>
        <v>7.0175438596491224E-2</v>
      </c>
      <c r="BV385" s="189">
        <f>BV386+BV387</f>
        <v>840</v>
      </c>
      <c r="BW385" s="186">
        <f t="shared" si="319"/>
        <v>0.19649122807017544</v>
      </c>
      <c r="BX385" s="189">
        <f>BX386+BX387</f>
        <v>1250</v>
      </c>
      <c r="BY385" s="186">
        <f t="shared" si="320"/>
        <v>0.29239766081871343</v>
      </c>
      <c r="BZ385" s="189">
        <f>BZ386+BZ387</f>
        <v>1975</v>
      </c>
      <c r="CA385" s="186">
        <f t="shared" si="321"/>
        <v>0.46198830409356723</v>
      </c>
      <c r="CB385" s="189">
        <f>CB386+CB387</f>
        <v>2252</v>
      </c>
      <c r="CC385" s="186">
        <f t="shared" si="322"/>
        <v>0.52678362573099413</v>
      </c>
      <c r="CD385" s="189">
        <f>CD386+CD387</f>
        <v>2647</v>
      </c>
      <c r="CE385" s="186">
        <f t="shared" si="345"/>
        <v>0.61918128654970761</v>
      </c>
      <c r="CF385" s="189">
        <f>CF386+CF387</f>
        <v>3177</v>
      </c>
      <c r="CG385" s="186">
        <f t="shared" si="324"/>
        <v>0.74315789473684213</v>
      </c>
      <c r="CH385" s="189">
        <f>CH386+CH387</f>
        <v>3800</v>
      </c>
      <c r="CI385" s="186">
        <f t="shared" si="346"/>
        <v>0.88888888888888884</v>
      </c>
      <c r="CJ385" s="189">
        <f>CJ386+CJ387</f>
        <v>3850</v>
      </c>
      <c r="CK385" s="186">
        <f t="shared" si="326"/>
        <v>0.90058479532163738</v>
      </c>
      <c r="CL385" s="189">
        <f>CL386+CL387</f>
        <v>4061.25</v>
      </c>
      <c r="CM385" s="186">
        <f t="shared" si="327"/>
        <v>0.95</v>
      </c>
      <c r="CN385" s="189">
        <f>CN386+CN387</f>
        <v>4061.25</v>
      </c>
      <c r="CO385" s="186">
        <f t="shared" si="328"/>
        <v>0.95</v>
      </c>
      <c r="CP385" s="213" t="str">
        <f t="shared" si="333"/>
        <v>Đạt</v>
      </c>
      <c r="CQ385" s="213" t="str">
        <f t="shared" si="334"/>
        <v>Đạt</v>
      </c>
      <c r="CR385" s="213"/>
      <c r="CS385" s="213"/>
      <c r="CT385" s="231"/>
      <c r="CU385" s="163"/>
      <c r="CW385" s="195"/>
      <c r="CX385" s="196"/>
      <c r="CY385" s="196"/>
      <c r="CZ385" s="197"/>
      <c r="DA385" s="196"/>
      <c r="DB385" s="196"/>
      <c r="DC385" s="196"/>
      <c r="DE385" s="199"/>
      <c r="DF385" s="200"/>
      <c r="DG385" s="181"/>
    </row>
    <row r="386" spans="1:112" s="324" customFormat="1" outlineLevel="1" x14ac:dyDescent="0.25">
      <c r="A386" s="305" t="s">
        <v>34</v>
      </c>
      <c r="B386" s="306" t="s">
        <v>376</v>
      </c>
      <c r="C386" s="306"/>
      <c r="D386" s="307">
        <f>E386+F386</f>
        <v>3000</v>
      </c>
      <c r="E386" s="307"/>
      <c r="F386" s="307">
        <f>G386+H386+K386+M386</f>
        <v>3000</v>
      </c>
      <c r="G386" s="303">
        <v>3000</v>
      </c>
      <c r="H386" s="303"/>
      <c r="I386" s="235"/>
      <c r="J386" s="235"/>
      <c r="K386" s="303"/>
      <c r="L386" s="235"/>
      <c r="M386" s="223"/>
      <c r="N386" s="223"/>
      <c r="O386" s="303">
        <f>G386+I386+L386+N386</f>
        <v>3000</v>
      </c>
      <c r="P386" s="303">
        <v>0</v>
      </c>
      <c r="Q386" s="308">
        <f t="shared" si="329"/>
        <v>0</v>
      </c>
      <c r="R386" s="303"/>
      <c r="S386" s="309">
        <v>0</v>
      </c>
      <c r="T386" s="309">
        <v>0</v>
      </c>
      <c r="U386" s="303"/>
      <c r="V386" s="309">
        <v>0</v>
      </c>
      <c r="W386" s="309">
        <v>0</v>
      </c>
      <c r="X386" s="303"/>
      <c r="Y386" s="309">
        <v>0</v>
      </c>
      <c r="Z386" s="309">
        <v>0</v>
      </c>
      <c r="AA386" s="303"/>
      <c r="AB386" s="309">
        <v>0</v>
      </c>
      <c r="AC386" s="309">
        <v>0</v>
      </c>
      <c r="AD386" s="303">
        <v>1289</v>
      </c>
      <c r="AE386" s="309">
        <v>0.42966666666666664</v>
      </c>
      <c r="AF386" s="309">
        <v>0.45228070175438595</v>
      </c>
      <c r="AG386" s="303">
        <v>1289</v>
      </c>
      <c r="AH386" s="309">
        <v>0.42966666666666664</v>
      </c>
      <c r="AI386" s="309">
        <v>0.45228070175438595</v>
      </c>
      <c r="AJ386" s="303">
        <v>1289</v>
      </c>
      <c r="AK386" s="309">
        <v>0.42966666666666664</v>
      </c>
      <c r="AL386" s="309">
        <v>0.45228070175438595</v>
      </c>
      <c r="AM386" s="303">
        <v>1289</v>
      </c>
      <c r="AN386" s="309">
        <v>0.42966666666666664</v>
      </c>
      <c r="AO386" s="309">
        <v>0.45228070175438595</v>
      </c>
      <c r="AP386" s="309"/>
      <c r="AQ386" s="303">
        <v>1289</v>
      </c>
      <c r="AR386" s="309">
        <v>0.42966666666666664</v>
      </c>
      <c r="AS386" s="309">
        <v>0.45228070175438595</v>
      </c>
      <c r="AT386" s="303">
        <v>1289</v>
      </c>
      <c r="AU386" s="309">
        <v>0.42966666666666664</v>
      </c>
      <c r="AV386" s="309">
        <v>0.45228070175438595</v>
      </c>
      <c r="AW386" s="309"/>
      <c r="AX386" s="309"/>
      <c r="AY386" s="309"/>
      <c r="AZ386" s="309"/>
      <c r="BA386" s="309"/>
      <c r="BB386" s="309"/>
      <c r="BC386" s="303">
        <v>1289</v>
      </c>
      <c r="BD386" s="309">
        <v>0.42966666666666664</v>
      </c>
      <c r="BE386" s="309">
        <v>0.45228070175438595</v>
      </c>
      <c r="BF386" s="303"/>
      <c r="BG386" s="303">
        <v>2727</v>
      </c>
      <c r="BH386" s="309">
        <v>0.90900000000000003</v>
      </c>
      <c r="BI386" s="309">
        <v>0.95684210526315794</v>
      </c>
      <c r="BJ386" s="303">
        <f t="shared" si="330"/>
        <v>2850</v>
      </c>
      <c r="BK386" s="303">
        <v>2850</v>
      </c>
      <c r="BL386" s="309">
        <f t="shared" si="315"/>
        <v>0.95</v>
      </c>
      <c r="BM386" s="309">
        <f t="shared" si="332"/>
        <v>1</v>
      </c>
      <c r="BN386" s="205">
        <f t="shared" si="312"/>
        <v>1561</v>
      </c>
      <c r="BO386" s="205"/>
      <c r="BP386" s="310"/>
      <c r="BQ386" s="308">
        <f t="shared" si="316"/>
        <v>0</v>
      </c>
      <c r="BR386" s="310"/>
      <c r="BS386" s="308">
        <f t="shared" si="317"/>
        <v>0</v>
      </c>
      <c r="BT386" s="310">
        <v>300</v>
      </c>
      <c r="BU386" s="308">
        <f t="shared" si="318"/>
        <v>0.1</v>
      </c>
      <c r="BV386" s="310">
        <v>840</v>
      </c>
      <c r="BW386" s="308">
        <f t="shared" si="319"/>
        <v>0.28000000000000003</v>
      </c>
      <c r="BX386" s="310">
        <v>1250</v>
      </c>
      <c r="BY386" s="308">
        <f t="shared" si="320"/>
        <v>0.41666666666666669</v>
      </c>
      <c r="BZ386" s="310">
        <v>1425</v>
      </c>
      <c r="CA386" s="308">
        <f t="shared" si="321"/>
        <v>0.47499999999999998</v>
      </c>
      <c r="CB386" s="310">
        <v>1702</v>
      </c>
      <c r="CC386" s="308">
        <f t="shared" si="322"/>
        <v>0.56733333333333336</v>
      </c>
      <c r="CD386" s="310">
        <v>1997</v>
      </c>
      <c r="CE386" s="308">
        <f t="shared" si="345"/>
        <v>0.66566666666666663</v>
      </c>
      <c r="CF386" s="310">
        <v>2277</v>
      </c>
      <c r="CG386" s="308">
        <f t="shared" si="324"/>
        <v>0.75900000000000001</v>
      </c>
      <c r="CH386" s="310">
        <v>2850</v>
      </c>
      <c r="CI386" s="308">
        <f t="shared" si="346"/>
        <v>0.95</v>
      </c>
      <c r="CJ386" s="310">
        <v>2850</v>
      </c>
      <c r="CK386" s="308">
        <f t="shared" si="326"/>
        <v>0.95</v>
      </c>
      <c r="CL386" s="310">
        <v>2850</v>
      </c>
      <c r="CM386" s="308">
        <f t="shared" si="327"/>
        <v>0.95</v>
      </c>
      <c r="CN386" s="310">
        <v>2850</v>
      </c>
      <c r="CO386" s="308">
        <f t="shared" si="328"/>
        <v>0.95</v>
      </c>
      <c r="CP386" s="213" t="str">
        <f t="shared" si="333"/>
        <v>Đạt</v>
      </c>
      <c r="CQ386" s="213" t="str">
        <f t="shared" si="334"/>
        <v>Đạt</v>
      </c>
      <c r="CR386" s="312"/>
      <c r="CS386" s="312"/>
      <c r="CT386" s="235"/>
      <c r="CU386" s="163"/>
      <c r="CV386" s="323"/>
      <c r="CW386" s="195"/>
      <c r="CX386" s="196"/>
      <c r="CY386" s="196"/>
      <c r="CZ386" s="197"/>
      <c r="DA386" s="196"/>
      <c r="DB386" s="196"/>
      <c r="DC386" s="196"/>
      <c r="DE386" s="199"/>
      <c r="DF386" s="200"/>
      <c r="DG386" s="181"/>
    </row>
    <row r="387" spans="1:112" ht="48" customHeight="1" outlineLevel="1" x14ac:dyDescent="0.25">
      <c r="A387" s="305" t="s">
        <v>34</v>
      </c>
      <c r="B387" s="306" t="s">
        <v>377</v>
      </c>
      <c r="C387" s="306"/>
      <c r="D387" s="307">
        <f>E387+F387</f>
        <v>1275</v>
      </c>
      <c r="E387" s="307"/>
      <c r="F387" s="307">
        <f>G387+H387+K387+M387</f>
        <v>1275</v>
      </c>
      <c r="G387" s="307"/>
      <c r="H387" s="307">
        <v>1275</v>
      </c>
      <c r="I387" s="235"/>
      <c r="J387" s="235"/>
      <c r="K387" s="303"/>
      <c r="L387" s="235"/>
      <c r="M387" s="223"/>
      <c r="N387" s="223"/>
      <c r="O387" s="303"/>
      <c r="P387" s="303">
        <v>0</v>
      </c>
      <c r="Q387" s="308">
        <f t="shared" si="329"/>
        <v>0</v>
      </c>
      <c r="R387" s="303"/>
      <c r="S387" s="309">
        <v>0</v>
      </c>
      <c r="T387" s="309">
        <v>0</v>
      </c>
      <c r="U387" s="303"/>
      <c r="V387" s="309">
        <v>0</v>
      </c>
      <c r="W387" s="309">
        <v>0</v>
      </c>
      <c r="X387" s="303"/>
      <c r="Y387" s="309">
        <v>0</v>
      </c>
      <c r="Z387" s="309">
        <v>0</v>
      </c>
      <c r="AA387" s="303"/>
      <c r="AB387" s="309">
        <v>0</v>
      </c>
      <c r="AC387" s="309">
        <v>0</v>
      </c>
      <c r="AD387" s="303"/>
      <c r="AE387" s="309">
        <v>0</v>
      </c>
      <c r="AF387" s="309">
        <v>0</v>
      </c>
      <c r="AG387" s="303"/>
      <c r="AH387" s="309">
        <v>0</v>
      </c>
      <c r="AI387" s="309">
        <v>0</v>
      </c>
      <c r="AJ387" s="188"/>
      <c r="AK387" s="309">
        <v>0</v>
      </c>
      <c r="AL387" s="309">
        <v>0</v>
      </c>
      <c r="AM387" s="303"/>
      <c r="AN387" s="309">
        <v>0</v>
      </c>
      <c r="AO387" s="309">
        <v>0</v>
      </c>
      <c r="AP387" s="309"/>
      <c r="AQ387" s="303"/>
      <c r="AR387" s="309">
        <v>0</v>
      </c>
      <c r="AS387" s="309">
        <v>0</v>
      </c>
      <c r="AT387" s="303"/>
      <c r="AU387" s="309">
        <v>0</v>
      </c>
      <c r="AV387" s="309">
        <v>0</v>
      </c>
      <c r="AW387" s="309"/>
      <c r="AX387" s="309"/>
      <c r="AY387" s="309"/>
      <c r="AZ387" s="309"/>
      <c r="BA387" s="309"/>
      <c r="BB387" s="309"/>
      <c r="BC387" s="303"/>
      <c r="BD387" s="309">
        <v>0</v>
      </c>
      <c r="BE387" s="309">
        <v>0</v>
      </c>
      <c r="BF387" s="303"/>
      <c r="BG387" s="303"/>
      <c r="BH387" s="309">
        <v>0</v>
      </c>
      <c r="BI387" s="309">
        <v>0</v>
      </c>
      <c r="BJ387" s="303">
        <f t="shared" si="330"/>
        <v>1211.25</v>
      </c>
      <c r="BK387" s="303">
        <v>6</v>
      </c>
      <c r="BL387" s="309">
        <f t="shared" si="315"/>
        <v>4.7058823529411761E-3</v>
      </c>
      <c r="BM387" s="309">
        <f t="shared" si="332"/>
        <v>4.9535603715170282E-3</v>
      </c>
      <c r="BN387" s="205">
        <f t="shared" si="312"/>
        <v>6</v>
      </c>
      <c r="BO387" s="205"/>
      <c r="BP387" s="310"/>
      <c r="BQ387" s="308">
        <f t="shared" si="316"/>
        <v>0</v>
      </c>
      <c r="BR387" s="310"/>
      <c r="BS387" s="308">
        <f t="shared" si="317"/>
        <v>0</v>
      </c>
      <c r="BT387" s="310"/>
      <c r="BU387" s="308">
        <f t="shared" si="318"/>
        <v>0</v>
      </c>
      <c r="BV387" s="310"/>
      <c r="BW387" s="308">
        <f t="shared" si="319"/>
        <v>0</v>
      </c>
      <c r="BX387" s="310"/>
      <c r="BY387" s="308">
        <f t="shared" si="320"/>
        <v>0</v>
      </c>
      <c r="BZ387" s="310">
        <v>550</v>
      </c>
      <c r="CA387" s="308">
        <f t="shared" si="321"/>
        <v>0.43137254901960786</v>
      </c>
      <c r="CB387" s="310">
        <v>550</v>
      </c>
      <c r="CC387" s="308">
        <f t="shared" si="322"/>
        <v>0.43137254901960786</v>
      </c>
      <c r="CD387" s="310">
        <v>650</v>
      </c>
      <c r="CE387" s="308">
        <f t="shared" si="345"/>
        <v>0.50980392156862742</v>
      </c>
      <c r="CF387" s="310">
        <v>900</v>
      </c>
      <c r="CG387" s="308">
        <f t="shared" si="324"/>
        <v>0.70588235294117652</v>
      </c>
      <c r="CH387" s="310">
        <v>950</v>
      </c>
      <c r="CI387" s="308">
        <f t="shared" si="346"/>
        <v>0.74509803921568629</v>
      </c>
      <c r="CJ387" s="310">
        <v>1000</v>
      </c>
      <c r="CK387" s="308">
        <f t="shared" si="326"/>
        <v>0.78431372549019607</v>
      </c>
      <c r="CL387" s="310">
        <v>1211.25</v>
      </c>
      <c r="CM387" s="308">
        <f t="shared" si="327"/>
        <v>0.95</v>
      </c>
      <c r="CN387" s="310">
        <v>1211.25</v>
      </c>
      <c r="CO387" s="308">
        <f t="shared" si="328"/>
        <v>0.95</v>
      </c>
      <c r="CP387" s="213" t="str">
        <f t="shared" si="333"/>
        <v>Không đạt</v>
      </c>
      <c r="CQ387" s="213" t="str">
        <f t="shared" si="334"/>
        <v>Không đạt</v>
      </c>
      <c r="CR387" s="312"/>
      <c r="CS387" s="312"/>
      <c r="CT387" s="235"/>
      <c r="CU387" s="163"/>
      <c r="CW387" s="195"/>
      <c r="CX387" s="196"/>
      <c r="CY387" s="196"/>
      <c r="CZ387" s="197"/>
      <c r="DA387" s="196"/>
      <c r="DB387" s="196"/>
      <c r="DC387" s="196"/>
      <c r="DE387" s="199"/>
      <c r="DF387" s="200"/>
      <c r="DG387" s="181"/>
    </row>
    <row r="388" spans="1:112" ht="18" customHeight="1" x14ac:dyDescent="0.25">
      <c r="A388" s="316">
        <f>MAX(A$243:A386)+1</f>
        <v>42</v>
      </c>
      <c r="B388" s="240" t="s">
        <v>435</v>
      </c>
      <c r="C388" s="240"/>
      <c r="D388" s="188">
        <f t="shared" ref="D388:I388" si="353">D389+D390</f>
        <v>4275</v>
      </c>
      <c r="E388" s="188">
        <f t="shared" si="353"/>
        <v>0</v>
      </c>
      <c r="F388" s="188">
        <f t="shared" si="353"/>
        <v>4275</v>
      </c>
      <c r="G388" s="188">
        <f t="shared" si="353"/>
        <v>3000</v>
      </c>
      <c r="H388" s="188">
        <f t="shared" si="353"/>
        <v>1275</v>
      </c>
      <c r="I388" s="188">
        <f t="shared" si="353"/>
        <v>0</v>
      </c>
      <c r="J388" s="188"/>
      <c r="K388" s="188">
        <f>K389+K390</f>
        <v>0</v>
      </c>
      <c r="L388" s="188">
        <f>L389+L390</f>
        <v>0</v>
      </c>
      <c r="M388" s="188">
        <f>M389+M390</f>
        <v>0</v>
      </c>
      <c r="N388" s="188">
        <f>N389+N390</f>
        <v>0</v>
      </c>
      <c r="O388" s="188">
        <f>O389+O390</f>
        <v>3000</v>
      </c>
      <c r="P388" s="188">
        <v>0</v>
      </c>
      <c r="Q388" s="186">
        <f t="shared" si="329"/>
        <v>0</v>
      </c>
      <c r="R388" s="188">
        <v>0</v>
      </c>
      <c r="S388" s="185">
        <v>0</v>
      </c>
      <c r="T388" s="185">
        <v>0</v>
      </c>
      <c r="U388" s="188">
        <v>0</v>
      </c>
      <c r="V388" s="185">
        <v>0</v>
      </c>
      <c r="W388" s="185">
        <v>0</v>
      </c>
      <c r="X388" s="188">
        <v>0</v>
      </c>
      <c r="Y388" s="185">
        <v>0</v>
      </c>
      <c r="Z388" s="185">
        <v>0</v>
      </c>
      <c r="AA388" s="188">
        <v>0</v>
      </c>
      <c r="AB388" s="185">
        <v>0</v>
      </c>
      <c r="AC388" s="185">
        <v>0</v>
      </c>
      <c r="AD388" s="188">
        <v>0</v>
      </c>
      <c r="AE388" s="185">
        <v>0</v>
      </c>
      <c r="AF388" s="185">
        <v>0</v>
      </c>
      <c r="AG388" s="188">
        <v>0</v>
      </c>
      <c r="AH388" s="185">
        <v>0</v>
      </c>
      <c r="AI388" s="185">
        <v>0</v>
      </c>
      <c r="AJ388" s="303">
        <v>0</v>
      </c>
      <c r="AK388" s="185">
        <v>0</v>
      </c>
      <c r="AL388" s="185">
        <v>0</v>
      </c>
      <c r="AM388" s="314">
        <v>0</v>
      </c>
      <c r="AN388" s="185">
        <v>0</v>
      </c>
      <c r="AO388" s="185">
        <v>0</v>
      </c>
      <c r="AP388" s="185"/>
      <c r="AQ388" s="188">
        <v>1723.8980000000001</v>
      </c>
      <c r="AR388" s="185">
        <v>0.40325099415204679</v>
      </c>
      <c r="AS388" s="185">
        <v>0.42447473068636504</v>
      </c>
      <c r="AT388" s="188">
        <v>1723.8980000000001</v>
      </c>
      <c r="AU388" s="185">
        <v>0.40325099415204679</v>
      </c>
      <c r="AV388" s="185">
        <v>0.42447473068636504</v>
      </c>
      <c r="AW388" s="185"/>
      <c r="AX388" s="185"/>
      <c r="AY388" s="185"/>
      <c r="AZ388" s="185"/>
      <c r="BA388" s="185"/>
      <c r="BB388" s="185"/>
      <c r="BC388" s="188">
        <v>1723.8980000000001</v>
      </c>
      <c r="BD388" s="185">
        <v>0.40325099415204679</v>
      </c>
      <c r="BE388" s="185">
        <v>0.42447473068636504</v>
      </c>
      <c r="BF388" s="188"/>
      <c r="BG388" s="188">
        <v>2387.67</v>
      </c>
      <c r="BH388" s="185">
        <v>0.55851929824561408</v>
      </c>
      <c r="BI388" s="185">
        <v>0.58791505078485695</v>
      </c>
      <c r="BJ388" s="188">
        <f t="shared" si="330"/>
        <v>4061.25</v>
      </c>
      <c r="BK388" s="188">
        <v>2668</v>
      </c>
      <c r="BL388" s="185">
        <f t="shared" si="315"/>
        <v>0.62409356725146203</v>
      </c>
      <c r="BM388" s="185">
        <f t="shared" si="332"/>
        <v>0.65694059710680208</v>
      </c>
      <c r="BN388" s="205">
        <f t="shared" si="312"/>
        <v>2668</v>
      </c>
      <c r="BO388" s="205"/>
      <c r="BP388" s="189">
        <f>BP389+BP390</f>
        <v>0</v>
      </c>
      <c r="BQ388" s="186">
        <f t="shared" si="316"/>
        <v>0</v>
      </c>
      <c r="BR388" s="189">
        <f>BR389+BR390</f>
        <v>0</v>
      </c>
      <c r="BS388" s="186">
        <f t="shared" si="317"/>
        <v>0</v>
      </c>
      <c r="BT388" s="189">
        <f>BT389+BT390</f>
        <v>427.5</v>
      </c>
      <c r="BU388" s="186">
        <f t="shared" si="318"/>
        <v>0.1</v>
      </c>
      <c r="BV388" s="189">
        <f>BV389+BV390</f>
        <v>855</v>
      </c>
      <c r="BW388" s="186">
        <f t="shared" si="319"/>
        <v>0.2</v>
      </c>
      <c r="BX388" s="189">
        <f>BX389+BX390</f>
        <v>1282.5</v>
      </c>
      <c r="BY388" s="186">
        <f t="shared" si="320"/>
        <v>0.3</v>
      </c>
      <c r="BZ388" s="189">
        <f>BZ389+BZ390</f>
        <v>1710</v>
      </c>
      <c r="CA388" s="186">
        <f t="shared" si="321"/>
        <v>0.4</v>
      </c>
      <c r="CB388" s="189">
        <f>CB389+CB390</f>
        <v>2137.5</v>
      </c>
      <c r="CC388" s="186">
        <f t="shared" si="322"/>
        <v>0.5</v>
      </c>
      <c r="CD388" s="189">
        <f>CD389+CD390</f>
        <v>2351.25</v>
      </c>
      <c r="CE388" s="186">
        <f t="shared" si="345"/>
        <v>0.55000000000000004</v>
      </c>
      <c r="CF388" s="189">
        <f>CF389+CF390</f>
        <v>2992.5</v>
      </c>
      <c r="CG388" s="186">
        <f t="shared" si="324"/>
        <v>0.7</v>
      </c>
      <c r="CH388" s="189">
        <f>CH389+CH390</f>
        <v>2992.5</v>
      </c>
      <c r="CI388" s="186">
        <f t="shared" si="346"/>
        <v>0.7</v>
      </c>
      <c r="CJ388" s="189">
        <f>CJ389+CJ390</f>
        <v>3206.25</v>
      </c>
      <c r="CK388" s="186">
        <f t="shared" si="326"/>
        <v>0.75</v>
      </c>
      <c r="CL388" s="189">
        <f>CL389+CL390</f>
        <v>3206.25</v>
      </c>
      <c r="CM388" s="186">
        <f t="shared" si="327"/>
        <v>0.75</v>
      </c>
      <c r="CN388" s="189">
        <f>CN389+CN390</f>
        <v>4061.25</v>
      </c>
      <c r="CO388" s="186">
        <f t="shared" si="328"/>
        <v>0.95</v>
      </c>
      <c r="CP388" s="213" t="str">
        <f t="shared" si="333"/>
        <v>Đạt</v>
      </c>
      <c r="CQ388" s="213" t="str">
        <f t="shared" si="334"/>
        <v>Đạt</v>
      </c>
      <c r="CR388" s="213"/>
      <c r="CS388" s="213"/>
      <c r="CT388" s="231"/>
      <c r="CU388" s="163"/>
      <c r="CW388" s="195"/>
      <c r="CX388" s="196"/>
      <c r="CY388" s="196"/>
      <c r="CZ388" s="197"/>
      <c r="DA388" s="196"/>
      <c r="DB388" s="196"/>
      <c r="DC388" s="196"/>
      <c r="DE388" s="199"/>
      <c r="DF388" s="200"/>
      <c r="DG388" s="181"/>
    </row>
    <row r="389" spans="1:112" s="324" customFormat="1" outlineLevel="1" x14ac:dyDescent="0.25">
      <c r="A389" s="305" t="s">
        <v>34</v>
      </c>
      <c r="B389" s="306" t="s">
        <v>376</v>
      </c>
      <c r="C389" s="306"/>
      <c r="D389" s="307">
        <f>E389+F389</f>
        <v>3000</v>
      </c>
      <c r="E389" s="307"/>
      <c r="F389" s="307">
        <f>G389+H389+K389+M389</f>
        <v>3000</v>
      </c>
      <c r="G389" s="303">
        <v>3000</v>
      </c>
      <c r="H389" s="303"/>
      <c r="I389" s="235"/>
      <c r="J389" s="235"/>
      <c r="K389" s="303"/>
      <c r="L389" s="235"/>
      <c r="M389" s="223"/>
      <c r="N389" s="223"/>
      <c r="O389" s="303">
        <f>G389+I389+L389+N389</f>
        <v>3000</v>
      </c>
      <c r="P389" s="303">
        <v>0</v>
      </c>
      <c r="Q389" s="308">
        <f t="shared" si="329"/>
        <v>0</v>
      </c>
      <c r="R389" s="303"/>
      <c r="S389" s="309">
        <v>0</v>
      </c>
      <c r="T389" s="309">
        <v>0</v>
      </c>
      <c r="U389" s="303"/>
      <c r="V389" s="309">
        <v>0</v>
      </c>
      <c r="W389" s="309">
        <v>0</v>
      </c>
      <c r="X389" s="303"/>
      <c r="Y389" s="309">
        <v>0</v>
      </c>
      <c r="Z389" s="309">
        <v>0</v>
      </c>
      <c r="AA389" s="303"/>
      <c r="AB389" s="309">
        <v>0</v>
      </c>
      <c r="AC389" s="309">
        <v>0</v>
      </c>
      <c r="AD389" s="303"/>
      <c r="AE389" s="309">
        <v>0</v>
      </c>
      <c r="AF389" s="309">
        <v>0</v>
      </c>
      <c r="AG389" s="303"/>
      <c r="AH389" s="309">
        <v>0</v>
      </c>
      <c r="AI389" s="309">
        <v>0</v>
      </c>
      <c r="AJ389" s="303"/>
      <c r="AK389" s="309">
        <v>0</v>
      </c>
      <c r="AL389" s="309">
        <v>0</v>
      </c>
      <c r="AM389" s="303"/>
      <c r="AN389" s="309">
        <v>0</v>
      </c>
      <c r="AO389" s="309">
        <v>0</v>
      </c>
      <c r="AP389" s="309"/>
      <c r="AQ389" s="303">
        <v>1723.8980000000001</v>
      </c>
      <c r="AR389" s="309">
        <v>0.57463266666666668</v>
      </c>
      <c r="AS389" s="309">
        <v>0.60487649122807019</v>
      </c>
      <c r="AT389" s="303">
        <v>1723.8980000000001</v>
      </c>
      <c r="AU389" s="309">
        <v>0.57463266666666668</v>
      </c>
      <c r="AV389" s="309">
        <v>0.60487649122807019</v>
      </c>
      <c r="AW389" s="309"/>
      <c r="AX389" s="309"/>
      <c r="AY389" s="309"/>
      <c r="AZ389" s="309"/>
      <c r="BA389" s="309"/>
      <c r="BB389" s="309"/>
      <c r="BC389" s="303">
        <v>1723.8980000000001</v>
      </c>
      <c r="BD389" s="309">
        <v>0.57463266666666668</v>
      </c>
      <c r="BE389" s="309">
        <v>0.60487649122807019</v>
      </c>
      <c r="BF389" s="303"/>
      <c r="BG389" s="303">
        <v>2387.67</v>
      </c>
      <c r="BH389" s="309">
        <v>0.79588999999999999</v>
      </c>
      <c r="BI389" s="309">
        <v>0.83777894736842107</v>
      </c>
      <c r="BJ389" s="303">
        <f t="shared" si="330"/>
        <v>2850</v>
      </c>
      <c r="BK389" s="303">
        <v>2647.9830000000002</v>
      </c>
      <c r="BL389" s="309">
        <f t="shared" si="315"/>
        <v>0.88266100000000003</v>
      </c>
      <c r="BM389" s="309">
        <f t="shared" si="332"/>
        <v>0.92911684210526324</v>
      </c>
      <c r="BN389" s="205">
        <f t="shared" si="312"/>
        <v>2647.9830000000002</v>
      </c>
      <c r="BO389" s="205"/>
      <c r="BP389" s="310"/>
      <c r="BQ389" s="308">
        <f t="shared" si="316"/>
        <v>0</v>
      </c>
      <c r="BR389" s="310"/>
      <c r="BS389" s="308">
        <f t="shared" si="317"/>
        <v>0</v>
      </c>
      <c r="BT389" s="310">
        <f>$F389*0.1</f>
        <v>300</v>
      </c>
      <c r="BU389" s="308">
        <f t="shared" si="318"/>
        <v>0.1</v>
      </c>
      <c r="BV389" s="310">
        <f>$F389*0.2</f>
        <v>600</v>
      </c>
      <c r="BW389" s="308">
        <f t="shared" si="319"/>
        <v>0.2</v>
      </c>
      <c r="BX389" s="310">
        <f>$F389*0.3</f>
        <v>900</v>
      </c>
      <c r="BY389" s="308">
        <f t="shared" si="320"/>
        <v>0.3</v>
      </c>
      <c r="BZ389" s="310">
        <f>$F389*0.4</f>
        <v>1200</v>
      </c>
      <c r="CA389" s="308">
        <f t="shared" si="321"/>
        <v>0.4</v>
      </c>
      <c r="CB389" s="310">
        <f>$F389*0.5</f>
        <v>1500</v>
      </c>
      <c r="CC389" s="308">
        <f t="shared" si="322"/>
        <v>0.5</v>
      </c>
      <c r="CD389" s="310">
        <f>$F389*0.55</f>
        <v>1650.0000000000002</v>
      </c>
      <c r="CE389" s="308">
        <f t="shared" si="345"/>
        <v>0.55000000000000004</v>
      </c>
      <c r="CF389" s="310">
        <v>2100</v>
      </c>
      <c r="CG389" s="308">
        <f t="shared" si="324"/>
        <v>0.7</v>
      </c>
      <c r="CH389" s="310">
        <f>$F389*0.7</f>
        <v>2100</v>
      </c>
      <c r="CI389" s="308">
        <f t="shared" si="346"/>
        <v>0.7</v>
      </c>
      <c r="CJ389" s="310">
        <f>$F389*0.75</f>
        <v>2250</v>
      </c>
      <c r="CK389" s="308">
        <f t="shared" si="326"/>
        <v>0.75</v>
      </c>
      <c r="CL389" s="310">
        <f>$F389*0.75</f>
        <v>2250</v>
      </c>
      <c r="CM389" s="308">
        <f t="shared" si="327"/>
        <v>0.75</v>
      </c>
      <c r="CN389" s="310">
        <f>$F389*0.95</f>
        <v>2850</v>
      </c>
      <c r="CO389" s="308">
        <f t="shared" si="328"/>
        <v>0.95</v>
      </c>
      <c r="CP389" s="213" t="str">
        <f t="shared" si="333"/>
        <v>Đạt</v>
      </c>
      <c r="CQ389" s="213" t="str">
        <f t="shared" si="334"/>
        <v>Đạt</v>
      </c>
      <c r="CR389" s="312"/>
      <c r="CS389" s="312"/>
      <c r="CT389" s="235"/>
      <c r="CU389" s="163"/>
      <c r="CV389" s="323"/>
      <c r="CW389" s="195"/>
      <c r="CX389" s="196"/>
      <c r="CY389" s="196"/>
      <c r="CZ389" s="197"/>
      <c r="DA389" s="196"/>
      <c r="DB389" s="196"/>
      <c r="DC389" s="196"/>
      <c r="DE389" s="199"/>
      <c r="DF389" s="200"/>
      <c r="DG389" s="181"/>
      <c r="DH389" s="337"/>
    </row>
    <row r="390" spans="1:112" ht="25.5" outlineLevel="1" x14ac:dyDescent="0.25">
      <c r="A390" s="305" t="s">
        <v>34</v>
      </c>
      <c r="B390" s="306" t="s">
        <v>377</v>
      </c>
      <c r="C390" s="306"/>
      <c r="D390" s="307">
        <f>E390+F390</f>
        <v>1275</v>
      </c>
      <c r="E390" s="307"/>
      <c r="F390" s="307">
        <f>G390+H390+K390+M390</f>
        <v>1275</v>
      </c>
      <c r="G390" s="307"/>
      <c r="H390" s="307">
        <v>1275</v>
      </c>
      <c r="I390" s="235"/>
      <c r="J390" s="235"/>
      <c r="K390" s="303"/>
      <c r="L390" s="235"/>
      <c r="M390" s="223"/>
      <c r="N390" s="223"/>
      <c r="O390" s="303"/>
      <c r="P390" s="303">
        <v>0</v>
      </c>
      <c r="Q390" s="308">
        <f t="shared" si="329"/>
        <v>0</v>
      </c>
      <c r="R390" s="303"/>
      <c r="S390" s="309">
        <v>0</v>
      </c>
      <c r="T390" s="309">
        <v>0</v>
      </c>
      <c r="U390" s="303"/>
      <c r="V390" s="309">
        <v>0</v>
      </c>
      <c r="W390" s="309">
        <v>0</v>
      </c>
      <c r="X390" s="303"/>
      <c r="Y390" s="309">
        <v>0</v>
      </c>
      <c r="Z390" s="309">
        <v>0</v>
      </c>
      <c r="AA390" s="303"/>
      <c r="AB390" s="309">
        <v>0</v>
      </c>
      <c r="AC390" s="309">
        <v>0</v>
      </c>
      <c r="AD390" s="303"/>
      <c r="AE390" s="309">
        <v>0</v>
      </c>
      <c r="AF390" s="309">
        <v>0</v>
      </c>
      <c r="AG390" s="303"/>
      <c r="AH390" s="309">
        <v>0</v>
      </c>
      <c r="AI390" s="309">
        <v>0</v>
      </c>
      <c r="AJ390" s="188"/>
      <c r="AK390" s="309">
        <v>0</v>
      </c>
      <c r="AL390" s="309">
        <v>0</v>
      </c>
      <c r="AM390" s="303"/>
      <c r="AN390" s="309">
        <v>0</v>
      </c>
      <c r="AO390" s="309">
        <v>0</v>
      </c>
      <c r="AP390" s="309"/>
      <c r="AQ390" s="303"/>
      <c r="AR390" s="309">
        <v>0</v>
      </c>
      <c r="AS390" s="309">
        <v>0</v>
      </c>
      <c r="AT390" s="303"/>
      <c r="AU390" s="309">
        <v>0</v>
      </c>
      <c r="AV390" s="309">
        <v>0</v>
      </c>
      <c r="AW390" s="309"/>
      <c r="AX390" s="309"/>
      <c r="AY390" s="309"/>
      <c r="AZ390" s="309"/>
      <c r="BA390" s="309"/>
      <c r="BB390" s="309"/>
      <c r="BC390" s="303"/>
      <c r="BD390" s="309">
        <v>0</v>
      </c>
      <c r="BE390" s="309">
        <v>0</v>
      </c>
      <c r="BF390" s="303"/>
      <c r="BG390" s="303"/>
      <c r="BH390" s="309">
        <v>0</v>
      </c>
      <c r="BI390" s="309">
        <v>0</v>
      </c>
      <c r="BJ390" s="303">
        <f t="shared" si="330"/>
        <v>1211.25</v>
      </c>
      <c r="BK390" s="303"/>
      <c r="BL390" s="309">
        <f t="shared" si="315"/>
        <v>0</v>
      </c>
      <c r="BM390" s="309">
        <f t="shared" si="332"/>
        <v>0</v>
      </c>
      <c r="BN390" s="205">
        <f t="shared" si="312"/>
        <v>0</v>
      </c>
      <c r="BO390" s="205"/>
      <c r="BP390" s="310"/>
      <c r="BQ390" s="308">
        <f t="shared" si="316"/>
        <v>0</v>
      </c>
      <c r="BR390" s="310"/>
      <c r="BS390" s="308">
        <f t="shared" si="317"/>
        <v>0</v>
      </c>
      <c r="BT390" s="310">
        <f>$F390*0.1</f>
        <v>127.5</v>
      </c>
      <c r="BU390" s="308">
        <f t="shared" si="318"/>
        <v>0.1</v>
      </c>
      <c r="BV390" s="310">
        <f>$F390*0.2</f>
        <v>255</v>
      </c>
      <c r="BW390" s="308">
        <f t="shared" si="319"/>
        <v>0.2</v>
      </c>
      <c r="BX390" s="310">
        <f>$F390*0.3</f>
        <v>382.5</v>
      </c>
      <c r="BY390" s="308">
        <f t="shared" si="320"/>
        <v>0.3</v>
      </c>
      <c r="BZ390" s="310">
        <f>$F390*0.4</f>
        <v>510</v>
      </c>
      <c r="CA390" s="308">
        <f t="shared" si="321"/>
        <v>0.4</v>
      </c>
      <c r="CB390" s="310">
        <f>$F390*0.5</f>
        <v>637.5</v>
      </c>
      <c r="CC390" s="308">
        <f t="shared" si="322"/>
        <v>0.5</v>
      </c>
      <c r="CD390" s="310">
        <f>$F390*0.55</f>
        <v>701.25</v>
      </c>
      <c r="CE390" s="308">
        <f t="shared" si="345"/>
        <v>0.55000000000000004</v>
      </c>
      <c r="CF390" s="310">
        <v>892.5</v>
      </c>
      <c r="CG390" s="308">
        <f t="shared" si="324"/>
        <v>0.7</v>
      </c>
      <c r="CH390" s="310">
        <f>$F390*0.7</f>
        <v>892.5</v>
      </c>
      <c r="CI390" s="308">
        <f t="shared" si="346"/>
        <v>0.7</v>
      </c>
      <c r="CJ390" s="310">
        <f>$F390*0.75</f>
        <v>956.25</v>
      </c>
      <c r="CK390" s="308">
        <f t="shared" si="326"/>
        <v>0.75</v>
      </c>
      <c r="CL390" s="310">
        <f>$F390*0.75</f>
        <v>956.25</v>
      </c>
      <c r="CM390" s="308">
        <f t="shared" si="327"/>
        <v>0.75</v>
      </c>
      <c r="CN390" s="310">
        <f>$F390*0.95</f>
        <v>1211.25</v>
      </c>
      <c r="CO390" s="308">
        <f t="shared" si="328"/>
        <v>0.95</v>
      </c>
      <c r="CP390" s="213" t="str">
        <f t="shared" si="333"/>
        <v>Không đạt</v>
      </c>
      <c r="CQ390" s="213" t="str">
        <f t="shared" si="334"/>
        <v>Không đạt</v>
      </c>
      <c r="CR390" s="312"/>
      <c r="CS390" s="312"/>
      <c r="CT390" s="235"/>
      <c r="CU390" s="163"/>
      <c r="CW390" s="195"/>
      <c r="CX390" s="196"/>
      <c r="CY390" s="196"/>
      <c r="CZ390" s="197"/>
      <c r="DA390" s="196"/>
      <c r="DB390" s="196"/>
      <c r="DC390" s="196"/>
      <c r="DE390" s="199"/>
      <c r="DF390" s="200"/>
      <c r="DG390" s="181"/>
    </row>
    <row r="391" spans="1:112" ht="18" customHeight="1" x14ac:dyDescent="0.25">
      <c r="A391" s="316">
        <f>MAX(A$243:A389)+1</f>
        <v>43</v>
      </c>
      <c r="B391" s="240" t="s">
        <v>436</v>
      </c>
      <c r="C391" s="240"/>
      <c r="D391" s="188">
        <f t="shared" ref="D391:I391" si="354">D392+D393</f>
        <v>3111</v>
      </c>
      <c r="E391" s="188">
        <f t="shared" si="354"/>
        <v>0</v>
      </c>
      <c r="F391" s="188">
        <f t="shared" si="354"/>
        <v>3111</v>
      </c>
      <c r="G391" s="188">
        <f t="shared" si="354"/>
        <v>3000</v>
      </c>
      <c r="H391" s="188">
        <f t="shared" si="354"/>
        <v>111</v>
      </c>
      <c r="I391" s="188">
        <f t="shared" si="354"/>
        <v>0</v>
      </c>
      <c r="J391" s="188"/>
      <c r="K391" s="188">
        <f>K392+K393</f>
        <v>0</v>
      </c>
      <c r="L391" s="188">
        <f>L392+L393</f>
        <v>0</v>
      </c>
      <c r="M391" s="188">
        <f>M392+M393</f>
        <v>0</v>
      </c>
      <c r="N391" s="188">
        <f>N392+N393</f>
        <v>0</v>
      </c>
      <c r="O391" s="188">
        <f>O392+O393</f>
        <v>3000</v>
      </c>
      <c r="P391" s="188">
        <v>0</v>
      </c>
      <c r="Q391" s="186">
        <f t="shared" si="329"/>
        <v>0</v>
      </c>
      <c r="R391" s="188">
        <v>0</v>
      </c>
      <c r="S391" s="185">
        <v>0</v>
      </c>
      <c r="T391" s="185">
        <v>0</v>
      </c>
      <c r="U391" s="188">
        <v>0</v>
      </c>
      <c r="V391" s="185">
        <v>0</v>
      </c>
      <c r="W391" s="185">
        <v>0</v>
      </c>
      <c r="X391" s="188">
        <v>0</v>
      </c>
      <c r="Y391" s="185">
        <v>0</v>
      </c>
      <c r="Z391" s="185">
        <v>0</v>
      </c>
      <c r="AA391" s="188">
        <v>0</v>
      </c>
      <c r="AB391" s="185">
        <v>0</v>
      </c>
      <c r="AC391" s="185">
        <v>0</v>
      </c>
      <c r="AD391" s="188">
        <v>0</v>
      </c>
      <c r="AE391" s="185">
        <v>0</v>
      </c>
      <c r="AF391" s="185">
        <v>0</v>
      </c>
      <c r="AG391" s="188">
        <v>0</v>
      </c>
      <c r="AH391" s="185">
        <v>0</v>
      </c>
      <c r="AI391" s="185">
        <v>0</v>
      </c>
      <c r="AJ391" s="303">
        <v>0</v>
      </c>
      <c r="AK391" s="185">
        <v>0</v>
      </c>
      <c r="AL391" s="185">
        <v>0</v>
      </c>
      <c r="AM391" s="188">
        <v>1122</v>
      </c>
      <c r="AN391" s="185">
        <v>0.36065573770491804</v>
      </c>
      <c r="AO391" s="185">
        <v>0.37963761863675582</v>
      </c>
      <c r="AP391" s="185"/>
      <c r="AQ391" s="188">
        <v>1295</v>
      </c>
      <c r="AR391" s="185">
        <v>0.41626486660237866</v>
      </c>
      <c r="AS391" s="185">
        <v>0.43817354379197754</v>
      </c>
      <c r="AT391" s="188">
        <v>1295</v>
      </c>
      <c r="AU391" s="185">
        <v>0.41626486660237866</v>
      </c>
      <c r="AV391" s="185">
        <v>0.43817354379197754</v>
      </c>
      <c r="AW391" s="185"/>
      <c r="AX391" s="185"/>
      <c r="AY391" s="185"/>
      <c r="AZ391" s="185"/>
      <c r="BA391" s="185"/>
      <c r="BB391" s="185"/>
      <c r="BC391" s="188">
        <v>1295</v>
      </c>
      <c r="BD391" s="185">
        <v>0.41626486660237866</v>
      </c>
      <c r="BE391" s="185">
        <v>0.43817354379197754</v>
      </c>
      <c r="BF391" s="188"/>
      <c r="BG391" s="188">
        <v>1438</v>
      </c>
      <c r="BH391" s="185">
        <v>0.46223079395692701</v>
      </c>
      <c r="BI391" s="185">
        <v>0.48655873048097587</v>
      </c>
      <c r="BJ391" s="188">
        <f t="shared" si="330"/>
        <v>2955.45</v>
      </c>
      <c r="BK391" s="188">
        <f>BK392+BK393</f>
        <v>1935</v>
      </c>
      <c r="BL391" s="185">
        <f t="shared" si="315"/>
        <v>0.62198649951783991</v>
      </c>
      <c r="BM391" s="185">
        <f t="shared" si="332"/>
        <v>0.65472263107141049</v>
      </c>
      <c r="BN391" s="205">
        <f t="shared" si="312"/>
        <v>1935</v>
      </c>
      <c r="BO391" s="205"/>
      <c r="BP391" s="189">
        <f>BP392+BP393</f>
        <v>0</v>
      </c>
      <c r="BQ391" s="186">
        <f t="shared" si="316"/>
        <v>0</v>
      </c>
      <c r="BR391" s="189">
        <f>BR392+BR393</f>
        <v>0</v>
      </c>
      <c r="BS391" s="186">
        <f t="shared" si="317"/>
        <v>0</v>
      </c>
      <c r="BT391" s="189">
        <f>BT392+BT393</f>
        <v>311.10000000000002</v>
      </c>
      <c r="BU391" s="186">
        <f t="shared" si="318"/>
        <v>0.1</v>
      </c>
      <c r="BV391" s="189">
        <f>BV392+BV393</f>
        <v>622.20000000000005</v>
      </c>
      <c r="BW391" s="186">
        <f t="shared" si="319"/>
        <v>0.2</v>
      </c>
      <c r="BX391" s="189">
        <f>BX392+BX393</f>
        <v>933.3</v>
      </c>
      <c r="BY391" s="186">
        <f t="shared" si="320"/>
        <v>0.3</v>
      </c>
      <c r="BZ391" s="189">
        <f>BZ392+BZ393</f>
        <v>1244.4000000000001</v>
      </c>
      <c r="CA391" s="186">
        <f t="shared" si="321"/>
        <v>0.4</v>
      </c>
      <c r="CB391" s="189">
        <f>CB392+CB393</f>
        <v>1555.5</v>
      </c>
      <c r="CC391" s="186">
        <f t="shared" si="322"/>
        <v>0.5</v>
      </c>
      <c r="CD391" s="189">
        <f>CD392+CD393</f>
        <v>1711.0500000000002</v>
      </c>
      <c r="CE391" s="186">
        <f t="shared" si="345"/>
        <v>0.55000000000000004</v>
      </c>
      <c r="CF391" s="189">
        <f>CF392+CF393</f>
        <v>2177.6999999999998</v>
      </c>
      <c r="CG391" s="186">
        <f t="shared" si="324"/>
        <v>0.7</v>
      </c>
      <c r="CH391" s="189">
        <f>CH392+CH393</f>
        <v>2177.6999999999998</v>
      </c>
      <c r="CI391" s="186">
        <f t="shared" si="346"/>
        <v>0.7</v>
      </c>
      <c r="CJ391" s="189">
        <f>CJ392+CJ393</f>
        <v>2333.25</v>
      </c>
      <c r="CK391" s="186">
        <f t="shared" si="326"/>
        <v>0.75</v>
      </c>
      <c r="CL391" s="189">
        <f>CL392+CL393</f>
        <v>2333.25</v>
      </c>
      <c r="CM391" s="186">
        <f t="shared" si="327"/>
        <v>0.75</v>
      </c>
      <c r="CN391" s="189">
        <f>CN392+CN393</f>
        <v>2955.45</v>
      </c>
      <c r="CO391" s="186">
        <f t="shared" si="328"/>
        <v>0.95</v>
      </c>
      <c r="CP391" s="213" t="str">
        <f t="shared" si="333"/>
        <v>Đạt</v>
      </c>
      <c r="CQ391" s="213" t="str">
        <f t="shared" si="334"/>
        <v>Đạt</v>
      </c>
      <c r="CR391" s="213"/>
      <c r="CS391" s="213"/>
      <c r="CT391" s="231"/>
      <c r="CU391" s="163"/>
      <c r="CW391" s="195"/>
      <c r="CX391" s="196"/>
      <c r="CY391" s="196"/>
      <c r="CZ391" s="197"/>
      <c r="DA391" s="196"/>
      <c r="DB391" s="196"/>
      <c r="DC391" s="196"/>
      <c r="DE391" s="199"/>
      <c r="DF391" s="200"/>
      <c r="DG391" s="181"/>
    </row>
    <row r="392" spans="1:112" s="324" customFormat="1" outlineLevel="1" x14ac:dyDescent="0.25">
      <c r="A392" s="305" t="s">
        <v>34</v>
      </c>
      <c r="B392" s="306" t="s">
        <v>376</v>
      </c>
      <c r="C392" s="306"/>
      <c r="D392" s="307">
        <f>E392+F392</f>
        <v>3000</v>
      </c>
      <c r="E392" s="307"/>
      <c r="F392" s="307">
        <f>G392+H392+K392+M392</f>
        <v>3000</v>
      </c>
      <c r="G392" s="303">
        <v>3000</v>
      </c>
      <c r="H392" s="303"/>
      <c r="I392" s="235"/>
      <c r="J392" s="235"/>
      <c r="K392" s="303"/>
      <c r="L392" s="235"/>
      <c r="M392" s="223"/>
      <c r="N392" s="223"/>
      <c r="O392" s="303">
        <f>G392+I392+L392+N392</f>
        <v>3000</v>
      </c>
      <c r="P392" s="303">
        <v>0</v>
      </c>
      <c r="Q392" s="308">
        <f t="shared" si="329"/>
        <v>0</v>
      </c>
      <c r="R392" s="303"/>
      <c r="S392" s="309">
        <v>0</v>
      </c>
      <c r="T392" s="309">
        <v>0</v>
      </c>
      <c r="U392" s="303"/>
      <c r="V392" s="309">
        <v>0</v>
      </c>
      <c r="W392" s="309">
        <v>0</v>
      </c>
      <c r="X392" s="303"/>
      <c r="Y392" s="309">
        <v>0</v>
      </c>
      <c r="Z392" s="309">
        <v>0</v>
      </c>
      <c r="AA392" s="303"/>
      <c r="AB392" s="309">
        <v>0</v>
      </c>
      <c r="AC392" s="309">
        <v>0</v>
      </c>
      <c r="AD392" s="303"/>
      <c r="AE392" s="309">
        <v>0</v>
      </c>
      <c r="AF392" s="309">
        <v>0</v>
      </c>
      <c r="AG392" s="303"/>
      <c r="AH392" s="309">
        <v>0</v>
      </c>
      <c r="AI392" s="309">
        <v>0</v>
      </c>
      <c r="AJ392" s="303"/>
      <c r="AK392" s="309">
        <v>0</v>
      </c>
      <c r="AL392" s="309">
        <v>0</v>
      </c>
      <c r="AM392" s="303">
        <v>1122</v>
      </c>
      <c r="AN392" s="309">
        <v>0.374</v>
      </c>
      <c r="AO392" s="309">
        <v>0.3936842105263158</v>
      </c>
      <c r="AP392" s="309"/>
      <c r="AQ392" s="303">
        <v>1295</v>
      </c>
      <c r="AR392" s="309">
        <v>0.43166666666666664</v>
      </c>
      <c r="AS392" s="309">
        <v>0.45438596491228073</v>
      </c>
      <c r="AT392" s="303">
        <v>1295</v>
      </c>
      <c r="AU392" s="309">
        <v>0.43166666666666664</v>
      </c>
      <c r="AV392" s="309">
        <v>0.45438596491228073</v>
      </c>
      <c r="AW392" s="309"/>
      <c r="AX392" s="309"/>
      <c r="AY392" s="309"/>
      <c r="AZ392" s="309"/>
      <c r="BA392" s="309"/>
      <c r="BB392" s="309"/>
      <c r="BC392" s="303">
        <v>1295</v>
      </c>
      <c r="BD392" s="309">
        <v>0.43166666666666664</v>
      </c>
      <c r="BE392" s="309">
        <v>0.45438596491228073</v>
      </c>
      <c r="BF392" s="303"/>
      <c r="BG392" s="303">
        <v>1438</v>
      </c>
      <c r="BH392" s="309">
        <v>0.47933333333333333</v>
      </c>
      <c r="BI392" s="309">
        <v>0.50456140350877188</v>
      </c>
      <c r="BJ392" s="303">
        <f t="shared" si="330"/>
        <v>2850</v>
      </c>
      <c r="BK392" s="303">
        <v>1935</v>
      </c>
      <c r="BL392" s="309">
        <f t="shared" si="315"/>
        <v>0.64500000000000002</v>
      </c>
      <c r="BM392" s="309">
        <f t="shared" si="332"/>
        <v>0.67894736842105263</v>
      </c>
      <c r="BN392" s="205">
        <f t="shared" si="312"/>
        <v>1935</v>
      </c>
      <c r="BO392" s="205"/>
      <c r="BP392" s="310"/>
      <c r="BQ392" s="308">
        <f t="shared" si="316"/>
        <v>0</v>
      </c>
      <c r="BR392" s="310"/>
      <c r="BS392" s="308">
        <f t="shared" si="317"/>
        <v>0</v>
      </c>
      <c r="BT392" s="310">
        <f>$F392*0.1</f>
        <v>300</v>
      </c>
      <c r="BU392" s="308">
        <f t="shared" si="318"/>
        <v>0.1</v>
      </c>
      <c r="BV392" s="310">
        <f>$F392*0.2</f>
        <v>600</v>
      </c>
      <c r="BW392" s="308">
        <f t="shared" si="319"/>
        <v>0.2</v>
      </c>
      <c r="BX392" s="310">
        <f>$F392*0.3</f>
        <v>900</v>
      </c>
      <c r="BY392" s="308">
        <f t="shared" si="320"/>
        <v>0.3</v>
      </c>
      <c r="BZ392" s="310">
        <f>$F392*0.4</f>
        <v>1200</v>
      </c>
      <c r="CA392" s="308">
        <f t="shared" si="321"/>
        <v>0.4</v>
      </c>
      <c r="CB392" s="310">
        <f>$F392*0.5</f>
        <v>1500</v>
      </c>
      <c r="CC392" s="308">
        <f t="shared" si="322"/>
        <v>0.5</v>
      </c>
      <c r="CD392" s="310">
        <f>$F392*0.55</f>
        <v>1650.0000000000002</v>
      </c>
      <c r="CE392" s="308">
        <f t="shared" si="345"/>
        <v>0.55000000000000004</v>
      </c>
      <c r="CF392" s="310">
        <v>2100</v>
      </c>
      <c r="CG392" s="308">
        <f t="shared" si="324"/>
        <v>0.7</v>
      </c>
      <c r="CH392" s="310">
        <f>$F392*0.7</f>
        <v>2100</v>
      </c>
      <c r="CI392" s="308">
        <f t="shared" si="346"/>
        <v>0.7</v>
      </c>
      <c r="CJ392" s="310">
        <f>$F392*0.75</f>
        <v>2250</v>
      </c>
      <c r="CK392" s="308">
        <f t="shared" si="326"/>
        <v>0.75</v>
      </c>
      <c r="CL392" s="310">
        <f>$F392*0.75</f>
        <v>2250</v>
      </c>
      <c r="CM392" s="308">
        <f t="shared" si="327"/>
        <v>0.75</v>
      </c>
      <c r="CN392" s="310">
        <f>$F392*0.95</f>
        <v>2850</v>
      </c>
      <c r="CO392" s="308">
        <f t="shared" si="328"/>
        <v>0.95</v>
      </c>
      <c r="CP392" s="213" t="str">
        <f t="shared" si="333"/>
        <v>Đạt</v>
      </c>
      <c r="CQ392" s="213" t="str">
        <f t="shared" si="334"/>
        <v>Đạt</v>
      </c>
      <c r="CR392" s="312"/>
      <c r="CS392" s="312"/>
      <c r="CT392" s="235"/>
      <c r="CU392" s="163"/>
      <c r="CV392" s="323"/>
      <c r="CW392" s="195"/>
      <c r="CX392" s="196"/>
      <c r="CY392" s="196"/>
      <c r="CZ392" s="197"/>
      <c r="DA392" s="196"/>
      <c r="DB392" s="196"/>
      <c r="DC392" s="196"/>
      <c r="DE392" s="199"/>
      <c r="DF392" s="200"/>
      <c r="DG392" s="181"/>
    </row>
    <row r="393" spans="1:112" ht="25.5" outlineLevel="1" x14ac:dyDescent="0.25">
      <c r="A393" s="305" t="s">
        <v>34</v>
      </c>
      <c r="B393" s="306" t="s">
        <v>377</v>
      </c>
      <c r="C393" s="306"/>
      <c r="D393" s="307">
        <f>E393+F393</f>
        <v>111</v>
      </c>
      <c r="E393" s="307"/>
      <c r="F393" s="307">
        <f>G393+H393+K393+M393</f>
        <v>111</v>
      </c>
      <c r="G393" s="307"/>
      <c r="H393" s="307">
        <v>111</v>
      </c>
      <c r="I393" s="235"/>
      <c r="J393" s="235"/>
      <c r="K393" s="303"/>
      <c r="L393" s="235"/>
      <c r="M393" s="223"/>
      <c r="N393" s="223"/>
      <c r="O393" s="303"/>
      <c r="P393" s="303">
        <v>0</v>
      </c>
      <c r="Q393" s="308">
        <f t="shared" si="329"/>
        <v>0</v>
      </c>
      <c r="R393" s="303"/>
      <c r="S393" s="309">
        <v>0</v>
      </c>
      <c r="T393" s="309">
        <v>0</v>
      </c>
      <c r="U393" s="303"/>
      <c r="V393" s="309">
        <v>0</v>
      </c>
      <c r="W393" s="309">
        <v>0</v>
      </c>
      <c r="X393" s="303"/>
      <c r="Y393" s="309">
        <v>0</v>
      </c>
      <c r="Z393" s="309">
        <v>0</v>
      </c>
      <c r="AA393" s="303"/>
      <c r="AB393" s="309">
        <v>0</v>
      </c>
      <c r="AC393" s="309">
        <v>0</v>
      </c>
      <c r="AD393" s="303"/>
      <c r="AE393" s="309">
        <v>0</v>
      </c>
      <c r="AF393" s="309">
        <v>0</v>
      </c>
      <c r="AG393" s="303"/>
      <c r="AH393" s="309">
        <v>0</v>
      </c>
      <c r="AI393" s="309">
        <v>0</v>
      </c>
      <c r="AJ393" s="189"/>
      <c r="AK393" s="309">
        <v>0</v>
      </c>
      <c r="AL393" s="309">
        <v>0</v>
      </c>
      <c r="AM393" s="303"/>
      <c r="AN393" s="309">
        <v>0</v>
      </c>
      <c r="AO393" s="309">
        <v>0</v>
      </c>
      <c r="AP393" s="309"/>
      <c r="AQ393" s="303"/>
      <c r="AR393" s="309">
        <v>0</v>
      </c>
      <c r="AS393" s="309">
        <v>0</v>
      </c>
      <c r="AT393" s="303"/>
      <c r="AU393" s="309">
        <v>0</v>
      </c>
      <c r="AV393" s="309">
        <v>0</v>
      </c>
      <c r="AW393" s="309"/>
      <c r="AX393" s="309"/>
      <c r="AY393" s="309"/>
      <c r="AZ393" s="309"/>
      <c r="BA393" s="309"/>
      <c r="BB393" s="309"/>
      <c r="BC393" s="303"/>
      <c r="BD393" s="309">
        <v>0</v>
      </c>
      <c r="BE393" s="309">
        <v>0</v>
      </c>
      <c r="BF393" s="303"/>
      <c r="BG393" s="303"/>
      <c r="BH393" s="309">
        <v>0</v>
      </c>
      <c r="BI393" s="309">
        <v>0</v>
      </c>
      <c r="BJ393" s="303">
        <f t="shared" si="330"/>
        <v>105.44999999999999</v>
      </c>
      <c r="BK393" s="303"/>
      <c r="BL393" s="309">
        <f t="shared" si="315"/>
        <v>0</v>
      </c>
      <c r="BM393" s="309">
        <f t="shared" si="332"/>
        <v>0</v>
      </c>
      <c r="BN393" s="205">
        <f t="shared" si="312"/>
        <v>0</v>
      </c>
      <c r="BO393" s="205"/>
      <c r="BP393" s="310"/>
      <c r="BQ393" s="308">
        <f t="shared" si="316"/>
        <v>0</v>
      </c>
      <c r="BR393" s="310"/>
      <c r="BS393" s="308">
        <f t="shared" si="317"/>
        <v>0</v>
      </c>
      <c r="BT393" s="310">
        <f>$F393*0.1</f>
        <v>11.100000000000001</v>
      </c>
      <c r="BU393" s="308">
        <f t="shared" si="318"/>
        <v>0.10000000000000002</v>
      </c>
      <c r="BV393" s="310">
        <f>$F393*0.2</f>
        <v>22.200000000000003</v>
      </c>
      <c r="BW393" s="308">
        <f t="shared" si="319"/>
        <v>0.20000000000000004</v>
      </c>
      <c r="BX393" s="310">
        <f>$F393*0.3</f>
        <v>33.299999999999997</v>
      </c>
      <c r="BY393" s="308">
        <f t="shared" si="320"/>
        <v>0.3</v>
      </c>
      <c r="BZ393" s="310">
        <f>$F393*0.4</f>
        <v>44.400000000000006</v>
      </c>
      <c r="CA393" s="308">
        <f t="shared" si="321"/>
        <v>0.40000000000000008</v>
      </c>
      <c r="CB393" s="310">
        <f>$F393*0.5</f>
        <v>55.5</v>
      </c>
      <c r="CC393" s="308">
        <f t="shared" si="322"/>
        <v>0.5</v>
      </c>
      <c r="CD393" s="310">
        <f>$F393*0.55</f>
        <v>61.050000000000004</v>
      </c>
      <c r="CE393" s="308">
        <f t="shared" si="345"/>
        <v>0.55000000000000004</v>
      </c>
      <c r="CF393" s="310">
        <v>77.699999999999989</v>
      </c>
      <c r="CG393" s="308">
        <f t="shared" si="324"/>
        <v>0.69999999999999984</v>
      </c>
      <c r="CH393" s="310">
        <f>$F393*0.7</f>
        <v>77.699999999999989</v>
      </c>
      <c r="CI393" s="308">
        <f t="shared" si="346"/>
        <v>0.69999999999999984</v>
      </c>
      <c r="CJ393" s="310">
        <f>$F393*0.75</f>
        <v>83.25</v>
      </c>
      <c r="CK393" s="308">
        <f t="shared" si="326"/>
        <v>0.75</v>
      </c>
      <c r="CL393" s="310">
        <f>$F393*0.75</f>
        <v>83.25</v>
      </c>
      <c r="CM393" s="308">
        <f t="shared" si="327"/>
        <v>0.75</v>
      </c>
      <c r="CN393" s="310">
        <f>$F393*0.95</f>
        <v>105.44999999999999</v>
      </c>
      <c r="CO393" s="308">
        <f t="shared" si="328"/>
        <v>0.94999999999999984</v>
      </c>
      <c r="CP393" s="213" t="str">
        <f t="shared" si="333"/>
        <v>Không đạt</v>
      </c>
      <c r="CQ393" s="213" t="str">
        <f t="shared" si="334"/>
        <v>Không đạt</v>
      </c>
      <c r="CR393" s="312"/>
      <c r="CS393" s="312"/>
      <c r="CT393" s="235"/>
      <c r="CU393" s="163"/>
      <c r="CW393" s="195"/>
      <c r="CX393" s="196"/>
      <c r="CY393" s="196"/>
      <c r="CZ393" s="197"/>
      <c r="DA393" s="196"/>
      <c r="DB393" s="196"/>
      <c r="DC393" s="196"/>
      <c r="DE393" s="199"/>
      <c r="DF393" s="200"/>
      <c r="DG393" s="181"/>
    </row>
    <row r="394" spans="1:112" ht="18" customHeight="1" x14ac:dyDescent="0.25">
      <c r="A394" s="213">
        <f>MAX(A$243:A392)+1</f>
        <v>44</v>
      </c>
      <c r="B394" s="240" t="s">
        <v>437</v>
      </c>
      <c r="C394" s="240"/>
      <c r="D394" s="188">
        <f t="shared" ref="D394:I394" si="355">D395+D396</f>
        <v>3009</v>
      </c>
      <c r="E394" s="188">
        <f t="shared" si="355"/>
        <v>0</v>
      </c>
      <c r="F394" s="188">
        <f t="shared" si="355"/>
        <v>3009</v>
      </c>
      <c r="G394" s="188">
        <f t="shared" si="355"/>
        <v>3000</v>
      </c>
      <c r="H394" s="188">
        <f t="shared" si="355"/>
        <v>9</v>
      </c>
      <c r="I394" s="188">
        <f t="shared" si="355"/>
        <v>0</v>
      </c>
      <c r="J394" s="188"/>
      <c r="K394" s="188">
        <f>K395+K396</f>
        <v>0</v>
      </c>
      <c r="L394" s="188">
        <f>L395+L396</f>
        <v>0</v>
      </c>
      <c r="M394" s="188">
        <f>M395+M396</f>
        <v>0</v>
      </c>
      <c r="N394" s="188">
        <f>N395+N396</f>
        <v>0</v>
      </c>
      <c r="O394" s="188">
        <f>O395+O396</f>
        <v>3000</v>
      </c>
      <c r="P394" s="188">
        <v>0</v>
      </c>
      <c r="Q394" s="186">
        <f t="shared" si="329"/>
        <v>0</v>
      </c>
      <c r="R394" s="189">
        <v>0</v>
      </c>
      <c r="S394" s="185">
        <v>0</v>
      </c>
      <c r="T394" s="185">
        <v>0</v>
      </c>
      <c r="U394" s="189">
        <v>784.26800000000003</v>
      </c>
      <c r="V394" s="185">
        <v>0.2606407444333666</v>
      </c>
      <c r="W394" s="185">
        <v>0.27435867835091221</v>
      </c>
      <c r="X394" s="189">
        <v>784.26800000000003</v>
      </c>
      <c r="Y394" s="185">
        <v>0.2606407444333666</v>
      </c>
      <c r="Z394" s="185">
        <v>0.27435867835091221</v>
      </c>
      <c r="AA394" s="189">
        <v>784.26800000000003</v>
      </c>
      <c r="AB394" s="185">
        <v>0.2606407444333666</v>
      </c>
      <c r="AC394" s="185">
        <v>0.27435867835091221</v>
      </c>
      <c r="AD394" s="189">
        <v>970</v>
      </c>
      <c r="AE394" s="185">
        <v>0.32236623462944503</v>
      </c>
      <c r="AF394" s="185">
        <v>0.33933287855731054</v>
      </c>
      <c r="AG394" s="189">
        <v>970</v>
      </c>
      <c r="AH394" s="185">
        <v>0.32236623462944503</v>
      </c>
      <c r="AI394" s="185">
        <v>0.33933287855731054</v>
      </c>
      <c r="AJ394" s="303">
        <v>970</v>
      </c>
      <c r="AK394" s="185">
        <v>0.32236623462944503</v>
      </c>
      <c r="AL394" s="185">
        <v>0.33933287855731054</v>
      </c>
      <c r="AM394" s="189">
        <v>991</v>
      </c>
      <c r="AN394" s="185">
        <v>0.32934529744101032</v>
      </c>
      <c r="AO394" s="185">
        <v>0.34667926046422143</v>
      </c>
      <c r="AP394" s="185"/>
      <c r="AQ394" s="189">
        <v>1005</v>
      </c>
      <c r="AR394" s="185">
        <v>0.33399800598205381</v>
      </c>
      <c r="AS394" s="185">
        <v>0.35157684840216197</v>
      </c>
      <c r="AT394" s="189">
        <v>1005</v>
      </c>
      <c r="AU394" s="185">
        <v>0.33399800598205381</v>
      </c>
      <c r="AV394" s="185">
        <v>0.35157684840216197</v>
      </c>
      <c r="AW394" s="185"/>
      <c r="AX394" s="185"/>
      <c r="AY394" s="185"/>
      <c r="AZ394" s="185"/>
      <c r="BA394" s="185"/>
      <c r="BB394" s="185"/>
      <c r="BC394" s="189">
        <v>1005</v>
      </c>
      <c r="BD394" s="185">
        <v>0.33399800598205381</v>
      </c>
      <c r="BE394" s="185">
        <v>0.35157684840216197</v>
      </c>
      <c r="BF394" s="189"/>
      <c r="BG394" s="189">
        <v>1260</v>
      </c>
      <c r="BH394" s="185">
        <v>0.41874376869391827</v>
      </c>
      <c r="BI394" s="185">
        <v>0.44078291441465084</v>
      </c>
      <c r="BJ394" s="189">
        <f t="shared" si="330"/>
        <v>2858.5499999999997</v>
      </c>
      <c r="BK394" s="189">
        <f>BK395+BK396</f>
        <v>1546.9059999999999</v>
      </c>
      <c r="BL394" s="185">
        <f t="shared" si="315"/>
        <v>0.51409305417082085</v>
      </c>
      <c r="BM394" s="185">
        <f t="shared" si="332"/>
        <v>0.54115058333770616</v>
      </c>
      <c r="BN394" s="205">
        <f t="shared" si="312"/>
        <v>576.90599999999995</v>
      </c>
      <c r="BO394" s="205"/>
      <c r="BP394" s="189">
        <f>BP395+BP396</f>
        <v>0</v>
      </c>
      <c r="BQ394" s="186">
        <f t="shared" si="316"/>
        <v>0</v>
      </c>
      <c r="BR394" s="189">
        <f>BR395+BR396</f>
        <v>0</v>
      </c>
      <c r="BS394" s="186">
        <f t="shared" si="317"/>
        <v>0</v>
      </c>
      <c r="BT394" s="189">
        <f>BT395+BT396</f>
        <v>300</v>
      </c>
      <c r="BU394" s="186">
        <f t="shared" si="318"/>
        <v>9.970089730807577E-2</v>
      </c>
      <c r="BV394" s="189">
        <f>BV395+BV396</f>
        <v>608.54999999999995</v>
      </c>
      <c r="BW394" s="186">
        <f t="shared" si="319"/>
        <v>0.2022432701894317</v>
      </c>
      <c r="BX394" s="189">
        <f>BX395+BX396</f>
        <v>908.55</v>
      </c>
      <c r="BY394" s="186">
        <f t="shared" si="320"/>
        <v>0.30194416749750747</v>
      </c>
      <c r="BZ394" s="189">
        <f>BZ395+BZ396</f>
        <v>1208.55</v>
      </c>
      <c r="CA394" s="186">
        <f t="shared" si="321"/>
        <v>0.40164506480558326</v>
      </c>
      <c r="CB394" s="189">
        <f>CB395+CB396</f>
        <v>1508.55</v>
      </c>
      <c r="CC394" s="186">
        <f t="shared" si="322"/>
        <v>0.501345962113659</v>
      </c>
      <c r="CD394" s="189">
        <f>CD395+CD396</f>
        <v>1658.5500000000002</v>
      </c>
      <c r="CE394" s="186">
        <f t="shared" si="345"/>
        <v>0.55119641076769699</v>
      </c>
      <c r="CF394" s="189">
        <f>CF395+CF396</f>
        <v>2108.5500000000002</v>
      </c>
      <c r="CG394" s="186">
        <f t="shared" si="324"/>
        <v>0.7007477567298106</v>
      </c>
      <c r="CH394" s="189">
        <f>CH395+CH396</f>
        <v>2108.5500000000002</v>
      </c>
      <c r="CI394" s="186">
        <f t="shared" si="346"/>
        <v>0.7007477567298106</v>
      </c>
      <c r="CJ394" s="189">
        <f>CJ395+CJ396</f>
        <v>2258.5500000000002</v>
      </c>
      <c r="CK394" s="186">
        <f t="shared" si="326"/>
        <v>0.75059820538384847</v>
      </c>
      <c r="CL394" s="189">
        <f>CL395+CL396</f>
        <v>2258.5500000000002</v>
      </c>
      <c r="CM394" s="186">
        <f t="shared" si="327"/>
        <v>0.75059820538384847</v>
      </c>
      <c r="CN394" s="189">
        <f>CN395+CN396</f>
        <v>2858.55</v>
      </c>
      <c r="CO394" s="186">
        <f t="shared" si="328"/>
        <v>0.95000000000000007</v>
      </c>
      <c r="CP394" s="213" t="str">
        <f t="shared" si="333"/>
        <v>Đạt</v>
      </c>
      <c r="CQ394" s="213" t="str">
        <f t="shared" si="334"/>
        <v>Đạt</v>
      </c>
      <c r="CR394" s="213"/>
      <c r="CS394" s="213"/>
      <c r="CT394" s="231"/>
      <c r="CU394" s="163"/>
      <c r="CW394" s="195"/>
      <c r="CX394" s="196"/>
      <c r="CY394" s="196"/>
      <c r="CZ394" s="197"/>
      <c r="DA394" s="196"/>
      <c r="DB394" s="196"/>
      <c r="DC394" s="196"/>
      <c r="DE394" s="199"/>
      <c r="DF394" s="200"/>
      <c r="DG394" s="181"/>
    </row>
    <row r="395" spans="1:112" s="324" customFormat="1" outlineLevel="1" x14ac:dyDescent="0.25">
      <c r="A395" s="305" t="s">
        <v>34</v>
      </c>
      <c r="B395" s="306" t="s">
        <v>376</v>
      </c>
      <c r="C395" s="306"/>
      <c r="D395" s="307">
        <f>E395+F395</f>
        <v>3000</v>
      </c>
      <c r="E395" s="307"/>
      <c r="F395" s="307">
        <f>G395+H395+K395+M395</f>
        <v>3000</v>
      </c>
      <c r="G395" s="303">
        <v>3000</v>
      </c>
      <c r="H395" s="303"/>
      <c r="I395" s="235"/>
      <c r="J395" s="235"/>
      <c r="K395" s="303"/>
      <c r="L395" s="235"/>
      <c r="M395" s="223"/>
      <c r="N395" s="223"/>
      <c r="O395" s="303">
        <f>G395+I395+L395+N395</f>
        <v>3000</v>
      </c>
      <c r="P395" s="303">
        <v>0</v>
      </c>
      <c r="Q395" s="308">
        <f t="shared" si="329"/>
        <v>0</v>
      </c>
      <c r="R395" s="303"/>
      <c r="S395" s="309">
        <v>0</v>
      </c>
      <c r="T395" s="309">
        <v>0</v>
      </c>
      <c r="U395" s="303">
        <v>784.26800000000003</v>
      </c>
      <c r="V395" s="309">
        <v>0.26142266666666669</v>
      </c>
      <c r="W395" s="309">
        <v>0.27518175438596493</v>
      </c>
      <c r="X395" s="303">
        <v>784.26800000000003</v>
      </c>
      <c r="Y395" s="309">
        <v>0.26142266666666669</v>
      </c>
      <c r="Z395" s="309">
        <v>0.27518175438596493</v>
      </c>
      <c r="AA395" s="303">
        <v>784.26800000000003</v>
      </c>
      <c r="AB395" s="309">
        <v>0.26142266666666669</v>
      </c>
      <c r="AC395" s="309">
        <v>0.27518175438596493</v>
      </c>
      <c r="AD395" s="303">
        <v>970</v>
      </c>
      <c r="AE395" s="309">
        <v>0.32333333333333331</v>
      </c>
      <c r="AF395" s="309">
        <v>0.34035087719298246</v>
      </c>
      <c r="AG395" s="303">
        <v>970</v>
      </c>
      <c r="AH395" s="309">
        <v>0.32333333333333331</v>
      </c>
      <c r="AI395" s="309">
        <v>0.34035087719298246</v>
      </c>
      <c r="AJ395" s="303">
        <v>970</v>
      </c>
      <c r="AK395" s="309">
        <v>0.32333333333333331</v>
      </c>
      <c r="AL395" s="309">
        <v>0.34035087719298246</v>
      </c>
      <c r="AM395" s="303">
        <v>991</v>
      </c>
      <c r="AN395" s="309">
        <v>0.33033333333333331</v>
      </c>
      <c r="AO395" s="309">
        <v>0.34771929824561404</v>
      </c>
      <c r="AP395" s="309"/>
      <c r="AQ395" s="303">
        <v>1005</v>
      </c>
      <c r="AR395" s="309">
        <v>0.33500000000000002</v>
      </c>
      <c r="AS395" s="309">
        <v>0.35263157894736841</v>
      </c>
      <c r="AT395" s="303">
        <v>1005</v>
      </c>
      <c r="AU395" s="309">
        <v>0.33500000000000002</v>
      </c>
      <c r="AV395" s="309">
        <v>0.35263157894736841</v>
      </c>
      <c r="AW395" s="309"/>
      <c r="AX395" s="309"/>
      <c r="AY395" s="309"/>
      <c r="AZ395" s="309"/>
      <c r="BA395" s="309"/>
      <c r="BB395" s="309"/>
      <c r="BC395" s="303">
        <v>1005</v>
      </c>
      <c r="BD395" s="309">
        <v>0.33500000000000002</v>
      </c>
      <c r="BE395" s="309">
        <v>0.35263157894736841</v>
      </c>
      <c r="BF395" s="303"/>
      <c r="BG395" s="303">
        <v>1260</v>
      </c>
      <c r="BH395" s="309">
        <v>0.42</v>
      </c>
      <c r="BI395" s="309">
        <v>0.44210526315789472</v>
      </c>
      <c r="BJ395" s="303">
        <f t="shared" si="330"/>
        <v>2850</v>
      </c>
      <c r="BK395" s="303">
        <v>1546.9059999999999</v>
      </c>
      <c r="BL395" s="309">
        <f t="shared" si="315"/>
        <v>0.51563533333333333</v>
      </c>
      <c r="BM395" s="309">
        <f t="shared" si="332"/>
        <v>0.54277403508771926</v>
      </c>
      <c r="BN395" s="205">
        <f t="shared" ref="BN395:BN460" si="356">BK395-AD395</f>
        <v>576.90599999999995</v>
      </c>
      <c r="BO395" s="205"/>
      <c r="BP395" s="310"/>
      <c r="BQ395" s="308">
        <f t="shared" si="316"/>
        <v>0</v>
      </c>
      <c r="BR395" s="310"/>
      <c r="BS395" s="308">
        <f t="shared" si="317"/>
        <v>0</v>
      </c>
      <c r="BT395" s="310">
        <f>$F395*0.1</f>
        <v>300</v>
      </c>
      <c r="BU395" s="308">
        <f t="shared" si="318"/>
        <v>0.1</v>
      </c>
      <c r="BV395" s="310">
        <f>$F395*0.2</f>
        <v>600</v>
      </c>
      <c r="BW395" s="308">
        <f t="shared" si="319"/>
        <v>0.2</v>
      </c>
      <c r="BX395" s="310">
        <f>$F395*0.3</f>
        <v>900</v>
      </c>
      <c r="BY395" s="308">
        <f t="shared" si="320"/>
        <v>0.3</v>
      </c>
      <c r="BZ395" s="310">
        <f>$F395*0.4</f>
        <v>1200</v>
      </c>
      <c r="CA395" s="308">
        <f t="shared" si="321"/>
        <v>0.4</v>
      </c>
      <c r="CB395" s="310">
        <f>$F395*0.5</f>
        <v>1500</v>
      </c>
      <c r="CC395" s="308">
        <f t="shared" si="322"/>
        <v>0.5</v>
      </c>
      <c r="CD395" s="310">
        <f>$F395*0.55</f>
        <v>1650.0000000000002</v>
      </c>
      <c r="CE395" s="308">
        <f t="shared" si="345"/>
        <v>0.55000000000000004</v>
      </c>
      <c r="CF395" s="310">
        <v>2100</v>
      </c>
      <c r="CG395" s="308">
        <f t="shared" si="324"/>
        <v>0.7</v>
      </c>
      <c r="CH395" s="310">
        <f>$F395*0.7</f>
        <v>2100</v>
      </c>
      <c r="CI395" s="308">
        <f t="shared" si="346"/>
        <v>0.7</v>
      </c>
      <c r="CJ395" s="310">
        <f>$F395*0.75</f>
        <v>2250</v>
      </c>
      <c r="CK395" s="308">
        <f t="shared" si="326"/>
        <v>0.75</v>
      </c>
      <c r="CL395" s="310">
        <f>$F395*0.75</f>
        <v>2250</v>
      </c>
      <c r="CM395" s="308">
        <f t="shared" si="327"/>
        <v>0.75</v>
      </c>
      <c r="CN395" s="310">
        <f>$F395*0.95</f>
        <v>2850</v>
      </c>
      <c r="CO395" s="308">
        <f t="shared" si="328"/>
        <v>0.95</v>
      </c>
      <c r="CP395" s="213" t="str">
        <f t="shared" si="333"/>
        <v>Đạt</v>
      </c>
      <c r="CQ395" s="213" t="str">
        <f t="shared" si="334"/>
        <v>Đạt</v>
      </c>
      <c r="CR395" s="312"/>
      <c r="CS395" s="312"/>
      <c r="CT395" s="235"/>
      <c r="CU395" s="163"/>
      <c r="CV395" s="323"/>
      <c r="CW395" s="195"/>
      <c r="CX395" s="196"/>
      <c r="CY395" s="196"/>
      <c r="CZ395" s="197"/>
      <c r="DA395" s="196"/>
      <c r="DB395" s="196"/>
      <c r="DC395" s="196"/>
      <c r="DE395" s="199"/>
      <c r="DF395" s="200"/>
      <c r="DG395" s="181"/>
    </row>
    <row r="396" spans="1:112" ht="25.5" outlineLevel="1" x14ac:dyDescent="0.25">
      <c r="A396" s="305" t="s">
        <v>34</v>
      </c>
      <c r="B396" s="306" t="s">
        <v>377</v>
      </c>
      <c r="C396" s="306"/>
      <c r="D396" s="307">
        <f>E396+F396</f>
        <v>9</v>
      </c>
      <c r="E396" s="307"/>
      <c r="F396" s="307">
        <f>G396+H396+K396+M396</f>
        <v>9</v>
      </c>
      <c r="G396" s="307"/>
      <c r="H396" s="307">
        <v>9</v>
      </c>
      <c r="I396" s="235"/>
      <c r="J396" s="235"/>
      <c r="K396" s="303"/>
      <c r="L396" s="235"/>
      <c r="M396" s="223"/>
      <c r="N396" s="223"/>
      <c r="O396" s="303"/>
      <c r="P396" s="303">
        <v>0</v>
      </c>
      <c r="Q396" s="308">
        <f t="shared" si="329"/>
        <v>0</v>
      </c>
      <c r="R396" s="303"/>
      <c r="S396" s="309">
        <v>0</v>
      </c>
      <c r="T396" s="309">
        <v>0</v>
      </c>
      <c r="U396" s="303"/>
      <c r="V396" s="309">
        <v>0</v>
      </c>
      <c r="W396" s="309">
        <v>0</v>
      </c>
      <c r="X396" s="303"/>
      <c r="Y396" s="309">
        <v>0</v>
      </c>
      <c r="Z396" s="309">
        <v>0</v>
      </c>
      <c r="AA396" s="303"/>
      <c r="AB396" s="309">
        <v>0</v>
      </c>
      <c r="AC396" s="309">
        <v>0</v>
      </c>
      <c r="AD396" s="303"/>
      <c r="AE396" s="309">
        <v>0</v>
      </c>
      <c r="AF396" s="309">
        <v>0</v>
      </c>
      <c r="AG396" s="303"/>
      <c r="AH396" s="309">
        <v>0</v>
      </c>
      <c r="AI396" s="309">
        <v>0</v>
      </c>
      <c r="AJ396" s="188"/>
      <c r="AK396" s="309">
        <v>0</v>
      </c>
      <c r="AL396" s="309">
        <v>0</v>
      </c>
      <c r="AM396" s="303"/>
      <c r="AN396" s="309">
        <v>0</v>
      </c>
      <c r="AO396" s="309">
        <v>0</v>
      </c>
      <c r="AP396" s="309"/>
      <c r="AQ396" s="303"/>
      <c r="AR396" s="309">
        <v>0</v>
      </c>
      <c r="AS396" s="309">
        <v>0</v>
      </c>
      <c r="AT396" s="303"/>
      <c r="AU396" s="309">
        <v>0</v>
      </c>
      <c r="AV396" s="309">
        <v>0</v>
      </c>
      <c r="AW396" s="309"/>
      <c r="AX396" s="309"/>
      <c r="AY396" s="309"/>
      <c r="AZ396" s="309"/>
      <c r="BA396" s="309"/>
      <c r="BB396" s="309"/>
      <c r="BC396" s="303"/>
      <c r="BD396" s="309">
        <v>0</v>
      </c>
      <c r="BE396" s="309">
        <v>0</v>
      </c>
      <c r="BF396" s="303"/>
      <c r="BG396" s="303"/>
      <c r="BH396" s="309">
        <v>0</v>
      </c>
      <c r="BI396" s="309">
        <v>0</v>
      </c>
      <c r="BJ396" s="303">
        <f t="shared" si="330"/>
        <v>8.5499999999999989</v>
      </c>
      <c r="BK396" s="303"/>
      <c r="BL396" s="309">
        <f t="shared" si="315"/>
        <v>0</v>
      </c>
      <c r="BM396" s="309">
        <f t="shared" si="332"/>
        <v>0</v>
      </c>
      <c r="BN396" s="205">
        <f t="shared" si="356"/>
        <v>0</v>
      </c>
      <c r="BO396" s="205"/>
      <c r="BP396" s="310"/>
      <c r="BQ396" s="308">
        <f t="shared" si="316"/>
        <v>0</v>
      </c>
      <c r="BR396" s="310"/>
      <c r="BS396" s="308">
        <f t="shared" si="317"/>
        <v>0</v>
      </c>
      <c r="BT396" s="310"/>
      <c r="BU396" s="308">
        <f t="shared" si="318"/>
        <v>0</v>
      </c>
      <c r="BV396" s="310">
        <f>H396*0.95</f>
        <v>8.5499999999999989</v>
      </c>
      <c r="BW396" s="308">
        <f t="shared" si="319"/>
        <v>0.94999999999999984</v>
      </c>
      <c r="BX396" s="310">
        <v>8.5499999999999989</v>
      </c>
      <c r="BY396" s="308">
        <f t="shared" si="320"/>
        <v>0.94999999999999984</v>
      </c>
      <c r="BZ396" s="310">
        <v>8.5499999999999989</v>
      </c>
      <c r="CA396" s="308">
        <f t="shared" si="321"/>
        <v>0.94999999999999984</v>
      </c>
      <c r="CB396" s="310">
        <v>8.5499999999999989</v>
      </c>
      <c r="CC396" s="308">
        <f t="shared" si="322"/>
        <v>0.94999999999999984</v>
      </c>
      <c r="CD396" s="310">
        <v>8.5499999999999989</v>
      </c>
      <c r="CE396" s="308">
        <f t="shared" si="345"/>
        <v>0.94999999999999984</v>
      </c>
      <c r="CF396" s="310">
        <v>8.5499999999999989</v>
      </c>
      <c r="CG396" s="308">
        <f t="shared" si="324"/>
        <v>0.94999999999999984</v>
      </c>
      <c r="CH396" s="310">
        <v>8.5499999999999989</v>
      </c>
      <c r="CI396" s="308">
        <f t="shared" si="346"/>
        <v>0.94999999999999984</v>
      </c>
      <c r="CJ396" s="310">
        <v>8.5499999999999989</v>
      </c>
      <c r="CK396" s="308">
        <f t="shared" si="326"/>
        <v>0.94999999999999984</v>
      </c>
      <c r="CL396" s="310">
        <v>8.5499999999999989</v>
      </c>
      <c r="CM396" s="308">
        <f t="shared" si="327"/>
        <v>0.94999999999999984</v>
      </c>
      <c r="CN396" s="310">
        <v>8.5499999999999989</v>
      </c>
      <c r="CO396" s="308">
        <f t="shared" si="328"/>
        <v>0.94999999999999984</v>
      </c>
      <c r="CP396" s="213" t="str">
        <f t="shared" si="333"/>
        <v>Không đạt</v>
      </c>
      <c r="CQ396" s="213" t="str">
        <f t="shared" si="334"/>
        <v>Không đạt</v>
      </c>
      <c r="CR396" s="312"/>
      <c r="CS396" s="312"/>
      <c r="CT396" s="235"/>
      <c r="CU396" s="163"/>
      <c r="CW396" s="195"/>
      <c r="CX396" s="196"/>
      <c r="CY396" s="196"/>
      <c r="CZ396" s="197"/>
      <c r="DA396" s="196"/>
      <c r="DB396" s="196"/>
      <c r="DC396" s="196"/>
      <c r="DE396" s="199"/>
      <c r="DF396" s="200"/>
      <c r="DG396" s="181"/>
    </row>
    <row r="397" spans="1:112" ht="18" customHeight="1" x14ac:dyDescent="0.25">
      <c r="A397" s="213">
        <f>MAX(A$243:A395)+1</f>
        <v>45</v>
      </c>
      <c r="B397" s="240" t="s">
        <v>438</v>
      </c>
      <c r="C397" s="240"/>
      <c r="D397" s="188">
        <f t="shared" ref="D397:I397" si="357">D398+D399</f>
        <v>4360</v>
      </c>
      <c r="E397" s="188">
        <f t="shared" si="357"/>
        <v>0</v>
      </c>
      <c r="F397" s="188">
        <f t="shared" si="357"/>
        <v>4360</v>
      </c>
      <c r="G397" s="188">
        <f t="shared" si="357"/>
        <v>3000</v>
      </c>
      <c r="H397" s="188">
        <f t="shared" si="357"/>
        <v>1360</v>
      </c>
      <c r="I397" s="188">
        <f t="shared" si="357"/>
        <v>0</v>
      </c>
      <c r="J397" s="188"/>
      <c r="K397" s="188">
        <f>K398+K399</f>
        <v>0</v>
      </c>
      <c r="L397" s="188">
        <f>L398+L399</f>
        <v>0</v>
      </c>
      <c r="M397" s="188">
        <f>M398+M399</f>
        <v>0</v>
      </c>
      <c r="N397" s="188">
        <f>N398+N399</f>
        <v>0</v>
      </c>
      <c r="O397" s="188">
        <f>O398+O399</f>
        <v>3000</v>
      </c>
      <c r="P397" s="188">
        <v>0</v>
      </c>
      <c r="Q397" s="186">
        <f t="shared" si="329"/>
        <v>0</v>
      </c>
      <c r="R397" s="188">
        <v>0</v>
      </c>
      <c r="S397" s="185">
        <v>0</v>
      </c>
      <c r="T397" s="185">
        <v>0</v>
      </c>
      <c r="U397" s="188">
        <v>0</v>
      </c>
      <c r="V397" s="185">
        <v>0</v>
      </c>
      <c r="W397" s="185">
        <v>0</v>
      </c>
      <c r="X397" s="188">
        <v>0</v>
      </c>
      <c r="Y397" s="185">
        <v>0</v>
      </c>
      <c r="Z397" s="185">
        <v>0</v>
      </c>
      <c r="AA397" s="188">
        <v>0</v>
      </c>
      <c r="AB397" s="185">
        <v>0</v>
      </c>
      <c r="AC397" s="185">
        <v>0</v>
      </c>
      <c r="AD397" s="188">
        <v>574</v>
      </c>
      <c r="AE397" s="185">
        <v>0.13165137614678898</v>
      </c>
      <c r="AF397" s="185">
        <v>0.13858039594398841</v>
      </c>
      <c r="AG397" s="188">
        <v>574</v>
      </c>
      <c r="AH397" s="185">
        <v>0.13165137614678898</v>
      </c>
      <c r="AI397" s="185">
        <v>0.13858039594398841</v>
      </c>
      <c r="AJ397" s="303">
        <v>574</v>
      </c>
      <c r="AK397" s="185">
        <v>0.13165137614678898</v>
      </c>
      <c r="AL397" s="185">
        <v>0.13858039594398841</v>
      </c>
      <c r="AM397" s="188">
        <v>945</v>
      </c>
      <c r="AN397" s="185">
        <v>0.21674311926605505</v>
      </c>
      <c r="AO397" s="185">
        <v>0.22815065185900532</v>
      </c>
      <c r="AP397" s="185"/>
      <c r="AQ397" s="188">
        <v>945</v>
      </c>
      <c r="AR397" s="185">
        <v>0.21674311926605505</v>
      </c>
      <c r="AS397" s="185">
        <v>0.22815065185900532</v>
      </c>
      <c r="AT397" s="188">
        <v>945</v>
      </c>
      <c r="AU397" s="185">
        <v>0.21674311926605505</v>
      </c>
      <c r="AV397" s="185">
        <v>0.22815065185900532</v>
      </c>
      <c r="AW397" s="185"/>
      <c r="AX397" s="185"/>
      <c r="AY397" s="185"/>
      <c r="AZ397" s="185"/>
      <c r="BA397" s="185"/>
      <c r="BB397" s="185"/>
      <c r="BC397" s="188">
        <v>945</v>
      </c>
      <c r="BD397" s="185">
        <v>0.21674311926605505</v>
      </c>
      <c r="BE397" s="185">
        <v>0.22815065185900532</v>
      </c>
      <c r="BF397" s="188"/>
      <c r="BG397" s="188">
        <v>1565</v>
      </c>
      <c r="BH397" s="185">
        <v>0.35894495412844035</v>
      </c>
      <c r="BI397" s="185">
        <v>0.37783679381941093</v>
      </c>
      <c r="BJ397" s="188">
        <f t="shared" si="330"/>
        <v>4142</v>
      </c>
      <c r="BK397" s="188">
        <v>2299</v>
      </c>
      <c r="BL397" s="185">
        <f t="shared" si="315"/>
        <v>0.52729357798165133</v>
      </c>
      <c r="BM397" s="185">
        <f t="shared" si="332"/>
        <v>0.55504587155963303</v>
      </c>
      <c r="BN397" s="205">
        <f t="shared" si="356"/>
        <v>1725</v>
      </c>
      <c r="BO397" s="205"/>
      <c r="BP397" s="189">
        <f>BP398+BP399</f>
        <v>0</v>
      </c>
      <c r="BQ397" s="186">
        <f t="shared" si="316"/>
        <v>0</v>
      </c>
      <c r="BR397" s="189">
        <f>BR398+BR399</f>
        <v>0</v>
      </c>
      <c r="BS397" s="186">
        <f t="shared" si="317"/>
        <v>0</v>
      </c>
      <c r="BT397" s="189">
        <f>BT398+BT399</f>
        <v>436</v>
      </c>
      <c r="BU397" s="186">
        <f t="shared" si="318"/>
        <v>0.1</v>
      </c>
      <c r="BV397" s="189">
        <f>BV398+BV399</f>
        <v>872</v>
      </c>
      <c r="BW397" s="186">
        <f t="shared" si="319"/>
        <v>0.2</v>
      </c>
      <c r="BX397" s="189">
        <f>BX398+BX399</f>
        <v>1308</v>
      </c>
      <c r="BY397" s="186">
        <f t="shared" si="320"/>
        <v>0.3</v>
      </c>
      <c r="BZ397" s="189">
        <f>BZ398+BZ399</f>
        <v>1744</v>
      </c>
      <c r="CA397" s="186">
        <f t="shared" si="321"/>
        <v>0.4</v>
      </c>
      <c r="CB397" s="189">
        <f>CB398+CB399</f>
        <v>2180</v>
      </c>
      <c r="CC397" s="186">
        <f t="shared" si="322"/>
        <v>0.5</v>
      </c>
      <c r="CD397" s="189">
        <f>CD398+CD399</f>
        <v>2398.0000000000005</v>
      </c>
      <c r="CE397" s="186">
        <f t="shared" si="345"/>
        <v>0.55000000000000016</v>
      </c>
      <c r="CF397" s="189">
        <f>CF398+CF399</f>
        <v>3052</v>
      </c>
      <c r="CG397" s="186">
        <f t="shared" si="324"/>
        <v>0.7</v>
      </c>
      <c r="CH397" s="189">
        <f>CH398+CH399</f>
        <v>3052</v>
      </c>
      <c r="CI397" s="186">
        <f t="shared" si="346"/>
        <v>0.7</v>
      </c>
      <c r="CJ397" s="189">
        <f>CJ398+CJ399</f>
        <v>3270</v>
      </c>
      <c r="CK397" s="186">
        <f t="shared" si="326"/>
        <v>0.75</v>
      </c>
      <c r="CL397" s="189">
        <f>CL398+CL399</f>
        <v>3270</v>
      </c>
      <c r="CM397" s="186">
        <f t="shared" si="327"/>
        <v>0.75</v>
      </c>
      <c r="CN397" s="189">
        <f>CN398+CN399</f>
        <v>4142</v>
      </c>
      <c r="CO397" s="186">
        <f t="shared" si="328"/>
        <v>0.95</v>
      </c>
      <c r="CP397" s="213" t="str">
        <f t="shared" si="333"/>
        <v>Đạt</v>
      </c>
      <c r="CQ397" s="213" t="str">
        <f t="shared" si="334"/>
        <v>Đạt</v>
      </c>
      <c r="CR397" s="213"/>
      <c r="CS397" s="213"/>
      <c r="CT397" s="231"/>
      <c r="CU397" s="163"/>
      <c r="CW397" s="195"/>
      <c r="CX397" s="196"/>
      <c r="CY397" s="196"/>
      <c r="CZ397" s="197"/>
      <c r="DA397" s="196"/>
      <c r="DB397" s="196"/>
      <c r="DC397" s="196"/>
      <c r="DE397" s="199"/>
      <c r="DF397" s="200"/>
      <c r="DG397" s="181"/>
    </row>
    <row r="398" spans="1:112" s="324" customFormat="1" outlineLevel="1" x14ac:dyDescent="0.25">
      <c r="A398" s="305" t="s">
        <v>34</v>
      </c>
      <c r="B398" s="306" t="s">
        <v>376</v>
      </c>
      <c r="C398" s="306"/>
      <c r="D398" s="307">
        <f>E398+F398</f>
        <v>3000</v>
      </c>
      <c r="E398" s="307"/>
      <c r="F398" s="307">
        <f>G398+H398+K398+M398</f>
        <v>3000</v>
      </c>
      <c r="G398" s="303">
        <v>3000</v>
      </c>
      <c r="H398" s="303"/>
      <c r="I398" s="235"/>
      <c r="J398" s="235"/>
      <c r="K398" s="303"/>
      <c r="L398" s="235"/>
      <c r="M398" s="223"/>
      <c r="N398" s="223"/>
      <c r="O398" s="303">
        <f>G398+I398+L398+N398</f>
        <v>3000</v>
      </c>
      <c r="P398" s="303">
        <v>0</v>
      </c>
      <c r="Q398" s="308">
        <f t="shared" si="329"/>
        <v>0</v>
      </c>
      <c r="R398" s="303"/>
      <c r="S398" s="309">
        <v>0</v>
      </c>
      <c r="T398" s="309">
        <v>0</v>
      </c>
      <c r="U398" s="303"/>
      <c r="V398" s="309">
        <v>0</v>
      </c>
      <c r="W398" s="309">
        <v>0</v>
      </c>
      <c r="X398" s="303"/>
      <c r="Y398" s="309">
        <v>0</v>
      </c>
      <c r="Z398" s="309">
        <v>0</v>
      </c>
      <c r="AA398" s="303"/>
      <c r="AB398" s="309">
        <v>0</v>
      </c>
      <c r="AC398" s="309">
        <v>0</v>
      </c>
      <c r="AD398" s="303">
        <v>574</v>
      </c>
      <c r="AE398" s="309">
        <v>0.19133333333333333</v>
      </c>
      <c r="AF398" s="309">
        <v>0.20140350877192983</v>
      </c>
      <c r="AG398" s="303">
        <v>574</v>
      </c>
      <c r="AH398" s="309">
        <v>0.19133333333333333</v>
      </c>
      <c r="AI398" s="309">
        <v>0.20140350877192983</v>
      </c>
      <c r="AJ398" s="303">
        <v>574</v>
      </c>
      <c r="AK398" s="309">
        <v>0.19133333333333333</v>
      </c>
      <c r="AL398" s="309">
        <v>0.20140350877192983</v>
      </c>
      <c r="AM398" s="303">
        <v>945</v>
      </c>
      <c r="AN398" s="309">
        <v>0.315</v>
      </c>
      <c r="AO398" s="309">
        <v>0.33157894736842103</v>
      </c>
      <c r="AP398" s="309"/>
      <c r="AQ398" s="303">
        <v>945</v>
      </c>
      <c r="AR398" s="309">
        <v>0.315</v>
      </c>
      <c r="AS398" s="309">
        <v>0.33157894736842103</v>
      </c>
      <c r="AT398" s="303">
        <v>945</v>
      </c>
      <c r="AU398" s="309">
        <v>0.315</v>
      </c>
      <c r="AV398" s="309">
        <v>0.33157894736842103</v>
      </c>
      <c r="AW398" s="309"/>
      <c r="AX398" s="309"/>
      <c r="AY398" s="309"/>
      <c r="AZ398" s="309"/>
      <c r="BA398" s="309"/>
      <c r="BB398" s="309"/>
      <c r="BC398" s="303">
        <v>945</v>
      </c>
      <c r="BD398" s="309">
        <v>0.315</v>
      </c>
      <c r="BE398" s="309">
        <v>0.33157894736842103</v>
      </c>
      <c r="BF398" s="303"/>
      <c r="BG398" s="303">
        <v>1565</v>
      </c>
      <c r="BH398" s="309">
        <v>0.52166666666666661</v>
      </c>
      <c r="BI398" s="309">
        <v>0.5491228070175439</v>
      </c>
      <c r="BJ398" s="303">
        <f t="shared" si="330"/>
        <v>2850</v>
      </c>
      <c r="BK398" s="303">
        <v>1565</v>
      </c>
      <c r="BL398" s="309">
        <f t="shared" si="315"/>
        <v>0.52166666666666661</v>
      </c>
      <c r="BM398" s="309">
        <f t="shared" si="332"/>
        <v>0.5491228070175439</v>
      </c>
      <c r="BN398" s="205">
        <f t="shared" si="356"/>
        <v>991</v>
      </c>
      <c r="BO398" s="205"/>
      <c r="BP398" s="310"/>
      <c r="BQ398" s="308">
        <f t="shared" si="316"/>
        <v>0</v>
      </c>
      <c r="BR398" s="310"/>
      <c r="BS398" s="308">
        <f t="shared" si="317"/>
        <v>0</v>
      </c>
      <c r="BT398" s="310">
        <f>$F398*0.1</f>
        <v>300</v>
      </c>
      <c r="BU398" s="308">
        <f t="shared" si="318"/>
        <v>0.1</v>
      </c>
      <c r="BV398" s="310">
        <f>$F398*0.2</f>
        <v>600</v>
      </c>
      <c r="BW398" s="308">
        <f t="shared" si="319"/>
        <v>0.2</v>
      </c>
      <c r="BX398" s="310">
        <f>$F398*0.3</f>
        <v>900</v>
      </c>
      <c r="BY398" s="308">
        <f t="shared" si="320"/>
        <v>0.3</v>
      </c>
      <c r="BZ398" s="310">
        <f>$F398*0.4</f>
        <v>1200</v>
      </c>
      <c r="CA398" s="308">
        <f t="shared" si="321"/>
        <v>0.4</v>
      </c>
      <c r="CB398" s="310">
        <f>$F398*0.5</f>
        <v>1500</v>
      </c>
      <c r="CC398" s="308">
        <f t="shared" si="322"/>
        <v>0.5</v>
      </c>
      <c r="CD398" s="310">
        <f>$F398*0.55</f>
        <v>1650.0000000000002</v>
      </c>
      <c r="CE398" s="308">
        <f t="shared" si="345"/>
        <v>0.55000000000000004</v>
      </c>
      <c r="CF398" s="310">
        <v>2100</v>
      </c>
      <c r="CG398" s="308">
        <f t="shared" si="324"/>
        <v>0.7</v>
      </c>
      <c r="CH398" s="310">
        <f>$F398*0.7</f>
        <v>2100</v>
      </c>
      <c r="CI398" s="308">
        <f t="shared" si="346"/>
        <v>0.7</v>
      </c>
      <c r="CJ398" s="310">
        <f>$F398*0.75</f>
        <v>2250</v>
      </c>
      <c r="CK398" s="308">
        <f t="shared" si="326"/>
        <v>0.75</v>
      </c>
      <c r="CL398" s="310">
        <f>$F398*0.75</f>
        <v>2250</v>
      </c>
      <c r="CM398" s="308">
        <f t="shared" si="327"/>
        <v>0.75</v>
      </c>
      <c r="CN398" s="310">
        <f>$F398*0.95</f>
        <v>2850</v>
      </c>
      <c r="CO398" s="308">
        <f t="shared" si="328"/>
        <v>0.95</v>
      </c>
      <c r="CP398" s="213" t="str">
        <f t="shared" si="333"/>
        <v>Đạt</v>
      </c>
      <c r="CQ398" s="213" t="str">
        <f t="shared" si="334"/>
        <v>Đạt</v>
      </c>
      <c r="CR398" s="312"/>
      <c r="CS398" s="312"/>
      <c r="CT398" s="235"/>
      <c r="CU398" s="163"/>
      <c r="CV398" s="323"/>
      <c r="CW398" s="195"/>
      <c r="CX398" s="196"/>
      <c r="CY398" s="196"/>
      <c r="CZ398" s="197"/>
      <c r="DA398" s="196"/>
      <c r="DB398" s="196"/>
      <c r="DC398" s="196"/>
      <c r="DE398" s="199"/>
      <c r="DF398" s="200"/>
      <c r="DG398" s="181"/>
    </row>
    <row r="399" spans="1:112" ht="25.5" outlineLevel="1" x14ac:dyDescent="0.25">
      <c r="A399" s="305" t="s">
        <v>34</v>
      </c>
      <c r="B399" s="306" t="s">
        <v>377</v>
      </c>
      <c r="C399" s="306"/>
      <c r="D399" s="307">
        <f>E399+F399</f>
        <v>1360</v>
      </c>
      <c r="E399" s="307"/>
      <c r="F399" s="307">
        <f>G399+H399+K399+M399</f>
        <v>1360</v>
      </c>
      <c r="G399" s="307"/>
      <c r="H399" s="307">
        <v>1360</v>
      </c>
      <c r="I399" s="235"/>
      <c r="J399" s="235"/>
      <c r="K399" s="303"/>
      <c r="L399" s="235"/>
      <c r="M399" s="223"/>
      <c r="N399" s="223"/>
      <c r="O399" s="303"/>
      <c r="P399" s="303">
        <v>0</v>
      </c>
      <c r="Q399" s="308">
        <f t="shared" si="329"/>
        <v>0</v>
      </c>
      <c r="R399" s="303"/>
      <c r="S399" s="309">
        <v>0</v>
      </c>
      <c r="T399" s="309">
        <v>0</v>
      </c>
      <c r="U399" s="303"/>
      <c r="V399" s="309">
        <v>0</v>
      </c>
      <c r="W399" s="309">
        <v>0</v>
      </c>
      <c r="X399" s="303"/>
      <c r="Y399" s="309">
        <v>0</v>
      </c>
      <c r="Z399" s="309">
        <v>0</v>
      </c>
      <c r="AA399" s="303"/>
      <c r="AB399" s="309">
        <v>0</v>
      </c>
      <c r="AC399" s="309">
        <v>0</v>
      </c>
      <c r="AD399" s="303"/>
      <c r="AE399" s="309">
        <v>0</v>
      </c>
      <c r="AF399" s="309">
        <v>0</v>
      </c>
      <c r="AG399" s="303"/>
      <c r="AH399" s="309">
        <v>0</v>
      </c>
      <c r="AI399" s="309">
        <v>0</v>
      </c>
      <c r="AJ399" s="315"/>
      <c r="AK399" s="309">
        <v>0</v>
      </c>
      <c r="AL399" s="309">
        <v>0</v>
      </c>
      <c r="AM399" s="303"/>
      <c r="AN399" s="309">
        <v>0</v>
      </c>
      <c r="AO399" s="309">
        <v>0</v>
      </c>
      <c r="AP399" s="309"/>
      <c r="AQ399" s="303"/>
      <c r="AR399" s="309">
        <v>0</v>
      </c>
      <c r="AS399" s="309">
        <v>0</v>
      </c>
      <c r="AT399" s="303"/>
      <c r="AU399" s="309">
        <v>0</v>
      </c>
      <c r="AV399" s="309">
        <v>0</v>
      </c>
      <c r="AW399" s="309"/>
      <c r="AX399" s="309"/>
      <c r="AY399" s="309"/>
      <c r="AZ399" s="309"/>
      <c r="BA399" s="309"/>
      <c r="BB399" s="309"/>
      <c r="BC399" s="303"/>
      <c r="BD399" s="309">
        <v>0</v>
      </c>
      <c r="BE399" s="309">
        <v>0</v>
      </c>
      <c r="BF399" s="303"/>
      <c r="BG399" s="303"/>
      <c r="BH399" s="309">
        <v>0</v>
      </c>
      <c r="BI399" s="309">
        <v>0</v>
      </c>
      <c r="BJ399" s="303">
        <f t="shared" si="330"/>
        <v>1292</v>
      </c>
      <c r="BK399" s="303"/>
      <c r="BL399" s="309">
        <f t="shared" ref="BL399:BL464" si="358">BK399/$D399</f>
        <v>0</v>
      </c>
      <c r="BM399" s="309">
        <f t="shared" si="332"/>
        <v>0</v>
      </c>
      <c r="BN399" s="205">
        <f t="shared" si="356"/>
        <v>0</v>
      </c>
      <c r="BO399" s="205"/>
      <c r="BP399" s="310"/>
      <c r="BQ399" s="308">
        <f t="shared" ref="BQ399:BR464" si="359">BP399/$D399</f>
        <v>0</v>
      </c>
      <c r="BR399" s="310"/>
      <c r="BS399" s="308">
        <f t="shared" ref="BS399:BT464" si="360">BR399/$D399</f>
        <v>0</v>
      </c>
      <c r="BT399" s="310">
        <f>$F399*0.1</f>
        <v>136</v>
      </c>
      <c r="BU399" s="308">
        <f t="shared" ref="BU399:BV464" si="361">BT399/$D399</f>
        <v>0.1</v>
      </c>
      <c r="BV399" s="310">
        <f>$F399*0.2</f>
        <v>272</v>
      </c>
      <c r="BW399" s="308">
        <f t="shared" ref="BW399:BX464" si="362">BV399/$D399</f>
        <v>0.2</v>
      </c>
      <c r="BX399" s="310">
        <f>$F399*0.3</f>
        <v>408</v>
      </c>
      <c r="BY399" s="308">
        <f t="shared" ref="BY399:BZ464" si="363">BX399/$D399</f>
        <v>0.3</v>
      </c>
      <c r="BZ399" s="310">
        <f>$F399*0.4</f>
        <v>544</v>
      </c>
      <c r="CA399" s="308">
        <f t="shared" ref="CA399:CB464" si="364">BZ399/$D399</f>
        <v>0.4</v>
      </c>
      <c r="CB399" s="310">
        <f>$F399*0.5</f>
        <v>680</v>
      </c>
      <c r="CC399" s="308">
        <f t="shared" ref="CC399:CE462" si="365">CB399/$D399</f>
        <v>0.5</v>
      </c>
      <c r="CD399" s="310">
        <f>$F399*0.55</f>
        <v>748.00000000000011</v>
      </c>
      <c r="CE399" s="308">
        <f t="shared" si="345"/>
        <v>0.55000000000000004</v>
      </c>
      <c r="CF399" s="310">
        <v>951.99999999999989</v>
      </c>
      <c r="CG399" s="308">
        <f t="shared" ref="CG399:CI462" si="366">CF399/$D399</f>
        <v>0.7</v>
      </c>
      <c r="CH399" s="310">
        <f>$F399*0.7</f>
        <v>951.99999999999989</v>
      </c>
      <c r="CI399" s="308">
        <f t="shared" si="346"/>
        <v>0.7</v>
      </c>
      <c r="CJ399" s="310">
        <f>$F399*0.75</f>
        <v>1020</v>
      </c>
      <c r="CK399" s="308">
        <f t="shared" ref="CK399:CL464" si="367">CJ399/$D399</f>
        <v>0.75</v>
      </c>
      <c r="CL399" s="310">
        <f>$F399*0.75</f>
        <v>1020</v>
      </c>
      <c r="CM399" s="308">
        <f t="shared" ref="CM399:CN464" si="368">CL399/$D399</f>
        <v>0.75</v>
      </c>
      <c r="CN399" s="310">
        <f>$F399*0.95</f>
        <v>1292</v>
      </c>
      <c r="CO399" s="308">
        <f t="shared" ref="CO399:CO464" si="369">CN399/$D399</f>
        <v>0.95</v>
      </c>
      <c r="CP399" s="213" t="str">
        <f t="shared" si="333"/>
        <v>Không đạt</v>
      </c>
      <c r="CQ399" s="213" t="str">
        <f t="shared" si="334"/>
        <v>Không đạt</v>
      </c>
      <c r="CR399" s="312"/>
      <c r="CS399" s="312"/>
      <c r="CT399" s="235"/>
      <c r="CU399" s="163"/>
      <c r="CW399" s="195"/>
      <c r="CX399" s="196"/>
      <c r="CY399" s="196"/>
      <c r="CZ399" s="197"/>
      <c r="DA399" s="196"/>
      <c r="DB399" s="196"/>
      <c r="DC399" s="196"/>
      <c r="DE399" s="199"/>
      <c r="DF399" s="200"/>
      <c r="DG399" s="181"/>
    </row>
    <row r="400" spans="1:112" ht="18" customHeight="1" x14ac:dyDescent="0.25">
      <c r="A400" s="213">
        <f>MAX(A$243:A398)+1</f>
        <v>46</v>
      </c>
      <c r="B400" s="240" t="s">
        <v>439</v>
      </c>
      <c r="C400" s="240"/>
      <c r="D400" s="188">
        <f t="shared" ref="D400:I400" si="370">D401+D402</f>
        <v>3009</v>
      </c>
      <c r="E400" s="188">
        <f t="shared" si="370"/>
        <v>0</v>
      </c>
      <c r="F400" s="188">
        <f t="shared" si="370"/>
        <v>3009</v>
      </c>
      <c r="G400" s="188">
        <f t="shared" si="370"/>
        <v>3000</v>
      </c>
      <c r="H400" s="188">
        <f t="shared" si="370"/>
        <v>9</v>
      </c>
      <c r="I400" s="188">
        <f t="shared" si="370"/>
        <v>0</v>
      </c>
      <c r="J400" s="188"/>
      <c r="K400" s="188">
        <f>K401+K402</f>
        <v>0</v>
      </c>
      <c r="L400" s="188">
        <f>L401+L402</f>
        <v>0</v>
      </c>
      <c r="M400" s="188">
        <f>M401+M402</f>
        <v>0</v>
      </c>
      <c r="N400" s="188">
        <f>N401+N402</f>
        <v>0</v>
      </c>
      <c r="O400" s="188">
        <f>O401+O402</f>
        <v>3000</v>
      </c>
      <c r="P400" s="188">
        <v>0</v>
      </c>
      <c r="Q400" s="186">
        <f t="shared" ref="Q400:Q465" si="371">P400/$D400</f>
        <v>0</v>
      </c>
      <c r="R400" s="188">
        <v>512.505</v>
      </c>
      <c r="S400" s="185">
        <v>0.17032402791625126</v>
      </c>
      <c r="T400" s="185">
        <v>0.17928845043815922</v>
      </c>
      <c r="U400" s="315">
        <v>557.74099999999999</v>
      </c>
      <c r="V400" s="185">
        <v>0.18535759388501163</v>
      </c>
      <c r="W400" s="185">
        <v>0.19511325672106489</v>
      </c>
      <c r="X400" s="315">
        <v>557.74099999999999</v>
      </c>
      <c r="Y400" s="185">
        <v>0.18535759388501163</v>
      </c>
      <c r="Z400" s="185">
        <v>0.19511325672106489</v>
      </c>
      <c r="AA400" s="315">
        <v>557.74099999999999</v>
      </c>
      <c r="AB400" s="185">
        <v>0.18535759388501163</v>
      </c>
      <c r="AC400" s="185">
        <v>0.19511325672106489</v>
      </c>
      <c r="AD400" s="315">
        <v>1210</v>
      </c>
      <c r="AE400" s="185">
        <v>0.40212695247590563</v>
      </c>
      <c r="AF400" s="185">
        <v>0.42329152892200594</v>
      </c>
      <c r="AG400" s="315">
        <v>1210</v>
      </c>
      <c r="AH400" s="185">
        <v>0.40212695247590563</v>
      </c>
      <c r="AI400" s="185">
        <v>0.42329152892200594</v>
      </c>
      <c r="AJ400" s="303">
        <v>1210</v>
      </c>
      <c r="AK400" s="185">
        <v>0.40212695247590563</v>
      </c>
      <c r="AL400" s="185">
        <v>0.42329152892200594</v>
      </c>
      <c r="AM400" s="346">
        <v>1210</v>
      </c>
      <c r="AN400" s="185">
        <v>0.40212695247590563</v>
      </c>
      <c r="AO400" s="185">
        <v>0.42329152892200594</v>
      </c>
      <c r="AP400" s="185"/>
      <c r="AQ400" s="188">
        <v>1351</v>
      </c>
      <c r="AR400" s="185">
        <v>0.44898637421070126</v>
      </c>
      <c r="AS400" s="185">
        <v>0.47261723601126449</v>
      </c>
      <c r="AT400" s="188">
        <v>1351</v>
      </c>
      <c r="AU400" s="185">
        <v>0.44898637421070126</v>
      </c>
      <c r="AV400" s="185">
        <v>0.47261723601126449</v>
      </c>
      <c r="AW400" s="185"/>
      <c r="AX400" s="185"/>
      <c r="AY400" s="185"/>
      <c r="AZ400" s="185"/>
      <c r="BA400" s="185"/>
      <c r="BB400" s="185"/>
      <c r="BC400" s="188">
        <v>1351</v>
      </c>
      <c r="BD400" s="185">
        <v>0.44898637421070126</v>
      </c>
      <c r="BE400" s="185">
        <v>0.47261723601126449</v>
      </c>
      <c r="BF400" s="188"/>
      <c r="BG400" s="188">
        <v>2041</v>
      </c>
      <c r="BH400" s="185">
        <v>0.67829843801927547</v>
      </c>
      <c r="BI400" s="185">
        <v>0.71399835580976379</v>
      </c>
      <c r="BJ400" s="188">
        <f t="shared" ref="BJ400:BJ463" si="372">E400+(F400*0.95)</f>
        <v>2858.5499999999997</v>
      </c>
      <c r="BK400" s="188">
        <f>BK401+BK402</f>
        <v>2590.1149999999998</v>
      </c>
      <c r="BL400" s="185">
        <f t="shared" si="358"/>
        <v>0.86078929877035548</v>
      </c>
      <c r="BM400" s="185">
        <f t="shared" si="332"/>
        <v>0.90609399870563745</v>
      </c>
      <c r="BN400" s="205">
        <f t="shared" si="356"/>
        <v>1380.1149999999998</v>
      </c>
      <c r="BO400" s="205"/>
      <c r="BP400" s="189">
        <f>BP401+BP402</f>
        <v>0</v>
      </c>
      <c r="BQ400" s="186">
        <f t="shared" si="359"/>
        <v>0</v>
      </c>
      <c r="BR400" s="189">
        <f>BR401+BR402</f>
        <v>0</v>
      </c>
      <c r="BS400" s="186">
        <f t="shared" si="360"/>
        <v>0</v>
      </c>
      <c r="BT400" s="189">
        <f>BT401+BT402</f>
        <v>897</v>
      </c>
      <c r="BU400" s="186">
        <f t="shared" si="361"/>
        <v>0.29810568295114653</v>
      </c>
      <c r="BV400" s="189">
        <f>BV401+BV402</f>
        <v>897</v>
      </c>
      <c r="BW400" s="186">
        <f t="shared" si="362"/>
        <v>0.29810568295114653</v>
      </c>
      <c r="BX400" s="189">
        <f>BX401+BX402</f>
        <v>897</v>
      </c>
      <c r="BY400" s="186">
        <f t="shared" si="363"/>
        <v>0.29810568295114653</v>
      </c>
      <c r="BZ400" s="189">
        <f>BZ401+BZ402</f>
        <v>2848</v>
      </c>
      <c r="CA400" s="186">
        <f t="shared" si="364"/>
        <v>0.94649385177799938</v>
      </c>
      <c r="CB400" s="189">
        <f>CB401+CB402</f>
        <v>2856.55</v>
      </c>
      <c r="CC400" s="186">
        <f t="shared" si="365"/>
        <v>0.94933532735127957</v>
      </c>
      <c r="CD400" s="189">
        <f>CD401+CD402</f>
        <v>2856.55</v>
      </c>
      <c r="CE400" s="186">
        <f t="shared" si="345"/>
        <v>0.94933532735127957</v>
      </c>
      <c r="CF400" s="189">
        <f>CF401+CF402</f>
        <v>2856.55</v>
      </c>
      <c r="CG400" s="186">
        <f t="shared" si="366"/>
        <v>0.94933532735127957</v>
      </c>
      <c r="CH400" s="189">
        <f>CH401+CH402</f>
        <v>2856.55</v>
      </c>
      <c r="CI400" s="186">
        <f t="shared" si="346"/>
        <v>0.94933532735127957</v>
      </c>
      <c r="CJ400" s="189">
        <f>CJ401+CJ402</f>
        <v>2856.55</v>
      </c>
      <c r="CK400" s="186">
        <f t="shared" si="367"/>
        <v>0.94933532735127957</v>
      </c>
      <c r="CL400" s="189">
        <f>CL401+CL402</f>
        <v>2856.55</v>
      </c>
      <c r="CM400" s="186">
        <f t="shared" si="368"/>
        <v>0.94933532735127957</v>
      </c>
      <c r="CN400" s="189">
        <f>CN401+CN402</f>
        <v>2856.55</v>
      </c>
      <c r="CO400" s="186">
        <f t="shared" si="369"/>
        <v>0.94933532735127957</v>
      </c>
      <c r="CP400" s="213" t="str">
        <f t="shared" si="333"/>
        <v>Đạt</v>
      </c>
      <c r="CQ400" s="213" t="str">
        <f t="shared" si="334"/>
        <v>Đạt</v>
      </c>
      <c r="CR400" s="213"/>
      <c r="CS400" s="213"/>
      <c r="CT400" s="231"/>
      <c r="CU400" s="163"/>
      <c r="CW400" s="195"/>
      <c r="CX400" s="196"/>
      <c r="CY400" s="196"/>
      <c r="CZ400" s="197"/>
      <c r="DA400" s="196"/>
      <c r="DB400" s="196"/>
      <c r="DC400" s="196"/>
      <c r="DE400" s="199"/>
      <c r="DF400" s="200"/>
      <c r="DG400" s="181"/>
    </row>
    <row r="401" spans="1:112" s="324" customFormat="1" outlineLevel="1" x14ac:dyDescent="0.25">
      <c r="A401" s="305" t="s">
        <v>34</v>
      </c>
      <c r="B401" s="306" t="s">
        <v>376</v>
      </c>
      <c r="C401" s="306"/>
      <c r="D401" s="307">
        <f>E401+F401</f>
        <v>3000</v>
      </c>
      <c r="E401" s="307"/>
      <c r="F401" s="307">
        <f>G401+H401+K401+M401</f>
        <v>3000</v>
      </c>
      <c r="G401" s="303">
        <v>3000</v>
      </c>
      <c r="H401" s="303"/>
      <c r="I401" s="235"/>
      <c r="J401" s="235"/>
      <c r="K401" s="303"/>
      <c r="L401" s="235"/>
      <c r="M401" s="223"/>
      <c r="N401" s="223"/>
      <c r="O401" s="303">
        <f>G401+I401+L401+N401</f>
        <v>3000</v>
      </c>
      <c r="P401" s="303">
        <v>0</v>
      </c>
      <c r="Q401" s="308">
        <f t="shared" si="371"/>
        <v>0</v>
      </c>
      <c r="R401" s="303">
        <v>512.505</v>
      </c>
      <c r="S401" s="313">
        <v>0.17083499999999999</v>
      </c>
      <c r="T401" s="313">
        <v>0.1798263157894737</v>
      </c>
      <c r="U401" s="303">
        <v>557.74099999999999</v>
      </c>
      <c r="V401" s="313">
        <v>0.18591366666666667</v>
      </c>
      <c r="W401" s="313">
        <v>0.19569859649122806</v>
      </c>
      <c r="X401" s="303">
        <v>557.74099999999999</v>
      </c>
      <c r="Y401" s="313">
        <v>0.18591366666666667</v>
      </c>
      <c r="Z401" s="313">
        <v>0.19569859649122806</v>
      </c>
      <c r="AA401" s="303">
        <v>557.74099999999999</v>
      </c>
      <c r="AB401" s="313">
        <v>0.18591366666666667</v>
      </c>
      <c r="AC401" s="313">
        <v>0.19569859649122806</v>
      </c>
      <c r="AD401" s="303">
        <v>1210</v>
      </c>
      <c r="AE401" s="313">
        <v>0.40333333333333332</v>
      </c>
      <c r="AF401" s="313">
        <v>0.42456140350877192</v>
      </c>
      <c r="AG401" s="303">
        <v>1210</v>
      </c>
      <c r="AH401" s="313">
        <v>0.40333333333333332</v>
      </c>
      <c r="AI401" s="313">
        <v>0.42456140350877192</v>
      </c>
      <c r="AJ401" s="303">
        <v>1210</v>
      </c>
      <c r="AK401" s="313">
        <v>0.40333333333333332</v>
      </c>
      <c r="AL401" s="313">
        <v>0.42456140350877192</v>
      </c>
      <c r="AM401" s="303">
        <v>1210</v>
      </c>
      <c r="AN401" s="313">
        <v>0.40333333333333332</v>
      </c>
      <c r="AO401" s="313">
        <v>0.42456140350877192</v>
      </c>
      <c r="AP401" s="313"/>
      <c r="AQ401" s="303">
        <v>1351</v>
      </c>
      <c r="AR401" s="313">
        <v>0.45033333333333331</v>
      </c>
      <c r="AS401" s="313">
        <v>0.47403508771929825</v>
      </c>
      <c r="AT401" s="303">
        <v>1351</v>
      </c>
      <c r="AU401" s="313">
        <v>0.45033333333333331</v>
      </c>
      <c r="AV401" s="313">
        <v>0.47403508771929825</v>
      </c>
      <c r="AW401" s="313"/>
      <c r="AX401" s="313"/>
      <c r="AY401" s="313"/>
      <c r="AZ401" s="313"/>
      <c r="BA401" s="313"/>
      <c r="BB401" s="313"/>
      <c r="BC401" s="303">
        <v>1351</v>
      </c>
      <c r="BD401" s="313">
        <v>0.45033333333333331</v>
      </c>
      <c r="BE401" s="313">
        <v>0.47403508771929825</v>
      </c>
      <c r="BF401" s="303"/>
      <c r="BG401" s="303">
        <v>2041</v>
      </c>
      <c r="BH401" s="313">
        <v>0.68033333333333335</v>
      </c>
      <c r="BI401" s="313">
        <v>0.71614035087719297</v>
      </c>
      <c r="BJ401" s="303">
        <f t="shared" si="372"/>
        <v>2850</v>
      </c>
      <c r="BK401" s="303">
        <v>2590.1149999999998</v>
      </c>
      <c r="BL401" s="313">
        <f t="shared" si="358"/>
        <v>0.86337166666666665</v>
      </c>
      <c r="BM401" s="313">
        <f t="shared" si="332"/>
        <v>0.90881228070175435</v>
      </c>
      <c r="BN401" s="205">
        <f t="shared" si="356"/>
        <v>1380.1149999999998</v>
      </c>
      <c r="BO401" s="205"/>
      <c r="BP401" s="310"/>
      <c r="BQ401" s="311">
        <f t="shared" si="359"/>
        <v>0</v>
      </c>
      <c r="BR401" s="310"/>
      <c r="BS401" s="311">
        <f t="shared" si="360"/>
        <v>0</v>
      </c>
      <c r="BT401" s="310">
        <v>897</v>
      </c>
      <c r="BU401" s="308">
        <f t="shared" si="361"/>
        <v>0.29899999999999999</v>
      </c>
      <c r="BV401" s="310">
        <v>897</v>
      </c>
      <c r="BW401" s="311">
        <f t="shared" si="362"/>
        <v>0.29899999999999999</v>
      </c>
      <c r="BX401" s="310">
        <f>98+799</f>
        <v>897</v>
      </c>
      <c r="BY401" s="311">
        <f t="shared" si="363"/>
        <v>0.29899999999999999</v>
      </c>
      <c r="BZ401" s="310">
        <v>2848</v>
      </c>
      <c r="CA401" s="311">
        <f t="shared" si="364"/>
        <v>0.94933333333333336</v>
      </c>
      <c r="CB401" s="310">
        <v>2848</v>
      </c>
      <c r="CC401" s="311">
        <f t="shared" si="365"/>
        <v>0.94933333333333336</v>
      </c>
      <c r="CD401" s="310">
        <v>2848</v>
      </c>
      <c r="CE401" s="311">
        <f t="shared" si="345"/>
        <v>0.94933333333333336</v>
      </c>
      <c r="CF401" s="310">
        <v>2848</v>
      </c>
      <c r="CG401" s="311">
        <f t="shared" si="366"/>
        <v>0.94933333333333336</v>
      </c>
      <c r="CH401" s="310">
        <v>2848</v>
      </c>
      <c r="CI401" s="311">
        <f t="shared" si="346"/>
        <v>0.94933333333333336</v>
      </c>
      <c r="CJ401" s="310">
        <v>2848</v>
      </c>
      <c r="CK401" s="311">
        <f t="shared" si="367"/>
        <v>0.94933333333333336</v>
      </c>
      <c r="CL401" s="310">
        <v>2848</v>
      </c>
      <c r="CM401" s="311">
        <f t="shared" si="368"/>
        <v>0.94933333333333336</v>
      </c>
      <c r="CN401" s="310">
        <v>2848</v>
      </c>
      <c r="CO401" s="311">
        <f t="shared" si="369"/>
        <v>0.94933333333333336</v>
      </c>
      <c r="CP401" s="213" t="str">
        <f t="shared" si="333"/>
        <v>Đạt</v>
      </c>
      <c r="CQ401" s="213" t="str">
        <f t="shared" si="334"/>
        <v>Đạt</v>
      </c>
      <c r="CR401" s="312"/>
      <c r="CS401" s="312"/>
      <c r="CT401" s="235"/>
      <c r="CU401" s="163"/>
      <c r="CV401" s="323"/>
      <c r="CW401" s="195"/>
      <c r="CX401" s="196"/>
      <c r="CY401" s="196"/>
      <c r="CZ401" s="197"/>
      <c r="DA401" s="196"/>
      <c r="DB401" s="196"/>
      <c r="DC401" s="196"/>
      <c r="DE401" s="199"/>
      <c r="DF401" s="200"/>
      <c r="DG401" s="181"/>
    </row>
    <row r="402" spans="1:112" ht="25.5" outlineLevel="1" x14ac:dyDescent="0.25">
      <c r="A402" s="305" t="s">
        <v>34</v>
      </c>
      <c r="B402" s="306" t="s">
        <v>377</v>
      </c>
      <c r="C402" s="306"/>
      <c r="D402" s="307">
        <f>E402+F402</f>
        <v>9</v>
      </c>
      <c r="E402" s="307"/>
      <c r="F402" s="307">
        <f>G402+H402+K402+M402</f>
        <v>9</v>
      </c>
      <c r="G402" s="307"/>
      <c r="H402" s="307">
        <v>9</v>
      </c>
      <c r="I402" s="235"/>
      <c r="J402" s="235"/>
      <c r="K402" s="303"/>
      <c r="L402" s="235"/>
      <c r="M402" s="223"/>
      <c r="N402" s="223"/>
      <c r="O402" s="303"/>
      <c r="P402" s="303">
        <v>0</v>
      </c>
      <c r="Q402" s="308">
        <f t="shared" si="371"/>
        <v>0</v>
      </c>
      <c r="R402" s="303"/>
      <c r="S402" s="313">
        <v>0</v>
      </c>
      <c r="T402" s="313">
        <v>0</v>
      </c>
      <c r="U402" s="303"/>
      <c r="V402" s="313">
        <v>0</v>
      </c>
      <c r="W402" s="313">
        <v>0</v>
      </c>
      <c r="X402" s="303"/>
      <c r="Y402" s="313">
        <v>0</v>
      </c>
      <c r="Z402" s="313">
        <v>0</v>
      </c>
      <c r="AA402" s="303"/>
      <c r="AB402" s="313">
        <v>0</v>
      </c>
      <c r="AC402" s="313">
        <v>0</v>
      </c>
      <c r="AD402" s="303"/>
      <c r="AE402" s="313">
        <v>0</v>
      </c>
      <c r="AF402" s="313">
        <v>0</v>
      </c>
      <c r="AG402" s="303"/>
      <c r="AH402" s="313">
        <v>0</v>
      </c>
      <c r="AI402" s="313">
        <v>0</v>
      </c>
      <c r="AJ402" s="188"/>
      <c r="AK402" s="313">
        <v>0</v>
      </c>
      <c r="AL402" s="313">
        <v>0</v>
      </c>
      <c r="AM402" s="303"/>
      <c r="AN402" s="313">
        <v>0</v>
      </c>
      <c r="AO402" s="313">
        <v>0</v>
      </c>
      <c r="AP402" s="313"/>
      <c r="AQ402" s="303"/>
      <c r="AR402" s="313">
        <v>0</v>
      </c>
      <c r="AS402" s="313">
        <v>0</v>
      </c>
      <c r="AT402" s="303"/>
      <c r="AU402" s="313">
        <v>0</v>
      </c>
      <c r="AV402" s="313">
        <v>0</v>
      </c>
      <c r="AW402" s="313"/>
      <c r="AX402" s="313"/>
      <c r="AY402" s="313"/>
      <c r="AZ402" s="313"/>
      <c r="BA402" s="313"/>
      <c r="BB402" s="313"/>
      <c r="BC402" s="303"/>
      <c r="BD402" s="313">
        <v>0</v>
      </c>
      <c r="BE402" s="313">
        <v>0</v>
      </c>
      <c r="BF402" s="303"/>
      <c r="BG402" s="303"/>
      <c r="BH402" s="313">
        <v>0</v>
      </c>
      <c r="BI402" s="313">
        <v>0</v>
      </c>
      <c r="BJ402" s="303">
        <f t="shared" si="372"/>
        <v>8.5499999999999989</v>
      </c>
      <c r="BK402" s="303"/>
      <c r="BL402" s="313">
        <f t="shared" si="358"/>
        <v>0</v>
      </c>
      <c r="BM402" s="313">
        <f t="shared" ref="BM402:BM467" si="373">BK402/(E402+0.95*F402)</f>
        <v>0</v>
      </c>
      <c r="BN402" s="205">
        <f t="shared" si="356"/>
        <v>0</v>
      </c>
      <c r="BO402" s="205"/>
      <c r="BP402" s="310"/>
      <c r="BQ402" s="311">
        <f t="shared" si="359"/>
        <v>0</v>
      </c>
      <c r="BR402" s="310"/>
      <c r="BS402" s="311">
        <f t="shared" si="360"/>
        <v>0</v>
      </c>
      <c r="BT402" s="310"/>
      <c r="BU402" s="308">
        <f t="shared" si="361"/>
        <v>0</v>
      </c>
      <c r="BV402" s="310"/>
      <c r="BW402" s="311">
        <f t="shared" si="362"/>
        <v>0</v>
      </c>
      <c r="BX402" s="310"/>
      <c r="BY402" s="311">
        <f t="shared" si="363"/>
        <v>0</v>
      </c>
      <c r="BZ402" s="310"/>
      <c r="CA402" s="311">
        <f t="shared" si="364"/>
        <v>0</v>
      </c>
      <c r="CB402" s="310">
        <f>9*0.95</f>
        <v>8.5499999999999989</v>
      </c>
      <c r="CC402" s="311">
        <f t="shared" si="365"/>
        <v>0.94999999999999984</v>
      </c>
      <c r="CD402" s="310">
        <v>8.5499999999999989</v>
      </c>
      <c r="CE402" s="311">
        <f t="shared" si="345"/>
        <v>0.94999999999999984</v>
      </c>
      <c r="CF402" s="310">
        <v>8.5499999999999989</v>
      </c>
      <c r="CG402" s="311">
        <f t="shared" si="366"/>
        <v>0.94999999999999984</v>
      </c>
      <c r="CH402" s="310">
        <v>8.5499999999999989</v>
      </c>
      <c r="CI402" s="311">
        <f t="shared" si="346"/>
        <v>0.94999999999999984</v>
      </c>
      <c r="CJ402" s="310">
        <v>8.5499999999999989</v>
      </c>
      <c r="CK402" s="311">
        <f t="shared" si="367"/>
        <v>0.94999999999999984</v>
      </c>
      <c r="CL402" s="310">
        <v>8.5499999999999989</v>
      </c>
      <c r="CM402" s="311">
        <f t="shared" si="368"/>
        <v>0.94999999999999984</v>
      </c>
      <c r="CN402" s="310">
        <v>8.5499999999999989</v>
      </c>
      <c r="CO402" s="311">
        <f t="shared" si="369"/>
        <v>0.94999999999999984</v>
      </c>
      <c r="CP402" s="213" t="str">
        <f t="shared" ref="CP402:CP465" si="374">IF(BM402&gt;34.7%,"Đạt","Không đạt")</f>
        <v>Không đạt</v>
      </c>
      <c r="CQ402" s="213" t="str">
        <f t="shared" ref="CQ402:CQ465" si="375">IF(BM402&gt;43.8%,"Đạt","Không đạt")</f>
        <v>Không đạt</v>
      </c>
      <c r="CR402" s="312"/>
      <c r="CS402" s="312"/>
      <c r="CT402" s="235"/>
      <c r="CU402" s="163"/>
      <c r="CW402" s="195"/>
      <c r="CX402" s="196"/>
      <c r="CY402" s="196"/>
      <c r="CZ402" s="197"/>
      <c r="DA402" s="196"/>
      <c r="DB402" s="196"/>
      <c r="DC402" s="196"/>
      <c r="DE402" s="199"/>
      <c r="DF402" s="200"/>
      <c r="DG402" s="181"/>
    </row>
    <row r="403" spans="1:112" ht="18" customHeight="1" x14ac:dyDescent="0.25">
      <c r="A403" s="316">
        <f>MAX(A$243:A401)+1</f>
        <v>47</v>
      </c>
      <c r="B403" s="240" t="s">
        <v>440</v>
      </c>
      <c r="C403" s="240"/>
      <c r="D403" s="188">
        <f t="shared" ref="D403:I403" si="376">D404+D405</f>
        <v>3170</v>
      </c>
      <c r="E403" s="188">
        <f t="shared" si="376"/>
        <v>0</v>
      </c>
      <c r="F403" s="188">
        <f t="shared" si="376"/>
        <v>3170</v>
      </c>
      <c r="G403" s="188">
        <f t="shared" si="376"/>
        <v>3000</v>
      </c>
      <c r="H403" s="188">
        <f t="shared" si="376"/>
        <v>170</v>
      </c>
      <c r="I403" s="188">
        <f t="shared" si="376"/>
        <v>0</v>
      </c>
      <c r="J403" s="188"/>
      <c r="K403" s="188">
        <f>K404+K405</f>
        <v>0</v>
      </c>
      <c r="L403" s="188">
        <f>L404+L405</f>
        <v>0</v>
      </c>
      <c r="M403" s="188">
        <f>M404+M405</f>
        <v>0</v>
      </c>
      <c r="N403" s="188">
        <f>N404+N405</f>
        <v>0</v>
      </c>
      <c r="O403" s="188">
        <f>O404+O405</f>
        <v>3000</v>
      </c>
      <c r="P403" s="188">
        <v>0</v>
      </c>
      <c r="Q403" s="186">
        <f t="shared" si="371"/>
        <v>0</v>
      </c>
      <c r="R403" s="188">
        <v>0</v>
      </c>
      <c r="S403" s="185">
        <v>0</v>
      </c>
      <c r="T403" s="185">
        <v>0</v>
      </c>
      <c r="U403" s="188">
        <v>0</v>
      </c>
      <c r="V403" s="185">
        <v>0</v>
      </c>
      <c r="W403" s="185">
        <v>0</v>
      </c>
      <c r="X403" s="188">
        <v>0</v>
      </c>
      <c r="Y403" s="185">
        <v>0</v>
      </c>
      <c r="Z403" s="185">
        <v>0</v>
      </c>
      <c r="AA403" s="188">
        <v>0</v>
      </c>
      <c r="AB403" s="185">
        <v>0</v>
      </c>
      <c r="AC403" s="185">
        <v>0</v>
      </c>
      <c r="AD403" s="188">
        <v>0</v>
      </c>
      <c r="AE403" s="185">
        <v>0</v>
      </c>
      <c r="AF403" s="185">
        <v>0</v>
      </c>
      <c r="AG403" s="188">
        <v>0</v>
      </c>
      <c r="AH403" s="185">
        <v>0</v>
      </c>
      <c r="AI403" s="185">
        <v>0</v>
      </c>
      <c r="AJ403" s="303">
        <v>0</v>
      </c>
      <c r="AK403" s="185">
        <v>0</v>
      </c>
      <c r="AL403" s="185">
        <v>0</v>
      </c>
      <c r="AM403" s="188">
        <v>498</v>
      </c>
      <c r="AN403" s="185">
        <v>0.15709779179810726</v>
      </c>
      <c r="AO403" s="185">
        <v>0.1653660966295866</v>
      </c>
      <c r="AP403" s="185"/>
      <c r="AQ403" s="188">
        <v>666</v>
      </c>
      <c r="AR403" s="185">
        <v>0.21009463722397476</v>
      </c>
      <c r="AS403" s="185">
        <v>0.22115224970944711</v>
      </c>
      <c r="AT403" s="188">
        <v>707</v>
      </c>
      <c r="AU403" s="185">
        <v>0.22302839116719242</v>
      </c>
      <c r="AV403" s="185">
        <v>0.23476672754441308</v>
      </c>
      <c r="AW403" s="185"/>
      <c r="AX403" s="185"/>
      <c r="AY403" s="185"/>
      <c r="AZ403" s="185"/>
      <c r="BA403" s="185"/>
      <c r="BB403" s="185"/>
      <c r="BC403" s="188">
        <v>707</v>
      </c>
      <c r="BD403" s="185">
        <v>0.22302839116719242</v>
      </c>
      <c r="BE403" s="185">
        <v>0.23476672754441308</v>
      </c>
      <c r="BF403" s="188"/>
      <c r="BG403" s="188">
        <v>984</v>
      </c>
      <c r="BH403" s="185">
        <v>0.31041009463722397</v>
      </c>
      <c r="BI403" s="185">
        <v>0.32674746803918314</v>
      </c>
      <c r="BJ403" s="188">
        <f t="shared" si="372"/>
        <v>3011.5</v>
      </c>
      <c r="BK403" s="188">
        <v>989</v>
      </c>
      <c r="BL403" s="185">
        <f t="shared" si="358"/>
        <v>0.31198738170347001</v>
      </c>
      <c r="BM403" s="185">
        <f t="shared" si="373"/>
        <v>0.328407770214179</v>
      </c>
      <c r="BN403" s="205">
        <f t="shared" si="356"/>
        <v>989</v>
      </c>
      <c r="BO403" s="205"/>
      <c r="BP403" s="189">
        <f>BP404+BP405</f>
        <v>0</v>
      </c>
      <c r="BQ403" s="186">
        <f t="shared" si="359"/>
        <v>0</v>
      </c>
      <c r="BR403" s="189">
        <f>BR404+BR405</f>
        <v>0</v>
      </c>
      <c r="BS403" s="186">
        <f t="shared" si="360"/>
        <v>0</v>
      </c>
      <c r="BT403" s="189">
        <f>BT404+BT405</f>
        <v>900</v>
      </c>
      <c r="BU403" s="186">
        <f t="shared" si="361"/>
        <v>0.28391167192429023</v>
      </c>
      <c r="BV403" s="189">
        <f>BV404+BV405</f>
        <v>900</v>
      </c>
      <c r="BW403" s="186">
        <f t="shared" si="362"/>
        <v>0.28391167192429023</v>
      </c>
      <c r="BX403" s="189">
        <f>BX404+BX405</f>
        <v>1140</v>
      </c>
      <c r="BY403" s="186">
        <f t="shared" si="363"/>
        <v>0.35962145110410093</v>
      </c>
      <c r="BZ403" s="189">
        <f>BZ404+BZ405</f>
        <v>1350</v>
      </c>
      <c r="CA403" s="186">
        <f t="shared" si="364"/>
        <v>0.42586750788643535</v>
      </c>
      <c r="CB403" s="189">
        <f>CB404+CB405</f>
        <v>1880</v>
      </c>
      <c r="CC403" s="186">
        <f t="shared" si="365"/>
        <v>0.59305993690851733</v>
      </c>
      <c r="CD403" s="189">
        <f>CD404+CD405</f>
        <v>1885</v>
      </c>
      <c r="CE403" s="186">
        <f t="shared" si="345"/>
        <v>0.59463722397476337</v>
      </c>
      <c r="CF403" s="189">
        <f>CF404+CF405</f>
        <v>2935</v>
      </c>
      <c r="CG403" s="186">
        <f t="shared" si="366"/>
        <v>0.92586750788643535</v>
      </c>
      <c r="CH403" s="189">
        <f>CH404+CH405</f>
        <v>2935</v>
      </c>
      <c r="CI403" s="186">
        <f t="shared" si="346"/>
        <v>0.92586750788643535</v>
      </c>
      <c r="CJ403" s="189">
        <f>CJ404+CJ405</f>
        <v>2935</v>
      </c>
      <c r="CK403" s="186">
        <f t="shared" si="367"/>
        <v>0.92586750788643535</v>
      </c>
      <c r="CL403" s="189">
        <f>CL404+CL405</f>
        <v>3011.5</v>
      </c>
      <c r="CM403" s="186">
        <f t="shared" si="368"/>
        <v>0.95</v>
      </c>
      <c r="CN403" s="189">
        <f>CN404+CN405</f>
        <v>3011.5</v>
      </c>
      <c r="CO403" s="186">
        <f t="shared" si="369"/>
        <v>0.95</v>
      </c>
      <c r="CP403" s="213" t="str">
        <f t="shared" si="374"/>
        <v>Không đạt</v>
      </c>
      <c r="CQ403" s="213" t="str">
        <f t="shared" si="375"/>
        <v>Không đạt</v>
      </c>
      <c r="CR403" s="213"/>
      <c r="CS403" s="213"/>
      <c r="CT403" s="231"/>
      <c r="CU403" s="163"/>
      <c r="CW403" s="195"/>
      <c r="CX403" s="196"/>
      <c r="CY403" s="196"/>
      <c r="CZ403" s="197"/>
      <c r="DA403" s="196"/>
      <c r="DB403" s="196"/>
      <c r="DC403" s="196"/>
      <c r="DE403" s="199"/>
      <c r="DF403" s="200"/>
      <c r="DG403" s="181"/>
    </row>
    <row r="404" spans="1:112" s="324" customFormat="1" outlineLevel="1" x14ac:dyDescent="0.25">
      <c r="A404" s="305" t="s">
        <v>34</v>
      </c>
      <c r="B404" s="306" t="s">
        <v>376</v>
      </c>
      <c r="C404" s="306"/>
      <c r="D404" s="307">
        <f>E404+F404</f>
        <v>3000</v>
      </c>
      <c r="E404" s="307"/>
      <c r="F404" s="307">
        <f>G404+H404+K404+M404</f>
        <v>3000</v>
      </c>
      <c r="G404" s="303">
        <v>3000</v>
      </c>
      <c r="H404" s="303"/>
      <c r="I404" s="235"/>
      <c r="J404" s="235"/>
      <c r="K404" s="303"/>
      <c r="L404" s="235"/>
      <c r="M404" s="223"/>
      <c r="N404" s="223"/>
      <c r="O404" s="303">
        <f>G404+I404+L404+N404</f>
        <v>3000</v>
      </c>
      <c r="P404" s="303">
        <v>0</v>
      </c>
      <c r="Q404" s="308">
        <f t="shared" si="371"/>
        <v>0</v>
      </c>
      <c r="R404" s="303"/>
      <c r="S404" s="313">
        <v>0</v>
      </c>
      <c r="T404" s="313">
        <v>0</v>
      </c>
      <c r="U404" s="303"/>
      <c r="V404" s="313">
        <v>0</v>
      </c>
      <c r="W404" s="313">
        <v>0</v>
      </c>
      <c r="X404" s="303"/>
      <c r="Y404" s="313">
        <v>0</v>
      </c>
      <c r="Z404" s="313">
        <v>0</v>
      </c>
      <c r="AA404" s="303"/>
      <c r="AB404" s="313">
        <v>0</v>
      </c>
      <c r="AC404" s="313">
        <v>0</v>
      </c>
      <c r="AD404" s="303"/>
      <c r="AE404" s="313">
        <v>0</v>
      </c>
      <c r="AF404" s="313">
        <v>0</v>
      </c>
      <c r="AG404" s="303"/>
      <c r="AH404" s="313">
        <v>0</v>
      </c>
      <c r="AI404" s="313">
        <v>0</v>
      </c>
      <c r="AJ404" s="303"/>
      <c r="AK404" s="313">
        <v>0</v>
      </c>
      <c r="AL404" s="313">
        <v>0</v>
      </c>
      <c r="AM404" s="303">
        <v>498</v>
      </c>
      <c r="AN404" s="313">
        <v>0.16600000000000001</v>
      </c>
      <c r="AO404" s="313">
        <v>0.17473684210526316</v>
      </c>
      <c r="AP404" s="313"/>
      <c r="AQ404" s="303">
        <v>666</v>
      </c>
      <c r="AR404" s="313">
        <v>0.222</v>
      </c>
      <c r="AS404" s="313">
        <v>0.2336842105263158</v>
      </c>
      <c r="AT404" s="303">
        <v>707</v>
      </c>
      <c r="AU404" s="313">
        <v>0.23566666666666666</v>
      </c>
      <c r="AV404" s="313">
        <v>0.2480701754385965</v>
      </c>
      <c r="AW404" s="313"/>
      <c r="AX404" s="313"/>
      <c r="AY404" s="313"/>
      <c r="AZ404" s="313"/>
      <c r="BA404" s="313"/>
      <c r="BB404" s="313"/>
      <c r="BC404" s="303">
        <v>707</v>
      </c>
      <c r="BD404" s="313">
        <v>0.23566666666666666</v>
      </c>
      <c r="BE404" s="313">
        <v>0.2480701754385965</v>
      </c>
      <c r="BF404" s="303"/>
      <c r="BG404" s="303">
        <v>984</v>
      </c>
      <c r="BH404" s="313">
        <v>0.32800000000000001</v>
      </c>
      <c r="BI404" s="313">
        <v>0.34526315789473683</v>
      </c>
      <c r="BJ404" s="303">
        <f t="shared" si="372"/>
        <v>2850</v>
      </c>
      <c r="BK404" s="303">
        <v>984</v>
      </c>
      <c r="BL404" s="313">
        <f t="shared" si="358"/>
        <v>0.32800000000000001</v>
      </c>
      <c r="BM404" s="313">
        <f t="shared" si="373"/>
        <v>0.34526315789473683</v>
      </c>
      <c r="BN404" s="205">
        <f t="shared" si="356"/>
        <v>984</v>
      </c>
      <c r="BO404" s="205"/>
      <c r="BP404" s="310"/>
      <c r="BQ404" s="311">
        <f t="shared" si="359"/>
        <v>0</v>
      </c>
      <c r="BR404" s="310"/>
      <c r="BS404" s="311">
        <f t="shared" si="360"/>
        <v>0</v>
      </c>
      <c r="BT404" s="310">
        <v>900</v>
      </c>
      <c r="BU404" s="308">
        <f t="shared" si="361"/>
        <v>0.3</v>
      </c>
      <c r="BV404" s="310">
        <v>900</v>
      </c>
      <c r="BW404" s="347">
        <f t="shared" si="362"/>
        <v>0.3</v>
      </c>
      <c r="BX404" s="310">
        <v>1140</v>
      </c>
      <c r="BY404" s="311">
        <f t="shared" si="363"/>
        <v>0.38</v>
      </c>
      <c r="BZ404" s="310">
        <v>1350</v>
      </c>
      <c r="CA404" s="311">
        <f t="shared" si="364"/>
        <v>0.45</v>
      </c>
      <c r="CB404" s="310">
        <v>1800</v>
      </c>
      <c r="CC404" s="311">
        <f t="shared" si="365"/>
        <v>0.6</v>
      </c>
      <c r="CD404" s="310">
        <v>1800</v>
      </c>
      <c r="CE404" s="311">
        <f t="shared" si="345"/>
        <v>0.6</v>
      </c>
      <c r="CF404" s="310">
        <v>2850</v>
      </c>
      <c r="CG404" s="311">
        <f t="shared" si="366"/>
        <v>0.95</v>
      </c>
      <c r="CH404" s="310">
        <v>2850</v>
      </c>
      <c r="CI404" s="311">
        <f t="shared" si="346"/>
        <v>0.95</v>
      </c>
      <c r="CJ404" s="310">
        <v>2850</v>
      </c>
      <c r="CK404" s="311">
        <f t="shared" si="367"/>
        <v>0.95</v>
      </c>
      <c r="CL404" s="310">
        <v>2850</v>
      </c>
      <c r="CM404" s="311">
        <f t="shared" si="368"/>
        <v>0.95</v>
      </c>
      <c r="CN404" s="310">
        <v>2850</v>
      </c>
      <c r="CO404" s="311">
        <f t="shared" si="369"/>
        <v>0.95</v>
      </c>
      <c r="CP404" s="213" t="str">
        <f t="shared" si="374"/>
        <v>Không đạt</v>
      </c>
      <c r="CQ404" s="213" t="str">
        <f t="shared" si="375"/>
        <v>Không đạt</v>
      </c>
      <c r="CR404" s="312"/>
      <c r="CS404" s="312"/>
      <c r="CT404" s="235"/>
      <c r="CU404" s="163"/>
      <c r="CV404" s="323"/>
      <c r="CW404" s="195"/>
      <c r="CX404" s="196"/>
      <c r="CY404" s="196"/>
      <c r="CZ404" s="197"/>
      <c r="DA404" s="196"/>
      <c r="DB404" s="196"/>
      <c r="DC404" s="196"/>
      <c r="DE404" s="199"/>
      <c r="DF404" s="200"/>
      <c r="DG404" s="181"/>
    </row>
    <row r="405" spans="1:112" ht="25.5" outlineLevel="1" x14ac:dyDescent="0.25">
      <c r="A405" s="305" t="s">
        <v>34</v>
      </c>
      <c r="B405" s="306" t="s">
        <v>377</v>
      </c>
      <c r="C405" s="306"/>
      <c r="D405" s="307">
        <f>E405+F405</f>
        <v>170</v>
      </c>
      <c r="E405" s="307"/>
      <c r="F405" s="307">
        <f>G405+H405+K405+M405</f>
        <v>170</v>
      </c>
      <c r="G405" s="307"/>
      <c r="H405" s="307">
        <v>170</v>
      </c>
      <c r="I405" s="235"/>
      <c r="J405" s="235"/>
      <c r="K405" s="303"/>
      <c r="L405" s="235"/>
      <c r="M405" s="223"/>
      <c r="N405" s="223"/>
      <c r="O405" s="303"/>
      <c r="P405" s="303">
        <v>0</v>
      </c>
      <c r="Q405" s="308">
        <f t="shared" si="371"/>
        <v>0</v>
      </c>
      <c r="R405" s="303"/>
      <c r="S405" s="313">
        <v>0</v>
      </c>
      <c r="T405" s="313">
        <v>0</v>
      </c>
      <c r="U405" s="303"/>
      <c r="V405" s="313">
        <v>0</v>
      </c>
      <c r="W405" s="313">
        <v>0</v>
      </c>
      <c r="X405" s="303"/>
      <c r="Y405" s="313">
        <v>0</v>
      </c>
      <c r="Z405" s="313">
        <v>0</v>
      </c>
      <c r="AA405" s="303"/>
      <c r="AB405" s="313">
        <v>0</v>
      </c>
      <c r="AC405" s="313">
        <v>0</v>
      </c>
      <c r="AD405" s="303"/>
      <c r="AE405" s="313">
        <v>0</v>
      </c>
      <c r="AF405" s="313">
        <v>0</v>
      </c>
      <c r="AG405" s="303"/>
      <c r="AH405" s="313">
        <v>0</v>
      </c>
      <c r="AI405" s="313">
        <v>0</v>
      </c>
      <c r="AJ405" s="188"/>
      <c r="AK405" s="313">
        <v>0</v>
      </c>
      <c r="AL405" s="313">
        <v>0</v>
      </c>
      <c r="AM405" s="303"/>
      <c r="AN405" s="313">
        <v>0</v>
      </c>
      <c r="AO405" s="313">
        <v>0</v>
      </c>
      <c r="AP405" s="313"/>
      <c r="AQ405" s="303"/>
      <c r="AR405" s="313">
        <v>0</v>
      </c>
      <c r="AS405" s="313">
        <v>0</v>
      </c>
      <c r="AT405" s="303"/>
      <c r="AU405" s="313">
        <v>0</v>
      </c>
      <c r="AV405" s="313">
        <v>0</v>
      </c>
      <c r="AW405" s="313"/>
      <c r="AX405" s="313"/>
      <c r="AY405" s="313"/>
      <c r="AZ405" s="313"/>
      <c r="BA405" s="313"/>
      <c r="BB405" s="313"/>
      <c r="BC405" s="303"/>
      <c r="BD405" s="313">
        <v>0</v>
      </c>
      <c r="BE405" s="313">
        <v>0</v>
      </c>
      <c r="BF405" s="303"/>
      <c r="BG405" s="303"/>
      <c r="BH405" s="313">
        <v>0</v>
      </c>
      <c r="BI405" s="313">
        <v>0</v>
      </c>
      <c r="BJ405" s="303">
        <f t="shared" si="372"/>
        <v>161.5</v>
      </c>
      <c r="BK405" s="303"/>
      <c r="BL405" s="313">
        <f t="shared" si="358"/>
        <v>0</v>
      </c>
      <c r="BM405" s="313">
        <f t="shared" si="373"/>
        <v>0</v>
      </c>
      <c r="BN405" s="205">
        <f t="shared" si="356"/>
        <v>0</v>
      </c>
      <c r="BO405" s="205"/>
      <c r="BP405" s="310"/>
      <c r="BQ405" s="311">
        <f t="shared" si="359"/>
        <v>0</v>
      </c>
      <c r="BR405" s="310"/>
      <c r="BS405" s="311">
        <f t="shared" si="360"/>
        <v>0</v>
      </c>
      <c r="BT405" s="310"/>
      <c r="BU405" s="308">
        <f t="shared" si="361"/>
        <v>0</v>
      </c>
      <c r="BV405" s="310"/>
      <c r="BW405" s="311">
        <f t="shared" si="362"/>
        <v>0</v>
      </c>
      <c r="BX405" s="310"/>
      <c r="BY405" s="311">
        <f t="shared" si="363"/>
        <v>0</v>
      </c>
      <c r="BZ405" s="310"/>
      <c r="CA405" s="311">
        <f t="shared" si="364"/>
        <v>0</v>
      </c>
      <c r="CB405" s="310">
        <v>80</v>
      </c>
      <c r="CC405" s="311">
        <f t="shared" si="365"/>
        <v>0.47058823529411764</v>
      </c>
      <c r="CD405" s="310">
        <v>85</v>
      </c>
      <c r="CE405" s="311">
        <f t="shared" si="345"/>
        <v>0.5</v>
      </c>
      <c r="CF405" s="310">
        <v>85</v>
      </c>
      <c r="CG405" s="311">
        <f t="shared" si="366"/>
        <v>0.5</v>
      </c>
      <c r="CH405" s="310">
        <v>85</v>
      </c>
      <c r="CI405" s="311">
        <f t="shared" si="346"/>
        <v>0.5</v>
      </c>
      <c r="CJ405" s="310">
        <v>85</v>
      </c>
      <c r="CK405" s="311">
        <f t="shared" si="367"/>
        <v>0.5</v>
      </c>
      <c r="CL405" s="310">
        <v>161.5</v>
      </c>
      <c r="CM405" s="311">
        <f t="shared" si="368"/>
        <v>0.95</v>
      </c>
      <c r="CN405" s="310">
        <v>161.5</v>
      </c>
      <c r="CO405" s="311">
        <f t="shared" si="369"/>
        <v>0.95</v>
      </c>
      <c r="CP405" s="213" t="str">
        <f t="shared" si="374"/>
        <v>Không đạt</v>
      </c>
      <c r="CQ405" s="213" t="str">
        <f t="shared" si="375"/>
        <v>Không đạt</v>
      </c>
      <c r="CR405" s="312"/>
      <c r="CS405" s="312"/>
      <c r="CT405" s="235"/>
      <c r="CU405" s="163"/>
      <c r="CW405" s="195"/>
      <c r="CX405" s="196"/>
      <c r="CY405" s="196"/>
      <c r="CZ405" s="197"/>
      <c r="DA405" s="196"/>
      <c r="DB405" s="196"/>
      <c r="DC405" s="196"/>
      <c r="DE405" s="199"/>
      <c r="DF405" s="200"/>
      <c r="DG405" s="181"/>
    </row>
    <row r="406" spans="1:112" ht="18" customHeight="1" x14ac:dyDescent="0.25">
      <c r="A406" s="213">
        <f>MAX(A$243:A404)+1</f>
        <v>48</v>
      </c>
      <c r="B406" s="240" t="s">
        <v>441</v>
      </c>
      <c r="C406" s="240"/>
      <c r="D406" s="188">
        <f t="shared" ref="D406:I406" si="377">D407</f>
        <v>3000</v>
      </c>
      <c r="E406" s="188">
        <f t="shared" si="377"/>
        <v>0</v>
      </c>
      <c r="F406" s="188">
        <f t="shared" si="377"/>
        <v>3000</v>
      </c>
      <c r="G406" s="188">
        <f t="shared" si="377"/>
        <v>3000</v>
      </c>
      <c r="H406" s="188">
        <f t="shared" si="377"/>
        <v>0</v>
      </c>
      <c r="I406" s="188">
        <f t="shared" si="377"/>
        <v>0</v>
      </c>
      <c r="J406" s="188"/>
      <c r="K406" s="188">
        <f>K407</f>
        <v>0</v>
      </c>
      <c r="L406" s="188">
        <f>L407</f>
        <v>0</v>
      </c>
      <c r="M406" s="231"/>
      <c r="N406" s="231"/>
      <c r="O406" s="188">
        <f>G406+I406+L406+N406</f>
        <v>3000</v>
      </c>
      <c r="P406" s="188">
        <v>0</v>
      </c>
      <c r="Q406" s="186">
        <f t="shared" si="371"/>
        <v>0</v>
      </c>
      <c r="R406" s="188">
        <v>0</v>
      </c>
      <c r="S406" s="185">
        <v>0</v>
      </c>
      <c r="T406" s="185">
        <v>0</v>
      </c>
      <c r="U406" s="188">
        <v>0</v>
      </c>
      <c r="V406" s="185">
        <v>0</v>
      </c>
      <c r="W406" s="185">
        <v>0</v>
      </c>
      <c r="X406" s="188">
        <v>0</v>
      </c>
      <c r="Y406" s="185">
        <v>0</v>
      </c>
      <c r="Z406" s="185">
        <v>0</v>
      </c>
      <c r="AA406" s="188">
        <v>0</v>
      </c>
      <c r="AB406" s="185">
        <v>0</v>
      </c>
      <c r="AC406" s="185">
        <v>0</v>
      </c>
      <c r="AD406" s="188">
        <v>0</v>
      </c>
      <c r="AE406" s="185">
        <v>0</v>
      </c>
      <c r="AF406" s="185">
        <v>0</v>
      </c>
      <c r="AG406" s="188">
        <v>0</v>
      </c>
      <c r="AH406" s="185">
        <v>0</v>
      </c>
      <c r="AI406" s="185">
        <v>0</v>
      </c>
      <c r="AJ406" s="303">
        <v>0</v>
      </c>
      <c r="AK406" s="185">
        <v>0</v>
      </c>
      <c r="AL406" s="185">
        <v>0</v>
      </c>
      <c r="AM406" s="188">
        <v>718</v>
      </c>
      <c r="AN406" s="185">
        <v>0.23933333333333334</v>
      </c>
      <c r="AO406" s="185">
        <v>0.2519298245614035</v>
      </c>
      <c r="AP406" s="185"/>
      <c r="AQ406" s="188">
        <v>1343</v>
      </c>
      <c r="AR406" s="185">
        <v>0.44766666666666666</v>
      </c>
      <c r="AS406" s="185">
        <v>0.47122807017543861</v>
      </c>
      <c r="AT406" s="188">
        <v>1343</v>
      </c>
      <c r="AU406" s="185">
        <v>0.44766666666666666</v>
      </c>
      <c r="AV406" s="185">
        <v>0.47122807017543861</v>
      </c>
      <c r="AW406" s="185"/>
      <c r="AX406" s="185"/>
      <c r="AY406" s="185"/>
      <c r="AZ406" s="185"/>
      <c r="BA406" s="185"/>
      <c r="BB406" s="185"/>
      <c r="BC406" s="188">
        <v>1343</v>
      </c>
      <c r="BD406" s="185">
        <v>0.44766666666666666</v>
      </c>
      <c r="BE406" s="185">
        <v>0.47122807017543861</v>
      </c>
      <c r="BF406" s="188"/>
      <c r="BG406" s="188">
        <v>2338</v>
      </c>
      <c r="BH406" s="185">
        <v>0.77933333333333332</v>
      </c>
      <c r="BI406" s="185">
        <v>0.8203508771929825</v>
      </c>
      <c r="BJ406" s="188">
        <f t="shared" si="372"/>
        <v>2850</v>
      </c>
      <c r="BK406" s="188">
        <v>2360.4699999999998</v>
      </c>
      <c r="BL406" s="185">
        <f t="shared" si="358"/>
        <v>0.78682333333333332</v>
      </c>
      <c r="BM406" s="185">
        <f t="shared" si="373"/>
        <v>0.82823508771929821</v>
      </c>
      <c r="BN406" s="205">
        <f t="shared" si="356"/>
        <v>2360.4699999999998</v>
      </c>
      <c r="BO406" s="205"/>
      <c r="BP406" s="189">
        <f>BP407</f>
        <v>0</v>
      </c>
      <c r="BQ406" s="186">
        <f t="shared" si="359"/>
        <v>0</v>
      </c>
      <c r="BR406" s="189">
        <f>BR407</f>
        <v>0</v>
      </c>
      <c r="BS406" s="186">
        <f t="shared" si="360"/>
        <v>0</v>
      </c>
      <c r="BT406" s="189">
        <f>BT407</f>
        <v>300</v>
      </c>
      <c r="BU406" s="186">
        <f t="shared" si="361"/>
        <v>0.1</v>
      </c>
      <c r="BV406" s="189">
        <f>BV407</f>
        <v>600</v>
      </c>
      <c r="BW406" s="186">
        <f t="shared" si="362"/>
        <v>0.2</v>
      </c>
      <c r="BX406" s="189">
        <f>BX407</f>
        <v>900</v>
      </c>
      <c r="BY406" s="186">
        <f t="shared" si="363"/>
        <v>0.3</v>
      </c>
      <c r="BZ406" s="189">
        <f>BZ407</f>
        <v>1200</v>
      </c>
      <c r="CA406" s="186">
        <f t="shared" si="364"/>
        <v>0.4</v>
      </c>
      <c r="CB406" s="189">
        <f>CB407</f>
        <v>1500</v>
      </c>
      <c r="CC406" s="186">
        <f t="shared" si="365"/>
        <v>0.5</v>
      </c>
      <c r="CD406" s="189">
        <f>CD407</f>
        <v>1650.0000000000002</v>
      </c>
      <c r="CE406" s="186">
        <f t="shared" si="345"/>
        <v>0.55000000000000004</v>
      </c>
      <c r="CF406" s="189">
        <f>CF407</f>
        <v>2100</v>
      </c>
      <c r="CG406" s="186">
        <f t="shared" si="366"/>
        <v>0.7</v>
      </c>
      <c r="CH406" s="189">
        <f>CH407</f>
        <v>2100</v>
      </c>
      <c r="CI406" s="186">
        <f t="shared" si="346"/>
        <v>0.7</v>
      </c>
      <c r="CJ406" s="189">
        <f>CJ407</f>
        <v>2250</v>
      </c>
      <c r="CK406" s="186">
        <f t="shared" si="367"/>
        <v>0.75</v>
      </c>
      <c r="CL406" s="189">
        <f>CL407</f>
        <v>2250</v>
      </c>
      <c r="CM406" s="186">
        <f t="shared" si="368"/>
        <v>0.75</v>
      </c>
      <c r="CN406" s="189">
        <f>CN407</f>
        <v>2850</v>
      </c>
      <c r="CO406" s="186">
        <f t="shared" si="369"/>
        <v>0.95</v>
      </c>
      <c r="CP406" s="213" t="str">
        <f t="shared" si="374"/>
        <v>Đạt</v>
      </c>
      <c r="CQ406" s="213" t="str">
        <f t="shared" si="375"/>
        <v>Đạt</v>
      </c>
      <c r="CR406" s="213"/>
      <c r="CS406" s="213"/>
      <c r="CT406" s="231"/>
      <c r="CU406" s="163"/>
      <c r="CW406" s="195"/>
      <c r="CX406" s="196"/>
      <c r="CY406" s="196"/>
      <c r="CZ406" s="197"/>
      <c r="DA406" s="196"/>
      <c r="DB406" s="196"/>
      <c r="DC406" s="196"/>
      <c r="DE406" s="199"/>
      <c r="DF406" s="200"/>
      <c r="DG406" s="181"/>
    </row>
    <row r="407" spans="1:112" s="324" customFormat="1" outlineLevel="1" x14ac:dyDescent="0.25">
      <c r="A407" s="305" t="s">
        <v>34</v>
      </c>
      <c r="B407" s="306" t="s">
        <v>376</v>
      </c>
      <c r="C407" s="306"/>
      <c r="D407" s="307">
        <f>E407+F407</f>
        <v>3000</v>
      </c>
      <c r="E407" s="307"/>
      <c r="F407" s="307">
        <f>G407+H407+K407+M407</f>
        <v>3000</v>
      </c>
      <c r="G407" s="303">
        <v>3000</v>
      </c>
      <c r="H407" s="303"/>
      <c r="I407" s="235"/>
      <c r="J407" s="235"/>
      <c r="K407" s="303"/>
      <c r="L407" s="235"/>
      <c r="M407" s="223"/>
      <c r="N407" s="223"/>
      <c r="O407" s="303">
        <f>G407+I407+L407+N407</f>
        <v>3000</v>
      </c>
      <c r="P407" s="303">
        <v>0</v>
      </c>
      <c r="Q407" s="308">
        <f t="shared" si="371"/>
        <v>0</v>
      </c>
      <c r="R407" s="303"/>
      <c r="S407" s="309">
        <v>0</v>
      </c>
      <c r="T407" s="309">
        <v>0</v>
      </c>
      <c r="U407" s="303"/>
      <c r="V407" s="309">
        <v>0</v>
      </c>
      <c r="W407" s="309">
        <v>0</v>
      </c>
      <c r="X407" s="303"/>
      <c r="Y407" s="309">
        <v>0</v>
      </c>
      <c r="Z407" s="309">
        <v>0</v>
      </c>
      <c r="AA407" s="303"/>
      <c r="AB407" s="309">
        <v>0</v>
      </c>
      <c r="AC407" s="309">
        <v>0</v>
      </c>
      <c r="AD407" s="303"/>
      <c r="AE407" s="309">
        <v>0</v>
      </c>
      <c r="AF407" s="309">
        <v>0</v>
      </c>
      <c r="AG407" s="303"/>
      <c r="AH407" s="309">
        <v>0</v>
      </c>
      <c r="AI407" s="309">
        <v>0</v>
      </c>
      <c r="AJ407" s="188"/>
      <c r="AK407" s="309">
        <v>0</v>
      </c>
      <c r="AL407" s="309">
        <v>0</v>
      </c>
      <c r="AM407" s="303">
        <v>718</v>
      </c>
      <c r="AN407" s="309">
        <v>0.23933333333333334</v>
      </c>
      <c r="AO407" s="309">
        <v>0.2519298245614035</v>
      </c>
      <c r="AP407" s="309"/>
      <c r="AQ407" s="303">
        <v>1343</v>
      </c>
      <c r="AR407" s="309">
        <v>0.44766666666666666</v>
      </c>
      <c r="AS407" s="309">
        <v>0.47122807017543861</v>
      </c>
      <c r="AT407" s="303">
        <v>1343</v>
      </c>
      <c r="AU407" s="309">
        <v>0.44766666666666666</v>
      </c>
      <c r="AV407" s="309">
        <v>0.47122807017543861</v>
      </c>
      <c r="AW407" s="309"/>
      <c r="AX407" s="309"/>
      <c r="AY407" s="309"/>
      <c r="AZ407" s="309"/>
      <c r="BA407" s="309"/>
      <c r="BB407" s="309"/>
      <c r="BC407" s="303">
        <v>1343</v>
      </c>
      <c r="BD407" s="309">
        <v>0.44766666666666666</v>
      </c>
      <c r="BE407" s="309">
        <v>0.47122807017543861</v>
      </c>
      <c r="BF407" s="303"/>
      <c r="BG407" s="303">
        <v>2338</v>
      </c>
      <c r="BH407" s="309">
        <v>0.77933333333333332</v>
      </c>
      <c r="BI407" s="309">
        <v>0.8203508771929825</v>
      </c>
      <c r="BJ407" s="303">
        <f t="shared" si="372"/>
        <v>2850</v>
      </c>
      <c r="BK407" s="303">
        <v>2343</v>
      </c>
      <c r="BL407" s="309">
        <f t="shared" si="358"/>
        <v>0.78100000000000003</v>
      </c>
      <c r="BM407" s="309">
        <f t="shared" si="373"/>
        <v>0.82210526315789478</v>
      </c>
      <c r="BN407" s="205">
        <f t="shared" si="356"/>
        <v>2343</v>
      </c>
      <c r="BO407" s="205"/>
      <c r="BP407" s="310"/>
      <c r="BQ407" s="308">
        <f t="shared" si="359"/>
        <v>0</v>
      </c>
      <c r="BR407" s="310"/>
      <c r="BS407" s="308">
        <f t="shared" si="360"/>
        <v>0</v>
      </c>
      <c r="BT407" s="310">
        <f>$F407*0.1</f>
        <v>300</v>
      </c>
      <c r="BU407" s="308">
        <f t="shared" si="361"/>
        <v>0.1</v>
      </c>
      <c r="BV407" s="310">
        <f>$F407*0.2</f>
        <v>600</v>
      </c>
      <c r="BW407" s="308">
        <f t="shared" si="362"/>
        <v>0.2</v>
      </c>
      <c r="BX407" s="310">
        <f>$F407*0.3</f>
        <v>900</v>
      </c>
      <c r="BY407" s="308">
        <f t="shared" si="363"/>
        <v>0.3</v>
      </c>
      <c r="BZ407" s="310">
        <f>$F407*0.4</f>
        <v>1200</v>
      </c>
      <c r="CA407" s="308">
        <f t="shared" si="364"/>
        <v>0.4</v>
      </c>
      <c r="CB407" s="310">
        <f>$F407*0.5</f>
        <v>1500</v>
      </c>
      <c r="CC407" s="308">
        <f t="shared" si="365"/>
        <v>0.5</v>
      </c>
      <c r="CD407" s="310">
        <f>$F407*0.55</f>
        <v>1650.0000000000002</v>
      </c>
      <c r="CE407" s="308">
        <f t="shared" si="345"/>
        <v>0.55000000000000004</v>
      </c>
      <c r="CF407" s="310">
        <v>2100</v>
      </c>
      <c r="CG407" s="308">
        <f t="shared" si="366"/>
        <v>0.7</v>
      </c>
      <c r="CH407" s="310">
        <f>$F407*0.7</f>
        <v>2100</v>
      </c>
      <c r="CI407" s="308">
        <f t="shared" si="346"/>
        <v>0.7</v>
      </c>
      <c r="CJ407" s="310">
        <f>$F407*0.75</f>
        <v>2250</v>
      </c>
      <c r="CK407" s="308">
        <f t="shared" si="367"/>
        <v>0.75</v>
      </c>
      <c r="CL407" s="310">
        <f>$F407*0.75</f>
        <v>2250</v>
      </c>
      <c r="CM407" s="308">
        <f t="shared" si="368"/>
        <v>0.75</v>
      </c>
      <c r="CN407" s="310">
        <f>$F407*0.95</f>
        <v>2850</v>
      </c>
      <c r="CO407" s="308">
        <f t="shared" si="369"/>
        <v>0.95</v>
      </c>
      <c r="CP407" s="213" t="str">
        <f t="shared" si="374"/>
        <v>Đạt</v>
      </c>
      <c r="CQ407" s="213" t="str">
        <f t="shared" si="375"/>
        <v>Đạt</v>
      </c>
      <c r="CR407" s="312"/>
      <c r="CS407" s="312"/>
      <c r="CT407" s="235"/>
      <c r="CU407" s="163"/>
      <c r="CV407" s="323"/>
      <c r="CW407" s="195"/>
      <c r="CX407" s="196"/>
      <c r="CY407" s="196"/>
      <c r="CZ407" s="197"/>
      <c r="DA407" s="196"/>
      <c r="DB407" s="196"/>
      <c r="DC407" s="196"/>
      <c r="DE407" s="199"/>
      <c r="DF407" s="200"/>
      <c r="DG407" s="181"/>
    </row>
    <row r="408" spans="1:112" ht="18" customHeight="1" x14ac:dyDescent="0.25">
      <c r="A408" s="213">
        <f>MAX(A$243:A407)+1</f>
        <v>49</v>
      </c>
      <c r="B408" s="240" t="s">
        <v>442</v>
      </c>
      <c r="C408" s="240"/>
      <c r="D408" s="188">
        <f t="shared" ref="D408:I408" si="378">D409</f>
        <v>3000</v>
      </c>
      <c r="E408" s="188">
        <f t="shared" si="378"/>
        <v>0</v>
      </c>
      <c r="F408" s="188">
        <f t="shared" si="378"/>
        <v>3000</v>
      </c>
      <c r="G408" s="188">
        <f t="shared" si="378"/>
        <v>3000</v>
      </c>
      <c r="H408" s="188">
        <f t="shared" si="378"/>
        <v>0</v>
      </c>
      <c r="I408" s="188">
        <f t="shared" si="378"/>
        <v>0</v>
      </c>
      <c r="J408" s="188"/>
      <c r="K408" s="188">
        <f>K409</f>
        <v>0</v>
      </c>
      <c r="L408" s="188">
        <f>L409</f>
        <v>0</v>
      </c>
      <c r="M408" s="231"/>
      <c r="N408" s="231"/>
      <c r="O408" s="188">
        <f>G408+I408+L408+N408</f>
        <v>3000</v>
      </c>
      <c r="P408" s="188">
        <v>0</v>
      </c>
      <c r="Q408" s="186">
        <f t="shared" si="371"/>
        <v>0</v>
      </c>
      <c r="R408" s="188">
        <v>0</v>
      </c>
      <c r="S408" s="185">
        <v>0</v>
      </c>
      <c r="T408" s="185">
        <v>0</v>
      </c>
      <c r="U408" s="188">
        <v>0</v>
      </c>
      <c r="V408" s="185">
        <v>0</v>
      </c>
      <c r="W408" s="185">
        <v>0</v>
      </c>
      <c r="X408" s="188">
        <v>0</v>
      </c>
      <c r="Y408" s="185">
        <v>0</v>
      </c>
      <c r="Z408" s="185">
        <v>0</v>
      </c>
      <c r="AA408" s="188">
        <v>0</v>
      </c>
      <c r="AB408" s="185">
        <v>0</v>
      </c>
      <c r="AC408" s="185">
        <v>0</v>
      </c>
      <c r="AD408" s="188">
        <v>598</v>
      </c>
      <c r="AE408" s="185">
        <v>0.19933333333333333</v>
      </c>
      <c r="AF408" s="185">
        <v>0.20982456140350877</v>
      </c>
      <c r="AG408" s="188">
        <v>598</v>
      </c>
      <c r="AH408" s="185">
        <v>0.19933333333333333</v>
      </c>
      <c r="AI408" s="185">
        <v>0.20982456140350877</v>
      </c>
      <c r="AJ408" s="303">
        <v>598</v>
      </c>
      <c r="AK408" s="185">
        <v>0.19933333333333333</v>
      </c>
      <c r="AL408" s="185">
        <v>0.20982456140350877</v>
      </c>
      <c r="AM408" s="188">
        <v>857</v>
      </c>
      <c r="AN408" s="185">
        <v>0.28566666666666668</v>
      </c>
      <c r="AO408" s="185">
        <v>0.30070175438596491</v>
      </c>
      <c r="AP408" s="185"/>
      <c r="AQ408" s="188">
        <v>857</v>
      </c>
      <c r="AR408" s="185">
        <v>0.28566666666666668</v>
      </c>
      <c r="AS408" s="185">
        <v>0.30070175438596491</v>
      </c>
      <c r="AT408" s="188">
        <v>857</v>
      </c>
      <c r="AU408" s="185">
        <v>0.28566666666666668</v>
      </c>
      <c r="AV408" s="185">
        <v>0.30070175438596491</v>
      </c>
      <c r="AW408" s="185"/>
      <c r="AX408" s="185"/>
      <c r="AY408" s="185"/>
      <c r="AZ408" s="185"/>
      <c r="BA408" s="185"/>
      <c r="BB408" s="185"/>
      <c r="BC408" s="188">
        <v>857</v>
      </c>
      <c r="BD408" s="185">
        <v>0.28566666666666668</v>
      </c>
      <c r="BE408" s="185">
        <v>0.30070175438596491</v>
      </c>
      <c r="BF408" s="188"/>
      <c r="BG408" s="188">
        <v>1661</v>
      </c>
      <c r="BH408" s="185">
        <v>0.55366666666666664</v>
      </c>
      <c r="BI408" s="185">
        <v>0.58280701754385966</v>
      </c>
      <c r="BJ408" s="188">
        <f t="shared" si="372"/>
        <v>2850</v>
      </c>
      <c r="BK408" s="188">
        <v>1888</v>
      </c>
      <c r="BL408" s="185">
        <f t="shared" si="358"/>
        <v>0.6293333333333333</v>
      </c>
      <c r="BM408" s="185">
        <f t="shared" si="373"/>
        <v>0.66245614035087719</v>
      </c>
      <c r="BN408" s="205">
        <f t="shared" si="356"/>
        <v>1290</v>
      </c>
      <c r="BO408" s="205"/>
      <c r="BP408" s="189">
        <f>BP409</f>
        <v>0</v>
      </c>
      <c r="BQ408" s="186">
        <f t="shared" si="359"/>
        <v>0</v>
      </c>
      <c r="BR408" s="189">
        <f>BR409</f>
        <v>0</v>
      </c>
      <c r="BS408" s="186">
        <f t="shared" si="360"/>
        <v>0</v>
      </c>
      <c r="BT408" s="189">
        <f>BT409</f>
        <v>300</v>
      </c>
      <c r="BU408" s="186">
        <f t="shared" si="361"/>
        <v>0.1</v>
      </c>
      <c r="BV408" s="189">
        <f>BV409</f>
        <v>600</v>
      </c>
      <c r="BW408" s="186">
        <f t="shared" si="362"/>
        <v>0.2</v>
      </c>
      <c r="BX408" s="189">
        <f>BX409</f>
        <v>1200</v>
      </c>
      <c r="BY408" s="186">
        <f t="shared" si="363"/>
        <v>0.4</v>
      </c>
      <c r="BZ408" s="189">
        <f>BZ409</f>
        <v>1800</v>
      </c>
      <c r="CA408" s="186">
        <f t="shared" si="364"/>
        <v>0.6</v>
      </c>
      <c r="CB408" s="189">
        <f>CB409</f>
        <v>2100</v>
      </c>
      <c r="CC408" s="186">
        <f t="shared" si="365"/>
        <v>0.7</v>
      </c>
      <c r="CD408" s="189">
        <f>CD409</f>
        <v>2100</v>
      </c>
      <c r="CE408" s="186">
        <f t="shared" si="345"/>
        <v>0.7</v>
      </c>
      <c r="CF408" s="189">
        <f>CF409</f>
        <v>2250</v>
      </c>
      <c r="CG408" s="186">
        <f t="shared" si="366"/>
        <v>0.75</v>
      </c>
      <c r="CH408" s="189">
        <f>CH409</f>
        <v>2400</v>
      </c>
      <c r="CI408" s="186">
        <f t="shared" si="346"/>
        <v>0.8</v>
      </c>
      <c r="CJ408" s="189">
        <f>CJ409</f>
        <v>2550</v>
      </c>
      <c r="CK408" s="186">
        <f t="shared" si="367"/>
        <v>0.85</v>
      </c>
      <c r="CL408" s="189">
        <f>CL409</f>
        <v>2700</v>
      </c>
      <c r="CM408" s="186">
        <f t="shared" si="368"/>
        <v>0.9</v>
      </c>
      <c r="CN408" s="189">
        <f>CN409</f>
        <v>2850</v>
      </c>
      <c r="CO408" s="186">
        <f t="shared" si="369"/>
        <v>0.95</v>
      </c>
      <c r="CP408" s="213" t="str">
        <f t="shared" si="374"/>
        <v>Đạt</v>
      </c>
      <c r="CQ408" s="213" t="str">
        <f t="shared" si="375"/>
        <v>Đạt</v>
      </c>
      <c r="CR408" s="213"/>
      <c r="CS408" s="213"/>
      <c r="CT408" s="231"/>
      <c r="CU408" s="163"/>
      <c r="CW408" s="195"/>
      <c r="CX408" s="196"/>
      <c r="CY408" s="196"/>
      <c r="CZ408" s="197"/>
      <c r="DA408" s="196"/>
      <c r="DB408" s="196"/>
      <c r="DC408" s="196"/>
      <c r="DE408" s="199"/>
      <c r="DF408" s="200"/>
      <c r="DG408" s="181"/>
    </row>
    <row r="409" spans="1:112" s="324" customFormat="1" outlineLevel="1" x14ac:dyDescent="0.25">
      <c r="A409" s="305" t="s">
        <v>34</v>
      </c>
      <c r="B409" s="306" t="s">
        <v>376</v>
      </c>
      <c r="C409" s="306"/>
      <c r="D409" s="307">
        <f>E409+F409</f>
        <v>3000</v>
      </c>
      <c r="E409" s="307"/>
      <c r="F409" s="307">
        <f>G409+H409+K409+M409</f>
        <v>3000</v>
      </c>
      <c r="G409" s="303">
        <v>3000</v>
      </c>
      <c r="H409" s="303"/>
      <c r="I409" s="235"/>
      <c r="J409" s="235"/>
      <c r="K409" s="303"/>
      <c r="L409" s="235"/>
      <c r="M409" s="223"/>
      <c r="N409" s="223"/>
      <c r="O409" s="303">
        <f>G409+I409+L409+N409</f>
        <v>3000</v>
      </c>
      <c r="P409" s="303">
        <v>0</v>
      </c>
      <c r="Q409" s="308">
        <f t="shared" si="371"/>
        <v>0</v>
      </c>
      <c r="R409" s="303">
        <v>0</v>
      </c>
      <c r="S409" s="313">
        <v>0</v>
      </c>
      <c r="T409" s="313">
        <v>0</v>
      </c>
      <c r="U409" s="303">
        <v>0</v>
      </c>
      <c r="V409" s="313">
        <v>0</v>
      </c>
      <c r="W409" s="313">
        <v>0</v>
      </c>
      <c r="X409" s="303">
        <v>0</v>
      </c>
      <c r="Y409" s="313">
        <v>0</v>
      </c>
      <c r="Z409" s="313">
        <v>0</v>
      </c>
      <c r="AA409" s="303">
        <v>0</v>
      </c>
      <c r="AB409" s="313">
        <v>0</v>
      </c>
      <c r="AC409" s="313">
        <v>0</v>
      </c>
      <c r="AD409" s="303">
        <v>598</v>
      </c>
      <c r="AE409" s="313">
        <v>0.19933333333333333</v>
      </c>
      <c r="AF409" s="313">
        <v>0.20982456140350877</v>
      </c>
      <c r="AG409" s="303">
        <v>598</v>
      </c>
      <c r="AH409" s="313">
        <v>0.19933333333333333</v>
      </c>
      <c r="AI409" s="313">
        <v>0.20982456140350877</v>
      </c>
      <c r="AJ409" s="188">
        <v>598</v>
      </c>
      <c r="AK409" s="313">
        <v>0.19933333333333333</v>
      </c>
      <c r="AL409" s="313">
        <v>0.20982456140350877</v>
      </c>
      <c r="AM409" s="303">
        <v>857</v>
      </c>
      <c r="AN409" s="313">
        <v>0.28566666666666668</v>
      </c>
      <c r="AO409" s="313">
        <v>0.30070175438596491</v>
      </c>
      <c r="AP409" s="313"/>
      <c r="AQ409" s="303">
        <v>857</v>
      </c>
      <c r="AR409" s="313">
        <v>0.28566666666666668</v>
      </c>
      <c r="AS409" s="313">
        <v>0.30070175438596491</v>
      </c>
      <c r="AT409" s="303">
        <v>857</v>
      </c>
      <c r="AU409" s="313">
        <v>0.28566666666666668</v>
      </c>
      <c r="AV409" s="313">
        <v>0.30070175438596491</v>
      </c>
      <c r="AW409" s="313"/>
      <c r="AX409" s="313"/>
      <c r="AY409" s="313"/>
      <c r="AZ409" s="313"/>
      <c r="BA409" s="313"/>
      <c r="BB409" s="313"/>
      <c r="BC409" s="303">
        <v>857</v>
      </c>
      <c r="BD409" s="313">
        <v>0.28566666666666668</v>
      </c>
      <c r="BE409" s="313">
        <v>0.30070175438596491</v>
      </c>
      <c r="BF409" s="303"/>
      <c r="BG409" s="303">
        <v>1661</v>
      </c>
      <c r="BH409" s="313">
        <v>0.55366666666666664</v>
      </c>
      <c r="BI409" s="313">
        <v>0.58280701754385966</v>
      </c>
      <c r="BJ409" s="303">
        <f t="shared" si="372"/>
        <v>2850</v>
      </c>
      <c r="BK409" s="303">
        <v>1661</v>
      </c>
      <c r="BL409" s="313">
        <f t="shared" si="358"/>
        <v>0.55366666666666664</v>
      </c>
      <c r="BM409" s="313">
        <f t="shared" si="373"/>
        <v>0.58280701754385966</v>
      </c>
      <c r="BN409" s="205">
        <f t="shared" si="356"/>
        <v>1063</v>
      </c>
      <c r="BO409" s="205"/>
      <c r="BP409" s="310">
        <v>0</v>
      </c>
      <c r="BQ409" s="311">
        <f t="shared" si="359"/>
        <v>0</v>
      </c>
      <c r="BR409" s="310">
        <v>0</v>
      </c>
      <c r="BS409" s="311">
        <f t="shared" si="360"/>
        <v>0</v>
      </c>
      <c r="BT409" s="310">
        <v>300</v>
      </c>
      <c r="BU409" s="308">
        <f t="shared" si="361"/>
        <v>0.1</v>
      </c>
      <c r="BV409" s="310">
        <v>600</v>
      </c>
      <c r="BW409" s="311">
        <f t="shared" si="362"/>
        <v>0.2</v>
      </c>
      <c r="BX409" s="310">
        <v>1200</v>
      </c>
      <c r="BY409" s="311">
        <f t="shared" si="363"/>
        <v>0.4</v>
      </c>
      <c r="BZ409" s="310">
        <v>1800</v>
      </c>
      <c r="CA409" s="311">
        <f t="shared" si="364"/>
        <v>0.6</v>
      </c>
      <c r="CB409" s="310">
        <v>2100</v>
      </c>
      <c r="CC409" s="311">
        <f t="shared" si="365"/>
        <v>0.7</v>
      </c>
      <c r="CD409" s="310">
        <v>2100</v>
      </c>
      <c r="CE409" s="311">
        <f t="shared" si="345"/>
        <v>0.7</v>
      </c>
      <c r="CF409" s="310">
        <v>2250</v>
      </c>
      <c r="CG409" s="311">
        <f t="shared" si="366"/>
        <v>0.75</v>
      </c>
      <c r="CH409" s="310">
        <v>2400</v>
      </c>
      <c r="CI409" s="311">
        <f t="shared" si="346"/>
        <v>0.8</v>
      </c>
      <c r="CJ409" s="310">
        <v>2550</v>
      </c>
      <c r="CK409" s="311">
        <f t="shared" si="367"/>
        <v>0.85</v>
      </c>
      <c r="CL409" s="310">
        <v>2700</v>
      </c>
      <c r="CM409" s="311">
        <f t="shared" si="368"/>
        <v>0.9</v>
      </c>
      <c r="CN409" s="310">
        <v>2850</v>
      </c>
      <c r="CO409" s="311">
        <f t="shared" si="369"/>
        <v>0.95</v>
      </c>
      <c r="CP409" s="213" t="str">
        <f t="shared" si="374"/>
        <v>Đạt</v>
      </c>
      <c r="CQ409" s="213" t="str">
        <f t="shared" si="375"/>
        <v>Đạt</v>
      </c>
      <c r="CR409" s="312"/>
      <c r="CS409" s="312"/>
      <c r="CT409" s="235"/>
      <c r="CU409" s="163"/>
      <c r="CV409" s="323"/>
      <c r="CW409" s="195"/>
      <c r="CX409" s="196"/>
      <c r="CY409" s="196"/>
      <c r="CZ409" s="197"/>
      <c r="DA409" s="196"/>
      <c r="DB409" s="196"/>
      <c r="DC409" s="196"/>
      <c r="DE409" s="199"/>
      <c r="DF409" s="200"/>
      <c r="DG409" s="181"/>
    </row>
    <row r="410" spans="1:112" ht="18" customHeight="1" x14ac:dyDescent="0.25">
      <c r="A410" s="316">
        <f>MAX(A$243:A409)+1</f>
        <v>50</v>
      </c>
      <c r="B410" s="240" t="s">
        <v>443</v>
      </c>
      <c r="C410" s="240"/>
      <c r="D410" s="188">
        <f t="shared" ref="D410:I410" si="379">D411+D412</f>
        <v>3144</v>
      </c>
      <c r="E410" s="188">
        <f t="shared" si="379"/>
        <v>0</v>
      </c>
      <c r="F410" s="188">
        <f t="shared" si="379"/>
        <v>3144</v>
      </c>
      <c r="G410" s="188">
        <f t="shared" si="379"/>
        <v>3000</v>
      </c>
      <c r="H410" s="188">
        <f t="shared" si="379"/>
        <v>144</v>
      </c>
      <c r="I410" s="188">
        <f t="shared" si="379"/>
        <v>0</v>
      </c>
      <c r="J410" s="188"/>
      <c r="K410" s="188">
        <f>K411+K412</f>
        <v>0</v>
      </c>
      <c r="L410" s="188">
        <f>L411+L412</f>
        <v>0</v>
      </c>
      <c r="M410" s="188">
        <f>M411+M412</f>
        <v>0</v>
      </c>
      <c r="N410" s="188">
        <f>N411+N412</f>
        <v>0</v>
      </c>
      <c r="O410" s="188">
        <f>O411+O412</f>
        <v>3000</v>
      </c>
      <c r="P410" s="188">
        <v>0</v>
      </c>
      <c r="Q410" s="186">
        <f t="shared" si="371"/>
        <v>0</v>
      </c>
      <c r="R410" s="188">
        <v>0</v>
      </c>
      <c r="S410" s="185">
        <v>0</v>
      </c>
      <c r="T410" s="185">
        <v>0</v>
      </c>
      <c r="U410" s="188">
        <v>0</v>
      </c>
      <c r="V410" s="185">
        <v>0</v>
      </c>
      <c r="W410" s="185">
        <v>0</v>
      </c>
      <c r="X410" s="188">
        <v>0</v>
      </c>
      <c r="Y410" s="185">
        <v>0</v>
      </c>
      <c r="Z410" s="185">
        <v>0</v>
      </c>
      <c r="AA410" s="188">
        <v>0</v>
      </c>
      <c r="AB410" s="185">
        <v>0</v>
      </c>
      <c r="AC410" s="185">
        <v>0</v>
      </c>
      <c r="AD410" s="188">
        <v>0</v>
      </c>
      <c r="AE410" s="185">
        <v>0</v>
      </c>
      <c r="AF410" s="185">
        <v>0</v>
      </c>
      <c r="AG410" s="188">
        <v>0</v>
      </c>
      <c r="AH410" s="185">
        <v>0</v>
      </c>
      <c r="AI410" s="185">
        <v>0</v>
      </c>
      <c r="AJ410" s="303">
        <v>0</v>
      </c>
      <c r="AK410" s="185">
        <v>0</v>
      </c>
      <c r="AL410" s="185">
        <v>0</v>
      </c>
      <c r="AM410" s="188">
        <v>979</v>
      </c>
      <c r="AN410" s="185">
        <v>0.31138676844783714</v>
      </c>
      <c r="AO410" s="185">
        <v>0.32777554573456547</v>
      </c>
      <c r="AP410" s="185"/>
      <c r="AQ410" s="188">
        <v>1595</v>
      </c>
      <c r="AR410" s="185">
        <v>0.50731552162849869</v>
      </c>
      <c r="AS410" s="185">
        <v>0.53401633855631447</v>
      </c>
      <c r="AT410" s="188">
        <v>1599.7</v>
      </c>
      <c r="AU410" s="185">
        <v>0.5088104325699746</v>
      </c>
      <c r="AV410" s="185">
        <v>0.53558992902102587</v>
      </c>
      <c r="AW410" s="185"/>
      <c r="AX410" s="185"/>
      <c r="AY410" s="185"/>
      <c r="AZ410" s="185"/>
      <c r="BA410" s="185"/>
      <c r="BB410" s="185"/>
      <c r="BC410" s="188">
        <v>1599.7</v>
      </c>
      <c r="BD410" s="185">
        <v>0.5088104325699746</v>
      </c>
      <c r="BE410" s="185">
        <v>0.53558992902102587</v>
      </c>
      <c r="BF410" s="188"/>
      <c r="BG410" s="188">
        <v>2146</v>
      </c>
      <c r="BH410" s="185">
        <v>0.68256997455470736</v>
      </c>
      <c r="BI410" s="185">
        <v>0.71849471005758681</v>
      </c>
      <c r="BJ410" s="188">
        <f t="shared" si="372"/>
        <v>2986.7999999999997</v>
      </c>
      <c r="BK410" s="188">
        <f>BK411+BK412</f>
        <v>2545</v>
      </c>
      <c r="BL410" s="185">
        <f t="shared" si="358"/>
        <v>0.80947837150127222</v>
      </c>
      <c r="BM410" s="185">
        <f t="shared" si="373"/>
        <v>0.85208249631712873</v>
      </c>
      <c r="BN410" s="205">
        <f t="shared" si="356"/>
        <v>2545</v>
      </c>
      <c r="BO410" s="205"/>
      <c r="BP410" s="189">
        <f>BP411+BP412</f>
        <v>900</v>
      </c>
      <c r="BQ410" s="186">
        <f t="shared" si="359"/>
        <v>0.2862595419847328</v>
      </c>
      <c r="BR410" s="189">
        <f>BR411+BR412</f>
        <v>1900</v>
      </c>
      <c r="BS410" s="186">
        <f t="shared" si="360"/>
        <v>0.60432569974554706</v>
      </c>
      <c r="BT410" s="189">
        <f>BT411+BT412</f>
        <v>2836.8</v>
      </c>
      <c r="BU410" s="186">
        <f t="shared" si="361"/>
        <v>0.90229007633587788</v>
      </c>
      <c r="BV410" s="189">
        <f>BV411+BV412</f>
        <v>2986.8</v>
      </c>
      <c r="BW410" s="186">
        <f t="shared" si="362"/>
        <v>0.95000000000000007</v>
      </c>
      <c r="BX410" s="189">
        <f>BX411+BX412</f>
        <v>2986.8</v>
      </c>
      <c r="BY410" s="186">
        <f t="shared" si="363"/>
        <v>0.95000000000000007</v>
      </c>
      <c r="BZ410" s="189">
        <f>BZ411+BZ412</f>
        <v>2986.8</v>
      </c>
      <c r="CA410" s="186">
        <f t="shared" si="364"/>
        <v>0.95000000000000007</v>
      </c>
      <c r="CB410" s="189">
        <f>CB411+CB412</f>
        <v>2986.8</v>
      </c>
      <c r="CC410" s="186">
        <f t="shared" si="365"/>
        <v>0.95000000000000007</v>
      </c>
      <c r="CD410" s="189">
        <f>CD411+CD412</f>
        <v>2986.8</v>
      </c>
      <c r="CE410" s="186">
        <f t="shared" si="345"/>
        <v>0.95000000000000007</v>
      </c>
      <c r="CF410" s="189">
        <f>CF411+CF412</f>
        <v>2986.8</v>
      </c>
      <c r="CG410" s="186">
        <f t="shared" si="366"/>
        <v>0.95000000000000007</v>
      </c>
      <c r="CH410" s="189">
        <f>CH411+CH412</f>
        <v>2986.8</v>
      </c>
      <c r="CI410" s="186">
        <f t="shared" si="346"/>
        <v>0.95000000000000007</v>
      </c>
      <c r="CJ410" s="189">
        <f>CJ411+CJ412</f>
        <v>2986.8</v>
      </c>
      <c r="CK410" s="186">
        <f t="shared" si="367"/>
        <v>0.95000000000000007</v>
      </c>
      <c r="CL410" s="189">
        <f>CL411+CL412</f>
        <v>2986.8</v>
      </c>
      <c r="CM410" s="186">
        <f t="shared" si="368"/>
        <v>0.95000000000000007</v>
      </c>
      <c r="CN410" s="189">
        <f>CN411+CN412</f>
        <v>2986.8</v>
      </c>
      <c r="CO410" s="186">
        <f t="shared" si="369"/>
        <v>0.95000000000000007</v>
      </c>
      <c r="CP410" s="213" t="str">
        <f t="shared" si="374"/>
        <v>Đạt</v>
      </c>
      <c r="CQ410" s="213" t="str">
        <f t="shared" si="375"/>
        <v>Đạt</v>
      </c>
      <c r="CR410" s="213"/>
      <c r="CS410" s="213"/>
      <c r="CT410" s="231"/>
      <c r="CU410" s="163"/>
      <c r="CW410" s="195"/>
      <c r="CX410" s="196"/>
      <c r="CY410" s="196"/>
      <c r="CZ410" s="197"/>
      <c r="DA410" s="196"/>
      <c r="DB410" s="196"/>
      <c r="DC410" s="196"/>
      <c r="DE410" s="199"/>
      <c r="DF410" s="200"/>
      <c r="DG410" s="181"/>
    </row>
    <row r="411" spans="1:112" s="324" customFormat="1" outlineLevel="1" x14ac:dyDescent="0.25">
      <c r="A411" s="305" t="s">
        <v>34</v>
      </c>
      <c r="B411" s="306" t="s">
        <v>376</v>
      </c>
      <c r="C411" s="306"/>
      <c r="D411" s="307">
        <f>E411+F411</f>
        <v>3000</v>
      </c>
      <c r="E411" s="307"/>
      <c r="F411" s="307">
        <f>G411+H411+K411+M411</f>
        <v>3000</v>
      </c>
      <c r="G411" s="303">
        <v>3000</v>
      </c>
      <c r="H411" s="303"/>
      <c r="I411" s="235"/>
      <c r="J411" s="235"/>
      <c r="K411" s="303"/>
      <c r="L411" s="235"/>
      <c r="M411" s="223"/>
      <c r="N411" s="223"/>
      <c r="O411" s="303">
        <f>G411+I411+L411+N411</f>
        <v>3000</v>
      </c>
      <c r="P411" s="303">
        <v>0</v>
      </c>
      <c r="Q411" s="308">
        <f t="shared" si="371"/>
        <v>0</v>
      </c>
      <c r="R411" s="303"/>
      <c r="S411" s="309">
        <v>0</v>
      </c>
      <c r="T411" s="309">
        <v>0</v>
      </c>
      <c r="U411" s="303"/>
      <c r="V411" s="309">
        <v>0</v>
      </c>
      <c r="W411" s="309">
        <v>0</v>
      </c>
      <c r="X411" s="303"/>
      <c r="Y411" s="309">
        <v>0</v>
      </c>
      <c r="Z411" s="309">
        <v>0</v>
      </c>
      <c r="AA411" s="303"/>
      <c r="AB411" s="309">
        <v>0</v>
      </c>
      <c r="AC411" s="309">
        <v>0</v>
      </c>
      <c r="AD411" s="303"/>
      <c r="AE411" s="309">
        <v>0</v>
      </c>
      <c r="AF411" s="309">
        <v>0</v>
      </c>
      <c r="AG411" s="303"/>
      <c r="AH411" s="309">
        <v>0</v>
      </c>
      <c r="AI411" s="309">
        <v>0</v>
      </c>
      <c r="AJ411" s="303"/>
      <c r="AK411" s="309">
        <v>0</v>
      </c>
      <c r="AL411" s="309">
        <v>0</v>
      </c>
      <c r="AM411" s="303">
        <v>979</v>
      </c>
      <c r="AN411" s="309">
        <v>0.32633333333333331</v>
      </c>
      <c r="AO411" s="309">
        <v>0.34350877192982454</v>
      </c>
      <c r="AP411" s="309"/>
      <c r="AQ411" s="214">
        <v>1595</v>
      </c>
      <c r="AR411" s="309">
        <v>0.53166666666666662</v>
      </c>
      <c r="AS411" s="309">
        <v>0.55964912280701751</v>
      </c>
      <c r="AT411" s="214">
        <v>1599.7</v>
      </c>
      <c r="AU411" s="309">
        <v>0.53323333333333334</v>
      </c>
      <c r="AV411" s="309">
        <v>0.56129824561403507</v>
      </c>
      <c r="AW411" s="309"/>
      <c r="AX411" s="309"/>
      <c r="AY411" s="309"/>
      <c r="AZ411" s="309"/>
      <c r="BA411" s="309"/>
      <c r="BB411" s="309"/>
      <c r="BC411" s="214">
        <v>1599.7</v>
      </c>
      <c r="BD411" s="309">
        <v>0.53323333333333334</v>
      </c>
      <c r="BE411" s="309">
        <v>0.56129824561403507</v>
      </c>
      <c r="BF411" s="214"/>
      <c r="BG411" s="214">
        <v>2146</v>
      </c>
      <c r="BH411" s="309">
        <v>0.71533333333333338</v>
      </c>
      <c r="BI411" s="309">
        <v>0.75298245614035086</v>
      </c>
      <c r="BJ411" s="214">
        <f t="shared" si="372"/>
        <v>2850</v>
      </c>
      <c r="BK411" s="214">
        <v>2545</v>
      </c>
      <c r="BL411" s="309">
        <f t="shared" si="358"/>
        <v>0.84833333333333338</v>
      </c>
      <c r="BM411" s="309">
        <f t="shared" si="373"/>
        <v>0.89298245614035088</v>
      </c>
      <c r="BN411" s="205">
        <f t="shared" si="356"/>
        <v>2545</v>
      </c>
      <c r="BO411" s="205"/>
      <c r="BP411" s="310">
        <v>900</v>
      </c>
      <c r="BQ411" s="308">
        <f t="shared" si="359"/>
        <v>0.3</v>
      </c>
      <c r="BR411" s="310">
        <f>BP411+1000</f>
        <v>1900</v>
      </c>
      <c r="BS411" s="308">
        <f t="shared" si="360"/>
        <v>0.6333333333333333</v>
      </c>
      <c r="BT411" s="310">
        <f>BR411+800</f>
        <v>2700</v>
      </c>
      <c r="BU411" s="308">
        <f t="shared" si="361"/>
        <v>0.9</v>
      </c>
      <c r="BV411" s="310">
        <f>F411*0.95</f>
        <v>2850</v>
      </c>
      <c r="BW411" s="308">
        <f t="shared" si="362"/>
        <v>0.95</v>
      </c>
      <c r="BX411" s="310">
        <v>2850</v>
      </c>
      <c r="BY411" s="308">
        <f t="shared" si="363"/>
        <v>0.95</v>
      </c>
      <c r="BZ411" s="310">
        <v>2850</v>
      </c>
      <c r="CA411" s="308">
        <f t="shared" si="364"/>
        <v>0.95</v>
      </c>
      <c r="CB411" s="310">
        <v>2850</v>
      </c>
      <c r="CC411" s="308">
        <f t="shared" si="365"/>
        <v>0.95</v>
      </c>
      <c r="CD411" s="310">
        <v>2850</v>
      </c>
      <c r="CE411" s="308">
        <f t="shared" si="345"/>
        <v>0.95</v>
      </c>
      <c r="CF411" s="310">
        <v>2850</v>
      </c>
      <c r="CG411" s="308">
        <f t="shared" si="366"/>
        <v>0.95</v>
      </c>
      <c r="CH411" s="310">
        <v>2850</v>
      </c>
      <c r="CI411" s="308">
        <f t="shared" si="346"/>
        <v>0.95</v>
      </c>
      <c r="CJ411" s="310">
        <v>2850</v>
      </c>
      <c r="CK411" s="308">
        <f t="shared" si="367"/>
        <v>0.95</v>
      </c>
      <c r="CL411" s="310">
        <v>2850</v>
      </c>
      <c r="CM411" s="308">
        <f t="shared" si="368"/>
        <v>0.95</v>
      </c>
      <c r="CN411" s="310">
        <v>2850</v>
      </c>
      <c r="CO411" s="308">
        <f t="shared" si="369"/>
        <v>0.95</v>
      </c>
      <c r="CP411" s="213" t="str">
        <f t="shared" si="374"/>
        <v>Đạt</v>
      </c>
      <c r="CQ411" s="213" t="str">
        <f t="shared" si="375"/>
        <v>Đạt</v>
      </c>
      <c r="CR411" s="312"/>
      <c r="CS411" s="312"/>
      <c r="CT411" s="235"/>
      <c r="CU411" s="163"/>
      <c r="CV411" s="323"/>
      <c r="CW411" s="195"/>
      <c r="CX411" s="196"/>
      <c r="CY411" s="196"/>
      <c r="CZ411" s="197"/>
      <c r="DA411" s="196"/>
      <c r="DB411" s="196"/>
      <c r="DC411" s="196"/>
      <c r="DE411" s="199"/>
      <c r="DF411" s="200"/>
      <c r="DG411" s="181"/>
      <c r="DH411" s="337"/>
    </row>
    <row r="412" spans="1:112" ht="25.5" outlineLevel="1" x14ac:dyDescent="0.25">
      <c r="A412" s="305" t="s">
        <v>34</v>
      </c>
      <c r="B412" s="306" t="s">
        <v>377</v>
      </c>
      <c r="C412" s="306"/>
      <c r="D412" s="307">
        <f>E412+F412</f>
        <v>144</v>
      </c>
      <c r="E412" s="307"/>
      <c r="F412" s="307">
        <f>G412+H412+K412+M412</f>
        <v>144</v>
      </c>
      <c r="G412" s="307"/>
      <c r="H412" s="307">
        <v>144</v>
      </c>
      <c r="I412" s="235"/>
      <c r="J412" s="235"/>
      <c r="K412" s="303"/>
      <c r="L412" s="235"/>
      <c r="M412" s="223"/>
      <c r="N412" s="223"/>
      <c r="O412" s="303"/>
      <c r="P412" s="303">
        <v>0</v>
      </c>
      <c r="Q412" s="308">
        <f t="shared" si="371"/>
        <v>0</v>
      </c>
      <c r="R412" s="303"/>
      <c r="S412" s="309">
        <v>0</v>
      </c>
      <c r="T412" s="309">
        <v>0</v>
      </c>
      <c r="U412" s="303"/>
      <c r="V412" s="309">
        <v>0</v>
      </c>
      <c r="W412" s="309">
        <v>0</v>
      </c>
      <c r="X412" s="303"/>
      <c r="Y412" s="309">
        <v>0</v>
      </c>
      <c r="Z412" s="309">
        <v>0</v>
      </c>
      <c r="AA412" s="303"/>
      <c r="AB412" s="309">
        <v>0</v>
      </c>
      <c r="AC412" s="309">
        <v>0</v>
      </c>
      <c r="AD412" s="303"/>
      <c r="AE412" s="309">
        <v>0</v>
      </c>
      <c r="AF412" s="309">
        <v>0</v>
      </c>
      <c r="AG412" s="303"/>
      <c r="AH412" s="309">
        <v>0</v>
      </c>
      <c r="AI412" s="309">
        <v>0</v>
      </c>
      <c r="AJ412" s="188"/>
      <c r="AK412" s="309">
        <v>0</v>
      </c>
      <c r="AL412" s="309">
        <v>0</v>
      </c>
      <c r="AM412" s="303"/>
      <c r="AN412" s="309">
        <v>0</v>
      </c>
      <c r="AO412" s="309">
        <v>0</v>
      </c>
      <c r="AP412" s="309"/>
      <c r="AQ412" s="303"/>
      <c r="AR412" s="309">
        <v>0</v>
      </c>
      <c r="AS412" s="309">
        <v>0</v>
      </c>
      <c r="AT412" s="303"/>
      <c r="AU412" s="309">
        <v>0</v>
      </c>
      <c r="AV412" s="309">
        <v>0</v>
      </c>
      <c r="AW412" s="309"/>
      <c r="AX412" s="309"/>
      <c r="AY412" s="309"/>
      <c r="AZ412" s="309"/>
      <c r="BA412" s="309"/>
      <c r="BB412" s="309"/>
      <c r="BC412" s="303"/>
      <c r="BD412" s="309">
        <v>0</v>
      </c>
      <c r="BE412" s="309">
        <v>0</v>
      </c>
      <c r="BF412" s="303"/>
      <c r="BG412" s="303"/>
      <c r="BH412" s="309">
        <v>0</v>
      </c>
      <c r="BI412" s="309">
        <v>0</v>
      </c>
      <c r="BJ412" s="303">
        <f t="shared" si="372"/>
        <v>136.79999999999998</v>
      </c>
      <c r="BK412" s="303"/>
      <c r="BL412" s="309">
        <f t="shared" si="358"/>
        <v>0</v>
      </c>
      <c r="BM412" s="309">
        <f t="shared" si="373"/>
        <v>0</v>
      </c>
      <c r="BN412" s="205">
        <f t="shared" si="356"/>
        <v>0</v>
      </c>
      <c r="BO412" s="205"/>
      <c r="BP412" s="310"/>
      <c r="BQ412" s="308">
        <f t="shared" si="359"/>
        <v>0</v>
      </c>
      <c r="BR412" s="310"/>
      <c r="BS412" s="308">
        <f t="shared" si="360"/>
        <v>0</v>
      </c>
      <c r="BT412" s="310">
        <f>H412*0.95</f>
        <v>136.79999999999998</v>
      </c>
      <c r="BU412" s="308">
        <f t="shared" si="361"/>
        <v>0.94999999999999984</v>
      </c>
      <c r="BV412" s="310">
        <v>136.79999999999998</v>
      </c>
      <c r="BW412" s="308">
        <f t="shared" si="362"/>
        <v>0.94999999999999984</v>
      </c>
      <c r="BX412" s="310">
        <v>136.79999999999998</v>
      </c>
      <c r="BY412" s="308">
        <f t="shared" si="363"/>
        <v>0.94999999999999984</v>
      </c>
      <c r="BZ412" s="310">
        <v>136.79999999999998</v>
      </c>
      <c r="CA412" s="308">
        <f t="shared" si="364"/>
        <v>0.94999999999999984</v>
      </c>
      <c r="CB412" s="310">
        <v>136.79999999999998</v>
      </c>
      <c r="CC412" s="308">
        <f t="shared" si="365"/>
        <v>0.94999999999999984</v>
      </c>
      <c r="CD412" s="310">
        <v>136.79999999999998</v>
      </c>
      <c r="CE412" s="308">
        <f t="shared" si="345"/>
        <v>0.94999999999999984</v>
      </c>
      <c r="CF412" s="310">
        <v>136.79999999999998</v>
      </c>
      <c r="CG412" s="308">
        <f t="shared" si="366"/>
        <v>0.94999999999999984</v>
      </c>
      <c r="CH412" s="310">
        <v>136.79999999999998</v>
      </c>
      <c r="CI412" s="308">
        <f t="shared" si="346"/>
        <v>0.94999999999999984</v>
      </c>
      <c r="CJ412" s="310">
        <v>136.79999999999998</v>
      </c>
      <c r="CK412" s="308">
        <f t="shared" si="367"/>
        <v>0.94999999999999984</v>
      </c>
      <c r="CL412" s="310">
        <v>136.79999999999998</v>
      </c>
      <c r="CM412" s="308">
        <f t="shared" si="368"/>
        <v>0.94999999999999984</v>
      </c>
      <c r="CN412" s="310">
        <v>136.79999999999998</v>
      </c>
      <c r="CO412" s="308">
        <f t="shared" si="369"/>
        <v>0.94999999999999984</v>
      </c>
      <c r="CP412" s="213" t="str">
        <f t="shared" si="374"/>
        <v>Không đạt</v>
      </c>
      <c r="CQ412" s="213" t="str">
        <f t="shared" si="375"/>
        <v>Không đạt</v>
      </c>
      <c r="CR412" s="312"/>
      <c r="CS412" s="312"/>
      <c r="CT412" s="235"/>
      <c r="CU412" s="163"/>
      <c r="CW412" s="195"/>
      <c r="CX412" s="196"/>
      <c r="CY412" s="196"/>
      <c r="CZ412" s="197"/>
      <c r="DA412" s="196"/>
      <c r="DB412" s="196"/>
      <c r="DC412" s="196"/>
      <c r="DE412" s="199"/>
      <c r="DF412" s="200"/>
      <c r="DG412" s="181"/>
    </row>
    <row r="413" spans="1:112" ht="18" customHeight="1" x14ac:dyDescent="0.25">
      <c r="A413" s="316">
        <f>MAX(A$243:A411)+1</f>
        <v>51</v>
      </c>
      <c r="B413" s="240" t="s">
        <v>444</v>
      </c>
      <c r="C413" s="240"/>
      <c r="D413" s="188">
        <f t="shared" ref="D413:I413" si="380">D414+D415</f>
        <v>3077</v>
      </c>
      <c r="E413" s="188">
        <f t="shared" si="380"/>
        <v>0</v>
      </c>
      <c r="F413" s="188">
        <f t="shared" si="380"/>
        <v>3077</v>
      </c>
      <c r="G413" s="188">
        <f t="shared" si="380"/>
        <v>3000</v>
      </c>
      <c r="H413" s="188">
        <f t="shared" si="380"/>
        <v>77</v>
      </c>
      <c r="I413" s="188">
        <f t="shared" si="380"/>
        <v>0</v>
      </c>
      <c r="J413" s="188"/>
      <c r="K413" s="188">
        <f>K414+K415</f>
        <v>0</v>
      </c>
      <c r="L413" s="188">
        <f>L414+L415</f>
        <v>0</v>
      </c>
      <c r="M413" s="188">
        <f>M414+M415</f>
        <v>0</v>
      </c>
      <c r="N413" s="188">
        <f>N414+N415</f>
        <v>0</v>
      </c>
      <c r="O413" s="188">
        <f>O414+O415</f>
        <v>3000</v>
      </c>
      <c r="P413" s="188">
        <v>0</v>
      </c>
      <c r="Q413" s="186">
        <f t="shared" si="371"/>
        <v>0</v>
      </c>
      <c r="R413" s="188">
        <v>0</v>
      </c>
      <c r="S413" s="185">
        <v>0</v>
      </c>
      <c r="T413" s="185">
        <v>0</v>
      </c>
      <c r="U413" s="188">
        <v>0</v>
      </c>
      <c r="V413" s="185">
        <v>0</v>
      </c>
      <c r="W413" s="185">
        <v>0</v>
      </c>
      <c r="X413" s="188">
        <v>0</v>
      </c>
      <c r="Y413" s="185">
        <v>0</v>
      </c>
      <c r="Z413" s="185">
        <v>0</v>
      </c>
      <c r="AA413" s="188">
        <v>0</v>
      </c>
      <c r="AB413" s="185">
        <v>0</v>
      </c>
      <c r="AC413" s="185">
        <v>0</v>
      </c>
      <c r="AD413" s="188">
        <v>6</v>
      </c>
      <c r="AE413" s="185">
        <v>1.9499512512187196E-3</v>
      </c>
      <c r="AF413" s="185">
        <v>2.0525802644407575E-3</v>
      </c>
      <c r="AG413" s="188">
        <v>6</v>
      </c>
      <c r="AH413" s="185">
        <v>1.9499512512187196E-3</v>
      </c>
      <c r="AI413" s="185">
        <v>2.0525802644407575E-3</v>
      </c>
      <c r="AJ413" s="303">
        <v>6</v>
      </c>
      <c r="AK413" s="185">
        <v>1.9499512512187196E-3</v>
      </c>
      <c r="AL413" s="185">
        <v>2.0525802644407575E-3</v>
      </c>
      <c r="AM413" s="188">
        <v>783</v>
      </c>
      <c r="AN413" s="185">
        <v>0.25446863828404293</v>
      </c>
      <c r="AO413" s="185">
        <v>0.26786172450951889</v>
      </c>
      <c r="AP413" s="185"/>
      <c r="AQ413" s="314">
        <v>783</v>
      </c>
      <c r="AR413" s="185">
        <v>0.25446863828404293</v>
      </c>
      <c r="AS413" s="185">
        <v>0.26786172450951889</v>
      </c>
      <c r="AT413" s="314">
        <v>809.83100000000002</v>
      </c>
      <c r="AU413" s="185">
        <v>0.26318849528761784</v>
      </c>
      <c r="AV413" s="185">
        <v>0.2770405213553872</v>
      </c>
      <c r="AW413" s="185"/>
      <c r="AX413" s="185"/>
      <c r="AY413" s="185"/>
      <c r="AZ413" s="185"/>
      <c r="BA413" s="185"/>
      <c r="BB413" s="185"/>
      <c r="BC413" s="314">
        <v>809.83100000000002</v>
      </c>
      <c r="BD413" s="185">
        <v>0.26318849528761784</v>
      </c>
      <c r="BE413" s="185">
        <v>0.2770405213553872</v>
      </c>
      <c r="BF413" s="314"/>
      <c r="BG413" s="314">
        <v>1381</v>
      </c>
      <c r="BH413" s="185">
        <v>0.44881377965550862</v>
      </c>
      <c r="BI413" s="185">
        <v>0.47243555753211441</v>
      </c>
      <c r="BJ413" s="188">
        <f t="shared" si="372"/>
        <v>2923.1499999999996</v>
      </c>
      <c r="BK413" s="188">
        <f>BK414+BK415</f>
        <v>1381</v>
      </c>
      <c r="BL413" s="185">
        <f t="shared" si="358"/>
        <v>0.44881377965550862</v>
      </c>
      <c r="BM413" s="185">
        <f t="shared" si="373"/>
        <v>0.47243555753211441</v>
      </c>
      <c r="BN413" s="205">
        <f t="shared" si="356"/>
        <v>1375</v>
      </c>
      <c r="BO413" s="205"/>
      <c r="BP413" s="189">
        <f>BP414+BP415</f>
        <v>0</v>
      </c>
      <c r="BQ413" s="186">
        <f t="shared" si="359"/>
        <v>0</v>
      </c>
      <c r="BR413" s="189">
        <f>BR414+BR415</f>
        <v>0</v>
      </c>
      <c r="BS413" s="186">
        <f t="shared" si="360"/>
        <v>0</v>
      </c>
      <c r="BT413" s="189">
        <f>BT414+BT415</f>
        <v>307.7</v>
      </c>
      <c r="BU413" s="186">
        <f t="shared" si="361"/>
        <v>9.9999999999999992E-2</v>
      </c>
      <c r="BV413" s="189">
        <f>BV414+BV415</f>
        <v>615.4</v>
      </c>
      <c r="BW413" s="186">
        <f t="shared" si="362"/>
        <v>0.19999999999999998</v>
      </c>
      <c r="BX413" s="189">
        <f>BX414+BX415</f>
        <v>923.1</v>
      </c>
      <c r="BY413" s="186">
        <f t="shared" si="363"/>
        <v>0.3</v>
      </c>
      <c r="BZ413" s="189">
        <f>BZ414+BZ415</f>
        <v>1230.8</v>
      </c>
      <c r="CA413" s="186">
        <f t="shared" si="364"/>
        <v>0.39999999999999997</v>
      </c>
      <c r="CB413" s="189">
        <f>CB414+CB415</f>
        <v>1538.5</v>
      </c>
      <c r="CC413" s="186">
        <f t="shared" si="365"/>
        <v>0.5</v>
      </c>
      <c r="CD413" s="189">
        <f>CD414+CD415</f>
        <v>1692.3500000000001</v>
      </c>
      <c r="CE413" s="186">
        <f t="shared" si="345"/>
        <v>0.55000000000000004</v>
      </c>
      <c r="CF413" s="189">
        <f>CF414+CF415</f>
        <v>2153.9</v>
      </c>
      <c r="CG413" s="186">
        <f t="shared" si="366"/>
        <v>0.70000000000000007</v>
      </c>
      <c r="CH413" s="189">
        <f>CH414+CH415</f>
        <v>2153.9</v>
      </c>
      <c r="CI413" s="186">
        <f t="shared" si="346"/>
        <v>0.70000000000000007</v>
      </c>
      <c r="CJ413" s="189">
        <f>CJ414+CJ415</f>
        <v>2307.75</v>
      </c>
      <c r="CK413" s="186">
        <f t="shared" si="367"/>
        <v>0.75</v>
      </c>
      <c r="CL413" s="189">
        <f>CL414+CL415</f>
        <v>2307.75</v>
      </c>
      <c r="CM413" s="186">
        <f t="shared" si="368"/>
        <v>0.75</v>
      </c>
      <c r="CN413" s="189">
        <f>CN414+CN415</f>
        <v>2923.15</v>
      </c>
      <c r="CO413" s="186">
        <f t="shared" si="369"/>
        <v>0.95000000000000007</v>
      </c>
      <c r="CP413" s="213" t="str">
        <f t="shared" si="374"/>
        <v>Đạt</v>
      </c>
      <c r="CQ413" s="213" t="str">
        <f t="shared" si="375"/>
        <v>Đạt</v>
      </c>
      <c r="CR413" s="213"/>
      <c r="CS413" s="213"/>
      <c r="CT413" s="231"/>
      <c r="CU413" s="163"/>
      <c r="CW413" s="195"/>
      <c r="CX413" s="196"/>
      <c r="CY413" s="196"/>
      <c r="CZ413" s="197"/>
      <c r="DA413" s="196"/>
      <c r="DB413" s="196"/>
      <c r="DC413" s="196"/>
      <c r="DE413" s="199"/>
      <c r="DF413" s="200"/>
      <c r="DG413" s="181"/>
    </row>
    <row r="414" spans="1:112" s="324" customFormat="1" outlineLevel="1" x14ac:dyDescent="0.25">
      <c r="A414" s="305" t="s">
        <v>34</v>
      </c>
      <c r="B414" s="306" t="s">
        <v>376</v>
      </c>
      <c r="C414" s="306"/>
      <c r="D414" s="307">
        <f>E414+F414</f>
        <v>3000</v>
      </c>
      <c r="E414" s="307"/>
      <c r="F414" s="307">
        <f>G414+H414+K414+M414</f>
        <v>3000</v>
      </c>
      <c r="G414" s="303">
        <v>3000</v>
      </c>
      <c r="H414" s="303"/>
      <c r="I414" s="235"/>
      <c r="J414" s="235"/>
      <c r="K414" s="303"/>
      <c r="L414" s="235"/>
      <c r="M414" s="223"/>
      <c r="N414" s="223"/>
      <c r="O414" s="303">
        <f>G414+I414+L414+N414</f>
        <v>3000</v>
      </c>
      <c r="P414" s="303">
        <v>0</v>
      </c>
      <c r="Q414" s="308">
        <f t="shared" si="371"/>
        <v>0</v>
      </c>
      <c r="R414" s="303"/>
      <c r="S414" s="309">
        <v>0</v>
      </c>
      <c r="T414" s="309">
        <v>0</v>
      </c>
      <c r="U414" s="303"/>
      <c r="V414" s="309">
        <v>0</v>
      </c>
      <c r="W414" s="309">
        <v>0</v>
      </c>
      <c r="X414" s="303"/>
      <c r="Y414" s="309">
        <v>0</v>
      </c>
      <c r="Z414" s="309">
        <v>0</v>
      </c>
      <c r="AA414" s="303"/>
      <c r="AB414" s="309">
        <v>0</v>
      </c>
      <c r="AC414" s="309">
        <v>0</v>
      </c>
      <c r="AD414" s="303">
        <v>6</v>
      </c>
      <c r="AE414" s="309">
        <v>2E-3</v>
      </c>
      <c r="AF414" s="309">
        <v>2.1052631578947368E-3</v>
      </c>
      <c r="AG414" s="303">
        <v>6</v>
      </c>
      <c r="AH414" s="309">
        <v>2E-3</v>
      </c>
      <c r="AI414" s="309">
        <v>2.1052631578947368E-3</v>
      </c>
      <c r="AJ414" s="303">
        <v>6</v>
      </c>
      <c r="AK414" s="309">
        <v>2E-3</v>
      </c>
      <c r="AL414" s="309">
        <v>2.1052631578947368E-3</v>
      </c>
      <c r="AM414" s="303">
        <v>783</v>
      </c>
      <c r="AN414" s="309">
        <v>0.26100000000000001</v>
      </c>
      <c r="AO414" s="309">
        <v>0.27473684210526317</v>
      </c>
      <c r="AP414" s="309"/>
      <c r="AQ414" s="303">
        <v>783</v>
      </c>
      <c r="AR414" s="309">
        <v>0.26100000000000001</v>
      </c>
      <c r="AS414" s="309">
        <v>0.27473684210526317</v>
      </c>
      <c r="AT414" s="303">
        <v>809.83100000000002</v>
      </c>
      <c r="AU414" s="309">
        <v>0.26994366666666669</v>
      </c>
      <c r="AV414" s="309">
        <v>0.28415122807017545</v>
      </c>
      <c r="AW414" s="309"/>
      <c r="AX414" s="309"/>
      <c r="AY414" s="309"/>
      <c r="AZ414" s="309"/>
      <c r="BA414" s="309"/>
      <c r="BB414" s="309"/>
      <c r="BC414" s="303">
        <v>809.83100000000002</v>
      </c>
      <c r="BD414" s="309">
        <v>0.26994366666666669</v>
      </c>
      <c r="BE414" s="309">
        <v>0.28415122807017545</v>
      </c>
      <c r="BF414" s="303"/>
      <c r="BG414" s="303">
        <v>1381</v>
      </c>
      <c r="BH414" s="309">
        <v>0.46033333333333332</v>
      </c>
      <c r="BI414" s="309">
        <v>0.48456140350877192</v>
      </c>
      <c r="BJ414" s="303">
        <f t="shared" si="372"/>
        <v>2850</v>
      </c>
      <c r="BK414" s="303">
        <v>1381</v>
      </c>
      <c r="BL414" s="309">
        <f t="shared" si="358"/>
        <v>0.46033333333333332</v>
      </c>
      <c r="BM414" s="309">
        <f t="shared" si="373"/>
        <v>0.48456140350877192</v>
      </c>
      <c r="BN414" s="205">
        <f t="shared" si="356"/>
        <v>1375</v>
      </c>
      <c r="BO414" s="205"/>
      <c r="BP414" s="310"/>
      <c r="BQ414" s="308">
        <f t="shared" si="359"/>
        <v>0</v>
      </c>
      <c r="BR414" s="310"/>
      <c r="BS414" s="308">
        <f t="shared" si="360"/>
        <v>0</v>
      </c>
      <c r="BT414" s="310">
        <f>$F414*0.1</f>
        <v>300</v>
      </c>
      <c r="BU414" s="308">
        <f t="shared" si="361"/>
        <v>0.1</v>
      </c>
      <c r="BV414" s="310">
        <f>$F414*0.2</f>
        <v>600</v>
      </c>
      <c r="BW414" s="308">
        <f t="shared" si="362"/>
        <v>0.2</v>
      </c>
      <c r="BX414" s="310">
        <f>$F414*0.3</f>
        <v>900</v>
      </c>
      <c r="BY414" s="308">
        <f t="shared" si="363"/>
        <v>0.3</v>
      </c>
      <c r="BZ414" s="310">
        <f>$F414*0.4</f>
        <v>1200</v>
      </c>
      <c r="CA414" s="308">
        <f t="shared" si="364"/>
        <v>0.4</v>
      </c>
      <c r="CB414" s="310">
        <f>$F414*0.5</f>
        <v>1500</v>
      </c>
      <c r="CC414" s="308">
        <f t="shared" si="365"/>
        <v>0.5</v>
      </c>
      <c r="CD414" s="310">
        <f>$F414*0.55</f>
        <v>1650.0000000000002</v>
      </c>
      <c r="CE414" s="308">
        <f t="shared" si="345"/>
        <v>0.55000000000000004</v>
      </c>
      <c r="CF414" s="310">
        <v>2100</v>
      </c>
      <c r="CG414" s="308">
        <f t="shared" si="366"/>
        <v>0.7</v>
      </c>
      <c r="CH414" s="310">
        <f>$F414*0.7</f>
        <v>2100</v>
      </c>
      <c r="CI414" s="308">
        <f t="shared" si="346"/>
        <v>0.7</v>
      </c>
      <c r="CJ414" s="310">
        <f>$F414*0.75</f>
        <v>2250</v>
      </c>
      <c r="CK414" s="308">
        <f t="shared" si="367"/>
        <v>0.75</v>
      </c>
      <c r="CL414" s="310">
        <f>$F414*0.75</f>
        <v>2250</v>
      </c>
      <c r="CM414" s="308">
        <f t="shared" si="368"/>
        <v>0.75</v>
      </c>
      <c r="CN414" s="310">
        <f>$F414*0.95</f>
        <v>2850</v>
      </c>
      <c r="CO414" s="308">
        <f t="shared" si="369"/>
        <v>0.95</v>
      </c>
      <c r="CP414" s="213" t="str">
        <f t="shared" si="374"/>
        <v>Đạt</v>
      </c>
      <c r="CQ414" s="213" t="str">
        <f t="shared" si="375"/>
        <v>Đạt</v>
      </c>
      <c r="CR414" s="312"/>
      <c r="CS414" s="312"/>
      <c r="CT414" s="235"/>
      <c r="CU414" s="163"/>
      <c r="CV414" s="323"/>
      <c r="CW414" s="195"/>
      <c r="CX414" s="196"/>
      <c r="CY414" s="196"/>
      <c r="CZ414" s="197"/>
      <c r="DA414" s="196"/>
      <c r="DB414" s="196"/>
      <c r="DC414" s="196"/>
      <c r="DE414" s="199"/>
      <c r="DF414" s="200"/>
      <c r="DG414" s="181"/>
    </row>
    <row r="415" spans="1:112" ht="25.5" outlineLevel="1" x14ac:dyDescent="0.25">
      <c r="A415" s="305" t="s">
        <v>34</v>
      </c>
      <c r="B415" s="306" t="s">
        <v>377</v>
      </c>
      <c r="C415" s="306"/>
      <c r="D415" s="307">
        <f>E415+F415</f>
        <v>77</v>
      </c>
      <c r="E415" s="307"/>
      <c r="F415" s="307">
        <f>G415+H415+K415+M415</f>
        <v>77</v>
      </c>
      <c r="G415" s="307"/>
      <c r="H415" s="307">
        <v>77</v>
      </c>
      <c r="I415" s="235"/>
      <c r="J415" s="235"/>
      <c r="K415" s="303"/>
      <c r="L415" s="235"/>
      <c r="M415" s="223"/>
      <c r="N415" s="223"/>
      <c r="O415" s="303"/>
      <c r="P415" s="303">
        <v>0</v>
      </c>
      <c r="Q415" s="308">
        <f t="shared" si="371"/>
        <v>0</v>
      </c>
      <c r="R415" s="303"/>
      <c r="S415" s="309">
        <v>0</v>
      </c>
      <c r="T415" s="309">
        <v>0</v>
      </c>
      <c r="U415" s="303"/>
      <c r="V415" s="309">
        <v>0</v>
      </c>
      <c r="W415" s="309">
        <v>0</v>
      </c>
      <c r="X415" s="303"/>
      <c r="Y415" s="309">
        <v>0</v>
      </c>
      <c r="Z415" s="309">
        <v>0</v>
      </c>
      <c r="AA415" s="303"/>
      <c r="AB415" s="309">
        <v>0</v>
      </c>
      <c r="AC415" s="309">
        <v>0</v>
      </c>
      <c r="AD415" s="303"/>
      <c r="AE415" s="309">
        <v>0</v>
      </c>
      <c r="AF415" s="309">
        <v>0</v>
      </c>
      <c r="AG415" s="303"/>
      <c r="AH415" s="309">
        <v>0</v>
      </c>
      <c r="AI415" s="309">
        <v>0</v>
      </c>
      <c r="AJ415" s="188"/>
      <c r="AK415" s="309">
        <v>0</v>
      </c>
      <c r="AL415" s="309">
        <v>0</v>
      </c>
      <c r="AM415" s="303"/>
      <c r="AN415" s="309">
        <v>0</v>
      </c>
      <c r="AO415" s="309">
        <v>0</v>
      </c>
      <c r="AP415" s="309"/>
      <c r="AQ415" s="303"/>
      <c r="AR415" s="309">
        <v>0</v>
      </c>
      <c r="AS415" s="309">
        <v>0</v>
      </c>
      <c r="AT415" s="303"/>
      <c r="AU415" s="309">
        <v>0</v>
      </c>
      <c r="AV415" s="309">
        <v>0</v>
      </c>
      <c r="AW415" s="309"/>
      <c r="AX415" s="309"/>
      <c r="AY415" s="309"/>
      <c r="AZ415" s="309"/>
      <c r="BA415" s="309"/>
      <c r="BB415" s="309"/>
      <c r="BC415" s="303"/>
      <c r="BD415" s="309">
        <v>0</v>
      </c>
      <c r="BE415" s="309">
        <v>0</v>
      </c>
      <c r="BF415" s="303"/>
      <c r="BG415" s="303"/>
      <c r="BH415" s="309">
        <v>0</v>
      </c>
      <c r="BI415" s="309">
        <v>0</v>
      </c>
      <c r="BJ415" s="303">
        <f t="shared" si="372"/>
        <v>73.149999999999991</v>
      </c>
      <c r="BK415" s="303"/>
      <c r="BL415" s="309">
        <f t="shared" si="358"/>
        <v>0</v>
      </c>
      <c r="BM415" s="309">
        <f t="shared" si="373"/>
        <v>0</v>
      </c>
      <c r="BN415" s="205">
        <f t="shared" si="356"/>
        <v>0</v>
      </c>
      <c r="BO415" s="205"/>
      <c r="BP415" s="310"/>
      <c r="BQ415" s="308">
        <f t="shared" si="359"/>
        <v>0</v>
      </c>
      <c r="BR415" s="310"/>
      <c r="BS415" s="308">
        <f t="shared" si="360"/>
        <v>0</v>
      </c>
      <c r="BT415" s="310">
        <f>$F415*0.1</f>
        <v>7.7</v>
      </c>
      <c r="BU415" s="308">
        <f t="shared" si="361"/>
        <v>0.1</v>
      </c>
      <c r="BV415" s="310">
        <f>$F415*0.2</f>
        <v>15.4</v>
      </c>
      <c r="BW415" s="308">
        <f t="shared" si="362"/>
        <v>0.2</v>
      </c>
      <c r="BX415" s="310">
        <f>$F415*0.3</f>
        <v>23.099999999999998</v>
      </c>
      <c r="BY415" s="308">
        <f t="shared" si="363"/>
        <v>0.3</v>
      </c>
      <c r="BZ415" s="310">
        <f>$F415*0.4</f>
        <v>30.8</v>
      </c>
      <c r="CA415" s="308">
        <f t="shared" si="364"/>
        <v>0.4</v>
      </c>
      <c r="CB415" s="310">
        <f>$F415*0.5</f>
        <v>38.5</v>
      </c>
      <c r="CC415" s="308">
        <f t="shared" si="365"/>
        <v>0.5</v>
      </c>
      <c r="CD415" s="310">
        <f>$F415*0.55</f>
        <v>42.35</v>
      </c>
      <c r="CE415" s="308">
        <f t="shared" si="345"/>
        <v>0.55000000000000004</v>
      </c>
      <c r="CF415" s="310">
        <v>53.9</v>
      </c>
      <c r="CG415" s="308">
        <f t="shared" si="366"/>
        <v>0.7</v>
      </c>
      <c r="CH415" s="310">
        <f>$F415*0.7</f>
        <v>53.9</v>
      </c>
      <c r="CI415" s="308">
        <f t="shared" si="346"/>
        <v>0.7</v>
      </c>
      <c r="CJ415" s="310">
        <f>$F415*0.75</f>
        <v>57.75</v>
      </c>
      <c r="CK415" s="308">
        <f t="shared" si="367"/>
        <v>0.75</v>
      </c>
      <c r="CL415" s="310">
        <f>$F415*0.75</f>
        <v>57.75</v>
      </c>
      <c r="CM415" s="308">
        <f t="shared" si="368"/>
        <v>0.75</v>
      </c>
      <c r="CN415" s="310">
        <f>$F415*0.95</f>
        <v>73.149999999999991</v>
      </c>
      <c r="CO415" s="308">
        <f t="shared" si="369"/>
        <v>0.94999999999999984</v>
      </c>
      <c r="CP415" s="213" t="str">
        <f t="shared" si="374"/>
        <v>Không đạt</v>
      </c>
      <c r="CQ415" s="213" t="str">
        <f t="shared" si="375"/>
        <v>Không đạt</v>
      </c>
      <c r="CR415" s="312"/>
      <c r="CS415" s="312"/>
      <c r="CT415" s="235"/>
      <c r="CU415" s="163"/>
      <c r="CW415" s="195"/>
      <c r="CX415" s="196"/>
      <c r="CY415" s="196"/>
      <c r="CZ415" s="197"/>
      <c r="DA415" s="196"/>
      <c r="DB415" s="196"/>
      <c r="DC415" s="196"/>
      <c r="DE415" s="199"/>
      <c r="DF415" s="200"/>
      <c r="DG415" s="181"/>
    </row>
    <row r="416" spans="1:112" ht="18" customHeight="1" x14ac:dyDescent="0.25">
      <c r="A416" s="316">
        <f>MAX(A$243:A414)+1</f>
        <v>52</v>
      </c>
      <c r="B416" s="240" t="s">
        <v>445</v>
      </c>
      <c r="C416" s="240"/>
      <c r="D416" s="188">
        <f t="shared" ref="D416:I416" si="381">D417+D418</f>
        <v>4600</v>
      </c>
      <c r="E416" s="188">
        <f t="shared" si="381"/>
        <v>0</v>
      </c>
      <c r="F416" s="188">
        <f t="shared" si="381"/>
        <v>4600</v>
      </c>
      <c r="G416" s="188">
        <f t="shared" si="381"/>
        <v>3000</v>
      </c>
      <c r="H416" s="188">
        <f t="shared" si="381"/>
        <v>1600</v>
      </c>
      <c r="I416" s="188">
        <f t="shared" si="381"/>
        <v>0</v>
      </c>
      <c r="J416" s="188"/>
      <c r="K416" s="188">
        <f>K417+K418</f>
        <v>0</v>
      </c>
      <c r="L416" s="188">
        <f>L417+L418</f>
        <v>0</v>
      </c>
      <c r="M416" s="188">
        <f>M417+M418</f>
        <v>0</v>
      </c>
      <c r="N416" s="188">
        <f>N417+N418</f>
        <v>0</v>
      </c>
      <c r="O416" s="188">
        <f>O417+O418</f>
        <v>3000</v>
      </c>
      <c r="P416" s="188">
        <v>0</v>
      </c>
      <c r="Q416" s="186">
        <f t="shared" si="371"/>
        <v>0</v>
      </c>
      <c r="R416" s="188">
        <v>0</v>
      </c>
      <c r="S416" s="185">
        <v>0</v>
      </c>
      <c r="T416" s="185">
        <v>0</v>
      </c>
      <c r="U416" s="188">
        <v>0</v>
      </c>
      <c r="V416" s="185">
        <v>0</v>
      </c>
      <c r="W416" s="185">
        <v>0</v>
      </c>
      <c r="X416" s="188">
        <v>0</v>
      </c>
      <c r="Y416" s="185">
        <v>0</v>
      </c>
      <c r="Z416" s="185">
        <v>0</v>
      </c>
      <c r="AA416" s="188">
        <v>0</v>
      </c>
      <c r="AB416" s="185">
        <v>0</v>
      </c>
      <c r="AC416" s="185">
        <v>0</v>
      </c>
      <c r="AD416" s="188">
        <v>31</v>
      </c>
      <c r="AE416" s="185">
        <v>6.7391304347826086E-3</v>
      </c>
      <c r="AF416" s="185">
        <v>7.0938215102974832E-3</v>
      </c>
      <c r="AG416" s="188">
        <v>31</v>
      </c>
      <c r="AH416" s="185">
        <v>6.7391304347826086E-3</v>
      </c>
      <c r="AI416" s="185">
        <v>7.0938215102974832E-3</v>
      </c>
      <c r="AJ416" s="303">
        <v>31</v>
      </c>
      <c r="AK416" s="185">
        <v>6.7391304347826086E-3</v>
      </c>
      <c r="AL416" s="185">
        <v>7.0938215102974832E-3</v>
      </c>
      <c r="AM416" s="188">
        <v>230</v>
      </c>
      <c r="AN416" s="185">
        <v>0.05</v>
      </c>
      <c r="AO416" s="185">
        <v>5.2631578947368418E-2</v>
      </c>
      <c r="AP416" s="185"/>
      <c r="AQ416" s="188">
        <v>538</v>
      </c>
      <c r="AR416" s="185">
        <v>0.11695652173913043</v>
      </c>
      <c r="AS416" s="185">
        <v>0.12311212814645309</v>
      </c>
      <c r="AT416" s="188">
        <v>697</v>
      </c>
      <c r="AU416" s="185">
        <v>0.15152173913043479</v>
      </c>
      <c r="AV416" s="185">
        <v>0.15949656750572083</v>
      </c>
      <c r="AW416" s="185"/>
      <c r="AX416" s="185"/>
      <c r="AY416" s="185"/>
      <c r="AZ416" s="185"/>
      <c r="BA416" s="185"/>
      <c r="BB416" s="185"/>
      <c r="BC416" s="188">
        <v>697</v>
      </c>
      <c r="BD416" s="185">
        <v>0.15152173913043479</v>
      </c>
      <c r="BE416" s="185">
        <v>0.15949656750572083</v>
      </c>
      <c r="BF416" s="188"/>
      <c r="BG416" s="188">
        <v>1366</v>
      </c>
      <c r="BH416" s="185">
        <v>0.29695652173913045</v>
      </c>
      <c r="BI416" s="185">
        <v>0.31258581235697941</v>
      </c>
      <c r="BJ416" s="188">
        <f t="shared" si="372"/>
        <v>4370</v>
      </c>
      <c r="BK416" s="188">
        <v>1384.2190000000001</v>
      </c>
      <c r="BL416" s="185">
        <f t="shared" si="358"/>
        <v>0.30091717391304351</v>
      </c>
      <c r="BM416" s="185">
        <f t="shared" si="373"/>
        <v>0.31675491990846683</v>
      </c>
      <c r="BN416" s="205">
        <f t="shared" si="356"/>
        <v>1353.2190000000001</v>
      </c>
      <c r="BO416" s="205"/>
      <c r="BP416" s="189">
        <f>BP417+BP418</f>
        <v>0</v>
      </c>
      <c r="BQ416" s="186">
        <f t="shared" si="359"/>
        <v>0</v>
      </c>
      <c r="BR416" s="189">
        <f>BR417+BR418</f>
        <v>0</v>
      </c>
      <c r="BS416" s="186">
        <f t="shared" si="360"/>
        <v>0</v>
      </c>
      <c r="BT416" s="189">
        <f>BT417+BT418</f>
        <v>460</v>
      </c>
      <c r="BU416" s="186">
        <f t="shared" si="361"/>
        <v>0.1</v>
      </c>
      <c r="BV416" s="189">
        <f>BV417+BV418</f>
        <v>920</v>
      </c>
      <c r="BW416" s="186">
        <f t="shared" si="362"/>
        <v>0.2</v>
      </c>
      <c r="BX416" s="189">
        <f>BX417+BX418</f>
        <v>1380</v>
      </c>
      <c r="BY416" s="186">
        <f t="shared" si="363"/>
        <v>0.3</v>
      </c>
      <c r="BZ416" s="189">
        <f>BZ417+BZ418</f>
        <v>1840</v>
      </c>
      <c r="CA416" s="186">
        <f t="shared" si="364"/>
        <v>0.4</v>
      </c>
      <c r="CB416" s="189">
        <f>CB417+CB418</f>
        <v>2300</v>
      </c>
      <c r="CC416" s="186">
        <f t="shared" si="365"/>
        <v>0.5</v>
      </c>
      <c r="CD416" s="189">
        <f>CD417+CD418</f>
        <v>2530.0000000000005</v>
      </c>
      <c r="CE416" s="186">
        <f t="shared" si="345"/>
        <v>0.55000000000000004</v>
      </c>
      <c r="CF416" s="189">
        <f>CF417+CF418</f>
        <v>3220</v>
      </c>
      <c r="CG416" s="186">
        <f t="shared" si="366"/>
        <v>0.7</v>
      </c>
      <c r="CH416" s="189">
        <f>CH417+CH418</f>
        <v>3220</v>
      </c>
      <c r="CI416" s="186">
        <f t="shared" si="346"/>
        <v>0.7</v>
      </c>
      <c r="CJ416" s="189">
        <f>CJ417+CJ418</f>
        <v>3450</v>
      </c>
      <c r="CK416" s="186">
        <f t="shared" si="367"/>
        <v>0.75</v>
      </c>
      <c r="CL416" s="189">
        <f>CL417+CL418</f>
        <v>3450</v>
      </c>
      <c r="CM416" s="186">
        <f t="shared" si="368"/>
        <v>0.75</v>
      </c>
      <c r="CN416" s="189">
        <f>CN417+CN418</f>
        <v>4370</v>
      </c>
      <c r="CO416" s="186">
        <f t="shared" si="369"/>
        <v>0.95</v>
      </c>
      <c r="CP416" s="213" t="str">
        <f t="shared" si="374"/>
        <v>Không đạt</v>
      </c>
      <c r="CQ416" s="213" t="str">
        <f t="shared" si="375"/>
        <v>Không đạt</v>
      </c>
      <c r="CR416" s="213"/>
      <c r="CS416" s="213"/>
      <c r="CT416" s="231"/>
      <c r="CU416" s="163"/>
      <c r="CW416" s="195"/>
      <c r="CX416" s="196"/>
      <c r="CY416" s="196"/>
      <c r="CZ416" s="197"/>
      <c r="DA416" s="196"/>
      <c r="DB416" s="196"/>
      <c r="DC416" s="196"/>
      <c r="DE416" s="199"/>
      <c r="DF416" s="200"/>
      <c r="DG416" s="181"/>
    </row>
    <row r="417" spans="1:111" s="324" customFormat="1" outlineLevel="1" x14ac:dyDescent="0.25">
      <c r="A417" s="305" t="s">
        <v>34</v>
      </c>
      <c r="B417" s="306" t="s">
        <v>376</v>
      </c>
      <c r="C417" s="306"/>
      <c r="D417" s="307">
        <f>E417+F417</f>
        <v>3000</v>
      </c>
      <c r="E417" s="307"/>
      <c r="F417" s="307">
        <f>G417+H417+K417+M417</f>
        <v>3000</v>
      </c>
      <c r="G417" s="303">
        <v>3000</v>
      </c>
      <c r="H417" s="303"/>
      <c r="I417" s="235"/>
      <c r="J417" s="235"/>
      <c r="K417" s="303"/>
      <c r="L417" s="235"/>
      <c r="M417" s="223"/>
      <c r="N417" s="223"/>
      <c r="O417" s="303">
        <f>G417+I417+L417+N417</f>
        <v>3000</v>
      </c>
      <c r="P417" s="303">
        <v>0</v>
      </c>
      <c r="Q417" s="308">
        <f t="shared" si="371"/>
        <v>0</v>
      </c>
      <c r="R417" s="303"/>
      <c r="S417" s="309">
        <v>0</v>
      </c>
      <c r="T417" s="309">
        <v>0</v>
      </c>
      <c r="U417" s="303"/>
      <c r="V417" s="309">
        <v>0</v>
      </c>
      <c r="W417" s="309">
        <v>0</v>
      </c>
      <c r="X417" s="303"/>
      <c r="Y417" s="309">
        <v>0</v>
      </c>
      <c r="Z417" s="309">
        <v>0</v>
      </c>
      <c r="AA417" s="303"/>
      <c r="AB417" s="309">
        <v>0</v>
      </c>
      <c r="AC417" s="309">
        <v>0</v>
      </c>
      <c r="AD417" s="303">
        <v>31</v>
      </c>
      <c r="AE417" s="309">
        <v>1.0333333333333333E-2</v>
      </c>
      <c r="AF417" s="309">
        <v>1.087719298245614E-2</v>
      </c>
      <c r="AG417" s="303">
        <v>31</v>
      </c>
      <c r="AH417" s="309">
        <v>1.0333333333333333E-2</v>
      </c>
      <c r="AI417" s="309">
        <v>1.087719298245614E-2</v>
      </c>
      <c r="AJ417" s="303">
        <v>31</v>
      </c>
      <c r="AK417" s="309">
        <v>1.0333333333333333E-2</v>
      </c>
      <c r="AL417" s="309">
        <v>1.087719298245614E-2</v>
      </c>
      <c r="AM417" s="303">
        <v>230</v>
      </c>
      <c r="AN417" s="309">
        <v>7.6666666666666661E-2</v>
      </c>
      <c r="AO417" s="309">
        <v>8.0701754385964913E-2</v>
      </c>
      <c r="AP417" s="309"/>
      <c r="AQ417" s="303">
        <v>538</v>
      </c>
      <c r="AR417" s="309">
        <v>0.17933333333333334</v>
      </c>
      <c r="AS417" s="309">
        <v>0.1887719298245614</v>
      </c>
      <c r="AT417" s="303">
        <v>697</v>
      </c>
      <c r="AU417" s="309">
        <v>0.23233333333333334</v>
      </c>
      <c r="AV417" s="309">
        <v>0.24456140350877192</v>
      </c>
      <c r="AW417" s="309"/>
      <c r="AX417" s="309"/>
      <c r="AY417" s="309"/>
      <c r="AZ417" s="309"/>
      <c r="BA417" s="309"/>
      <c r="BB417" s="309"/>
      <c r="BC417" s="303">
        <v>697</v>
      </c>
      <c r="BD417" s="309">
        <v>0.23233333333333334</v>
      </c>
      <c r="BE417" s="309">
        <v>0.24456140350877192</v>
      </c>
      <c r="BF417" s="303"/>
      <c r="BG417" s="303">
        <v>1366</v>
      </c>
      <c r="BH417" s="309">
        <v>0.45533333333333331</v>
      </c>
      <c r="BI417" s="309">
        <v>0.47929824561403511</v>
      </c>
      <c r="BJ417" s="303">
        <f t="shared" si="372"/>
        <v>2850</v>
      </c>
      <c r="BK417" s="303">
        <v>1366</v>
      </c>
      <c r="BL417" s="309">
        <f t="shared" si="358"/>
        <v>0.45533333333333331</v>
      </c>
      <c r="BM417" s="309">
        <f t="shared" si="373"/>
        <v>0.47929824561403511</v>
      </c>
      <c r="BN417" s="205">
        <f t="shared" si="356"/>
        <v>1335</v>
      </c>
      <c r="BO417" s="205"/>
      <c r="BP417" s="310"/>
      <c r="BQ417" s="308">
        <f t="shared" si="359"/>
        <v>0</v>
      </c>
      <c r="BR417" s="310"/>
      <c r="BS417" s="308">
        <f t="shared" si="360"/>
        <v>0</v>
      </c>
      <c r="BT417" s="310">
        <f>$F417*0.1</f>
        <v>300</v>
      </c>
      <c r="BU417" s="308">
        <f t="shared" si="361"/>
        <v>0.1</v>
      </c>
      <c r="BV417" s="310">
        <f>$F417*0.2</f>
        <v>600</v>
      </c>
      <c r="BW417" s="308">
        <f t="shared" si="362"/>
        <v>0.2</v>
      </c>
      <c r="BX417" s="310">
        <f>$F417*0.3</f>
        <v>900</v>
      </c>
      <c r="BY417" s="308">
        <f t="shared" si="363"/>
        <v>0.3</v>
      </c>
      <c r="BZ417" s="310">
        <f>$F417*0.4</f>
        <v>1200</v>
      </c>
      <c r="CA417" s="308">
        <f t="shared" si="364"/>
        <v>0.4</v>
      </c>
      <c r="CB417" s="310">
        <f>$F417*0.5</f>
        <v>1500</v>
      </c>
      <c r="CC417" s="308">
        <f t="shared" si="365"/>
        <v>0.5</v>
      </c>
      <c r="CD417" s="310">
        <f>$F417*0.55</f>
        <v>1650.0000000000002</v>
      </c>
      <c r="CE417" s="308">
        <f t="shared" si="345"/>
        <v>0.55000000000000004</v>
      </c>
      <c r="CF417" s="310">
        <v>2100</v>
      </c>
      <c r="CG417" s="308">
        <f t="shared" si="366"/>
        <v>0.7</v>
      </c>
      <c r="CH417" s="310">
        <f>$F417*0.7</f>
        <v>2100</v>
      </c>
      <c r="CI417" s="308">
        <f t="shared" si="346"/>
        <v>0.7</v>
      </c>
      <c r="CJ417" s="310">
        <f>$F417*0.75</f>
        <v>2250</v>
      </c>
      <c r="CK417" s="308">
        <f t="shared" si="367"/>
        <v>0.75</v>
      </c>
      <c r="CL417" s="310">
        <f>$F417*0.75</f>
        <v>2250</v>
      </c>
      <c r="CM417" s="308">
        <f t="shared" si="368"/>
        <v>0.75</v>
      </c>
      <c r="CN417" s="310">
        <f>$F417*0.95</f>
        <v>2850</v>
      </c>
      <c r="CO417" s="308">
        <f t="shared" si="369"/>
        <v>0.95</v>
      </c>
      <c r="CP417" s="213" t="str">
        <f t="shared" si="374"/>
        <v>Đạt</v>
      </c>
      <c r="CQ417" s="213" t="str">
        <f t="shared" si="375"/>
        <v>Đạt</v>
      </c>
      <c r="CR417" s="312"/>
      <c r="CS417" s="312"/>
      <c r="CT417" s="235"/>
      <c r="CU417" s="163"/>
      <c r="CV417" s="323"/>
      <c r="CW417" s="195"/>
      <c r="CX417" s="196"/>
      <c r="CY417" s="196"/>
      <c r="CZ417" s="197"/>
      <c r="DA417" s="196"/>
      <c r="DB417" s="196"/>
      <c r="DC417" s="196"/>
      <c r="DE417" s="199"/>
      <c r="DF417" s="200"/>
      <c r="DG417" s="181"/>
    </row>
    <row r="418" spans="1:111" ht="25.5" outlineLevel="1" x14ac:dyDescent="0.25">
      <c r="A418" s="305" t="s">
        <v>34</v>
      </c>
      <c r="B418" s="306" t="s">
        <v>377</v>
      </c>
      <c r="C418" s="306"/>
      <c r="D418" s="307">
        <f>E418+F418</f>
        <v>1600</v>
      </c>
      <c r="E418" s="307"/>
      <c r="F418" s="307">
        <f>G418+H418+K418+M418</f>
        <v>1600</v>
      </c>
      <c r="G418" s="307"/>
      <c r="H418" s="307">
        <v>1600</v>
      </c>
      <c r="I418" s="235"/>
      <c r="J418" s="235"/>
      <c r="K418" s="303"/>
      <c r="L418" s="235"/>
      <c r="M418" s="223"/>
      <c r="N418" s="223"/>
      <c r="O418" s="303"/>
      <c r="P418" s="303">
        <v>0</v>
      </c>
      <c r="Q418" s="308">
        <f t="shared" si="371"/>
        <v>0</v>
      </c>
      <c r="R418" s="303"/>
      <c r="S418" s="309">
        <v>0</v>
      </c>
      <c r="T418" s="309">
        <v>0</v>
      </c>
      <c r="U418" s="303"/>
      <c r="V418" s="309">
        <v>0</v>
      </c>
      <c r="W418" s="309">
        <v>0</v>
      </c>
      <c r="X418" s="303"/>
      <c r="Y418" s="309">
        <v>0</v>
      </c>
      <c r="Z418" s="309">
        <v>0</v>
      </c>
      <c r="AA418" s="303"/>
      <c r="AB418" s="309">
        <v>0</v>
      </c>
      <c r="AC418" s="309">
        <v>0</v>
      </c>
      <c r="AD418" s="303"/>
      <c r="AE418" s="309">
        <v>0</v>
      </c>
      <c r="AF418" s="309">
        <v>0</v>
      </c>
      <c r="AG418" s="303"/>
      <c r="AH418" s="309">
        <v>0</v>
      </c>
      <c r="AI418" s="309">
        <v>0</v>
      </c>
      <c r="AJ418" s="188"/>
      <c r="AK418" s="309">
        <v>0</v>
      </c>
      <c r="AL418" s="309">
        <v>0</v>
      </c>
      <c r="AM418" s="303"/>
      <c r="AN418" s="309">
        <v>0</v>
      </c>
      <c r="AO418" s="309">
        <v>0</v>
      </c>
      <c r="AP418" s="309"/>
      <c r="AQ418" s="303"/>
      <c r="AR418" s="309">
        <v>0</v>
      </c>
      <c r="AS418" s="309">
        <v>0</v>
      </c>
      <c r="AT418" s="303"/>
      <c r="AU418" s="309">
        <v>0</v>
      </c>
      <c r="AV418" s="309">
        <v>0</v>
      </c>
      <c r="AW418" s="309"/>
      <c r="AX418" s="309"/>
      <c r="AY418" s="309"/>
      <c r="AZ418" s="309"/>
      <c r="BA418" s="309"/>
      <c r="BB418" s="309"/>
      <c r="BC418" s="303"/>
      <c r="BD418" s="309">
        <v>0</v>
      </c>
      <c r="BE418" s="309">
        <v>0</v>
      </c>
      <c r="BF418" s="303"/>
      <c r="BG418" s="303"/>
      <c r="BH418" s="309">
        <v>0</v>
      </c>
      <c r="BI418" s="309">
        <v>0</v>
      </c>
      <c r="BJ418" s="303">
        <f t="shared" si="372"/>
        <v>1520</v>
      </c>
      <c r="BK418" s="303"/>
      <c r="BL418" s="309">
        <f t="shared" si="358"/>
        <v>0</v>
      </c>
      <c r="BM418" s="309">
        <f t="shared" si="373"/>
        <v>0</v>
      </c>
      <c r="BN418" s="205">
        <f t="shared" si="356"/>
        <v>0</v>
      </c>
      <c r="BO418" s="205"/>
      <c r="BP418" s="310"/>
      <c r="BQ418" s="308">
        <f t="shared" si="359"/>
        <v>0</v>
      </c>
      <c r="BR418" s="310"/>
      <c r="BS418" s="308">
        <f t="shared" si="360"/>
        <v>0</v>
      </c>
      <c r="BT418" s="310">
        <f>$F418*0.1</f>
        <v>160</v>
      </c>
      <c r="BU418" s="308">
        <f t="shared" si="361"/>
        <v>0.1</v>
      </c>
      <c r="BV418" s="310">
        <f>$F418*0.2</f>
        <v>320</v>
      </c>
      <c r="BW418" s="308">
        <f t="shared" si="362"/>
        <v>0.2</v>
      </c>
      <c r="BX418" s="310">
        <f>$F418*0.3</f>
        <v>480</v>
      </c>
      <c r="BY418" s="308">
        <f t="shared" si="363"/>
        <v>0.3</v>
      </c>
      <c r="BZ418" s="310">
        <f>$F418*0.4</f>
        <v>640</v>
      </c>
      <c r="CA418" s="308">
        <f t="shared" si="364"/>
        <v>0.4</v>
      </c>
      <c r="CB418" s="310">
        <f>$F418*0.5</f>
        <v>800</v>
      </c>
      <c r="CC418" s="308">
        <f t="shared" si="365"/>
        <v>0.5</v>
      </c>
      <c r="CD418" s="310">
        <f>$F418*0.55</f>
        <v>880.00000000000011</v>
      </c>
      <c r="CE418" s="308">
        <f t="shared" si="345"/>
        <v>0.55000000000000004</v>
      </c>
      <c r="CF418" s="310">
        <v>1120</v>
      </c>
      <c r="CG418" s="308">
        <f t="shared" si="366"/>
        <v>0.7</v>
      </c>
      <c r="CH418" s="310">
        <f>$F418*0.7</f>
        <v>1120</v>
      </c>
      <c r="CI418" s="308">
        <f t="shared" si="346"/>
        <v>0.7</v>
      </c>
      <c r="CJ418" s="310">
        <f>$F418*0.75</f>
        <v>1200</v>
      </c>
      <c r="CK418" s="308">
        <f t="shared" si="367"/>
        <v>0.75</v>
      </c>
      <c r="CL418" s="310">
        <f>$F418*0.75</f>
        <v>1200</v>
      </c>
      <c r="CM418" s="308">
        <f t="shared" si="368"/>
        <v>0.75</v>
      </c>
      <c r="CN418" s="310">
        <f>$F418*0.95</f>
        <v>1520</v>
      </c>
      <c r="CO418" s="308">
        <f t="shared" si="369"/>
        <v>0.95</v>
      </c>
      <c r="CP418" s="213" t="str">
        <f t="shared" si="374"/>
        <v>Không đạt</v>
      </c>
      <c r="CQ418" s="213" t="str">
        <f t="shared" si="375"/>
        <v>Không đạt</v>
      </c>
      <c r="CR418" s="312"/>
      <c r="CS418" s="312"/>
      <c r="CT418" s="235"/>
      <c r="CU418" s="163"/>
      <c r="CW418" s="195"/>
      <c r="CX418" s="196"/>
      <c r="CY418" s="196"/>
      <c r="CZ418" s="197"/>
      <c r="DA418" s="196"/>
      <c r="DB418" s="196"/>
      <c r="DC418" s="196"/>
      <c r="DE418" s="199"/>
      <c r="DF418" s="200"/>
      <c r="DG418" s="181"/>
    </row>
    <row r="419" spans="1:111" ht="18" customHeight="1" x14ac:dyDescent="0.25">
      <c r="A419" s="316">
        <f>MAX(A$243:A417)+1</f>
        <v>53</v>
      </c>
      <c r="B419" s="240" t="s">
        <v>446</v>
      </c>
      <c r="C419" s="240"/>
      <c r="D419" s="188">
        <f t="shared" ref="D419:I419" si="382">D420+D421</f>
        <v>3111</v>
      </c>
      <c r="E419" s="188">
        <f t="shared" si="382"/>
        <v>0</v>
      </c>
      <c r="F419" s="188">
        <f t="shared" si="382"/>
        <v>3111</v>
      </c>
      <c r="G419" s="188">
        <f t="shared" si="382"/>
        <v>3000</v>
      </c>
      <c r="H419" s="188">
        <f t="shared" si="382"/>
        <v>111</v>
      </c>
      <c r="I419" s="188">
        <f t="shared" si="382"/>
        <v>0</v>
      </c>
      <c r="J419" s="188"/>
      <c r="K419" s="188">
        <f>K420+K421</f>
        <v>0</v>
      </c>
      <c r="L419" s="188">
        <f>L420+L421</f>
        <v>0</v>
      </c>
      <c r="M419" s="188">
        <f>M420+M421</f>
        <v>0</v>
      </c>
      <c r="N419" s="188">
        <f>N420+N421</f>
        <v>0</v>
      </c>
      <c r="O419" s="188">
        <f>O420+O421</f>
        <v>3000</v>
      </c>
      <c r="P419" s="188">
        <v>0</v>
      </c>
      <c r="Q419" s="186">
        <f t="shared" si="371"/>
        <v>0</v>
      </c>
      <c r="R419" s="188">
        <v>0</v>
      </c>
      <c r="S419" s="185">
        <v>0</v>
      </c>
      <c r="T419" s="185">
        <v>0</v>
      </c>
      <c r="U419" s="188">
        <v>0</v>
      </c>
      <c r="V419" s="185">
        <v>0</v>
      </c>
      <c r="W419" s="185">
        <v>0</v>
      </c>
      <c r="X419" s="188">
        <v>0</v>
      </c>
      <c r="Y419" s="185">
        <v>0</v>
      </c>
      <c r="Z419" s="185">
        <v>0</v>
      </c>
      <c r="AA419" s="188">
        <v>0</v>
      </c>
      <c r="AB419" s="185">
        <v>0</v>
      </c>
      <c r="AC419" s="185">
        <v>0</v>
      </c>
      <c r="AD419" s="188">
        <v>0</v>
      </c>
      <c r="AE419" s="185">
        <v>0</v>
      </c>
      <c r="AF419" s="185">
        <v>0</v>
      </c>
      <c r="AG419" s="188">
        <v>0</v>
      </c>
      <c r="AH419" s="185">
        <v>0</v>
      </c>
      <c r="AI419" s="185">
        <v>0</v>
      </c>
      <c r="AJ419" s="303">
        <v>0</v>
      </c>
      <c r="AK419" s="185">
        <v>0</v>
      </c>
      <c r="AL419" s="185">
        <v>0</v>
      </c>
      <c r="AM419" s="188">
        <v>743</v>
      </c>
      <c r="AN419" s="185">
        <v>0.23882995821279332</v>
      </c>
      <c r="AO419" s="185">
        <v>0.25139995601346665</v>
      </c>
      <c r="AP419" s="185"/>
      <c r="AQ419" s="188">
        <v>1504.0450000000001</v>
      </c>
      <c r="AR419" s="185">
        <v>0.48346030215364838</v>
      </c>
      <c r="AS419" s="185">
        <v>0.50890558121436669</v>
      </c>
      <c r="AT419" s="188">
        <v>1590.365</v>
      </c>
      <c r="AU419" s="185">
        <v>0.51120700739312119</v>
      </c>
      <c r="AV419" s="185">
        <v>0.53811263936118026</v>
      </c>
      <c r="AW419" s="185"/>
      <c r="AX419" s="185"/>
      <c r="AY419" s="185"/>
      <c r="AZ419" s="185"/>
      <c r="BA419" s="185"/>
      <c r="BB419" s="185"/>
      <c r="BC419" s="188">
        <v>1590.365</v>
      </c>
      <c r="BD419" s="185">
        <v>0.51120700739312119</v>
      </c>
      <c r="BE419" s="185">
        <v>0.53811263936118026</v>
      </c>
      <c r="BF419" s="188"/>
      <c r="BG419" s="188">
        <v>1801</v>
      </c>
      <c r="BH419" s="185">
        <v>0.57891353262616518</v>
      </c>
      <c r="BI419" s="185">
        <v>0.60938266592227919</v>
      </c>
      <c r="BJ419" s="188">
        <f t="shared" si="372"/>
        <v>2955.45</v>
      </c>
      <c r="BK419" s="188">
        <v>2237</v>
      </c>
      <c r="BL419" s="185">
        <f t="shared" si="358"/>
        <v>0.71906139504982325</v>
      </c>
      <c r="BM419" s="185">
        <f t="shared" si="373"/>
        <v>0.75690673163139288</v>
      </c>
      <c r="BN419" s="205">
        <f t="shared" si="356"/>
        <v>2237</v>
      </c>
      <c r="BO419" s="205"/>
      <c r="BP419" s="189">
        <f>BP420+BP421</f>
        <v>0</v>
      </c>
      <c r="BQ419" s="186">
        <f t="shared" si="359"/>
        <v>0</v>
      </c>
      <c r="BR419" s="189">
        <f>BR420+BR421</f>
        <v>0</v>
      </c>
      <c r="BS419" s="186">
        <f t="shared" si="360"/>
        <v>0</v>
      </c>
      <c r="BT419" s="189">
        <f>BT420+BT421</f>
        <v>311.10000000000002</v>
      </c>
      <c r="BU419" s="186">
        <f t="shared" si="361"/>
        <v>0.1</v>
      </c>
      <c r="BV419" s="189">
        <f>BV420+BV421</f>
        <v>622.20000000000005</v>
      </c>
      <c r="BW419" s="186">
        <f t="shared" si="362"/>
        <v>0.2</v>
      </c>
      <c r="BX419" s="189">
        <f>BX420+BX421</f>
        <v>933.3</v>
      </c>
      <c r="BY419" s="186">
        <f t="shared" si="363"/>
        <v>0.3</v>
      </c>
      <c r="BZ419" s="189">
        <f>BZ420+BZ421</f>
        <v>1244.4000000000001</v>
      </c>
      <c r="CA419" s="186">
        <f t="shared" si="364"/>
        <v>0.4</v>
      </c>
      <c r="CB419" s="189">
        <f>CB420+CB421</f>
        <v>1555.5</v>
      </c>
      <c r="CC419" s="186">
        <f t="shared" si="365"/>
        <v>0.5</v>
      </c>
      <c r="CD419" s="189">
        <f>CD420+CD421</f>
        <v>1711.0500000000002</v>
      </c>
      <c r="CE419" s="186">
        <f t="shared" si="345"/>
        <v>0.55000000000000004</v>
      </c>
      <c r="CF419" s="189">
        <f>CF420+CF421</f>
        <v>2177.6999999999998</v>
      </c>
      <c r="CG419" s="186">
        <f t="shared" si="366"/>
        <v>0.7</v>
      </c>
      <c r="CH419" s="189">
        <f>CH420+CH421</f>
        <v>2177.6999999999998</v>
      </c>
      <c r="CI419" s="186">
        <f t="shared" si="346"/>
        <v>0.7</v>
      </c>
      <c r="CJ419" s="189">
        <f>CJ420+CJ421</f>
        <v>2333.25</v>
      </c>
      <c r="CK419" s="186">
        <f t="shared" si="367"/>
        <v>0.75</v>
      </c>
      <c r="CL419" s="189">
        <f>CL420+CL421</f>
        <v>2333.25</v>
      </c>
      <c r="CM419" s="186">
        <f t="shared" si="368"/>
        <v>0.75</v>
      </c>
      <c r="CN419" s="189">
        <f>CN420+CN421</f>
        <v>2955.45</v>
      </c>
      <c r="CO419" s="186">
        <f t="shared" si="369"/>
        <v>0.95</v>
      </c>
      <c r="CP419" s="213" t="str">
        <f t="shared" si="374"/>
        <v>Đạt</v>
      </c>
      <c r="CQ419" s="213" t="str">
        <f t="shared" si="375"/>
        <v>Đạt</v>
      </c>
      <c r="CR419" s="213"/>
      <c r="CS419" s="213"/>
      <c r="CT419" s="231"/>
      <c r="CU419" s="163"/>
      <c r="CW419" s="195"/>
      <c r="CX419" s="196"/>
      <c r="CY419" s="196"/>
      <c r="CZ419" s="197"/>
      <c r="DA419" s="196"/>
      <c r="DB419" s="196"/>
      <c r="DC419" s="196"/>
      <c r="DE419" s="199"/>
      <c r="DF419" s="200"/>
      <c r="DG419" s="181"/>
    </row>
    <row r="420" spans="1:111" s="324" customFormat="1" outlineLevel="1" x14ac:dyDescent="0.25">
      <c r="A420" s="305" t="s">
        <v>34</v>
      </c>
      <c r="B420" s="306" t="s">
        <v>376</v>
      </c>
      <c r="C420" s="306"/>
      <c r="D420" s="307">
        <f>E420+F420</f>
        <v>3000</v>
      </c>
      <c r="E420" s="307"/>
      <c r="F420" s="307">
        <f>G420+H420+K420+M420</f>
        <v>3000</v>
      </c>
      <c r="G420" s="303">
        <v>3000</v>
      </c>
      <c r="H420" s="303"/>
      <c r="I420" s="235"/>
      <c r="J420" s="235"/>
      <c r="K420" s="303"/>
      <c r="L420" s="235"/>
      <c r="M420" s="223"/>
      <c r="N420" s="223"/>
      <c r="O420" s="303">
        <f>G420+I420+L420+N420</f>
        <v>3000</v>
      </c>
      <c r="P420" s="303">
        <v>0</v>
      </c>
      <c r="Q420" s="308">
        <f t="shared" si="371"/>
        <v>0</v>
      </c>
      <c r="R420" s="303"/>
      <c r="S420" s="309">
        <v>0</v>
      </c>
      <c r="T420" s="309">
        <v>0</v>
      </c>
      <c r="U420" s="303"/>
      <c r="V420" s="309">
        <v>0</v>
      </c>
      <c r="W420" s="309">
        <v>0</v>
      </c>
      <c r="X420" s="303"/>
      <c r="Y420" s="309">
        <v>0</v>
      </c>
      <c r="Z420" s="309">
        <v>0</v>
      </c>
      <c r="AA420" s="303"/>
      <c r="AB420" s="309">
        <v>0</v>
      </c>
      <c r="AC420" s="309">
        <v>0</v>
      </c>
      <c r="AD420" s="303"/>
      <c r="AE420" s="309">
        <v>0</v>
      </c>
      <c r="AF420" s="309">
        <v>0</v>
      </c>
      <c r="AG420" s="303"/>
      <c r="AH420" s="309">
        <v>0</v>
      </c>
      <c r="AI420" s="309">
        <v>0</v>
      </c>
      <c r="AJ420" s="303"/>
      <c r="AK420" s="309">
        <v>0</v>
      </c>
      <c r="AL420" s="309">
        <v>0</v>
      </c>
      <c r="AM420" s="303">
        <v>743</v>
      </c>
      <c r="AN420" s="309">
        <v>0.24766666666666667</v>
      </c>
      <c r="AO420" s="309">
        <v>0.26070175438596493</v>
      </c>
      <c r="AP420" s="309"/>
      <c r="AQ420" s="303">
        <v>1504.0450000000001</v>
      </c>
      <c r="AR420" s="309">
        <v>0.5013483333333334</v>
      </c>
      <c r="AS420" s="309">
        <v>0.52773508771929822</v>
      </c>
      <c r="AT420" s="303">
        <v>1590.365</v>
      </c>
      <c r="AU420" s="309">
        <v>0.53012166666666671</v>
      </c>
      <c r="AV420" s="309">
        <v>0.55802280701754381</v>
      </c>
      <c r="AW420" s="309"/>
      <c r="AX420" s="309"/>
      <c r="AY420" s="309"/>
      <c r="AZ420" s="309"/>
      <c r="BA420" s="309"/>
      <c r="BB420" s="309"/>
      <c r="BC420" s="303">
        <v>1590.365</v>
      </c>
      <c r="BD420" s="309">
        <v>0.53012166666666671</v>
      </c>
      <c r="BE420" s="309">
        <v>0.55802280701754381</v>
      </c>
      <c r="BF420" s="303"/>
      <c r="BG420" s="303">
        <v>1801</v>
      </c>
      <c r="BH420" s="309">
        <v>0.60033333333333339</v>
      </c>
      <c r="BI420" s="309">
        <v>0.63192982456140356</v>
      </c>
      <c r="BJ420" s="303">
        <f t="shared" si="372"/>
        <v>2850</v>
      </c>
      <c r="BK420" s="303">
        <v>2081.5050000000001</v>
      </c>
      <c r="BL420" s="309">
        <f t="shared" si="358"/>
        <v>0.69383500000000009</v>
      </c>
      <c r="BM420" s="309">
        <f t="shared" si="373"/>
        <v>0.73035263157894736</v>
      </c>
      <c r="BN420" s="205">
        <f t="shared" si="356"/>
        <v>2081.5050000000001</v>
      </c>
      <c r="BO420" s="205"/>
      <c r="BP420" s="310"/>
      <c r="BQ420" s="308">
        <f t="shared" si="359"/>
        <v>0</v>
      </c>
      <c r="BR420" s="310"/>
      <c r="BS420" s="308">
        <f t="shared" si="360"/>
        <v>0</v>
      </c>
      <c r="BT420" s="310">
        <f>$F420*0.1</f>
        <v>300</v>
      </c>
      <c r="BU420" s="308">
        <f t="shared" si="361"/>
        <v>0.1</v>
      </c>
      <c r="BV420" s="310">
        <f>$F420*0.2</f>
        <v>600</v>
      </c>
      <c r="BW420" s="308">
        <f t="shared" si="362"/>
        <v>0.2</v>
      </c>
      <c r="BX420" s="310">
        <f>$F420*0.3</f>
        <v>900</v>
      </c>
      <c r="BY420" s="308">
        <f t="shared" si="363"/>
        <v>0.3</v>
      </c>
      <c r="BZ420" s="310">
        <f>$F420*0.4</f>
        <v>1200</v>
      </c>
      <c r="CA420" s="308">
        <f t="shared" si="364"/>
        <v>0.4</v>
      </c>
      <c r="CB420" s="310">
        <f>$F420*0.5</f>
        <v>1500</v>
      </c>
      <c r="CC420" s="308">
        <f t="shared" si="365"/>
        <v>0.5</v>
      </c>
      <c r="CD420" s="310">
        <f>$F420*0.55</f>
        <v>1650.0000000000002</v>
      </c>
      <c r="CE420" s="308">
        <f t="shared" si="345"/>
        <v>0.55000000000000004</v>
      </c>
      <c r="CF420" s="310">
        <v>2100</v>
      </c>
      <c r="CG420" s="308">
        <f t="shared" si="366"/>
        <v>0.7</v>
      </c>
      <c r="CH420" s="310">
        <f>$F420*0.7</f>
        <v>2100</v>
      </c>
      <c r="CI420" s="308">
        <f t="shared" si="346"/>
        <v>0.7</v>
      </c>
      <c r="CJ420" s="310">
        <f>$F420*0.75</f>
        <v>2250</v>
      </c>
      <c r="CK420" s="308">
        <f t="shared" si="367"/>
        <v>0.75</v>
      </c>
      <c r="CL420" s="310">
        <f>$F420*0.75</f>
        <v>2250</v>
      </c>
      <c r="CM420" s="308">
        <f t="shared" si="368"/>
        <v>0.75</v>
      </c>
      <c r="CN420" s="310">
        <f>$F420*0.95</f>
        <v>2850</v>
      </c>
      <c r="CO420" s="308">
        <f t="shared" si="369"/>
        <v>0.95</v>
      </c>
      <c r="CP420" s="213" t="str">
        <f t="shared" si="374"/>
        <v>Đạt</v>
      </c>
      <c r="CQ420" s="213" t="str">
        <f t="shared" si="375"/>
        <v>Đạt</v>
      </c>
      <c r="CR420" s="312"/>
      <c r="CS420" s="312"/>
      <c r="CT420" s="235"/>
      <c r="CU420" s="163"/>
      <c r="CV420" s="323"/>
      <c r="CW420" s="195"/>
      <c r="CX420" s="196"/>
      <c r="CY420" s="196"/>
      <c r="CZ420" s="197"/>
      <c r="DA420" s="196"/>
      <c r="DB420" s="196"/>
      <c r="DC420" s="196"/>
      <c r="DE420" s="199"/>
      <c r="DF420" s="200"/>
      <c r="DG420" s="181"/>
    </row>
    <row r="421" spans="1:111" ht="46.5" customHeight="1" outlineLevel="1" x14ac:dyDescent="0.25">
      <c r="A421" s="305" t="s">
        <v>34</v>
      </c>
      <c r="B421" s="306" t="s">
        <v>377</v>
      </c>
      <c r="C421" s="306"/>
      <c r="D421" s="307">
        <f>E421+F421</f>
        <v>111</v>
      </c>
      <c r="E421" s="307"/>
      <c r="F421" s="307">
        <f>G421+H421+K421+M421</f>
        <v>111</v>
      </c>
      <c r="G421" s="307"/>
      <c r="H421" s="307">
        <v>111</v>
      </c>
      <c r="I421" s="235"/>
      <c r="J421" s="235"/>
      <c r="K421" s="303"/>
      <c r="L421" s="235"/>
      <c r="M421" s="223"/>
      <c r="N421" s="223"/>
      <c r="O421" s="303"/>
      <c r="P421" s="303">
        <v>0</v>
      </c>
      <c r="Q421" s="308">
        <f t="shared" si="371"/>
        <v>0</v>
      </c>
      <c r="R421" s="303"/>
      <c r="S421" s="309">
        <v>0</v>
      </c>
      <c r="T421" s="309">
        <v>0</v>
      </c>
      <c r="U421" s="303"/>
      <c r="V421" s="309">
        <v>0</v>
      </c>
      <c r="W421" s="309">
        <v>0</v>
      </c>
      <c r="X421" s="303"/>
      <c r="Y421" s="309">
        <v>0</v>
      </c>
      <c r="Z421" s="309">
        <v>0</v>
      </c>
      <c r="AA421" s="303"/>
      <c r="AB421" s="309">
        <v>0</v>
      </c>
      <c r="AC421" s="309">
        <v>0</v>
      </c>
      <c r="AD421" s="303"/>
      <c r="AE421" s="309">
        <v>0</v>
      </c>
      <c r="AF421" s="309">
        <v>0</v>
      </c>
      <c r="AG421" s="303"/>
      <c r="AH421" s="309">
        <v>0</v>
      </c>
      <c r="AI421" s="309">
        <v>0</v>
      </c>
      <c r="AJ421" s="188"/>
      <c r="AK421" s="309">
        <v>0</v>
      </c>
      <c r="AL421" s="309">
        <v>0</v>
      </c>
      <c r="AM421" s="303"/>
      <c r="AN421" s="309">
        <v>0</v>
      </c>
      <c r="AO421" s="309">
        <v>0</v>
      </c>
      <c r="AP421" s="309"/>
      <c r="AQ421" s="303"/>
      <c r="AR421" s="309">
        <v>0</v>
      </c>
      <c r="AS421" s="309">
        <v>0</v>
      </c>
      <c r="AT421" s="303"/>
      <c r="AU421" s="309">
        <v>0</v>
      </c>
      <c r="AV421" s="309">
        <v>0</v>
      </c>
      <c r="AW421" s="309"/>
      <c r="AX421" s="309"/>
      <c r="AY421" s="309"/>
      <c r="AZ421" s="309"/>
      <c r="BA421" s="309"/>
      <c r="BB421" s="309"/>
      <c r="BC421" s="303"/>
      <c r="BD421" s="309">
        <v>0</v>
      </c>
      <c r="BE421" s="309">
        <v>0</v>
      </c>
      <c r="BF421" s="303"/>
      <c r="BG421" s="303"/>
      <c r="BH421" s="309">
        <v>0</v>
      </c>
      <c r="BI421" s="309">
        <v>0</v>
      </c>
      <c r="BJ421" s="303">
        <f t="shared" si="372"/>
        <v>105.44999999999999</v>
      </c>
      <c r="BK421" s="303"/>
      <c r="BL421" s="309">
        <f t="shared" si="358"/>
        <v>0</v>
      </c>
      <c r="BM421" s="309">
        <f t="shared" si="373"/>
        <v>0</v>
      </c>
      <c r="BN421" s="205">
        <f t="shared" si="356"/>
        <v>0</v>
      </c>
      <c r="BO421" s="205"/>
      <c r="BP421" s="310"/>
      <c r="BQ421" s="308">
        <f t="shared" si="359"/>
        <v>0</v>
      </c>
      <c r="BR421" s="310"/>
      <c r="BS421" s="308">
        <f t="shared" si="360"/>
        <v>0</v>
      </c>
      <c r="BT421" s="310">
        <f>$F421*0.1</f>
        <v>11.100000000000001</v>
      </c>
      <c r="BU421" s="308">
        <f t="shared" si="361"/>
        <v>0.10000000000000002</v>
      </c>
      <c r="BV421" s="310">
        <f>$F421*0.2</f>
        <v>22.200000000000003</v>
      </c>
      <c r="BW421" s="308">
        <f t="shared" si="362"/>
        <v>0.20000000000000004</v>
      </c>
      <c r="BX421" s="310">
        <f>$F421*0.3</f>
        <v>33.299999999999997</v>
      </c>
      <c r="BY421" s="308">
        <f t="shared" si="363"/>
        <v>0.3</v>
      </c>
      <c r="BZ421" s="310">
        <f>$F421*0.4</f>
        <v>44.400000000000006</v>
      </c>
      <c r="CA421" s="308">
        <f t="shared" si="364"/>
        <v>0.40000000000000008</v>
      </c>
      <c r="CB421" s="310">
        <f>$F421*0.5</f>
        <v>55.5</v>
      </c>
      <c r="CC421" s="308">
        <f t="shared" si="365"/>
        <v>0.5</v>
      </c>
      <c r="CD421" s="310">
        <f>$F421*0.55</f>
        <v>61.050000000000004</v>
      </c>
      <c r="CE421" s="308">
        <f t="shared" si="345"/>
        <v>0.55000000000000004</v>
      </c>
      <c r="CF421" s="310">
        <v>77.699999999999989</v>
      </c>
      <c r="CG421" s="308">
        <f t="shared" si="366"/>
        <v>0.69999999999999984</v>
      </c>
      <c r="CH421" s="310">
        <f>$F421*0.7</f>
        <v>77.699999999999989</v>
      </c>
      <c r="CI421" s="308">
        <f t="shared" si="346"/>
        <v>0.69999999999999984</v>
      </c>
      <c r="CJ421" s="310">
        <f>$F421*0.75</f>
        <v>83.25</v>
      </c>
      <c r="CK421" s="308">
        <f t="shared" si="367"/>
        <v>0.75</v>
      </c>
      <c r="CL421" s="310">
        <f>$F421*0.75</f>
        <v>83.25</v>
      </c>
      <c r="CM421" s="308">
        <f t="shared" si="368"/>
        <v>0.75</v>
      </c>
      <c r="CN421" s="310">
        <f>$F421*0.95</f>
        <v>105.44999999999999</v>
      </c>
      <c r="CO421" s="308">
        <f t="shared" si="369"/>
        <v>0.94999999999999984</v>
      </c>
      <c r="CP421" s="213" t="str">
        <f t="shared" si="374"/>
        <v>Không đạt</v>
      </c>
      <c r="CQ421" s="213" t="str">
        <f t="shared" si="375"/>
        <v>Không đạt</v>
      </c>
      <c r="CR421" s="312"/>
      <c r="CS421" s="312"/>
      <c r="CT421" s="235"/>
      <c r="CU421" s="163"/>
      <c r="CW421" s="195"/>
      <c r="CX421" s="196"/>
      <c r="CY421" s="196"/>
      <c r="CZ421" s="197"/>
      <c r="DA421" s="196"/>
      <c r="DB421" s="196"/>
      <c r="DC421" s="196"/>
      <c r="DE421" s="199"/>
      <c r="DF421" s="200"/>
      <c r="DG421" s="181"/>
    </row>
    <row r="422" spans="1:111" ht="18" customHeight="1" x14ac:dyDescent="0.25">
      <c r="A422" s="316">
        <f>MAX(A$243:A420)+1</f>
        <v>54</v>
      </c>
      <c r="B422" s="240" t="s">
        <v>447</v>
      </c>
      <c r="C422" s="240"/>
      <c r="D422" s="188">
        <f t="shared" ref="D422:I422" si="383">D423+D424</f>
        <v>3153</v>
      </c>
      <c r="E422" s="188">
        <f t="shared" si="383"/>
        <v>0</v>
      </c>
      <c r="F422" s="188">
        <f t="shared" si="383"/>
        <v>3153</v>
      </c>
      <c r="G422" s="188">
        <f t="shared" si="383"/>
        <v>3000</v>
      </c>
      <c r="H422" s="188">
        <f t="shared" si="383"/>
        <v>153</v>
      </c>
      <c r="I422" s="188">
        <f t="shared" si="383"/>
        <v>0</v>
      </c>
      <c r="J422" s="188"/>
      <c r="K422" s="188">
        <f>K423+K424</f>
        <v>0</v>
      </c>
      <c r="L422" s="188">
        <f>L423+L424</f>
        <v>0</v>
      </c>
      <c r="M422" s="188">
        <f>M423+M424</f>
        <v>0</v>
      </c>
      <c r="N422" s="188">
        <f>N423+N424</f>
        <v>0</v>
      </c>
      <c r="O422" s="188">
        <f>O423+O424</f>
        <v>3000</v>
      </c>
      <c r="P422" s="188">
        <v>0</v>
      </c>
      <c r="Q422" s="186">
        <f t="shared" si="371"/>
        <v>0</v>
      </c>
      <c r="R422" s="188">
        <v>0</v>
      </c>
      <c r="S422" s="185">
        <v>0</v>
      </c>
      <c r="T422" s="185">
        <v>0</v>
      </c>
      <c r="U422" s="188">
        <v>0</v>
      </c>
      <c r="V422" s="185">
        <v>0</v>
      </c>
      <c r="W422" s="185">
        <v>0</v>
      </c>
      <c r="X422" s="188">
        <v>0</v>
      </c>
      <c r="Y422" s="185">
        <v>0</v>
      </c>
      <c r="Z422" s="185">
        <v>0</v>
      </c>
      <c r="AA422" s="188">
        <v>0</v>
      </c>
      <c r="AB422" s="185">
        <v>0</v>
      </c>
      <c r="AC422" s="185">
        <v>0</v>
      </c>
      <c r="AD422" s="188">
        <v>2291</v>
      </c>
      <c r="AE422" s="185">
        <v>0.72660957817951155</v>
      </c>
      <c r="AF422" s="185">
        <v>0.7648521875573806</v>
      </c>
      <c r="AG422" s="188">
        <v>2291</v>
      </c>
      <c r="AH422" s="185">
        <v>0.72660957817951155</v>
      </c>
      <c r="AI422" s="185">
        <v>0.7648521875573806</v>
      </c>
      <c r="AJ422" s="303">
        <v>2291</v>
      </c>
      <c r="AK422" s="185">
        <v>0.72660957817951155</v>
      </c>
      <c r="AL422" s="185">
        <v>0.7648521875573806</v>
      </c>
      <c r="AM422" s="188">
        <v>2291</v>
      </c>
      <c r="AN422" s="185">
        <v>0.72660957817951155</v>
      </c>
      <c r="AO422" s="185">
        <v>0.7648521875573806</v>
      </c>
      <c r="AP422" s="185"/>
      <c r="AQ422" s="188">
        <v>2291</v>
      </c>
      <c r="AR422" s="185">
        <v>0.72660957817951155</v>
      </c>
      <c r="AS422" s="185">
        <v>0.7648521875573806</v>
      </c>
      <c r="AT422" s="188">
        <v>2291</v>
      </c>
      <c r="AU422" s="185">
        <v>0.72660957817951155</v>
      </c>
      <c r="AV422" s="185">
        <v>0.7648521875573806</v>
      </c>
      <c r="AW422" s="185"/>
      <c r="AX422" s="185"/>
      <c r="AY422" s="185"/>
      <c r="AZ422" s="185"/>
      <c r="BA422" s="185"/>
      <c r="BB422" s="185"/>
      <c r="BC422" s="188">
        <v>2291</v>
      </c>
      <c r="BD422" s="185">
        <v>0.72660957817951155</v>
      </c>
      <c r="BE422" s="185">
        <v>0.7648521875573806</v>
      </c>
      <c r="BF422" s="188"/>
      <c r="BG422" s="188">
        <v>2377</v>
      </c>
      <c r="BH422" s="185">
        <v>0.75388518870916588</v>
      </c>
      <c r="BI422" s="185">
        <v>0.7935633565359641</v>
      </c>
      <c r="BJ422" s="188">
        <f t="shared" si="372"/>
        <v>2995.35</v>
      </c>
      <c r="BK422" s="188">
        <v>2480</v>
      </c>
      <c r="BL422" s="185">
        <f t="shared" si="358"/>
        <v>0.78655248969235647</v>
      </c>
      <c r="BM422" s="185">
        <f t="shared" si="373"/>
        <v>0.82794998914984896</v>
      </c>
      <c r="BN422" s="205">
        <f t="shared" si="356"/>
        <v>189</v>
      </c>
      <c r="BO422" s="205"/>
      <c r="BP422" s="189">
        <f>BP423+BP424</f>
        <v>0</v>
      </c>
      <c r="BQ422" s="186">
        <f t="shared" si="359"/>
        <v>0</v>
      </c>
      <c r="BR422" s="189">
        <f>BR423+BR424</f>
        <v>0</v>
      </c>
      <c r="BS422" s="186">
        <f t="shared" si="360"/>
        <v>0</v>
      </c>
      <c r="BT422" s="189">
        <f>BT423+BT424</f>
        <v>500</v>
      </c>
      <c r="BU422" s="186">
        <f t="shared" si="361"/>
        <v>0.1585791309863622</v>
      </c>
      <c r="BV422" s="189">
        <f>BV423+BV424</f>
        <v>1200</v>
      </c>
      <c r="BW422" s="186">
        <f t="shared" si="362"/>
        <v>0.38058991436726924</v>
      </c>
      <c r="BX422" s="189">
        <f>BX423+BX424</f>
        <v>2200</v>
      </c>
      <c r="BY422" s="186">
        <f t="shared" si="363"/>
        <v>0.69774817633999364</v>
      </c>
      <c r="BZ422" s="189">
        <f>BZ423+BZ424</f>
        <v>2850</v>
      </c>
      <c r="CA422" s="186">
        <f t="shared" si="364"/>
        <v>0.90390104662226456</v>
      </c>
      <c r="CB422" s="189">
        <f>CB423+CB424</f>
        <v>2850</v>
      </c>
      <c r="CC422" s="186">
        <f t="shared" si="365"/>
        <v>0.90390104662226456</v>
      </c>
      <c r="CD422" s="189">
        <f>CD423+CD424</f>
        <v>2850</v>
      </c>
      <c r="CE422" s="186">
        <f t="shared" si="345"/>
        <v>0.90390104662226456</v>
      </c>
      <c r="CF422" s="189">
        <f>CF423+CF424</f>
        <v>2850</v>
      </c>
      <c r="CG422" s="186">
        <f t="shared" si="366"/>
        <v>0.90390104662226456</v>
      </c>
      <c r="CH422" s="189">
        <f>CH423+CH424</f>
        <v>2850</v>
      </c>
      <c r="CI422" s="186">
        <f t="shared" si="346"/>
        <v>0.90390104662226456</v>
      </c>
      <c r="CJ422" s="189">
        <f>CJ423+CJ424</f>
        <v>2850</v>
      </c>
      <c r="CK422" s="186">
        <f t="shared" si="367"/>
        <v>0.90390104662226456</v>
      </c>
      <c r="CL422" s="189">
        <f>CL423+CL424</f>
        <v>2995.35</v>
      </c>
      <c r="CM422" s="186">
        <f t="shared" si="368"/>
        <v>0.95</v>
      </c>
      <c r="CN422" s="189">
        <f>CN423+CN424</f>
        <v>2995.35</v>
      </c>
      <c r="CO422" s="186">
        <f t="shared" si="369"/>
        <v>0.95</v>
      </c>
      <c r="CP422" s="213" t="str">
        <f t="shared" si="374"/>
        <v>Đạt</v>
      </c>
      <c r="CQ422" s="213" t="str">
        <f t="shared" si="375"/>
        <v>Đạt</v>
      </c>
      <c r="CR422" s="213"/>
      <c r="CS422" s="213"/>
      <c r="CT422" s="231"/>
      <c r="CU422" s="163"/>
      <c r="CW422" s="195"/>
      <c r="CX422" s="196"/>
      <c r="CY422" s="196"/>
      <c r="CZ422" s="197"/>
      <c r="DA422" s="196"/>
      <c r="DB422" s="196"/>
      <c r="DC422" s="196"/>
      <c r="DE422" s="199"/>
      <c r="DF422" s="200"/>
      <c r="DG422" s="181"/>
    </row>
    <row r="423" spans="1:111" s="324" customFormat="1" outlineLevel="1" x14ac:dyDescent="0.25">
      <c r="A423" s="305" t="s">
        <v>34</v>
      </c>
      <c r="B423" s="306" t="s">
        <v>376</v>
      </c>
      <c r="C423" s="306"/>
      <c r="D423" s="307">
        <f>E423+F423</f>
        <v>3000</v>
      </c>
      <c r="E423" s="307"/>
      <c r="F423" s="307">
        <f>G423+H423+K423+M423</f>
        <v>3000</v>
      </c>
      <c r="G423" s="303">
        <v>3000</v>
      </c>
      <c r="H423" s="303"/>
      <c r="I423" s="235"/>
      <c r="J423" s="235"/>
      <c r="K423" s="303"/>
      <c r="L423" s="235"/>
      <c r="M423" s="223"/>
      <c r="N423" s="223"/>
      <c r="O423" s="303">
        <f>G423+I423+L423+N423</f>
        <v>3000</v>
      </c>
      <c r="P423" s="303">
        <v>0</v>
      </c>
      <c r="Q423" s="308">
        <f t="shared" si="371"/>
        <v>0</v>
      </c>
      <c r="R423" s="303"/>
      <c r="S423" s="313">
        <v>0</v>
      </c>
      <c r="T423" s="313">
        <v>0</v>
      </c>
      <c r="U423" s="303"/>
      <c r="V423" s="313">
        <v>0</v>
      </c>
      <c r="W423" s="313">
        <v>0</v>
      </c>
      <c r="X423" s="303"/>
      <c r="Y423" s="313">
        <v>0</v>
      </c>
      <c r="Z423" s="313">
        <v>0</v>
      </c>
      <c r="AA423" s="303"/>
      <c r="AB423" s="313">
        <v>0</v>
      </c>
      <c r="AC423" s="313">
        <v>0</v>
      </c>
      <c r="AD423" s="303">
        <v>2291</v>
      </c>
      <c r="AE423" s="313">
        <v>0.76366666666666672</v>
      </c>
      <c r="AF423" s="313">
        <v>0.80385964912280705</v>
      </c>
      <c r="AG423" s="303">
        <v>2291</v>
      </c>
      <c r="AH423" s="313">
        <v>0.76366666666666672</v>
      </c>
      <c r="AI423" s="313">
        <v>0.80385964912280705</v>
      </c>
      <c r="AJ423" s="303">
        <v>2291</v>
      </c>
      <c r="AK423" s="313">
        <v>0.76366666666666672</v>
      </c>
      <c r="AL423" s="313">
        <v>0.80385964912280705</v>
      </c>
      <c r="AM423" s="303">
        <v>2291</v>
      </c>
      <c r="AN423" s="313">
        <v>0.76366666666666672</v>
      </c>
      <c r="AO423" s="313">
        <v>0.80385964912280705</v>
      </c>
      <c r="AP423" s="313"/>
      <c r="AQ423" s="303">
        <v>2291</v>
      </c>
      <c r="AR423" s="313">
        <v>0.76366666666666672</v>
      </c>
      <c r="AS423" s="313">
        <v>0.80385964912280705</v>
      </c>
      <c r="AT423" s="303">
        <v>2291</v>
      </c>
      <c r="AU423" s="313">
        <v>0.76366666666666672</v>
      </c>
      <c r="AV423" s="313">
        <v>0.80385964912280705</v>
      </c>
      <c r="AW423" s="313"/>
      <c r="AX423" s="313"/>
      <c r="AY423" s="313"/>
      <c r="AZ423" s="313"/>
      <c r="BA423" s="313"/>
      <c r="BB423" s="313"/>
      <c r="BC423" s="303">
        <v>2291</v>
      </c>
      <c r="BD423" s="313">
        <v>0.76366666666666672</v>
      </c>
      <c r="BE423" s="313">
        <v>0.80385964912280705</v>
      </c>
      <c r="BF423" s="303"/>
      <c r="BG423" s="303">
        <v>2377</v>
      </c>
      <c r="BH423" s="313">
        <v>0.79233333333333333</v>
      </c>
      <c r="BI423" s="313">
        <v>0.83403508771929824</v>
      </c>
      <c r="BJ423" s="303">
        <f t="shared" si="372"/>
        <v>2850</v>
      </c>
      <c r="BK423" s="303">
        <v>2447</v>
      </c>
      <c r="BL423" s="313">
        <f t="shared" si="358"/>
        <v>0.81566666666666665</v>
      </c>
      <c r="BM423" s="313">
        <f t="shared" si="373"/>
        <v>0.85859649122807014</v>
      </c>
      <c r="BN423" s="205">
        <f t="shared" si="356"/>
        <v>156</v>
      </c>
      <c r="BO423" s="205"/>
      <c r="BP423" s="310"/>
      <c r="BQ423" s="311">
        <f t="shared" si="359"/>
        <v>0</v>
      </c>
      <c r="BR423" s="310"/>
      <c r="BS423" s="311">
        <f t="shared" si="360"/>
        <v>0</v>
      </c>
      <c r="BT423" s="310">
        <v>500</v>
      </c>
      <c r="BU423" s="308">
        <f t="shared" si="361"/>
        <v>0.16666666666666666</v>
      </c>
      <c r="BV423" s="310">
        <v>1200</v>
      </c>
      <c r="BW423" s="311">
        <f t="shared" si="362"/>
        <v>0.4</v>
      </c>
      <c r="BX423" s="310">
        <v>2200</v>
      </c>
      <c r="BY423" s="311">
        <f t="shared" si="363"/>
        <v>0.73333333333333328</v>
      </c>
      <c r="BZ423" s="310">
        <v>2850</v>
      </c>
      <c r="CA423" s="311">
        <f t="shared" si="364"/>
        <v>0.95</v>
      </c>
      <c r="CB423" s="310">
        <v>2850</v>
      </c>
      <c r="CC423" s="311">
        <f t="shared" si="365"/>
        <v>0.95</v>
      </c>
      <c r="CD423" s="310">
        <v>2850</v>
      </c>
      <c r="CE423" s="311">
        <f t="shared" si="345"/>
        <v>0.95</v>
      </c>
      <c r="CF423" s="310">
        <v>2850</v>
      </c>
      <c r="CG423" s="311">
        <f t="shared" si="366"/>
        <v>0.95</v>
      </c>
      <c r="CH423" s="310">
        <v>2850</v>
      </c>
      <c r="CI423" s="311">
        <f t="shared" si="346"/>
        <v>0.95</v>
      </c>
      <c r="CJ423" s="310">
        <v>2850</v>
      </c>
      <c r="CK423" s="311">
        <f t="shared" si="367"/>
        <v>0.95</v>
      </c>
      <c r="CL423" s="310">
        <v>2850</v>
      </c>
      <c r="CM423" s="311">
        <f t="shared" si="368"/>
        <v>0.95</v>
      </c>
      <c r="CN423" s="310">
        <v>2850</v>
      </c>
      <c r="CO423" s="311">
        <f t="shared" si="369"/>
        <v>0.95</v>
      </c>
      <c r="CP423" s="213" t="str">
        <f t="shared" si="374"/>
        <v>Đạt</v>
      </c>
      <c r="CQ423" s="213" t="str">
        <f t="shared" si="375"/>
        <v>Đạt</v>
      </c>
      <c r="CR423" s="312"/>
      <c r="CS423" s="312"/>
      <c r="CT423" s="235"/>
      <c r="CU423" s="163"/>
      <c r="CV423" s="323"/>
      <c r="CW423" s="195"/>
      <c r="CX423" s="196"/>
      <c r="CY423" s="196"/>
      <c r="CZ423" s="197"/>
      <c r="DA423" s="196"/>
      <c r="DB423" s="196"/>
      <c r="DC423" s="196"/>
      <c r="DE423" s="199"/>
      <c r="DF423" s="200"/>
      <c r="DG423" s="181"/>
    </row>
    <row r="424" spans="1:111" ht="45" customHeight="1" outlineLevel="1" x14ac:dyDescent="0.25">
      <c r="A424" s="305" t="s">
        <v>34</v>
      </c>
      <c r="B424" s="306" t="s">
        <v>377</v>
      </c>
      <c r="C424" s="306"/>
      <c r="D424" s="307">
        <f>E424+F424</f>
        <v>153</v>
      </c>
      <c r="E424" s="307"/>
      <c r="F424" s="307">
        <f>G424+H424+K424+M424</f>
        <v>153</v>
      </c>
      <c r="G424" s="307"/>
      <c r="H424" s="307">
        <v>153</v>
      </c>
      <c r="I424" s="235"/>
      <c r="J424" s="235"/>
      <c r="K424" s="303"/>
      <c r="L424" s="235"/>
      <c r="M424" s="223"/>
      <c r="N424" s="223"/>
      <c r="O424" s="303"/>
      <c r="P424" s="303">
        <v>0</v>
      </c>
      <c r="Q424" s="308">
        <f t="shared" si="371"/>
        <v>0</v>
      </c>
      <c r="R424" s="303"/>
      <c r="S424" s="313">
        <v>0</v>
      </c>
      <c r="T424" s="313">
        <v>0</v>
      </c>
      <c r="U424" s="303"/>
      <c r="V424" s="313">
        <v>0</v>
      </c>
      <c r="W424" s="313">
        <v>0</v>
      </c>
      <c r="X424" s="303"/>
      <c r="Y424" s="313">
        <v>0</v>
      </c>
      <c r="Z424" s="313">
        <v>0</v>
      </c>
      <c r="AA424" s="303"/>
      <c r="AB424" s="313">
        <v>0</v>
      </c>
      <c r="AC424" s="313">
        <v>0</v>
      </c>
      <c r="AD424" s="303"/>
      <c r="AE424" s="313">
        <v>0</v>
      </c>
      <c r="AF424" s="313">
        <v>0</v>
      </c>
      <c r="AG424" s="303"/>
      <c r="AH424" s="313">
        <v>0</v>
      </c>
      <c r="AI424" s="313">
        <v>0</v>
      </c>
      <c r="AJ424" s="188"/>
      <c r="AK424" s="313">
        <v>0</v>
      </c>
      <c r="AL424" s="313">
        <v>0</v>
      </c>
      <c r="AM424" s="303"/>
      <c r="AN424" s="313">
        <v>0</v>
      </c>
      <c r="AO424" s="313">
        <v>0</v>
      </c>
      <c r="AP424" s="313"/>
      <c r="AQ424" s="303"/>
      <c r="AR424" s="313">
        <v>0</v>
      </c>
      <c r="AS424" s="313">
        <v>0</v>
      </c>
      <c r="AT424" s="303"/>
      <c r="AU424" s="313">
        <v>0</v>
      </c>
      <c r="AV424" s="313">
        <v>0</v>
      </c>
      <c r="AW424" s="313"/>
      <c r="AX424" s="313"/>
      <c r="AY424" s="313"/>
      <c r="AZ424" s="313"/>
      <c r="BA424" s="313"/>
      <c r="BB424" s="313"/>
      <c r="BC424" s="303"/>
      <c r="BD424" s="313">
        <v>0</v>
      </c>
      <c r="BE424" s="313">
        <v>0</v>
      </c>
      <c r="BF424" s="303"/>
      <c r="BG424" s="303"/>
      <c r="BH424" s="313">
        <v>0</v>
      </c>
      <c r="BI424" s="313">
        <v>0</v>
      </c>
      <c r="BJ424" s="303">
        <f t="shared" si="372"/>
        <v>145.35</v>
      </c>
      <c r="BK424" s="303"/>
      <c r="BL424" s="313">
        <f t="shared" si="358"/>
        <v>0</v>
      </c>
      <c r="BM424" s="313">
        <f t="shared" si="373"/>
        <v>0</v>
      </c>
      <c r="BN424" s="205">
        <f t="shared" si="356"/>
        <v>0</v>
      </c>
      <c r="BO424" s="205"/>
      <c r="BP424" s="310"/>
      <c r="BQ424" s="311">
        <f t="shared" si="359"/>
        <v>0</v>
      </c>
      <c r="BR424" s="310"/>
      <c r="BS424" s="311">
        <f t="shared" si="360"/>
        <v>0</v>
      </c>
      <c r="BT424" s="310"/>
      <c r="BU424" s="308">
        <f t="shared" si="361"/>
        <v>0</v>
      </c>
      <c r="BV424" s="310"/>
      <c r="BW424" s="311">
        <f t="shared" si="362"/>
        <v>0</v>
      </c>
      <c r="BX424" s="310"/>
      <c r="BY424" s="311">
        <f t="shared" si="363"/>
        <v>0</v>
      </c>
      <c r="BZ424" s="310"/>
      <c r="CA424" s="311">
        <f t="shared" si="364"/>
        <v>0</v>
      </c>
      <c r="CB424" s="310"/>
      <c r="CC424" s="311">
        <f t="shared" si="365"/>
        <v>0</v>
      </c>
      <c r="CD424" s="310"/>
      <c r="CE424" s="311">
        <f t="shared" si="345"/>
        <v>0</v>
      </c>
      <c r="CF424" s="310"/>
      <c r="CG424" s="311">
        <f t="shared" si="366"/>
        <v>0</v>
      </c>
      <c r="CH424" s="310"/>
      <c r="CI424" s="311">
        <f t="shared" si="346"/>
        <v>0</v>
      </c>
      <c r="CJ424" s="310"/>
      <c r="CK424" s="311">
        <f t="shared" si="367"/>
        <v>0</v>
      </c>
      <c r="CL424" s="310">
        <f>153*0.95</f>
        <v>145.35</v>
      </c>
      <c r="CM424" s="311">
        <f t="shared" si="368"/>
        <v>0.95</v>
      </c>
      <c r="CN424" s="310">
        <f>153*0.95</f>
        <v>145.35</v>
      </c>
      <c r="CO424" s="311">
        <f t="shared" si="369"/>
        <v>0.95</v>
      </c>
      <c r="CP424" s="213" t="str">
        <f t="shared" si="374"/>
        <v>Không đạt</v>
      </c>
      <c r="CQ424" s="213" t="str">
        <f t="shared" si="375"/>
        <v>Không đạt</v>
      </c>
      <c r="CR424" s="312"/>
      <c r="CS424" s="312"/>
      <c r="CT424" s="235"/>
      <c r="CU424" s="163"/>
      <c r="CW424" s="195"/>
      <c r="CX424" s="196"/>
      <c r="CY424" s="196"/>
      <c r="CZ424" s="197"/>
      <c r="DA424" s="196"/>
      <c r="DB424" s="196"/>
      <c r="DC424" s="196"/>
      <c r="DE424" s="199"/>
      <c r="DF424" s="200"/>
      <c r="DG424" s="181"/>
    </row>
    <row r="425" spans="1:111" ht="18" customHeight="1" x14ac:dyDescent="0.25">
      <c r="A425" s="213">
        <f>MAX(A$243:A423)+1</f>
        <v>55</v>
      </c>
      <c r="B425" s="240" t="s">
        <v>448</v>
      </c>
      <c r="C425" s="240"/>
      <c r="D425" s="188">
        <f t="shared" ref="D425:I425" si="384">D426+D427</f>
        <v>3535</v>
      </c>
      <c r="E425" s="188">
        <f t="shared" si="384"/>
        <v>0</v>
      </c>
      <c r="F425" s="188">
        <f t="shared" si="384"/>
        <v>3535</v>
      </c>
      <c r="G425" s="188">
        <f t="shared" si="384"/>
        <v>3000</v>
      </c>
      <c r="H425" s="188">
        <f t="shared" si="384"/>
        <v>535</v>
      </c>
      <c r="I425" s="188">
        <f t="shared" si="384"/>
        <v>0</v>
      </c>
      <c r="J425" s="188"/>
      <c r="K425" s="188">
        <f>K426+K427</f>
        <v>0</v>
      </c>
      <c r="L425" s="188">
        <f>L426+L427</f>
        <v>0</v>
      </c>
      <c r="M425" s="188">
        <f>M426+M427</f>
        <v>0</v>
      </c>
      <c r="N425" s="188">
        <f>N426+N427</f>
        <v>0</v>
      </c>
      <c r="O425" s="188">
        <f>O426+O427</f>
        <v>3000</v>
      </c>
      <c r="P425" s="188">
        <v>0</v>
      </c>
      <c r="Q425" s="186">
        <f t="shared" si="371"/>
        <v>0</v>
      </c>
      <c r="R425" s="188">
        <v>0</v>
      </c>
      <c r="S425" s="185">
        <v>0</v>
      </c>
      <c r="T425" s="185">
        <v>0</v>
      </c>
      <c r="U425" s="188">
        <v>0</v>
      </c>
      <c r="V425" s="185">
        <v>0</v>
      </c>
      <c r="W425" s="185">
        <v>0</v>
      </c>
      <c r="X425" s="188">
        <v>0</v>
      </c>
      <c r="Y425" s="185">
        <v>0</v>
      </c>
      <c r="Z425" s="185">
        <v>0</v>
      </c>
      <c r="AA425" s="188">
        <v>0</v>
      </c>
      <c r="AB425" s="185">
        <v>0</v>
      </c>
      <c r="AC425" s="185">
        <v>0</v>
      </c>
      <c r="AD425" s="188">
        <v>316</v>
      </c>
      <c r="AE425" s="185">
        <v>8.9391796322489392E-2</v>
      </c>
      <c r="AF425" s="185">
        <v>9.4096627707883573E-2</v>
      </c>
      <c r="AG425" s="188">
        <v>316</v>
      </c>
      <c r="AH425" s="185">
        <v>8.9391796322489392E-2</v>
      </c>
      <c r="AI425" s="185">
        <v>9.4096627707883573E-2</v>
      </c>
      <c r="AJ425" s="303">
        <v>316</v>
      </c>
      <c r="AK425" s="185">
        <v>8.9391796322489392E-2</v>
      </c>
      <c r="AL425" s="185">
        <v>9.4096627707883573E-2</v>
      </c>
      <c r="AM425" s="188">
        <v>971</v>
      </c>
      <c r="AN425" s="185">
        <v>0.2746817538896747</v>
      </c>
      <c r="AO425" s="185">
        <v>0.28913868830492073</v>
      </c>
      <c r="AP425" s="185"/>
      <c r="AQ425" s="188">
        <v>971</v>
      </c>
      <c r="AR425" s="185">
        <v>0.2746817538896747</v>
      </c>
      <c r="AS425" s="185">
        <v>0.28913868830492073</v>
      </c>
      <c r="AT425" s="188">
        <v>971</v>
      </c>
      <c r="AU425" s="185">
        <v>0.2746817538896747</v>
      </c>
      <c r="AV425" s="185">
        <v>0.28913868830492073</v>
      </c>
      <c r="AW425" s="185"/>
      <c r="AX425" s="185"/>
      <c r="AY425" s="185"/>
      <c r="AZ425" s="185"/>
      <c r="BA425" s="185"/>
      <c r="BB425" s="185"/>
      <c r="BC425" s="188">
        <v>971</v>
      </c>
      <c r="BD425" s="185">
        <v>0.2746817538896747</v>
      </c>
      <c r="BE425" s="185">
        <v>0.28913868830492073</v>
      </c>
      <c r="BF425" s="188"/>
      <c r="BG425" s="188">
        <v>971</v>
      </c>
      <c r="BH425" s="185">
        <v>0.2746817538896747</v>
      </c>
      <c r="BI425" s="185">
        <v>0.28913868830492073</v>
      </c>
      <c r="BJ425" s="188">
        <f t="shared" si="372"/>
        <v>3358.25</v>
      </c>
      <c r="BK425" s="188">
        <f>BK426+BK427</f>
        <v>971</v>
      </c>
      <c r="BL425" s="185">
        <f t="shared" si="358"/>
        <v>0.2746817538896747</v>
      </c>
      <c r="BM425" s="185">
        <f t="shared" si="373"/>
        <v>0.28913868830492073</v>
      </c>
      <c r="BN425" s="205">
        <f t="shared" si="356"/>
        <v>655</v>
      </c>
      <c r="BO425" s="205"/>
      <c r="BP425" s="189">
        <f>BP426+BP427</f>
        <v>0</v>
      </c>
      <c r="BQ425" s="186">
        <f t="shared" si="359"/>
        <v>0</v>
      </c>
      <c r="BR425" s="189">
        <f>BR426+BR427</f>
        <v>0</v>
      </c>
      <c r="BS425" s="186">
        <f t="shared" si="360"/>
        <v>0</v>
      </c>
      <c r="BT425" s="189">
        <f>BT426+BT427</f>
        <v>0</v>
      </c>
      <c r="BU425" s="186">
        <f t="shared" si="361"/>
        <v>0</v>
      </c>
      <c r="BV425" s="189">
        <f>BV426+BV427</f>
        <v>150</v>
      </c>
      <c r="BW425" s="186">
        <f t="shared" si="362"/>
        <v>4.2432814710042434E-2</v>
      </c>
      <c r="BX425" s="189">
        <f>BX426+BX427</f>
        <v>300</v>
      </c>
      <c r="BY425" s="186">
        <f t="shared" si="363"/>
        <v>8.4865629420084868E-2</v>
      </c>
      <c r="BZ425" s="189">
        <f>BZ426+BZ427</f>
        <v>800</v>
      </c>
      <c r="CA425" s="186">
        <f t="shared" si="364"/>
        <v>0.2263083451202263</v>
      </c>
      <c r="CB425" s="189">
        <f>CB426+CB427</f>
        <v>1550</v>
      </c>
      <c r="CC425" s="186">
        <f t="shared" si="365"/>
        <v>0.43847241867043846</v>
      </c>
      <c r="CD425" s="189">
        <f>CD426+CD427</f>
        <v>1850</v>
      </c>
      <c r="CE425" s="186">
        <f t="shared" si="345"/>
        <v>0.52333804809052331</v>
      </c>
      <c r="CF425" s="189">
        <f>CF426+CF427</f>
        <v>2450</v>
      </c>
      <c r="CG425" s="186">
        <f t="shared" si="366"/>
        <v>0.69306930693069302</v>
      </c>
      <c r="CH425" s="189">
        <f>CH426+CH427</f>
        <v>2950</v>
      </c>
      <c r="CI425" s="186">
        <f t="shared" si="346"/>
        <v>0.83451202263083446</v>
      </c>
      <c r="CJ425" s="189">
        <f>CJ426+CJ427</f>
        <v>3150</v>
      </c>
      <c r="CK425" s="186">
        <f t="shared" si="367"/>
        <v>0.8910891089108911</v>
      </c>
      <c r="CL425" s="189">
        <f>CL426+CL427</f>
        <v>3358.25</v>
      </c>
      <c r="CM425" s="186">
        <f t="shared" si="368"/>
        <v>0.95</v>
      </c>
      <c r="CN425" s="189">
        <f>CN426+CN427</f>
        <v>3358.25</v>
      </c>
      <c r="CO425" s="186">
        <f t="shared" si="369"/>
        <v>0.95</v>
      </c>
      <c r="CP425" s="213" t="str">
        <f t="shared" si="374"/>
        <v>Không đạt</v>
      </c>
      <c r="CQ425" s="213" t="str">
        <f t="shared" si="375"/>
        <v>Không đạt</v>
      </c>
      <c r="CR425" s="213"/>
      <c r="CS425" s="213"/>
      <c r="CT425" s="231"/>
      <c r="CU425" s="163"/>
      <c r="CW425" s="195"/>
      <c r="CX425" s="196"/>
      <c r="CY425" s="196"/>
      <c r="CZ425" s="197"/>
      <c r="DA425" s="196"/>
      <c r="DB425" s="196"/>
      <c r="DC425" s="196"/>
      <c r="DE425" s="199"/>
      <c r="DF425" s="200"/>
      <c r="DG425" s="181"/>
    </row>
    <row r="426" spans="1:111" s="324" customFormat="1" outlineLevel="1" x14ac:dyDescent="0.25">
      <c r="A426" s="305" t="s">
        <v>34</v>
      </c>
      <c r="B426" s="306" t="s">
        <v>376</v>
      </c>
      <c r="C426" s="306"/>
      <c r="D426" s="307">
        <f>E426+F426</f>
        <v>3000</v>
      </c>
      <c r="E426" s="307"/>
      <c r="F426" s="307">
        <f>G426+H426+K426+M426</f>
        <v>3000</v>
      </c>
      <c r="G426" s="303">
        <v>3000</v>
      </c>
      <c r="H426" s="303"/>
      <c r="I426" s="235"/>
      <c r="J426" s="235"/>
      <c r="K426" s="303"/>
      <c r="L426" s="235"/>
      <c r="M426" s="223"/>
      <c r="N426" s="223"/>
      <c r="O426" s="303">
        <f>G426+I426+L426+N426</f>
        <v>3000</v>
      </c>
      <c r="P426" s="303">
        <v>0</v>
      </c>
      <c r="Q426" s="308">
        <f t="shared" si="371"/>
        <v>0</v>
      </c>
      <c r="R426" s="303"/>
      <c r="S426" s="313">
        <v>0</v>
      </c>
      <c r="T426" s="313">
        <v>0</v>
      </c>
      <c r="U426" s="303"/>
      <c r="V426" s="313">
        <v>0</v>
      </c>
      <c r="W426" s="313">
        <v>0</v>
      </c>
      <c r="X426" s="303"/>
      <c r="Y426" s="313">
        <v>0</v>
      </c>
      <c r="Z426" s="313">
        <v>0</v>
      </c>
      <c r="AA426" s="303"/>
      <c r="AB426" s="313">
        <v>0</v>
      </c>
      <c r="AC426" s="313">
        <v>0</v>
      </c>
      <c r="AD426" s="303">
        <v>316</v>
      </c>
      <c r="AE426" s="313">
        <v>0.10533333333333333</v>
      </c>
      <c r="AF426" s="313">
        <v>0.11087719298245614</v>
      </c>
      <c r="AG426" s="303">
        <v>316</v>
      </c>
      <c r="AH426" s="313">
        <v>0.10533333333333333</v>
      </c>
      <c r="AI426" s="313">
        <v>0.11087719298245614</v>
      </c>
      <c r="AJ426" s="303">
        <v>316</v>
      </c>
      <c r="AK426" s="313">
        <v>0.10533333333333333</v>
      </c>
      <c r="AL426" s="313">
        <v>0.11087719298245614</v>
      </c>
      <c r="AM426" s="303">
        <v>971</v>
      </c>
      <c r="AN426" s="313">
        <v>0.32366666666666666</v>
      </c>
      <c r="AO426" s="313">
        <v>0.34070175438596489</v>
      </c>
      <c r="AP426" s="313"/>
      <c r="AQ426" s="303">
        <v>971</v>
      </c>
      <c r="AR426" s="313">
        <v>0.32366666666666666</v>
      </c>
      <c r="AS426" s="313">
        <v>0.34070175438596489</v>
      </c>
      <c r="AT426" s="303">
        <v>971</v>
      </c>
      <c r="AU426" s="313">
        <v>0.32366666666666666</v>
      </c>
      <c r="AV426" s="313">
        <v>0.34070175438596489</v>
      </c>
      <c r="AW426" s="313"/>
      <c r="AX426" s="313"/>
      <c r="AY426" s="313"/>
      <c r="AZ426" s="313"/>
      <c r="BA426" s="313"/>
      <c r="BB426" s="313"/>
      <c r="BC426" s="303">
        <v>971</v>
      </c>
      <c r="BD426" s="313">
        <v>0.32366666666666666</v>
      </c>
      <c r="BE426" s="313">
        <v>0.34070175438596489</v>
      </c>
      <c r="BF426" s="303"/>
      <c r="BG426" s="303">
        <v>971</v>
      </c>
      <c r="BH426" s="313">
        <v>0.32366666666666666</v>
      </c>
      <c r="BI426" s="313">
        <v>0.34070175438596489</v>
      </c>
      <c r="BJ426" s="303">
        <f t="shared" si="372"/>
        <v>2850</v>
      </c>
      <c r="BK426" s="303">
        <v>971</v>
      </c>
      <c r="BL426" s="313">
        <f t="shared" si="358"/>
        <v>0.32366666666666666</v>
      </c>
      <c r="BM426" s="313">
        <f t="shared" si="373"/>
        <v>0.34070175438596489</v>
      </c>
      <c r="BN426" s="205">
        <f t="shared" si="356"/>
        <v>655</v>
      </c>
      <c r="BO426" s="205"/>
      <c r="BP426" s="310"/>
      <c r="BQ426" s="311">
        <f t="shared" si="359"/>
        <v>0</v>
      </c>
      <c r="BR426" s="310"/>
      <c r="BS426" s="311">
        <f t="shared" si="360"/>
        <v>0</v>
      </c>
      <c r="BT426" s="310"/>
      <c r="BU426" s="308">
        <f t="shared" si="361"/>
        <v>0</v>
      </c>
      <c r="BV426" s="310">
        <v>150</v>
      </c>
      <c r="BW426" s="311">
        <f t="shared" si="362"/>
        <v>0.05</v>
      </c>
      <c r="BX426" s="310">
        <v>300</v>
      </c>
      <c r="BY426" s="311">
        <f t="shared" si="363"/>
        <v>0.1</v>
      </c>
      <c r="BZ426" s="310">
        <v>800</v>
      </c>
      <c r="CA426" s="311">
        <f t="shared" si="364"/>
        <v>0.26666666666666666</v>
      </c>
      <c r="CB426" s="310">
        <v>1500</v>
      </c>
      <c r="CC426" s="311">
        <f t="shared" si="365"/>
        <v>0.5</v>
      </c>
      <c r="CD426" s="310">
        <v>1700</v>
      </c>
      <c r="CE426" s="311">
        <f t="shared" si="345"/>
        <v>0.56666666666666665</v>
      </c>
      <c r="CF426" s="310">
        <v>2100</v>
      </c>
      <c r="CG426" s="311">
        <f t="shared" si="366"/>
        <v>0.7</v>
      </c>
      <c r="CH426" s="310">
        <v>2500</v>
      </c>
      <c r="CI426" s="311">
        <f t="shared" si="346"/>
        <v>0.83333333333333337</v>
      </c>
      <c r="CJ426" s="310">
        <v>2700</v>
      </c>
      <c r="CK426" s="311">
        <f t="shared" si="367"/>
        <v>0.9</v>
      </c>
      <c r="CL426" s="310">
        <v>2850</v>
      </c>
      <c r="CM426" s="311">
        <f t="shared" si="368"/>
        <v>0.95</v>
      </c>
      <c r="CN426" s="310">
        <v>2850</v>
      </c>
      <c r="CO426" s="311">
        <f t="shared" si="369"/>
        <v>0.95</v>
      </c>
      <c r="CP426" s="213" t="str">
        <f t="shared" si="374"/>
        <v>Không đạt</v>
      </c>
      <c r="CQ426" s="213" t="str">
        <f t="shared" si="375"/>
        <v>Không đạt</v>
      </c>
      <c r="CR426" s="312"/>
      <c r="CS426" s="312"/>
      <c r="CT426" s="235"/>
      <c r="CU426" s="163"/>
      <c r="CV426" s="323"/>
      <c r="CW426" s="195"/>
      <c r="CX426" s="196"/>
      <c r="CY426" s="196"/>
      <c r="CZ426" s="197"/>
      <c r="DA426" s="196"/>
      <c r="DB426" s="196"/>
      <c r="DC426" s="196"/>
      <c r="DE426" s="199"/>
      <c r="DF426" s="200"/>
      <c r="DG426" s="181"/>
    </row>
    <row r="427" spans="1:111" ht="48.75" customHeight="1" outlineLevel="1" x14ac:dyDescent="0.25">
      <c r="A427" s="305" t="s">
        <v>34</v>
      </c>
      <c r="B427" s="306" t="s">
        <v>377</v>
      </c>
      <c r="C427" s="306"/>
      <c r="D427" s="307">
        <f>E427+F427</f>
        <v>535</v>
      </c>
      <c r="E427" s="307"/>
      <c r="F427" s="307">
        <f>G427+H427+K427+M427</f>
        <v>535</v>
      </c>
      <c r="G427" s="307"/>
      <c r="H427" s="307">
        <v>535</v>
      </c>
      <c r="I427" s="235"/>
      <c r="J427" s="235"/>
      <c r="K427" s="303"/>
      <c r="L427" s="235"/>
      <c r="M427" s="223"/>
      <c r="N427" s="223"/>
      <c r="O427" s="303"/>
      <c r="P427" s="303">
        <v>0</v>
      </c>
      <c r="Q427" s="308">
        <f t="shared" si="371"/>
        <v>0</v>
      </c>
      <c r="R427" s="303"/>
      <c r="S427" s="313">
        <v>0</v>
      </c>
      <c r="T427" s="313">
        <v>0</v>
      </c>
      <c r="U427" s="303"/>
      <c r="V427" s="313">
        <v>0</v>
      </c>
      <c r="W427" s="313">
        <v>0</v>
      </c>
      <c r="X427" s="303"/>
      <c r="Y427" s="313">
        <v>0</v>
      </c>
      <c r="Z427" s="313">
        <v>0</v>
      </c>
      <c r="AA427" s="303"/>
      <c r="AB427" s="313">
        <v>0</v>
      </c>
      <c r="AC427" s="313">
        <v>0</v>
      </c>
      <c r="AD427" s="303"/>
      <c r="AE427" s="313">
        <v>0</v>
      </c>
      <c r="AF427" s="313">
        <v>0</v>
      </c>
      <c r="AG427" s="303"/>
      <c r="AH427" s="313">
        <v>0</v>
      </c>
      <c r="AI427" s="313">
        <v>0</v>
      </c>
      <c r="AJ427" s="188"/>
      <c r="AK427" s="313">
        <v>0</v>
      </c>
      <c r="AL427" s="313">
        <v>0</v>
      </c>
      <c r="AM427" s="303"/>
      <c r="AN427" s="313">
        <v>0</v>
      </c>
      <c r="AO427" s="313">
        <v>0</v>
      </c>
      <c r="AP427" s="313"/>
      <c r="AQ427" s="303"/>
      <c r="AR427" s="313">
        <v>0</v>
      </c>
      <c r="AS427" s="313">
        <v>0</v>
      </c>
      <c r="AT427" s="303"/>
      <c r="AU427" s="313">
        <v>0</v>
      </c>
      <c r="AV427" s="313">
        <v>0</v>
      </c>
      <c r="AW427" s="313"/>
      <c r="AX427" s="313"/>
      <c r="AY427" s="313"/>
      <c r="AZ427" s="313"/>
      <c r="BA427" s="313"/>
      <c r="BB427" s="313"/>
      <c r="BC427" s="303"/>
      <c r="BD427" s="313">
        <v>0</v>
      </c>
      <c r="BE427" s="313">
        <v>0</v>
      </c>
      <c r="BF427" s="303"/>
      <c r="BG427" s="303"/>
      <c r="BH427" s="313">
        <v>0</v>
      </c>
      <c r="BI427" s="313">
        <v>0</v>
      </c>
      <c r="BJ427" s="303">
        <f t="shared" si="372"/>
        <v>508.25</v>
      </c>
      <c r="BK427" s="303"/>
      <c r="BL427" s="313">
        <f t="shared" si="358"/>
        <v>0</v>
      </c>
      <c r="BM427" s="313">
        <f t="shared" si="373"/>
        <v>0</v>
      </c>
      <c r="BN427" s="205">
        <f t="shared" si="356"/>
        <v>0</v>
      </c>
      <c r="BO427" s="205"/>
      <c r="BP427" s="310"/>
      <c r="BQ427" s="311">
        <f t="shared" si="359"/>
        <v>0</v>
      </c>
      <c r="BR427" s="310"/>
      <c r="BS427" s="311">
        <f t="shared" si="360"/>
        <v>0</v>
      </c>
      <c r="BT427" s="310"/>
      <c r="BU427" s="308">
        <f t="shared" si="361"/>
        <v>0</v>
      </c>
      <c r="BV427" s="310"/>
      <c r="BW427" s="311">
        <f t="shared" si="362"/>
        <v>0</v>
      </c>
      <c r="BX427" s="310"/>
      <c r="BY427" s="311">
        <f t="shared" si="363"/>
        <v>0</v>
      </c>
      <c r="BZ427" s="310"/>
      <c r="CA427" s="311">
        <f t="shared" si="364"/>
        <v>0</v>
      </c>
      <c r="CB427" s="310">
        <v>50</v>
      </c>
      <c r="CC427" s="311">
        <f t="shared" si="365"/>
        <v>9.3457943925233641E-2</v>
      </c>
      <c r="CD427" s="310">
        <v>150</v>
      </c>
      <c r="CE427" s="311">
        <f t="shared" si="345"/>
        <v>0.28037383177570091</v>
      </c>
      <c r="CF427" s="310">
        <v>350</v>
      </c>
      <c r="CG427" s="311">
        <f t="shared" si="366"/>
        <v>0.65420560747663548</v>
      </c>
      <c r="CH427" s="310">
        <v>450</v>
      </c>
      <c r="CI427" s="311">
        <f t="shared" si="346"/>
        <v>0.84112149532710279</v>
      </c>
      <c r="CJ427" s="310">
        <v>450</v>
      </c>
      <c r="CK427" s="311">
        <f t="shared" si="367"/>
        <v>0.84112149532710279</v>
      </c>
      <c r="CL427" s="310">
        <f>535*0.95</f>
        <v>508.25</v>
      </c>
      <c r="CM427" s="311">
        <f t="shared" si="368"/>
        <v>0.95</v>
      </c>
      <c r="CN427" s="310">
        <f>535*0.95</f>
        <v>508.25</v>
      </c>
      <c r="CO427" s="311">
        <f t="shared" si="369"/>
        <v>0.95</v>
      </c>
      <c r="CP427" s="213" t="str">
        <f t="shared" si="374"/>
        <v>Không đạt</v>
      </c>
      <c r="CQ427" s="213" t="str">
        <f t="shared" si="375"/>
        <v>Không đạt</v>
      </c>
      <c r="CR427" s="312"/>
      <c r="CS427" s="312"/>
      <c r="CT427" s="235"/>
      <c r="CU427" s="163"/>
      <c r="CW427" s="195"/>
      <c r="CX427" s="196"/>
      <c r="CY427" s="196"/>
      <c r="CZ427" s="197"/>
      <c r="DA427" s="196"/>
      <c r="DB427" s="196"/>
      <c r="DC427" s="196"/>
      <c r="DE427" s="199"/>
      <c r="DF427" s="200"/>
      <c r="DG427" s="181"/>
    </row>
    <row r="428" spans="1:111" ht="18" customHeight="1" x14ac:dyDescent="0.25">
      <c r="A428" s="213">
        <f>MAX(A$243:A426)+1</f>
        <v>56</v>
      </c>
      <c r="B428" s="240" t="s">
        <v>449</v>
      </c>
      <c r="C428" s="240"/>
      <c r="D428" s="188">
        <f t="shared" ref="D428:I428" si="385">D429+D430</f>
        <v>3017</v>
      </c>
      <c r="E428" s="188">
        <f t="shared" si="385"/>
        <v>0</v>
      </c>
      <c r="F428" s="188">
        <f t="shared" si="385"/>
        <v>3017</v>
      </c>
      <c r="G428" s="188">
        <f t="shared" si="385"/>
        <v>3000</v>
      </c>
      <c r="H428" s="188">
        <f t="shared" si="385"/>
        <v>17</v>
      </c>
      <c r="I428" s="188">
        <f t="shared" si="385"/>
        <v>0</v>
      </c>
      <c r="J428" s="188"/>
      <c r="K428" s="188">
        <f>K429+K430</f>
        <v>0</v>
      </c>
      <c r="L428" s="188">
        <f>L429+L430</f>
        <v>0</v>
      </c>
      <c r="M428" s="188">
        <f>M429+M430</f>
        <v>0</v>
      </c>
      <c r="N428" s="188">
        <f>N429+N430</f>
        <v>0</v>
      </c>
      <c r="O428" s="188">
        <f>O429+O430</f>
        <v>3000</v>
      </c>
      <c r="P428" s="188">
        <v>0</v>
      </c>
      <c r="Q428" s="186">
        <f t="shared" si="371"/>
        <v>0</v>
      </c>
      <c r="R428" s="188">
        <v>0</v>
      </c>
      <c r="S428" s="185">
        <v>0</v>
      </c>
      <c r="T428" s="185">
        <v>0</v>
      </c>
      <c r="U428" s="188">
        <v>0</v>
      </c>
      <c r="V428" s="185">
        <v>0</v>
      </c>
      <c r="W428" s="185">
        <v>0</v>
      </c>
      <c r="X428" s="188">
        <v>0</v>
      </c>
      <c r="Y428" s="185">
        <v>0</v>
      </c>
      <c r="Z428" s="185">
        <v>0</v>
      </c>
      <c r="AA428" s="188">
        <v>0</v>
      </c>
      <c r="AB428" s="185">
        <v>0</v>
      </c>
      <c r="AC428" s="185">
        <v>0</v>
      </c>
      <c r="AD428" s="188">
        <v>0</v>
      </c>
      <c r="AE428" s="185">
        <v>0</v>
      </c>
      <c r="AF428" s="185">
        <v>0</v>
      </c>
      <c r="AG428" s="188">
        <v>0</v>
      </c>
      <c r="AH428" s="185">
        <v>0</v>
      </c>
      <c r="AI428" s="185">
        <v>0</v>
      </c>
      <c r="AJ428" s="303">
        <v>0</v>
      </c>
      <c r="AK428" s="185">
        <v>0</v>
      </c>
      <c r="AL428" s="185">
        <v>0</v>
      </c>
      <c r="AM428" s="188">
        <v>851</v>
      </c>
      <c r="AN428" s="185">
        <v>0.28206827974809412</v>
      </c>
      <c r="AO428" s="185">
        <v>0.29691397868220432</v>
      </c>
      <c r="AP428" s="185"/>
      <c r="AQ428" s="188">
        <v>851</v>
      </c>
      <c r="AR428" s="185">
        <v>0.28206827974809412</v>
      </c>
      <c r="AS428" s="185">
        <v>0.29691397868220432</v>
      </c>
      <c r="AT428" s="188">
        <v>851</v>
      </c>
      <c r="AU428" s="185">
        <v>0.28206827974809412</v>
      </c>
      <c r="AV428" s="185">
        <v>0.29691397868220432</v>
      </c>
      <c r="AW428" s="185"/>
      <c r="AX428" s="185"/>
      <c r="AY428" s="185"/>
      <c r="AZ428" s="185"/>
      <c r="BA428" s="185"/>
      <c r="BB428" s="185"/>
      <c r="BC428" s="188">
        <v>851</v>
      </c>
      <c r="BD428" s="185">
        <v>0.28206827974809412</v>
      </c>
      <c r="BE428" s="185">
        <v>0.29691397868220432</v>
      </c>
      <c r="BF428" s="188"/>
      <c r="BG428" s="188">
        <v>1523</v>
      </c>
      <c r="BH428" s="185">
        <v>0.50480609877361615</v>
      </c>
      <c r="BI428" s="185">
        <v>0.53137484081433284</v>
      </c>
      <c r="BJ428" s="188">
        <f t="shared" si="372"/>
        <v>2866.15</v>
      </c>
      <c r="BK428" s="188">
        <f>BK429+BK430</f>
        <v>1523</v>
      </c>
      <c r="BL428" s="185">
        <f t="shared" si="358"/>
        <v>0.50480609877361615</v>
      </c>
      <c r="BM428" s="185">
        <f t="shared" si="373"/>
        <v>0.53137484081433284</v>
      </c>
      <c r="BN428" s="205">
        <f t="shared" si="356"/>
        <v>1523</v>
      </c>
      <c r="BO428" s="205"/>
      <c r="BP428" s="189">
        <f>BP429+BP430</f>
        <v>0</v>
      </c>
      <c r="BQ428" s="186">
        <f t="shared" si="359"/>
        <v>0</v>
      </c>
      <c r="BR428" s="189">
        <f>BR429+BR430</f>
        <v>0</v>
      </c>
      <c r="BS428" s="186">
        <f t="shared" si="360"/>
        <v>0</v>
      </c>
      <c r="BT428" s="189">
        <f>BT429+BT430</f>
        <v>0</v>
      </c>
      <c r="BU428" s="186">
        <f t="shared" si="361"/>
        <v>0</v>
      </c>
      <c r="BV428" s="189">
        <f>BV429+BV430</f>
        <v>150</v>
      </c>
      <c r="BW428" s="186">
        <f t="shared" si="362"/>
        <v>4.9718263175339741E-2</v>
      </c>
      <c r="BX428" s="189">
        <f>BX429+BX430</f>
        <v>150</v>
      </c>
      <c r="BY428" s="186">
        <f t="shared" si="363"/>
        <v>4.9718263175339741E-2</v>
      </c>
      <c r="BZ428" s="189">
        <f>BZ429+BZ430</f>
        <v>1500</v>
      </c>
      <c r="CA428" s="186">
        <f t="shared" si="364"/>
        <v>0.49718263175339744</v>
      </c>
      <c r="CB428" s="189">
        <f>CB429+CB430</f>
        <v>1500</v>
      </c>
      <c r="CC428" s="186">
        <f t="shared" si="365"/>
        <v>0.49718263175339744</v>
      </c>
      <c r="CD428" s="189">
        <f>CD429+CD430</f>
        <v>1668</v>
      </c>
      <c r="CE428" s="186">
        <f t="shared" si="345"/>
        <v>0.55286708650977789</v>
      </c>
      <c r="CF428" s="189">
        <f>CF429+CF430</f>
        <v>2300</v>
      </c>
      <c r="CG428" s="186">
        <f t="shared" si="366"/>
        <v>0.76234670202187604</v>
      </c>
      <c r="CH428" s="189">
        <f>CH429+CH430</f>
        <v>2372</v>
      </c>
      <c r="CI428" s="186">
        <f t="shared" si="346"/>
        <v>0.78621146834603917</v>
      </c>
      <c r="CJ428" s="189">
        <f>CJ429+CJ430</f>
        <v>2723</v>
      </c>
      <c r="CK428" s="186">
        <f t="shared" si="367"/>
        <v>0.90255220417633408</v>
      </c>
      <c r="CL428" s="189">
        <f>CL429+CL430</f>
        <v>2866.15</v>
      </c>
      <c r="CM428" s="186">
        <f t="shared" si="368"/>
        <v>0.95000000000000007</v>
      </c>
      <c r="CN428" s="189">
        <f>CN429+CN430</f>
        <v>2866.15</v>
      </c>
      <c r="CO428" s="186">
        <f t="shared" si="369"/>
        <v>0.95000000000000007</v>
      </c>
      <c r="CP428" s="213" t="str">
        <f t="shared" si="374"/>
        <v>Đạt</v>
      </c>
      <c r="CQ428" s="213" t="str">
        <f t="shared" si="375"/>
        <v>Đạt</v>
      </c>
      <c r="CR428" s="213"/>
      <c r="CS428" s="213"/>
      <c r="CT428" s="231"/>
      <c r="CU428" s="163"/>
      <c r="CW428" s="195"/>
      <c r="CX428" s="196"/>
      <c r="CY428" s="196"/>
      <c r="CZ428" s="197"/>
      <c r="DA428" s="196"/>
      <c r="DB428" s="196"/>
      <c r="DC428" s="196"/>
      <c r="DE428" s="199"/>
      <c r="DF428" s="200"/>
      <c r="DG428" s="181"/>
    </row>
    <row r="429" spans="1:111" s="324" customFormat="1" outlineLevel="1" x14ac:dyDescent="0.25">
      <c r="A429" s="305" t="s">
        <v>34</v>
      </c>
      <c r="B429" s="306" t="s">
        <v>376</v>
      </c>
      <c r="C429" s="306"/>
      <c r="D429" s="307">
        <f>E429+F429</f>
        <v>3000</v>
      </c>
      <c r="E429" s="307"/>
      <c r="F429" s="307">
        <f>G429+H429+K429+M429</f>
        <v>3000</v>
      </c>
      <c r="G429" s="303">
        <v>3000</v>
      </c>
      <c r="H429" s="303"/>
      <c r="I429" s="235"/>
      <c r="J429" s="235"/>
      <c r="K429" s="303"/>
      <c r="L429" s="235"/>
      <c r="M429" s="223"/>
      <c r="N429" s="223"/>
      <c r="O429" s="303">
        <f t="shared" ref="O429:O466" si="386">G429+I429+L429+N429</f>
        <v>3000</v>
      </c>
      <c r="P429" s="303">
        <v>0</v>
      </c>
      <c r="Q429" s="308">
        <f t="shared" si="371"/>
        <v>0</v>
      </c>
      <c r="R429" s="303"/>
      <c r="S429" s="313">
        <v>0</v>
      </c>
      <c r="T429" s="313">
        <v>0</v>
      </c>
      <c r="U429" s="303"/>
      <c r="V429" s="313">
        <v>0</v>
      </c>
      <c r="W429" s="313">
        <v>0</v>
      </c>
      <c r="X429" s="303"/>
      <c r="Y429" s="313">
        <v>0</v>
      </c>
      <c r="Z429" s="313">
        <v>0</v>
      </c>
      <c r="AA429" s="303"/>
      <c r="AB429" s="313">
        <v>0</v>
      </c>
      <c r="AC429" s="313">
        <v>0</v>
      </c>
      <c r="AD429" s="303"/>
      <c r="AE429" s="313">
        <v>0</v>
      </c>
      <c r="AF429" s="313">
        <v>0</v>
      </c>
      <c r="AG429" s="303"/>
      <c r="AH429" s="313">
        <v>0</v>
      </c>
      <c r="AI429" s="313">
        <v>0</v>
      </c>
      <c r="AJ429" s="303"/>
      <c r="AK429" s="313">
        <v>0</v>
      </c>
      <c r="AL429" s="313">
        <v>0</v>
      </c>
      <c r="AM429" s="303">
        <v>851</v>
      </c>
      <c r="AN429" s="313">
        <v>0.28366666666666668</v>
      </c>
      <c r="AO429" s="313">
        <v>0.29859649122807019</v>
      </c>
      <c r="AP429" s="313"/>
      <c r="AQ429" s="303">
        <v>851</v>
      </c>
      <c r="AR429" s="313">
        <v>0.28366666666666668</v>
      </c>
      <c r="AS429" s="313">
        <v>0.29859649122807019</v>
      </c>
      <c r="AT429" s="303">
        <v>851</v>
      </c>
      <c r="AU429" s="313">
        <v>0.28366666666666668</v>
      </c>
      <c r="AV429" s="313">
        <v>0.29859649122807019</v>
      </c>
      <c r="AW429" s="313"/>
      <c r="AX429" s="313"/>
      <c r="AY429" s="313"/>
      <c r="AZ429" s="313"/>
      <c r="BA429" s="313"/>
      <c r="BB429" s="313"/>
      <c r="BC429" s="303">
        <v>851</v>
      </c>
      <c r="BD429" s="313">
        <v>0.28366666666666668</v>
      </c>
      <c r="BE429" s="313">
        <v>0.29859649122807019</v>
      </c>
      <c r="BF429" s="303"/>
      <c r="BG429" s="303">
        <v>1523</v>
      </c>
      <c r="BH429" s="313">
        <v>0.50766666666666671</v>
      </c>
      <c r="BI429" s="313">
        <v>0.53438596491228074</v>
      </c>
      <c r="BJ429" s="303">
        <f t="shared" si="372"/>
        <v>2850</v>
      </c>
      <c r="BK429" s="303">
        <v>1523</v>
      </c>
      <c r="BL429" s="313">
        <f t="shared" si="358"/>
        <v>0.50766666666666671</v>
      </c>
      <c r="BM429" s="313">
        <f t="shared" si="373"/>
        <v>0.53438596491228074</v>
      </c>
      <c r="BN429" s="205">
        <f t="shared" si="356"/>
        <v>1523</v>
      </c>
      <c r="BO429" s="205"/>
      <c r="BP429" s="310"/>
      <c r="BQ429" s="311">
        <f t="shared" si="359"/>
        <v>0</v>
      </c>
      <c r="BR429" s="310"/>
      <c r="BS429" s="311">
        <f t="shared" si="360"/>
        <v>0</v>
      </c>
      <c r="BT429" s="310"/>
      <c r="BU429" s="308">
        <f t="shared" si="361"/>
        <v>0</v>
      </c>
      <c r="BV429" s="310">
        <v>150</v>
      </c>
      <c r="BW429" s="311">
        <f t="shared" si="362"/>
        <v>0.05</v>
      </c>
      <c r="BX429" s="310">
        <v>150</v>
      </c>
      <c r="BY429" s="311">
        <f t="shared" si="363"/>
        <v>0.05</v>
      </c>
      <c r="BZ429" s="310">
        <v>1492</v>
      </c>
      <c r="CA429" s="311">
        <f t="shared" si="364"/>
        <v>0.49733333333333335</v>
      </c>
      <c r="CB429" s="310">
        <v>1492</v>
      </c>
      <c r="CC429" s="311">
        <f t="shared" si="365"/>
        <v>0.49733333333333335</v>
      </c>
      <c r="CD429" s="310">
        <v>1660</v>
      </c>
      <c r="CE429" s="311">
        <f t="shared" si="345"/>
        <v>0.55333333333333334</v>
      </c>
      <c r="CF429" s="310">
        <v>2292</v>
      </c>
      <c r="CG429" s="311">
        <f t="shared" si="366"/>
        <v>0.76400000000000001</v>
      </c>
      <c r="CH429" s="310">
        <v>2364</v>
      </c>
      <c r="CI429" s="311">
        <f t="shared" si="346"/>
        <v>0.78800000000000003</v>
      </c>
      <c r="CJ429" s="310">
        <v>2711</v>
      </c>
      <c r="CK429" s="311">
        <f t="shared" si="367"/>
        <v>0.90366666666666662</v>
      </c>
      <c r="CL429" s="310">
        <v>2850</v>
      </c>
      <c r="CM429" s="311">
        <f t="shared" si="368"/>
        <v>0.95</v>
      </c>
      <c r="CN429" s="310">
        <v>2850</v>
      </c>
      <c r="CO429" s="311">
        <f t="shared" si="369"/>
        <v>0.95</v>
      </c>
      <c r="CP429" s="213" t="str">
        <f t="shared" si="374"/>
        <v>Đạt</v>
      </c>
      <c r="CQ429" s="213" t="str">
        <f t="shared" si="375"/>
        <v>Đạt</v>
      </c>
      <c r="CR429" s="312"/>
      <c r="CS429" s="312"/>
      <c r="CT429" s="235"/>
      <c r="CU429" s="163"/>
      <c r="CV429" s="323"/>
      <c r="CW429" s="195"/>
      <c r="CX429" s="196"/>
      <c r="CY429" s="196"/>
      <c r="CZ429" s="197"/>
      <c r="DA429" s="196"/>
      <c r="DB429" s="196"/>
      <c r="DC429" s="196"/>
      <c r="DE429" s="199"/>
      <c r="DF429" s="200"/>
      <c r="DG429" s="181"/>
    </row>
    <row r="430" spans="1:111" ht="45.75" customHeight="1" outlineLevel="1" x14ac:dyDescent="0.25">
      <c r="A430" s="305" t="s">
        <v>34</v>
      </c>
      <c r="B430" s="306" t="s">
        <v>377</v>
      </c>
      <c r="C430" s="306"/>
      <c r="D430" s="307">
        <f>E430+F430</f>
        <v>17</v>
      </c>
      <c r="E430" s="307"/>
      <c r="F430" s="307">
        <f>G430+H430+K430+M430</f>
        <v>17</v>
      </c>
      <c r="G430" s="307"/>
      <c r="H430" s="307">
        <v>17</v>
      </c>
      <c r="I430" s="235"/>
      <c r="J430" s="235"/>
      <c r="K430" s="303"/>
      <c r="L430" s="235"/>
      <c r="M430" s="223"/>
      <c r="N430" s="223"/>
      <c r="O430" s="303"/>
      <c r="P430" s="303">
        <v>0</v>
      </c>
      <c r="Q430" s="308">
        <f t="shared" si="371"/>
        <v>0</v>
      </c>
      <c r="R430" s="303"/>
      <c r="S430" s="313">
        <v>0</v>
      </c>
      <c r="T430" s="313">
        <v>0</v>
      </c>
      <c r="U430" s="303"/>
      <c r="V430" s="313">
        <v>0</v>
      </c>
      <c r="W430" s="313">
        <v>0</v>
      </c>
      <c r="X430" s="303"/>
      <c r="Y430" s="313">
        <v>0</v>
      </c>
      <c r="Z430" s="313">
        <v>0</v>
      </c>
      <c r="AA430" s="303"/>
      <c r="AB430" s="313">
        <v>0</v>
      </c>
      <c r="AC430" s="313">
        <v>0</v>
      </c>
      <c r="AD430" s="303"/>
      <c r="AE430" s="313">
        <v>0</v>
      </c>
      <c r="AF430" s="313">
        <v>0</v>
      </c>
      <c r="AG430" s="303"/>
      <c r="AH430" s="313">
        <v>0</v>
      </c>
      <c r="AI430" s="313">
        <v>0</v>
      </c>
      <c r="AJ430" s="188"/>
      <c r="AK430" s="313">
        <v>0</v>
      </c>
      <c r="AL430" s="313">
        <v>0</v>
      </c>
      <c r="AM430" s="303"/>
      <c r="AN430" s="313">
        <v>0</v>
      </c>
      <c r="AO430" s="313">
        <v>0</v>
      </c>
      <c r="AP430" s="313"/>
      <c r="AQ430" s="303"/>
      <c r="AR430" s="313">
        <v>0</v>
      </c>
      <c r="AS430" s="313">
        <v>0</v>
      </c>
      <c r="AT430" s="303"/>
      <c r="AU430" s="313">
        <v>0</v>
      </c>
      <c r="AV430" s="313">
        <v>0</v>
      </c>
      <c r="AW430" s="313"/>
      <c r="AX430" s="313"/>
      <c r="AY430" s="313"/>
      <c r="AZ430" s="313"/>
      <c r="BA430" s="313"/>
      <c r="BB430" s="313"/>
      <c r="BC430" s="303"/>
      <c r="BD430" s="313">
        <v>0</v>
      </c>
      <c r="BE430" s="313">
        <v>0</v>
      </c>
      <c r="BF430" s="303"/>
      <c r="BG430" s="303"/>
      <c r="BH430" s="313">
        <v>0</v>
      </c>
      <c r="BI430" s="313">
        <v>0</v>
      </c>
      <c r="BJ430" s="303">
        <f t="shared" si="372"/>
        <v>16.149999999999999</v>
      </c>
      <c r="BK430" s="303"/>
      <c r="BL430" s="313">
        <f t="shared" si="358"/>
        <v>0</v>
      </c>
      <c r="BM430" s="313">
        <f t="shared" si="373"/>
        <v>0</v>
      </c>
      <c r="BN430" s="205">
        <f t="shared" si="356"/>
        <v>0</v>
      </c>
      <c r="BO430" s="205"/>
      <c r="BP430" s="310"/>
      <c r="BQ430" s="311">
        <f t="shared" si="359"/>
        <v>0</v>
      </c>
      <c r="BR430" s="310"/>
      <c r="BS430" s="311">
        <f t="shared" si="360"/>
        <v>0</v>
      </c>
      <c r="BT430" s="310"/>
      <c r="BU430" s="308">
        <f t="shared" si="361"/>
        <v>0</v>
      </c>
      <c r="BV430" s="310"/>
      <c r="BW430" s="311">
        <f t="shared" si="362"/>
        <v>0</v>
      </c>
      <c r="BX430" s="310"/>
      <c r="BY430" s="311">
        <f t="shared" si="363"/>
        <v>0</v>
      </c>
      <c r="BZ430" s="310">
        <v>8</v>
      </c>
      <c r="CA430" s="311">
        <f t="shared" si="364"/>
        <v>0.47058823529411764</v>
      </c>
      <c r="CB430" s="310">
        <v>8</v>
      </c>
      <c r="CC430" s="311">
        <f t="shared" si="365"/>
        <v>0.47058823529411764</v>
      </c>
      <c r="CD430" s="310">
        <v>8</v>
      </c>
      <c r="CE430" s="311">
        <f t="shared" si="345"/>
        <v>0.47058823529411764</v>
      </c>
      <c r="CF430" s="310">
        <v>8</v>
      </c>
      <c r="CG430" s="311">
        <f t="shared" si="366"/>
        <v>0.47058823529411764</v>
      </c>
      <c r="CH430" s="310">
        <v>8</v>
      </c>
      <c r="CI430" s="311">
        <f t="shared" si="346"/>
        <v>0.47058823529411764</v>
      </c>
      <c r="CJ430" s="310">
        <v>12</v>
      </c>
      <c r="CK430" s="311">
        <f t="shared" si="367"/>
        <v>0.70588235294117652</v>
      </c>
      <c r="CL430" s="310">
        <f>17*0.95</f>
        <v>16.149999999999999</v>
      </c>
      <c r="CM430" s="311">
        <f t="shared" si="368"/>
        <v>0.95</v>
      </c>
      <c r="CN430" s="310">
        <v>16.149999999999999</v>
      </c>
      <c r="CO430" s="311">
        <f t="shared" si="369"/>
        <v>0.95</v>
      </c>
      <c r="CP430" s="213" t="str">
        <f t="shared" si="374"/>
        <v>Không đạt</v>
      </c>
      <c r="CQ430" s="213" t="str">
        <f t="shared" si="375"/>
        <v>Không đạt</v>
      </c>
      <c r="CR430" s="312"/>
      <c r="CS430" s="312"/>
      <c r="CT430" s="235"/>
      <c r="CU430" s="163"/>
      <c r="CW430" s="195"/>
      <c r="CX430" s="196"/>
      <c r="CY430" s="196"/>
      <c r="CZ430" s="197"/>
      <c r="DA430" s="196"/>
      <c r="DB430" s="196"/>
      <c r="DC430" s="196"/>
      <c r="DE430" s="199"/>
      <c r="DF430" s="200"/>
      <c r="DG430" s="181"/>
    </row>
    <row r="431" spans="1:111" ht="18" customHeight="1" x14ac:dyDescent="0.25">
      <c r="A431" s="348">
        <f>MAX(A$243:A429)+1</f>
        <v>57</v>
      </c>
      <c r="B431" s="240" t="s">
        <v>450</v>
      </c>
      <c r="C431" s="240"/>
      <c r="D431" s="188">
        <f t="shared" ref="D431:I431" si="387">D432</f>
        <v>3000</v>
      </c>
      <c r="E431" s="188">
        <f t="shared" si="387"/>
        <v>0</v>
      </c>
      <c r="F431" s="188">
        <f t="shared" si="387"/>
        <v>3000</v>
      </c>
      <c r="G431" s="188">
        <f t="shared" si="387"/>
        <v>3000</v>
      </c>
      <c r="H431" s="188">
        <f t="shared" si="387"/>
        <v>0</v>
      </c>
      <c r="I431" s="188">
        <f t="shared" si="387"/>
        <v>0</v>
      </c>
      <c r="J431" s="188"/>
      <c r="K431" s="188">
        <f>K432</f>
        <v>0</v>
      </c>
      <c r="L431" s="188">
        <f>L432</f>
        <v>0</v>
      </c>
      <c r="M431" s="231"/>
      <c r="N431" s="231"/>
      <c r="O431" s="188">
        <f t="shared" si="386"/>
        <v>3000</v>
      </c>
      <c r="P431" s="188">
        <v>0</v>
      </c>
      <c r="Q431" s="186">
        <f t="shared" si="371"/>
        <v>0</v>
      </c>
      <c r="R431" s="188">
        <v>0</v>
      </c>
      <c r="S431" s="185">
        <v>0</v>
      </c>
      <c r="T431" s="185">
        <v>0</v>
      </c>
      <c r="U431" s="188">
        <v>0</v>
      </c>
      <c r="V431" s="185">
        <v>0</v>
      </c>
      <c r="W431" s="185">
        <v>0</v>
      </c>
      <c r="X431" s="188">
        <v>0</v>
      </c>
      <c r="Y431" s="185">
        <v>0</v>
      </c>
      <c r="Z431" s="185">
        <v>0</v>
      </c>
      <c r="AA431" s="188">
        <v>0</v>
      </c>
      <c r="AB431" s="185">
        <v>0</v>
      </c>
      <c r="AC431" s="185">
        <v>0</v>
      </c>
      <c r="AD431" s="188">
        <v>0</v>
      </c>
      <c r="AE431" s="185">
        <v>0</v>
      </c>
      <c r="AF431" s="185">
        <v>0</v>
      </c>
      <c r="AG431" s="188">
        <v>0</v>
      </c>
      <c r="AH431" s="185">
        <v>0</v>
      </c>
      <c r="AI431" s="185">
        <v>0</v>
      </c>
      <c r="AJ431" s="303">
        <v>0</v>
      </c>
      <c r="AK431" s="185">
        <v>0</v>
      </c>
      <c r="AL431" s="185">
        <v>0</v>
      </c>
      <c r="AM431" s="188">
        <v>987</v>
      </c>
      <c r="AN431" s="185">
        <v>0.32900000000000001</v>
      </c>
      <c r="AO431" s="185">
        <v>0.34631578947368419</v>
      </c>
      <c r="AP431" s="185"/>
      <c r="AQ431" s="188">
        <v>1324</v>
      </c>
      <c r="AR431" s="185">
        <v>0.44133333333333336</v>
      </c>
      <c r="AS431" s="185">
        <v>0.46456140350877195</v>
      </c>
      <c r="AT431" s="188">
        <v>1324</v>
      </c>
      <c r="AU431" s="185">
        <v>0.44133333333333336</v>
      </c>
      <c r="AV431" s="185">
        <v>0.46456140350877195</v>
      </c>
      <c r="AW431" s="185"/>
      <c r="AX431" s="185"/>
      <c r="AY431" s="185"/>
      <c r="AZ431" s="185"/>
      <c r="BA431" s="185"/>
      <c r="BB431" s="185"/>
      <c r="BC431" s="188">
        <v>1324</v>
      </c>
      <c r="BD431" s="185">
        <v>0.44133333333333336</v>
      </c>
      <c r="BE431" s="185">
        <v>0.46456140350877195</v>
      </c>
      <c r="BF431" s="188"/>
      <c r="BG431" s="188">
        <v>1969.8820000000001</v>
      </c>
      <c r="BH431" s="185">
        <v>0.65662733333333334</v>
      </c>
      <c r="BI431" s="185">
        <v>0.69118666666666673</v>
      </c>
      <c r="BJ431" s="188">
        <f t="shared" si="372"/>
        <v>2850</v>
      </c>
      <c r="BK431" s="188">
        <v>2104</v>
      </c>
      <c r="BL431" s="185">
        <f t="shared" si="358"/>
        <v>0.70133333333333336</v>
      </c>
      <c r="BM431" s="185">
        <f t="shared" si="373"/>
        <v>0.7382456140350877</v>
      </c>
      <c r="BN431" s="205">
        <f t="shared" si="356"/>
        <v>2104</v>
      </c>
      <c r="BO431" s="205"/>
      <c r="BP431" s="189">
        <f>BP432</f>
        <v>0</v>
      </c>
      <c r="BQ431" s="186">
        <f t="shared" si="359"/>
        <v>0</v>
      </c>
      <c r="BR431" s="189">
        <f>BR432</f>
        <v>0</v>
      </c>
      <c r="BS431" s="186">
        <f t="shared" si="360"/>
        <v>0</v>
      </c>
      <c r="BT431" s="189">
        <f>BT432</f>
        <v>0</v>
      </c>
      <c r="BU431" s="186">
        <f t="shared" si="361"/>
        <v>0</v>
      </c>
      <c r="BV431" s="189">
        <f>BV432</f>
        <v>150</v>
      </c>
      <c r="BW431" s="186">
        <f t="shared" si="362"/>
        <v>0.05</v>
      </c>
      <c r="BX431" s="189">
        <f>BX432</f>
        <v>150</v>
      </c>
      <c r="BY431" s="186">
        <f t="shared" si="363"/>
        <v>0.05</v>
      </c>
      <c r="BZ431" s="189">
        <f>BZ432</f>
        <v>1500</v>
      </c>
      <c r="CA431" s="186">
        <f t="shared" si="364"/>
        <v>0.5</v>
      </c>
      <c r="CB431" s="189">
        <f>CB432</f>
        <v>1770</v>
      </c>
      <c r="CC431" s="186">
        <f t="shared" si="365"/>
        <v>0.59</v>
      </c>
      <c r="CD431" s="189">
        <f>CD432</f>
        <v>2040</v>
      </c>
      <c r="CE431" s="186">
        <f t="shared" si="345"/>
        <v>0.68</v>
      </c>
      <c r="CF431" s="189">
        <f>CF432</f>
        <v>2310</v>
      </c>
      <c r="CG431" s="186">
        <f t="shared" si="366"/>
        <v>0.77</v>
      </c>
      <c r="CH431" s="189">
        <f>CH432</f>
        <v>2540</v>
      </c>
      <c r="CI431" s="186">
        <f t="shared" si="346"/>
        <v>0.84666666666666668</v>
      </c>
      <c r="CJ431" s="189">
        <f>CJ432</f>
        <v>2640</v>
      </c>
      <c r="CK431" s="186">
        <f t="shared" si="367"/>
        <v>0.88</v>
      </c>
      <c r="CL431" s="189">
        <f>CL432</f>
        <v>2770</v>
      </c>
      <c r="CM431" s="186">
        <f t="shared" si="368"/>
        <v>0.92333333333333334</v>
      </c>
      <c r="CN431" s="189">
        <f>CN432</f>
        <v>2850</v>
      </c>
      <c r="CO431" s="186">
        <f t="shared" si="369"/>
        <v>0.95</v>
      </c>
      <c r="CP431" s="213" t="str">
        <f t="shared" si="374"/>
        <v>Đạt</v>
      </c>
      <c r="CQ431" s="213" t="str">
        <f t="shared" si="375"/>
        <v>Đạt</v>
      </c>
      <c r="CR431" s="213"/>
      <c r="CS431" s="213"/>
      <c r="CT431" s="231"/>
      <c r="CU431" s="163"/>
      <c r="CW431" s="195"/>
      <c r="CX431" s="196"/>
      <c r="CY431" s="196"/>
      <c r="CZ431" s="197"/>
      <c r="DA431" s="196"/>
      <c r="DB431" s="196"/>
      <c r="DC431" s="196"/>
      <c r="DE431" s="199"/>
      <c r="DF431" s="200"/>
      <c r="DG431" s="181"/>
    </row>
    <row r="432" spans="1:111" s="324" customFormat="1" outlineLevel="1" x14ac:dyDescent="0.25">
      <c r="A432" s="305" t="s">
        <v>34</v>
      </c>
      <c r="B432" s="306" t="s">
        <v>376</v>
      </c>
      <c r="C432" s="306"/>
      <c r="D432" s="307">
        <f>E432+F432</f>
        <v>3000</v>
      </c>
      <c r="E432" s="307"/>
      <c r="F432" s="307">
        <f>G432+H432+K432+M432</f>
        <v>3000</v>
      </c>
      <c r="G432" s="303">
        <v>3000</v>
      </c>
      <c r="H432" s="303"/>
      <c r="I432" s="235"/>
      <c r="J432" s="235"/>
      <c r="K432" s="303"/>
      <c r="L432" s="235"/>
      <c r="M432" s="223"/>
      <c r="N432" s="223"/>
      <c r="O432" s="303">
        <f t="shared" si="386"/>
        <v>3000</v>
      </c>
      <c r="P432" s="303">
        <v>0</v>
      </c>
      <c r="Q432" s="308">
        <f t="shared" si="371"/>
        <v>0</v>
      </c>
      <c r="R432" s="303"/>
      <c r="S432" s="313">
        <v>0</v>
      </c>
      <c r="T432" s="313">
        <v>0</v>
      </c>
      <c r="U432" s="303"/>
      <c r="V432" s="313">
        <v>0</v>
      </c>
      <c r="W432" s="313">
        <v>0</v>
      </c>
      <c r="X432" s="303"/>
      <c r="Y432" s="313">
        <v>0</v>
      </c>
      <c r="Z432" s="313">
        <v>0</v>
      </c>
      <c r="AA432" s="303"/>
      <c r="AB432" s="313">
        <v>0</v>
      </c>
      <c r="AC432" s="313">
        <v>0</v>
      </c>
      <c r="AD432" s="303"/>
      <c r="AE432" s="313">
        <v>0</v>
      </c>
      <c r="AF432" s="313">
        <v>0</v>
      </c>
      <c r="AG432" s="303"/>
      <c r="AH432" s="313">
        <v>0</v>
      </c>
      <c r="AI432" s="313">
        <v>0</v>
      </c>
      <c r="AJ432" s="188"/>
      <c r="AK432" s="313">
        <v>0</v>
      </c>
      <c r="AL432" s="313">
        <v>0</v>
      </c>
      <c r="AM432" s="303">
        <v>987</v>
      </c>
      <c r="AN432" s="313">
        <v>0.32900000000000001</v>
      </c>
      <c r="AO432" s="313">
        <v>0.34631578947368419</v>
      </c>
      <c r="AP432" s="313"/>
      <c r="AQ432" s="303">
        <v>1324</v>
      </c>
      <c r="AR432" s="313">
        <v>0.44133333333333336</v>
      </c>
      <c r="AS432" s="313">
        <v>0.46456140350877195</v>
      </c>
      <c r="AT432" s="303">
        <v>1324</v>
      </c>
      <c r="AU432" s="313">
        <v>0.44133333333333336</v>
      </c>
      <c r="AV432" s="313">
        <v>0.46456140350877195</v>
      </c>
      <c r="AW432" s="313"/>
      <c r="AX432" s="313"/>
      <c r="AY432" s="313"/>
      <c r="AZ432" s="313"/>
      <c r="BA432" s="313"/>
      <c r="BB432" s="313"/>
      <c r="BC432" s="303">
        <v>1324</v>
      </c>
      <c r="BD432" s="313">
        <v>0.44133333333333336</v>
      </c>
      <c r="BE432" s="313">
        <v>0.46456140350877195</v>
      </c>
      <c r="BF432" s="303"/>
      <c r="BG432" s="303">
        <v>1969.8820000000001</v>
      </c>
      <c r="BH432" s="313">
        <v>0.65662733333333334</v>
      </c>
      <c r="BI432" s="313">
        <v>0.69118666666666673</v>
      </c>
      <c r="BJ432" s="303">
        <f t="shared" si="372"/>
        <v>2850</v>
      </c>
      <c r="BK432" s="303">
        <v>1969.8820000000001</v>
      </c>
      <c r="BL432" s="313">
        <f t="shared" si="358"/>
        <v>0.65662733333333334</v>
      </c>
      <c r="BM432" s="313">
        <f t="shared" si="373"/>
        <v>0.69118666666666673</v>
      </c>
      <c r="BN432" s="205">
        <f t="shared" si="356"/>
        <v>1969.8820000000001</v>
      </c>
      <c r="BO432" s="205"/>
      <c r="BP432" s="310"/>
      <c r="BQ432" s="311">
        <f t="shared" si="359"/>
        <v>0</v>
      </c>
      <c r="BR432" s="310"/>
      <c r="BS432" s="311">
        <f t="shared" si="360"/>
        <v>0</v>
      </c>
      <c r="BT432" s="310"/>
      <c r="BU432" s="308">
        <f t="shared" si="361"/>
        <v>0</v>
      </c>
      <c r="BV432" s="310">
        <v>150</v>
      </c>
      <c r="BW432" s="311">
        <f t="shared" si="362"/>
        <v>0.05</v>
      </c>
      <c r="BX432" s="310">
        <v>150</v>
      </c>
      <c r="BY432" s="311">
        <f t="shared" si="363"/>
        <v>0.05</v>
      </c>
      <c r="BZ432" s="310">
        <v>1500</v>
      </c>
      <c r="CA432" s="311">
        <f t="shared" si="364"/>
        <v>0.5</v>
      </c>
      <c r="CB432" s="310">
        <v>1770</v>
      </c>
      <c r="CC432" s="311">
        <f t="shared" si="365"/>
        <v>0.59</v>
      </c>
      <c r="CD432" s="310">
        <v>2040</v>
      </c>
      <c r="CE432" s="311">
        <f t="shared" si="345"/>
        <v>0.68</v>
      </c>
      <c r="CF432" s="310">
        <v>2310</v>
      </c>
      <c r="CG432" s="311">
        <f t="shared" si="366"/>
        <v>0.77</v>
      </c>
      <c r="CH432" s="310">
        <v>2540</v>
      </c>
      <c r="CI432" s="311">
        <f t="shared" si="346"/>
        <v>0.84666666666666668</v>
      </c>
      <c r="CJ432" s="310">
        <v>2640</v>
      </c>
      <c r="CK432" s="311">
        <f t="shared" si="367"/>
        <v>0.88</v>
      </c>
      <c r="CL432" s="310">
        <v>2770</v>
      </c>
      <c r="CM432" s="311">
        <f t="shared" si="368"/>
        <v>0.92333333333333334</v>
      </c>
      <c r="CN432" s="310">
        <v>2850</v>
      </c>
      <c r="CO432" s="311">
        <f t="shared" si="369"/>
        <v>0.95</v>
      </c>
      <c r="CP432" s="213" t="str">
        <f t="shared" si="374"/>
        <v>Đạt</v>
      </c>
      <c r="CQ432" s="213" t="str">
        <f t="shared" si="375"/>
        <v>Đạt</v>
      </c>
      <c r="CR432" s="312"/>
      <c r="CS432" s="312"/>
      <c r="CT432" s="235"/>
      <c r="CU432" s="163"/>
      <c r="CV432" s="323"/>
      <c r="CW432" s="195"/>
      <c r="CX432" s="196"/>
      <c r="CY432" s="196"/>
      <c r="CZ432" s="197"/>
      <c r="DA432" s="196"/>
      <c r="DB432" s="196"/>
      <c r="DC432" s="196"/>
      <c r="DE432" s="199"/>
      <c r="DF432" s="200"/>
      <c r="DG432" s="181"/>
    </row>
    <row r="433" spans="1:111" ht="18" customHeight="1" x14ac:dyDescent="0.25">
      <c r="A433" s="213">
        <f>MAX(A$243:A432)+1</f>
        <v>58</v>
      </c>
      <c r="B433" s="240" t="s">
        <v>451</v>
      </c>
      <c r="C433" s="240"/>
      <c r="D433" s="188">
        <f>D435+D437+D438+D434</f>
        <v>14948.663</v>
      </c>
      <c r="E433" s="188">
        <f t="shared" ref="E433:BC433" si="388">E435+E437+E438+E434</f>
        <v>0</v>
      </c>
      <c r="F433" s="188">
        <f t="shared" si="388"/>
        <v>14948.663</v>
      </c>
      <c r="G433" s="188">
        <f t="shared" si="388"/>
        <v>3573.663</v>
      </c>
      <c r="H433" s="188">
        <f t="shared" si="388"/>
        <v>11375</v>
      </c>
      <c r="I433" s="188">
        <f t="shared" si="388"/>
        <v>0</v>
      </c>
      <c r="J433" s="188">
        <f t="shared" si="388"/>
        <v>0</v>
      </c>
      <c r="K433" s="188">
        <f t="shared" si="388"/>
        <v>0</v>
      </c>
      <c r="L433" s="188">
        <f t="shared" si="388"/>
        <v>0</v>
      </c>
      <c r="M433" s="188">
        <f t="shared" si="388"/>
        <v>0</v>
      </c>
      <c r="N433" s="188">
        <f t="shared" si="388"/>
        <v>0</v>
      </c>
      <c r="O433" s="188">
        <f t="shared" si="388"/>
        <v>3000</v>
      </c>
      <c r="P433" s="188">
        <f t="shared" si="388"/>
        <v>0</v>
      </c>
      <c r="Q433" s="188">
        <f t="shared" si="388"/>
        <v>0</v>
      </c>
      <c r="R433" s="188">
        <f t="shared" si="388"/>
        <v>0</v>
      </c>
      <c r="S433" s="188">
        <f t="shared" si="388"/>
        <v>0</v>
      </c>
      <c r="T433" s="188">
        <f t="shared" si="388"/>
        <v>0</v>
      </c>
      <c r="U433" s="188">
        <f t="shared" si="388"/>
        <v>0</v>
      </c>
      <c r="V433" s="188">
        <f t="shared" si="388"/>
        <v>0</v>
      </c>
      <c r="W433" s="188">
        <f t="shared" si="388"/>
        <v>0</v>
      </c>
      <c r="X433" s="188">
        <f t="shared" si="388"/>
        <v>0</v>
      </c>
      <c r="Y433" s="188">
        <f t="shared" si="388"/>
        <v>0</v>
      </c>
      <c r="Z433" s="188">
        <f t="shared" si="388"/>
        <v>0</v>
      </c>
      <c r="AA433" s="188">
        <f t="shared" si="388"/>
        <v>0</v>
      </c>
      <c r="AB433" s="188">
        <f t="shared" si="388"/>
        <v>0</v>
      </c>
      <c r="AC433" s="188">
        <f t="shared" si="388"/>
        <v>0</v>
      </c>
      <c r="AD433" s="188">
        <f t="shared" si="388"/>
        <v>3176</v>
      </c>
      <c r="AE433" s="188">
        <f t="shared" si="388"/>
        <v>0.31759999999999999</v>
      </c>
      <c r="AF433" s="188">
        <f t="shared" si="388"/>
        <v>0.33431578947368423</v>
      </c>
      <c r="AG433" s="188">
        <f t="shared" si="388"/>
        <v>3176</v>
      </c>
      <c r="AH433" s="188">
        <f t="shared" si="388"/>
        <v>0.31759999999999999</v>
      </c>
      <c r="AI433" s="188">
        <f t="shared" si="388"/>
        <v>0.33431578947368423</v>
      </c>
      <c r="AJ433" s="188">
        <f t="shared" si="388"/>
        <v>3176</v>
      </c>
      <c r="AK433" s="188">
        <f t="shared" si="388"/>
        <v>0.31759999999999999</v>
      </c>
      <c r="AL433" s="188">
        <f t="shared" si="388"/>
        <v>0.33431578947368423</v>
      </c>
      <c r="AM433" s="188">
        <f t="shared" si="388"/>
        <v>3176</v>
      </c>
      <c r="AN433" s="188">
        <f t="shared" si="388"/>
        <v>0.31759999999999999</v>
      </c>
      <c r="AO433" s="188">
        <f t="shared" si="388"/>
        <v>0.33431578947368423</v>
      </c>
      <c r="AP433" s="188">
        <f t="shared" si="388"/>
        <v>0</v>
      </c>
      <c r="AQ433" s="188">
        <f t="shared" si="388"/>
        <v>2430</v>
      </c>
      <c r="AR433" s="188">
        <f t="shared" si="388"/>
        <v>0.81</v>
      </c>
      <c r="AS433" s="188">
        <f t="shared" si="388"/>
        <v>0.85263157894736841</v>
      </c>
      <c r="AT433" s="188">
        <f t="shared" si="388"/>
        <v>2430</v>
      </c>
      <c r="AU433" s="188">
        <f t="shared" si="388"/>
        <v>0.81</v>
      </c>
      <c r="AV433" s="188">
        <f t="shared" si="388"/>
        <v>0.85263157894736841</v>
      </c>
      <c r="AW433" s="188">
        <f t="shared" si="388"/>
        <v>0</v>
      </c>
      <c r="AX433" s="188">
        <f t="shared" si="388"/>
        <v>0</v>
      </c>
      <c r="AY433" s="188">
        <f t="shared" si="388"/>
        <v>0</v>
      </c>
      <c r="AZ433" s="188">
        <f t="shared" si="388"/>
        <v>0</v>
      </c>
      <c r="BA433" s="188">
        <f t="shared" si="388"/>
        <v>0</v>
      </c>
      <c r="BB433" s="188">
        <f t="shared" si="388"/>
        <v>0</v>
      </c>
      <c r="BC433" s="188">
        <f t="shared" si="388"/>
        <v>2430</v>
      </c>
      <c r="BD433" s="185">
        <v>0.16904347826086957</v>
      </c>
      <c r="BE433" s="185">
        <v>0.17794050343249429</v>
      </c>
      <c r="BF433" s="188"/>
      <c r="BG433" s="188">
        <v>3730.663</v>
      </c>
      <c r="BH433" s="185">
        <v>0.24956499454165232</v>
      </c>
      <c r="BI433" s="185">
        <v>0.26269999425437085</v>
      </c>
      <c r="BJ433" s="188">
        <f t="shared" si="372"/>
        <v>14201.22985</v>
      </c>
      <c r="BK433" s="188">
        <v>4335</v>
      </c>
      <c r="BL433" s="185">
        <f t="shared" si="358"/>
        <v>0.2899924896293401</v>
      </c>
      <c r="BM433" s="185">
        <f t="shared" si="373"/>
        <v>0.30525525224141065</v>
      </c>
      <c r="BN433" s="205">
        <f t="shared" si="356"/>
        <v>1159</v>
      </c>
      <c r="BO433" s="205"/>
      <c r="BP433" s="189">
        <f>BP435+BP437+BP438</f>
        <v>0</v>
      </c>
      <c r="BQ433" s="186">
        <f t="shared" si="359"/>
        <v>0</v>
      </c>
      <c r="BR433" s="189">
        <f>BR435+BR437+BR438</f>
        <v>0</v>
      </c>
      <c r="BS433" s="186">
        <f t="shared" si="360"/>
        <v>0</v>
      </c>
      <c r="BT433" s="189">
        <f>BT435+BT437+BT438</f>
        <v>500</v>
      </c>
      <c r="BU433" s="186">
        <f t="shared" si="361"/>
        <v>3.3447807339024228E-2</v>
      </c>
      <c r="BV433" s="189">
        <f>BV435+BV437+BV438</f>
        <v>1875</v>
      </c>
      <c r="BW433" s="186">
        <f t="shared" si="362"/>
        <v>0.12542927752134087</v>
      </c>
      <c r="BX433" s="189">
        <f>BX435+BX437+BX438</f>
        <v>3000</v>
      </c>
      <c r="BY433" s="186">
        <f t="shared" si="363"/>
        <v>0.20068684403414538</v>
      </c>
      <c r="BZ433" s="189">
        <f>BZ435+BZ437+BZ438</f>
        <v>4000</v>
      </c>
      <c r="CA433" s="186">
        <f t="shared" si="364"/>
        <v>0.26758245871219383</v>
      </c>
      <c r="CB433" s="189">
        <f>CB435+CB437+CB438</f>
        <v>5000</v>
      </c>
      <c r="CC433" s="186">
        <f t="shared" si="365"/>
        <v>0.33447807339024233</v>
      </c>
      <c r="CD433" s="189">
        <f>CD435+CD437+CD438</f>
        <v>5500</v>
      </c>
      <c r="CE433" s="186">
        <f t="shared" ref="CE433:CF457" si="389">CD433/$D433</f>
        <v>0.36792588072926652</v>
      </c>
      <c r="CF433" s="189">
        <f>CF435+CF437+CF438</f>
        <v>8500</v>
      </c>
      <c r="CG433" s="186">
        <f t="shared" si="366"/>
        <v>0.56861272476341196</v>
      </c>
      <c r="CH433" s="189">
        <f>CH435+CH437+CH438</f>
        <v>9000</v>
      </c>
      <c r="CI433" s="186">
        <f t="shared" ref="CI433:CJ457" si="390">CH433/$D433</f>
        <v>0.60206053210243615</v>
      </c>
      <c r="CJ433" s="189">
        <f>CJ435+CJ437+CJ438</f>
        <v>11000</v>
      </c>
      <c r="CK433" s="186">
        <f t="shared" si="367"/>
        <v>0.73585176145853304</v>
      </c>
      <c r="CL433" s="189">
        <f>CL435+CL437+CL438</f>
        <v>13656</v>
      </c>
      <c r="CM433" s="186">
        <f t="shared" si="368"/>
        <v>0.91352651404342977</v>
      </c>
      <c r="CN433" s="189">
        <f>CN435+CN437+CN438</f>
        <v>13656</v>
      </c>
      <c r="CO433" s="186">
        <f t="shared" si="369"/>
        <v>0.91352651404342977</v>
      </c>
      <c r="CP433" s="213" t="str">
        <f t="shared" si="374"/>
        <v>Không đạt</v>
      </c>
      <c r="CQ433" s="213" t="str">
        <f t="shared" si="375"/>
        <v>Không đạt</v>
      </c>
      <c r="CR433" s="213"/>
      <c r="CS433" s="213"/>
      <c r="CT433" s="231"/>
      <c r="CU433" s="163"/>
      <c r="CW433" s="195"/>
      <c r="CX433" s="196"/>
      <c r="CY433" s="196"/>
      <c r="CZ433" s="197"/>
      <c r="DA433" s="196"/>
      <c r="DB433" s="196"/>
      <c r="DC433" s="196"/>
      <c r="DE433" s="199"/>
      <c r="DF433" s="200"/>
      <c r="DG433" s="181"/>
    </row>
    <row r="434" spans="1:111" s="255" customFormat="1" outlineLevel="1" x14ac:dyDescent="0.25">
      <c r="A434" s="191" t="s">
        <v>34</v>
      </c>
      <c r="B434" s="210" t="s">
        <v>154</v>
      </c>
      <c r="C434" s="210"/>
      <c r="D434" s="188">
        <f>E434+F434</f>
        <v>573.66300000000001</v>
      </c>
      <c r="E434" s="189"/>
      <c r="F434" s="188">
        <f>G434+H434+K434+M434</f>
        <v>573.66300000000001</v>
      </c>
      <c r="G434" s="189">
        <v>573.66300000000001</v>
      </c>
      <c r="H434" s="189"/>
      <c r="I434" s="188"/>
      <c r="J434" s="188"/>
      <c r="K434" s="189"/>
      <c r="L434" s="188"/>
      <c r="M434" s="231"/>
      <c r="N434" s="231"/>
      <c r="O434" s="188"/>
      <c r="P434" s="188"/>
      <c r="Q434" s="186"/>
      <c r="R434" s="189"/>
      <c r="S434" s="185"/>
      <c r="T434" s="185"/>
      <c r="U434" s="189"/>
      <c r="V434" s="185"/>
      <c r="W434" s="185"/>
      <c r="X434" s="189"/>
      <c r="Y434" s="185"/>
      <c r="Z434" s="185"/>
      <c r="AA434" s="189"/>
      <c r="AB434" s="185"/>
      <c r="AC434" s="185"/>
      <c r="AD434" s="189"/>
      <c r="AE434" s="185"/>
      <c r="AF434" s="185"/>
      <c r="AG434" s="189"/>
      <c r="AH434" s="185"/>
      <c r="AI434" s="185"/>
      <c r="AJ434" s="188"/>
      <c r="AK434" s="185"/>
      <c r="AL434" s="185"/>
      <c r="AM434" s="189"/>
      <c r="AN434" s="185"/>
      <c r="AO434" s="185"/>
      <c r="AP434" s="185"/>
      <c r="AQ434" s="189"/>
      <c r="AR434" s="185"/>
      <c r="AS434" s="185"/>
      <c r="AT434" s="189"/>
      <c r="AU434" s="185"/>
      <c r="AV434" s="185"/>
      <c r="AW434" s="185"/>
      <c r="AX434" s="185"/>
      <c r="AY434" s="185"/>
      <c r="AZ434" s="185"/>
      <c r="BA434" s="185"/>
      <c r="BB434" s="185"/>
      <c r="BC434" s="189"/>
      <c r="BD434" s="185"/>
      <c r="BE434" s="185"/>
      <c r="BF434" s="189"/>
      <c r="BG434" s="189">
        <v>573.66300000000001</v>
      </c>
      <c r="BH434" s="185">
        <v>1</v>
      </c>
      <c r="BI434" s="185">
        <v>1</v>
      </c>
      <c r="BJ434" s="189">
        <f t="shared" si="372"/>
        <v>544.97984999999994</v>
      </c>
      <c r="BK434" s="189">
        <v>573.66300000000001</v>
      </c>
      <c r="BL434" s="185">
        <f t="shared" si="358"/>
        <v>1</v>
      </c>
      <c r="BM434" s="185">
        <f>BK434/$D434</f>
        <v>1</v>
      </c>
      <c r="BN434" s="185">
        <f t="shared" ref="BN434" si="391">BM434/$D434</f>
        <v>1.7431837158749998E-3</v>
      </c>
      <c r="BO434" s="185"/>
      <c r="BP434" s="185">
        <f t="shared" ref="BP434" si="392">BN434/$D434</f>
        <v>3.0386894672917722E-6</v>
      </c>
      <c r="BQ434" s="185">
        <f t="shared" si="359"/>
        <v>5.2969939969838951E-9</v>
      </c>
      <c r="BR434" s="185">
        <f t="shared" si="359"/>
        <v>9.2336336786299543E-12</v>
      </c>
      <c r="BS434" s="185">
        <f t="shared" si="360"/>
        <v>1.6095919866942706E-14</v>
      </c>
      <c r="BT434" s="185">
        <f t="shared" si="360"/>
        <v>2.8058145404083418E-17</v>
      </c>
      <c r="BU434" s="185">
        <f t="shared" si="361"/>
        <v>4.8910502166051177E-20</v>
      </c>
      <c r="BV434" s="185">
        <f t="shared" si="361"/>
        <v>8.5259990911129315E-23</v>
      </c>
      <c r="BW434" s="185">
        <f t="shared" si="362"/>
        <v>1.4862382777193111E-25</v>
      </c>
      <c r="BX434" s="185">
        <f t="shared" si="362"/>
        <v>2.5907863636304087E-28</v>
      </c>
      <c r="BY434" s="185">
        <f t="shared" si="363"/>
        <v>4.5162166003915342E-31</v>
      </c>
      <c r="BZ434" s="185">
        <f t="shared" si="363"/>
        <v>7.8725952351668733E-34</v>
      </c>
      <c r="CA434" s="185">
        <f t="shared" si="364"/>
        <v>1.3723379815618007E-36</v>
      </c>
      <c r="CB434" s="185">
        <f t="shared" si="364"/>
        <v>2.3922372221352967E-39</v>
      </c>
      <c r="CC434" s="185">
        <f t="shared" si="365"/>
        <v>4.1701089701362935E-42</v>
      </c>
      <c r="CD434" s="185">
        <f t="shared" si="365"/>
        <v>7.2692660501658524E-45</v>
      </c>
      <c r="CE434" s="185">
        <f t="shared" si="389"/>
        <v>1.2671666205012094E-47</v>
      </c>
      <c r="CF434" s="185">
        <f t="shared" si="389"/>
        <v>2.2089042181580639E-50</v>
      </c>
      <c r="CG434" s="185">
        <f t="shared" si="366"/>
        <v>3.8505258630207348E-53</v>
      </c>
      <c r="CH434" s="185">
        <f t="shared" si="366"/>
        <v>6.7121739819732745E-56</v>
      </c>
      <c r="CI434" s="185">
        <f t="shared" si="390"/>
        <v>1.1700552383495666E-58</v>
      </c>
      <c r="CJ434" s="185">
        <f t="shared" si="390"/>
        <v>2.039621238165206E-61</v>
      </c>
      <c r="CK434" s="185">
        <f t="shared" si="367"/>
        <v>3.5554345289223919E-64</v>
      </c>
      <c r="CL434" s="185">
        <f t="shared" si="367"/>
        <v>6.1977755736772148E-67</v>
      </c>
      <c r="CM434" s="185">
        <f t="shared" si="368"/>
        <v>1.0803861454681955E-69</v>
      </c>
      <c r="CN434" s="185">
        <f t="shared" si="368"/>
        <v>1.883311535637117E-72</v>
      </c>
      <c r="CO434" s="185">
        <f t="shared" si="369"/>
        <v>3.2829580008421615E-75</v>
      </c>
      <c r="CP434" s="213" t="str">
        <f t="shared" si="374"/>
        <v>Đạt</v>
      </c>
      <c r="CQ434" s="213" t="str">
        <f t="shared" si="375"/>
        <v>Đạt</v>
      </c>
      <c r="CR434" s="185"/>
      <c r="CS434" s="213"/>
      <c r="CT434" s="231"/>
      <c r="CU434" s="163"/>
      <c r="CV434" s="252"/>
      <c r="CW434" s="253"/>
      <c r="CX434" s="254"/>
      <c r="CY434" s="254"/>
      <c r="CZ434" s="198"/>
      <c r="DA434" s="254"/>
      <c r="DB434" s="254"/>
      <c r="DC434" s="254"/>
      <c r="DE434" s="199"/>
      <c r="DF434" s="200"/>
      <c r="DG434" s="181"/>
    </row>
    <row r="435" spans="1:111" s="324" customFormat="1" outlineLevel="1" x14ac:dyDescent="0.25">
      <c r="A435" s="305" t="s">
        <v>34</v>
      </c>
      <c r="B435" s="318" t="s">
        <v>381</v>
      </c>
      <c r="C435" s="306"/>
      <c r="D435" s="317">
        <f t="shared" ref="D435:I435" si="393">D436</f>
        <v>5000</v>
      </c>
      <c r="E435" s="317">
        <f t="shared" si="393"/>
        <v>0</v>
      </c>
      <c r="F435" s="317">
        <f t="shared" si="393"/>
        <v>5000</v>
      </c>
      <c r="G435" s="317">
        <f t="shared" si="393"/>
        <v>0</v>
      </c>
      <c r="H435" s="317">
        <f t="shared" si="393"/>
        <v>5000</v>
      </c>
      <c r="I435" s="214">
        <f t="shared" si="393"/>
        <v>0</v>
      </c>
      <c r="J435" s="214"/>
      <c r="K435" s="317">
        <f>K436</f>
        <v>0</v>
      </c>
      <c r="L435" s="214">
        <f>L436</f>
        <v>0</v>
      </c>
      <c r="M435" s="223"/>
      <c r="N435" s="223"/>
      <c r="O435" s="317">
        <f t="shared" si="386"/>
        <v>0</v>
      </c>
      <c r="P435" s="317">
        <v>0</v>
      </c>
      <c r="Q435" s="319">
        <f t="shared" si="371"/>
        <v>0</v>
      </c>
      <c r="R435" s="317">
        <v>0</v>
      </c>
      <c r="S435" s="187">
        <v>0</v>
      </c>
      <c r="T435" s="187">
        <v>0</v>
      </c>
      <c r="U435" s="317">
        <v>0</v>
      </c>
      <c r="V435" s="187">
        <v>0</v>
      </c>
      <c r="W435" s="187">
        <v>0</v>
      </c>
      <c r="X435" s="317">
        <v>0</v>
      </c>
      <c r="Y435" s="187">
        <v>0</v>
      </c>
      <c r="Z435" s="187">
        <v>0</v>
      </c>
      <c r="AA435" s="317">
        <v>0</v>
      </c>
      <c r="AB435" s="187">
        <v>0</v>
      </c>
      <c r="AC435" s="187">
        <v>0</v>
      </c>
      <c r="AD435" s="317">
        <v>1588</v>
      </c>
      <c r="AE435" s="187">
        <v>0.31759999999999999</v>
      </c>
      <c r="AF435" s="187">
        <v>0.33431578947368423</v>
      </c>
      <c r="AG435" s="317">
        <v>1588</v>
      </c>
      <c r="AH435" s="187">
        <v>0.31759999999999999</v>
      </c>
      <c r="AI435" s="187">
        <v>0.33431578947368423</v>
      </c>
      <c r="AJ435" s="257">
        <v>1588</v>
      </c>
      <c r="AK435" s="187">
        <v>0.31759999999999999</v>
      </c>
      <c r="AL435" s="187">
        <v>0.33431578947368423</v>
      </c>
      <c r="AM435" s="317">
        <v>1588</v>
      </c>
      <c r="AN435" s="187">
        <v>0.31759999999999999</v>
      </c>
      <c r="AO435" s="187">
        <v>0.33431578947368423</v>
      </c>
      <c r="AP435" s="187"/>
      <c r="AQ435" s="317">
        <v>0</v>
      </c>
      <c r="AR435" s="187">
        <v>0</v>
      </c>
      <c r="AS435" s="187">
        <v>0</v>
      </c>
      <c r="AT435" s="317">
        <v>0</v>
      </c>
      <c r="AU435" s="187">
        <v>0</v>
      </c>
      <c r="AV435" s="187">
        <v>0</v>
      </c>
      <c r="AW435" s="187"/>
      <c r="AX435" s="187"/>
      <c r="AY435" s="187"/>
      <c r="AZ435" s="187"/>
      <c r="BA435" s="187"/>
      <c r="BB435" s="187"/>
      <c r="BC435" s="317">
        <v>0</v>
      </c>
      <c r="BD435" s="187">
        <v>0</v>
      </c>
      <c r="BE435" s="187">
        <v>0</v>
      </c>
      <c r="BF435" s="317"/>
      <c r="BG435" s="317">
        <v>0</v>
      </c>
      <c r="BH435" s="187">
        <v>0</v>
      </c>
      <c r="BI435" s="187">
        <v>0</v>
      </c>
      <c r="BJ435" s="317">
        <f t="shared" si="372"/>
        <v>4750</v>
      </c>
      <c r="BK435" s="317">
        <f>BK436</f>
        <v>0</v>
      </c>
      <c r="BL435" s="187">
        <f t="shared" si="358"/>
        <v>0</v>
      </c>
      <c r="BM435" s="187">
        <f t="shared" si="373"/>
        <v>0</v>
      </c>
      <c r="BN435" s="205">
        <f t="shared" si="356"/>
        <v>-1588</v>
      </c>
      <c r="BO435" s="205"/>
      <c r="BP435" s="307">
        <f>BP436</f>
        <v>0</v>
      </c>
      <c r="BQ435" s="319">
        <f t="shared" si="359"/>
        <v>0</v>
      </c>
      <c r="BR435" s="307">
        <f>BR436</f>
        <v>0</v>
      </c>
      <c r="BS435" s="319">
        <f t="shared" si="360"/>
        <v>0</v>
      </c>
      <c r="BT435" s="307">
        <f>BT436</f>
        <v>500</v>
      </c>
      <c r="BU435" s="319">
        <f t="shared" si="361"/>
        <v>0.1</v>
      </c>
      <c r="BV435" s="307">
        <f>BV436</f>
        <v>1000</v>
      </c>
      <c r="BW435" s="319">
        <f t="shared" si="362"/>
        <v>0.2</v>
      </c>
      <c r="BX435" s="307">
        <f>BX436</f>
        <v>1000</v>
      </c>
      <c r="BY435" s="319">
        <f t="shared" si="363"/>
        <v>0.2</v>
      </c>
      <c r="BZ435" s="307">
        <f>BZ436</f>
        <v>1500</v>
      </c>
      <c r="CA435" s="319">
        <f t="shared" si="364"/>
        <v>0.3</v>
      </c>
      <c r="CB435" s="307">
        <f>CB436</f>
        <v>1500</v>
      </c>
      <c r="CC435" s="319">
        <f t="shared" si="365"/>
        <v>0.3</v>
      </c>
      <c r="CD435" s="307">
        <f>CD436</f>
        <v>2000</v>
      </c>
      <c r="CE435" s="319">
        <f t="shared" si="389"/>
        <v>0.4</v>
      </c>
      <c r="CF435" s="307">
        <f>CF436</f>
        <v>3000</v>
      </c>
      <c r="CG435" s="319">
        <f t="shared" si="366"/>
        <v>0.6</v>
      </c>
      <c r="CH435" s="307">
        <f>CH436</f>
        <v>3000</v>
      </c>
      <c r="CI435" s="319">
        <f t="shared" si="390"/>
        <v>0.6</v>
      </c>
      <c r="CJ435" s="307">
        <f>CJ436</f>
        <v>4000</v>
      </c>
      <c r="CK435" s="319">
        <f t="shared" si="367"/>
        <v>0.8</v>
      </c>
      <c r="CL435" s="307">
        <f>CL436</f>
        <v>4750</v>
      </c>
      <c r="CM435" s="319">
        <f t="shared" si="368"/>
        <v>0.95</v>
      </c>
      <c r="CN435" s="307">
        <f>CN436</f>
        <v>4750</v>
      </c>
      <c r="CO435" s="319">
        <f t="shared" si="369"/>
        <v>0.95</v>
      </c>
      <c r="CP435" s="213" t="str">
        <f t="shared" si="374"/>
        <v>Không đạt</v>
      </c>
      <c r="CQ435" s="213" t="str">
        <f t="shared" si="375"/>
        <v>Không đạt</v>
      </c>
      <c r="CR435" s="312"/>
      <c r="CS435" s="312"/>
      <c r="CT435" s="235"/>
      <c r="CU435" s="163"/>
      <c r="CV435" s="323"/>
      <c r="CW435" s="195"/>
      <c r="CX435" s="196"/>
      <c r="CY435" s="196"/>
      <c r="CZ435" s="197"/>
      <c r="DA435" s="196"/>
      <c r="DB435" s="196"/>
      <c r="DC435" s="196"/>
      <c r="DE435" s="199"/>
      <c r="DF435" s="200"/>
      <c r="DG435" s="181"/>
    </row>
    <row r="436" spans="1:111" ht="59.25" customHeight="1" outlineLevel="1" x14ac:dyDescent="0.25">
      <c r="A436" s="192"/>
      <c r="B436" s="269" t="s">
        <v>452</v>
      </c>
      <c r="C436" s="269"/>
      <c r="D436" s="214">
        <f>E436+F436</f>
        <v>5000</v>
      </c>
      <c r="E436" s="215"/>
      <c r="F436" s="214">
        <f>G436+H436+K436+M436</f>
        <v>5000</v>
      </c>
      <c r="G436" s="223"/>
      <c r="H436" s="257">
        <v>5000</v>
      </c>
      <c r="I436" s="235"/>
      <c r="J436" s="235"/>
      <c r="K436" s="223"/>
      <c r="L436" s="235"/>
      <c r="M436" s="223"/>
      <c r="N436" s="223"/>
      <c r="O436" s="257">
        <f t="shared" si="386"/>
        <v>0</v>
      </c>
      <c r="P436" s="257">
        <v>0</v>
      </c>
      <c r="Q436" s="224">
        <f t="shared" si="371"/>
        <v>0</v>
      </c>
      <c r="R436" s="257"/>
      <c r="S436" s="225">
        <v>0</v>
      </c>
      <c r="T436" s="225">
        <v>0</v>
      </c>
      <c r="U436" s="257"/>
      <c r="V436" s="225">
        <v>0</v>
      </c>
      <c r="W436" s="225">
        <v>0</v>
      </c>
      <c r="X436" s="257"/>
      <c r="Y436" s="225">
        <v>0</v>
      </c>
      <c r="Z436" s="225">
        <v>0</v>
      </c>
      <c r="AA436" s="257"/>
      <c r="AB436" s="225">
        <v>0</v>
      </c>
      <c r="AC436" s="225">
        <v>0</v>
      </c>
      <c r="AD436" s="257">
        <v>0</v>
      </c>
      <c r="AE436" s="225">
        <v>0.31759999999999999</v>
      </c>
      <c r="AF436" s="225">
        <v>0.33431578947368423</v>
      </c>
      <c r="AG436" s="257">
        <v>0</v>
      </c>
      <c r="AH436" s="225">
        <v>0.31759999999999999</v>
      </c>
      <c r="AI436" s="225">
        <v>0.33431578947368423</v>
      </c>
      <c r="AJ436" s="303">
        <v>0</v>
      </c>
      <c r="AK436" s="225">
        <v>0.31759999999999999</v>
      </c>
      <c r="AL436" s="225">
        <v>0.33431578947368423</v>
      </c>
      <c r="AM436" s="257">
        <v>0</v>
      </c>
      <c r="AN436" s="225">
        <v>0.31759999999999999</v>
      </c>
      <c r="AO436" s="225">
        <v>0.33431578947368423</v>
      </c>
      <c r="AP436" s="225"/>
      <c r="AQ436" s="257">
        <v>0</v>
      </c>
      <c r="AR436" s="225">
        <v>0</v>
      </c>
      <c r="AS436" s="225">
        <v>0</v>
      </c>
      <c r="AT436" s="257">
        <v>0</v>
      </c>
      <c r="AU436" s="225">
        <v>0</v>
      </c>
      <c r="AV436" s="225">
        <v>0</v>
      </c>
      <c r="AW436" s="225"/>
      <c r="AX436" s="225"/>
      <c r="AY436" s="225"/>
      <c r="AZ436" s="225"/>
      <c r="BA436" s="225"/>
      <c r="BB436" s="225"/>
      <c r="BC436" s="257">
        <v>0</v>
      </c>
      <c r="BD436" s="225">
        <v>0</v>
      </c>
      <c r="BE436" s="225">
        <v>0</v>
      </c>
      <c r="BF436" s="257"/>
      <c r="BG436" s="257">
        <v>0</v>
      </c>
      <c r="BH436" s="225">
        <v>0</v>
      </c>
      <c r="BI436" s="225">
        <v>0</v>
      </c>
      <c r="BJ436" s="257">
        <f t="shared" si="372"/>
        <v>4750</v>
      </c>
      <c r="BK436" s="257">
        <v>0</v>
      </c>
      <c r="BL436" s="225">
        <f t="shared" si="358"/>
        <v>0</v>
      </c>
      <c r="BM436" s="225">
        <f t="shared" si="373"/>
        <v>0</v>
      </c>
      <c r="BN436" s="205">
        <f t="shared" si="356"/>
        <v>0</v>
      </c>
      <c r="BO436" s="205"/>
      <c r="BP436" s="227"/>
      <c r="BQ436" s="224">
        <f t="shared" si="359"/>
        <v>0</v>
      </c>
      <c r="BR436" s="227"/>
      <c r="BS436" s="224">
        <f t="shared" si="360"/>
        <v>0</v>
      </c>
      <c r="BT436" s="227">
        <v>500</v>
      </c>
      <c r="BU436" s="224">
        <f t="shared" si="361"/>
        <v>0.1</v>
      </c>
      <c r="BV436" s="227">
        <v>1000</v>
      </c>
      <c r="BW436" s="224">
        <f t="shared" si="362"/>
        <v>0.2</v>
      </c>
      <c r="BX436" s="227">
        <v>1000</v>
      </c>
      <c r="BY436" s="224">
        <f t="shared" si="363"/>
        <v>0.2</v>
      </c>
      <c r="BZ436" s="227">
        <v>1500</v>
      </c>
      <c r="CA436" s="224">
        <f t="shared" si="364"/>
        <v>0.3</v>
      </c>
      <c r="CB436" s="227">
        <v>1500</v>
      </c>
      <c r="CC436" s="224">
        <f t="shared" si="365"/>
        <v>0.3</v>
      </c>
      <c r="CD436" s="227">
        <v>2000</v>
      </c>
      <c r="CE436" s="224">
        <f t="shared" si="389"/>
        <v>0.4</v>
      </c>
      <c r="CF436" s="227">
        <v>3000</v>
      </c>
      <c r="CG436" s="224">
        <f t="shared" si="366"/>
        <v>0.6</v>
      </c>
      <c r="CH436" s="227">
        <v>3000</v>
      </c>
      <c r="CI436" s="224">
        <f t="shared" si="390"/>
        <v>0.6</v>
      </c>
      <c r="CJ436" s="227">
        <v>4000</v>
      </c>
      <c r="CK436" s="224">
        <f t="shared" si="367"/>
        <v>0.8</v>
      </c>
      <c r="CL436" s="227">
        <v>4750</v>
      </c>
      <c r="CM436" s="224">
        <f t="shared" si="368"/>
        <v>0.95</v>
      </c>
      <c r="CN436" s="227">
        <v>4750</v>
      </c>
      <c r="CO436" s="224">
        <f t="shared" si="369"/>
        <v>0.95</v>
      </c>
      <c r="CP436" s="213" t="str">
        <f t="shared" si="374"/>
        <v>Không đạt</v>
      </c>
      <c r="CQ436" s="213" t="str">
        <f t="shared" si="375"/>
        <v>Không đạt</v>
      </c>
      <c r="CR436" s="192"/>
      <c r="CS436" s="192"/>
      <c r="CT436" s="223"/>
      <c r="CU436" s="163"/>
      <c r="CW436" s="195"/>
      <c r="CX436" s="196"/>
      <c r="CY436" s="196"/>
      <c r="CZ436" s="197"/>
      <c r="DA436" s="196"/>
      <c r="DB436" s="196"/>
      <c r="DC436" s="196"/>
      <c r="DE436" s="199"/>
      <c r="DF436" s="200"/>
      <c r="DG436" s="181"/>
    </row>
    <row r="437" spans="1:111" s="324" customFormat="1" outlineLevel="1" x14ac:dyDescent="0.25">
      <c r="A437" s="305" t="s">
        <v>34</v>
      </c>
      <c r="B437" s="318" t="s">
        <v>376</v>
      </c>
      <c r="C437" s="306"/>
      <c r="D437" s="307">
        <f>E437+F437</f>
        <v>3000</v>
      </c>
      <c r="E437" s="307"/>
      <c r="F437" s="307">
        <f>G437+H437+K437+M437</f>
        <v>3000</v>
      </c>
      <c r="G437" s="303">
        <v>3000</v>
      </c>
      <c r="H437" s="303"/>
      <c r="I437" s="235"/>
      <c r="J437" s="235"/>
      <c r="K437" s="303"/>
      <c r="L437" s="235"/>
      <c r="M437" s="223"/>
      <c r="N437" s="223"/>
      <c r="O437" s="303">
        <f t="shared" si="386"/>
        <v>3000</v>
      </c>
      <c r="P437" s="303">
        <v>0</v>
      </c>
      <c r="Q437" s="308">
        <f t="shared" si="371"/>
        <v>0</v>
      </c>
      <c r="R437" s="303"/>
      <c r="S437" s="313">
        <v>0</v>
      </c>
      <c r="T437" s="313">
        <v>0</v>
      </c>
      <c r="U437" s="303"/>
      <c r="V437" s="313">
        <v>0</v>
      </c>
      <c r="W437" s="313">
        <v>0</v>
      </c>
      <c r="X437" s="303"/>
      <c r="Y437" s="313">
        <v>0</v>
      </c>
      <c r="Z437" s="313">
        <v>0</v>
      </c>
      <c r="AA437" s="303"/>
      <c r="AB437" s="313">
        <v>0</v>
      </c>
      <c r="AC437" s="313">
        <v>0</v>
      </c>
      <c r="AD437" s="257">
        <v>1588</v>
      </c>
      <c r="AE437" s="313">
        <v>0</v>
      </c>
      <c r="AF437" s="313">
        <v>0</v>
      </c>
      <c r="AG437" s="257">
        <v>1588</v>
      </c>
      <c r="AH437" s="313">
        <v>0</v>
      </c>
      <c r="AI437" s="313">
        <v>0</v>
      </c>
      <c r="AJ437" s="257">
        <v>1588</v>
      </c>
      <c r="AK437" s="313">
        <v>0</v>
      </c>
      <c r="AL437" s="313">
        <v>0</v>
      </c>
      <c r="AM437" s="257">
        <v>1588</v>
      </c>
      <c r="AN437" s="313">
        <v>0</v>
      </c>
      <c r="AO437" s="313">
        <v>0</v>
      </c>
      <c r="AP437" s="313"/>
      <c r="AQ437" s="307">
        <v>2430</v>
      </c>
      <c r="AR437" s="313">
        <v>0.81</v>
      </c>
      <c r="AS437" s="313">
        <v>0.85263157894736841</v>
      </c>
      <c r="AT437" s="307">
        <v>2430</v>
      </c>
      <c r="AU437" s="313">
        <v>0.81</v>
      </c>
      <c r="AV437" s="313">
        <v>0.85263157894736841</v>
      </c>
      <c r="AW437" s="313"/>
      <c r="AX437" s="313"/>
      <c r="AY437" s="313"/>
      <c r="AZ437" s="313"/>
      <c r="BA437" s="313"/>
      <c r="BB437" s="313"/>
      <c r="BC437" s="307">
        <v>2430</v>
      </c>
      <c r="BD437" s="313">
        <v>0.81</v>
      </c>
      <c r="BE437" s="313">
        <v>0.85263157894736841</v>
      </c>
      <c r="BF437" s="307"/>
      <c r="BG437" s="307">
        <v>2850</v>
      </c>
      <c r="BH437" s="313">
        <v>0.95</v>
      </c>
      <c r="BI437" s="313">
        <v>1</v>
      </c>
      <c r="BJ437" s="307">
        <f t="shared" si="372"/>
        <v>2850</v>
      </c>
      <c r="BK437" s="307">
        <v>2850</v>
      </c>
      <c r="BL437" s="313">
        <f t="shared" si="358"/>
        <v>0.95</v>
      </c>
      <c r="BM437" s="313">
        <f t="shared" si="373"/>
        <v>1</v>
      </c>
      <c r="BN437" s="205">
        <f t="shared" si="356"/>
        <v>1262</v>
      </c>
      <c r="BO437" s="205"/>
      <c r="BP437" s="310"/>
      <c r="BQ437" s="311">
        <f t="shared" si="359"/>
        <v>0</v>
      </c>
      <c r="BR437" s="310"/>
      <c r="BS437" s="311">
        <f t="shared" si="360"/>
        <v>0</v>
      </c>
      <c r="BT437" s="310"/>
      <c r="BU437" s="308">
        <f t="shared" si="361"/>
        <v>0</v>
      </c>
      <c r="BV437" s="310">
        <v>500</v>
      </c>
      <c r="BW437" s="311">
        <f t="shared" si="362"/>
        <v>0.16666666666666666</v>
      </c>
      <c r="BX437" s="310">
        <v>500</v>
      </c>
      <c r="BY437" s="311">
        <f t="shared" si="363"/>
        <v>0.16666666666666666</v>
      </c>
      <c r="BZ437" s="310">
        <v>1000</v>
      </c>
      <c r="CA437" s="311">
        <f t="shared" si="364"/>
        <v>0.33333333333333331</v>
      </c>
      <c r="CB437" s="310">
        <v>1000</v>
      </c>
      <c r="CC437" s="311">
        <f t="shared" si="365"/>
        <v>0.33333333333333331</v>
      </c>
      <c r="CD437" s="310">
        <v>1000</v>
      </c>
      <c r="CE437" s="311">
        <f t="shared" si="389"/>
        <v>0.33333333333333331</v>
      </c>
      <c r="CF437" s="310">
        <v>2000</v>
      </c>
      <c r="CG437" s="311">
        <f t="shared" si="366"/>
        <v>0.66666666666666663</v>
      </c>
      <c r="CH437" s="310">
        <v>2000</v>
      </c>
      <c r="CI437" s="311">
        <f t="shared" si="390"/>
        <v>0.66666666666666663</v>
      </c>
      <c r="CJ437" s="310">
        <v>2000</v>
      </c>
      <c r="CK437" s="311">
        <f t="shared" si="367"/>
        <v>0.66666666666666663</v>
      </c>
      <c r="CL437" s="310">
        <v>2850</v>
      </c>
      <c r="CM437" s="311">
        <f t="shared" si="368"/>
        <v>0.95</v>
      </c>
      <c r="CN437" s="310">
        <v>2850</v>
      </c>
      <c r="CO437" s="311">
        <f t="shared" si="369"/>
        <v>0.95</v>
      </c>
      <c r="CP437" s="213" t="str">
        <f t="shared" si="374"/>
        <v>Đạt</v>
      </c>
      <c r="CQ437" s="213" t="str">
        <f t="shared" si="375"/>
        <v>Đạt</v>
      </c>
      <c r="CR437" s="312"/>
      <c r="CS437" s="312"/>
      <c r="CT437" s="235"/>
      <c r="CU437" s="163"/>
      <c r="CV437" s="323"/>
      <c r="CW437" s="195"/>
      <c r="CX437" s="196"/>
      <c r="CY437" s="196"/>
      <c r="CZ437" s="197"/>
      <c r="DA437" s="196"/>
      <c r="DB437" s="196"/>
      <c r="DC437" s="196"/>
      <c r="DE437" s="199"/>
      <c r="DF437" s="200"/>
      <c r="DG437" s="181"/>
    </row>
    <row r="438" spans="1:111" ht="25.5" outlineLevel="1" x14ac:dyDescent="0.25">
      <c r="A438" s="305" t="s">
        <v>34</v>
      </c>
      <c r="B438" s="306" t="s">
        <v>377</v>
      </c>
      <c r="C438" s="306"/>
      <c r="D438" s="307">
        <f>E438+F438</f>
        <v>6375</v>
      </c>
      <c r="E438" s="307"/>
      <c r="F438" s="307">
        <f>G438+H438+K438+M438</f>
        <v>6375</v>
      </c>
      <c r="G438" s="307"/>
      <c r="H438" s="307">
        <v>6375</v>
      </c>
      <c r="I438" s="235"/>
      <c r="J438" s="235"/>
      <c r="K438" s="303"/>
      <c r="L438" s="235"/>
      <c r="M438" s="223"/>
      <c r="N438" s="223"/>
      <c r="O438" s="303"/>
      <c r="P438" s="303">
        <v>0</v>
      </c>
      <c r="Q438" s="308">
        <f t="shared" si="371"/>
        <v>0</v>
      </c>
      <c r="R438" s="303"/>
      <c r="S438" s="313">
        <v>0</v>
      </c>
      <c r="T438" s="313">
        <v>0</v>
      </c>
      <c r="U438" s="303"/>
      <c r="V438" s="313">
        <v>0</v>
      </c>
      <c r="W438" s="313">
        <v>0</v>
      </c>
      <c r="X438" s="303"/>
      <c r="Y438" s="313">
        <v>0</v>
      </c>
      <c r="Z438" s="313">
        <v>0</v>
      </c>
      <c r="AA438" s="303"/>
      <c r="AB438" s="313">
        <v>0</v>
      </c>
      <c r="AC438" s="313">
        <v>0</v>
      </c>
      <c r="AD438" s="303"/>
      <c r="AE438" s="313">
        <v>0</v>
      </c>
      <c r="AF438" s="313">
        <v>0</v>
      </c>
      <c r="AG438" s="303"/>
      <c r="AH438" s="313">
        <v>0</v>
      </c>
      <c r="AI438" s="313">
        <v>0</v>
      </c>
      <c r="AJ438" s="188"/>
      <c r="AK438" s="313">
        <v>0</v>
      </c>
      <c r="AL438" s="313">
        <v>0</v>
      </c>
      <c r="AM438" s="303"/>
      <c r="AN438" s="313">
        <v>0</v>
      </c>
      <c r="AO438" s="313">
        <v>0</v>
      </c>
      <c r="AP438" s="313"/>
      <c r="AQ438" s="303"/>
      <c r="AR438" s="313">
        <v>0</v>
      </c>
      <c r="AS438" s="313">
        <v>0</v>
      </c>
      <c r="AT438" s="303"/>
      <c r="AU438" s="313">
        <v>0</v>
      </c>
      <c r="AV438" s="313">
        <v>0</v>
      </c>
      <c r="AW438" s="313"/>
      <c r="AX438" s="313"/>
      <c r="AY438" s="313"/>
      <c r="AZ438" s="313"/>
      <c r="BA438" s="313"/>
      <c r="BB438" s="313"/>
      <c r="BC438" s="303"/>
      <c r="BD438" s="313">
        <v>0</v>
      </c>
      <c r="BE438" s="313">
        <v>0</v>
      </c>
      <c r="BF438" s="303"/>
      <c r="BG438" s="303">
        <v>307</v>
      </c>
      <c r="BH438" s="313">
        <v>4.815686274509804E-2</v>
      </c>
      <c r="BI438" s="313">
        <v>5.0691434468524255E-2</v>
      </c>
      <c r="BJ438" s="303">
        <f t="shared" si="372"/>
        <v>6056.25</v>
      </c>
      <c r="BK438" s="303">
        <v>307</v>
      </c>
      <c r="BL438" s="313">
        <f t="shared" si="358"/>
        <v>4.815686274509804E-2</v>
      </c>
      <c r="BM438" s="313">
        <f t="shared" si="373"/>
        <v>5.0691434468524255E-2</v>
      </c>
      <c r="BN438" s="205">
        <f t="shared" si="356"/>
        <v>307</v>
      </c>
      <c r="BO438" s="205"/>
      <c r="BP438" s="310"/>
      <c r="BQ438" s="311">
        <f t="shared" si="359"/>
        <v>0</v>
      </c>
      <c r="BR438" s="310"/>
      <c r="BS438" s="311">
        <f t="shared" si="360"/>
        <v>0</v>
      </c>
      <c r="BT438" s="310"/>
      <c r="BU438" s="308">
        <f t="shared" si="361"/>
        <v>0</v>
      </c>
      <c r="BV438" s="310">
        <v>375</v>
      </c>
      <c r="BW438" s="311">
        <f t="shared" si="362"/>
        <v>5.8823529411764705E-2</v>
      </c>
      <c r="BX438" s="310">
        <v>1500</v>
      </c>
      <c r="BY438" s="311">
        <f t="shared" si="363"/>
        <v>0.23529411764705882</v>
      </c>
      <c r="BZ438" s="310">
        <v>1500</v>
      </c>
      <c r="CA438" s="311">
        <f t="shared" si="364"/>
        <v>0.23529411764705882</v>
      </c>
      <c r="CB438" s="310">
        <v>2500</v>
      </c>
      <c r="CC438" s="311">
        <f t="shared" si="365"/>
        <v>0.39215686274509803</v>
      </c>
      <c r="CD438" s="310">
        <v>2500</v>
      </c>
      <c r="CE438" s="311">
        <f t="shared" si="389"/>
        <v>0.39215686274509803</v>
      </c>
      <c r="CF438" s="310">
        <v>3500</v>
      </c>
      <c r="CG438" s="311">
        <f t="shared" si="366"/>
        <v>0.5490196078431373</v>
      </c>
      <c r="CH438" s="310">
        <v>4000</v>
      </c>
      <c r="CI438" s="311">
        <f t="shared" si="390"/>
        <v>0.62745098039215685</v>
      </c>
      <c r="CJ438" s="310">
        <v>5000</v>
      </c>
      <c r="CK438" s="311">
        <f t="shared" si="367"/>
        <v>0.78431372549019607</v>
      </c>
      <c r="CL438" s="310">
        <v>6056</v>
      </c>
      <c r="CM438" s="311">
        <f t="shared" si="368"/>
        <v>0.94996078431372544</v>
      </c>
      <c r="CN438" s="310">
        <v>6056</v>
      </c>
      <c r="CO438" s="311">
        <f t="shared" si="369"/>
        <v>0.94996078431372544</v>
      </c>
      <c r="CP438" s="213" t="str">
        <f t="shared" si="374"/>
        <v>Không đạt</v>
      </c>
      <c r="CQ438" s="213" t="str">
        <f t="shared" si="375"/>
        <v>Không đạt</v>
      </c>
      <c r="CR438" s="312"/>
      <c r="CS438" s="312"/>
      <c r="CT438" s="235"/>
      <c r="CU438" s="163"/>
      <c r="CW438" s="195"/>
      <c r="CX438" s="196"/>
      <c r="CY438" s="196"/>
      <c r="CZ438" s="197"/>
      <c r="DA438" s="196"/>
      <c r="DB438" s="196"/>
      <c r="DC438" s="196"/>
      <c r="DE438" s="199"/>
      <c r="DF438" s="200"/>
      <c r="DG438" s="181"/>
    </row>
    <row r="439" spans="1:111" ht="18" customHeight="1" x14ac:dyDescent="0.25">
      <c r="A439" s="213">
        <f>MAX(A$243:A437)+1</f>
        <v>59</v>
      </c>
      <c r="B439" s="240" t="s">
        <v>453</v>
      </c>
      <c r="C439" s="240"/>
      <c r="D439" s="188">
        <f>D441+D444+D445+D440</f>
        <v>166907.22700000001</v>
      </c>
      <c r="E439" s="188">
        <f t="shared" ref="E439:M439" si="394">E441+E444+E445+E440</f>
        <v>0</v>
      </c>
      <c r="F439" s="188">
        <f t="shared" si="394"/>
        <v>166907.22700000001</v>
      </c>
      <c r="G439" s="188">
        <f t="shared" si="394"/>
        <v>3157.2269999999999</v>
      </c>
      <c r="H439" s="188">
        <f t="shared" si="394"/>
        <v>163750</v>
      </c>
      <c r="I439" s="188">
        <f t="shared" si="394"/>
        <v>0</v>
      </c>
      <c r="J439" s="188">
        <f t="shared" si="394"/>
        <v>0</v>
      </c>
      <c r="K439" s="188">
        <f t="shared" si="394"/>
        <v>0</v>
      </c>
      <c r="L439" s="188">
        <f t="shared" si="394"/>
        <v>0</v>
      </c>
      <c r="M439" s="188">
        <f t="shared" si="394"/>
        <v>0</v>
      </c>
      <c r="N439" s="188">
        <f>N441+N444+N445</f>
        <v>0</v>
      </c>
      <c r="O439" s="188">
        <f>O441+O444+O445</f>
        <v>3000</v>
      </c>
      <c r="P439" s="188">
        <v>0</v>
      </c>
      <c r="Q439" s="186">
        <f t="shared" si="371"/>
        <v>0</v>
      </c>
      <c r="R439" s="188">
        <v>0</v>
      </c>
      <c r="S439" s="185">
        <v>0</v>
      </c>
      <c r="T439" s="185">
        <v>0</v>
      </c>
      <c r="U439" s="188">
        <v>173.05199999999999</v>
      </c>
      <c r="V439" s="185">
        <v>1.0377931034482757E-3</v>
      </c>
      <c r="W439" s="185">
        <v>1.0924137931034481E-3</v>
      </c>
      <c r="X439" s="188">
        <v>173.05199999999999</v>
      </c>
      <c r="Y439" s="185">
        <v>1.0377931034482757E-3</v>
      </c>
      <c r="Z439" s="185">
        <v>1.0924137931034481E-3</v>
      </c>
      <c r="AA439" s="188">
        <v>173.05199999999999</v>
      </c>
      <c r="AB439" s="185">
        <v>1.0377931034482757E-3</v>
      </c>
      <c r="AC439" s="185">
        <v>1.0924137931034481E-3</v>
      </c>
      <c r="AD439" s="188">
        <v>1998.8809999999999</v>
      </c>
      <c r="AE439" s="185">
        <v>1.1987292353823087E-2</v>
      </c>
      <c r="AF439" s="185">
        <v>1.2618202477708514E-2</v>
      </c>
      <c r="AG439" s="188">
        <v>1998.8809999999999</v>
      </c>
      <c r="AH439" s="185">
        <v>1.1987292353823087E-2</v>
      </c>
      <c r="AI439" s="185">
        <v>1.2618202477708514E-2</v>
      </c>
      <c r="AJ439" s="317">
        <v>1998.8809999999999</v>
      </c>
      <c r="AK439" s="185">
        <v>1.1987292353823087E-2</v>
      </c>
      <c r="AL439" s="185">
        <v>1.2618202477708514E-2</v>
      </c>
      <c r="AM439" s="188">
        <v>1998.8809999999999</v>
      </c>
      <c r="AN439" s="185">
        <v>1.1987292353823087E-2</v>
      </c>
      <c r="AO439" s="185">
        <v>1.2618202477708514E-2</v>
      </c>
      <c r="AP439" s="185"/>
      <c r="AQ439" s="188">
        <v>9490.0709999999999</v>
      </c>
      <c r="AR439" s="185">
        <v>5.6911970014992506E-2</v>
      </c>
      <c r="AS439" s="185">
        <v>5.9907336857886843E-2</v>
      </c>
      <c r="AT439" s="188">
        <v>9490.0709999999999</v>
      </c>
      <c r="AU439" s="185">
        <v>5.6911970014992506E-2</v>
      </c>
      <c r="AV439" s="185">
        <v>5.9907336857886843E-2</v>
      </c>
      <c r="AW439" s="185"/>
      <c r="AX439" s="185"/>
      <c r="AY439" s="185"/>
      <c r="AZ439" s="185"/>
      <c r="BA439" s="185"/>
      <c r="BB439" s="185"/>
      <c r="BC439" s="188">
        <v>9490.0709999999999</v>
      </c>
      <c r="BD439" s="185">
        <v>5.6911970014992506E-2</v>
      </c>
      <c r="BE439" s="185">
        <v>5.9907336857886843E-2</v>
      </c>
      <c r="BF439" s="188"/>
      <c r="BG439" s="188">
        <v>10699.332000000002</v>
      </c>
      <c r="BH439" s="185">
        <v>6.4103467490955329E-2</v>
      </c>
      <c r="BI439" s="185">
        <v>6.7477334201005615E-2</v>
      </c>
      <c r="BJ439" s="188">
        <f t="shared" si="372"/>
        <v>158561.86564999999</v>
      </c>
      <c r="BK439" s="188">
        <v>20852.985000000001</v>
      </c>
      <c r="BL439" s="185">
        <f t="shared" si="358"/>
        <v>0.12493757984487992</v>
      </c>
      <c r="BM439" s="185">
        <f t="shared" si="373"/>
        <v>0.13151324194197889</v>
      </c>
      <c r="BN439" s="205">
        <f t="shared" si="356"/>
        <v>18854.103999999999</v>
      </c>
      <c r="BO439" s="205"/>
      <c r="BP439" s="189">
        <f>BP441+BP444+BP445</f>
        <v>0</v>
      </c>
      <c r="BQ439" s="186">
        <f t="shared" si="359"/>
        <v>0</v>
      </c>
      <c r="BR439" s="189">
        <f>BR441+BR444+BR445</f>
        <v>0</v>
      </c>
      <c r="BS439" s="186">
        <f t="shared" si="360"/>
        <v>0</v>
      </c>
      <c r="BT439" s="189">
        <f>BT441+BT444+BT445</f>
        <v>10500</v>
      </c>
      <c r="BU439" s="186">
        <f t="shared" si="361"/>
        <v>6.2909199252348724E-2</v>
      </c>
      <c r="BV439" s="189">
        <f>BV441+BV444+BV445</f>
        <v>11500</v>
      </c>
      <c r="BW439" s="186">
        <f t="shared" si="362"/>
        <v>6.8900551562096221E-2</v>
      </c>
      <c r="BX439" s="189">
        <f>BX441+BX444+BX445</f>
        <v>16500</v>
      </c>
      <c r="BY439" s="186">
        <f t="shared" si="363"/>
        <v>9.8857313110833719E-2</v>
      </c>
      <c r="BZ439" s="189">
        <f>BZ441+BZ444+BZ445</f>
        <v>44275</v>
      </c>
      <c r="CA439" s="186">
        <f t="shared" si="364"/>
        <v>0.26526712351407045</v>
      </c>
      <c r="CB439" s="189">
        <f>CB441+CB444+CB445</f>
        <v>49275</v>
      </c>
      <c r="CC439" s="186">
        <f t="shared" si="365"/>
        <v>0.29522388506280794</v>
      </c>
      <c r="CD439" s="189">
        <f>CD441+CD444+CD445</f>
        <v>64275</v>
      </c>
      <c r="CE439" s="186">
        <f t="shared" si="389"/>
        <v>0.38509416970902044</v>
      </c>
      <c r="CF439" s="189">
        <f>CF441+CF444+CF445</f>
        <v>74275</v>
      </c>
      <c r="CG439" s="186">
        <f t="shared" si="366"/>
        <v>0.44500769280649538</v>
      </c>
      <c r="CH439" s="189">
        <f>CH441+CH444+CH445</f>
        <v>114275</v>
      </c>
      <c r="CI439" s="186">
        <f t="shared" si="390"/>
        <v>0.68466178519639531</v>
      </c>
      <c r="CJ439" s="189">
        <f>CJ441+CJ444+CJ445</f>
        <v>144275</v>
      </c>
      <c r="CK439" s="186">
        <f t="shared" si="367"/>
        <v>0.86440235448882019</v>
      </c>
      <c r="CL439" s="189">
        <f>CL441+CL444+CL445</f>
        <v>158412.5</v>
      </c>
      <c r="CM439" s="186">
        <f t="shared" si="368"/>
        <v>0.94910509776787544</v>
      </c>
      <c r="CN439" s="189">
        <f>CN441+CN444+CN445</f>
        <v>158412.5</v>
      </c>
      <c r="CO439" s="186">
        <f t="shared" si="369"/>
        <v>0.94910509776787544</v>
      </c>
      <c r="CP439" s="213" t="str">
        <f t="shared" si="374"/>
        <v>Không đạt</v>
      </c>
      <c r="CQ439" s="213" t="str">
        <f t="shared" si="375"/>
        <v>Không đạt</v>
      </c>
      <c r="CR439" s="213"/>
      <c r="CS439" s="213"/>
      <c r="CT439" s="231"/>
      <c r="CU439" s="163"/>
      <c r="CW439" s="195"/>
      <c r="CX439" s="196"/>
      <c r="CY439" s="196"/>
      <c r="CZ439" s="197"/>
      <c r="DA439" s="196"/>
      <c r="DB439" s="196"/>
      <c r="DC439" s="196"/>
      <c r="DE439" s="199"/>
      <c r="DF439" s="200"/>
      <c r="DG439" s="181"/>
    </row>
    <row r="440" spans="1:111" s="255" customFormat="1" outlineLevel="1" x14ac:dyDescent="0.25">
      <c r="A440" s="191" t="s">
        <v>34</v>
      </c>
      <c r="B440" s="210" t="s">
        <v>154</v>
      </c>
      <c r="C440" s="210"/>
      <c r="D440" s="188">
        <f>E440+F440</f>
        <v>157.227</v>
      </c>
      <c r="E440" s="189"/>
      <c r="F440" s="188">
        <f>G440+H440+K440+M440</f>
        <v>157.227</v>
      </c>
      <c r="G440" s="189">
        <v>157.227</v>
      </c>
      <c r="H440" s="189"/>
      <c r="I440" s="188"/>
      <c r="J440" s="188"/>
      <c r="K440" s="189"/>
      <c r="L440" s="188"/>
      <c r="M440" s="231"/>
      <c r="N440" s="231"/>
      <c r="O440" s="188"/>
      <c r="P440" s="188"/>
      <c r="Q440" s="186"/>
      <c r="R440" s="189"/>
      <c r="S440" s="185"/>
      <c r="T440" s="185"/>
      <c r="U440" s="189"/>
      <c r="V440" s="185"/>
      <c r="W440" s="185"/>
      <c r="X440" s="189"/>
      <c r="Y440" s="185"/>
      <c r="Z440" s="185"/>
      <c r="AA440" s="189"/>
      <c r="AB440" s="185"/>
      <c r="AC440" s="185"/>
      <c r="AD440" s="189"/>
      <c r="AE440" s="185"/>
      <c r="AF440" s="185"/>
      <c r="AG440" s="189"/>
      <c r="AH440" s="185"/>
      <c r="AI440" s="185"/>
      <c r="AJ440" s="188"/>
      <c r="AK440" s="185"/>
      <c r="AL440" s="185"/>
      <c r="AM440" s="189"/>
      <c r="AN440" s="185"/>
      <c r="AO440" s="185"/>
      <c r="AP440" s="185"/>
      <c r="AQ440" s="189"/>
      <c r="AR440" s="185"/>
      <c r="AS440" s="185"/>
      <c r="AT440" s="189"/>
      <c r="AU440" s="185"/>
      <c r="AV440" s="185"/>
      <c r="AW440" s="185"/>
      <c r="AX440" s="185"/>
      <c r="AY440" s="185"/>
      <c r="AZ440" s="185"/>
      <c r="BA440" s="185"/>
      <c r="BB440" s="185"/>
      <c r="BC440" s="189"/>
      <c r="BD440" s="185"/>
      <c r="BE440" s="185"/>
      <c r="BF440" s="189"/>
      <c r="BG440" s="189">
        <v>157.227</v>
      </c>
      <c r="BH440" s="185">
        <v>1</v>
      </c>
      <c r="BI440" s="185">
        <v>1</v>
      </c>
      <c r="BJ440" s="189">
        <f t="shared" si="372"/>
        <v>149.36564999999999</v>
      </c>
      <c r="BK440" s="189">
        <v>157.227</v>
      </c>
      <c r="BL440" s="185">
        <f t="shared" si="358"/>
        <v>1</v>
      </c>
      <c r="BM440" s="185">
        <f>BK440/$D440</f>
        <v>1</v>
      </c>
      <c r="BN440" s="185">
        <f t="shared" ref="BN440" si="395">BM440/$D440</f>
        <v>6.3602307491715795E-3</v>
      </c>
      <c r="BO440" s="185"/>
      <c r="BP440" s="185">
        <f t="shared" ref="BP440" si="396">BN440/$D440</f>
        <v>4.0452535182707672E-5</v>
      </c>
      <c r="BQ440" s="185">
        <f t="shared" si="359"/>
        <v>2.5728745815100251E-7</v>
      </c>
      <c r="BR440" s="185">
        <f t="shared" si="359"/>
        <v>1.6364076027082021E-9</v>
      </c>
      <c r="BS440" s="185">
        <f t="shared" si="360"/>
        <v>1.0407929952922857E-11</v>
      </c>
      <c r="BT440" s="185">
        <f t="shared" si="360"/>
        <v>6.6196836121803872E-14</v>
      </c>
      <c r="BU440" s="185">
        <f t="shared" si="361"/>
        <v>4.2102715259976894E-16</v>
      </c>
      <c r="BV440" s="185">
        <f t="shared" si="361"/>
        <v>2.6778298422012054E-18</v>
      </c>
      <c r="BW440" s="185">
        <f t="shared" si="362"/>
        <v>1.7031615703417386E-20</v>
      </c>
      <c r="BX440" s="185">
        <f t="shared" si="362"/>
        <v>1.0832500590494881E-22</v>
      </c>
      <c r="BY440" s="185">
        <f t="shared" si="363"/>
        <v>6.8897203346084838E-25</v>
      </c>
      <c r="BZ440" s="185">
        <f t="shared" si="363"/>
        <v>4.3820211125369586E-27</v>
      </c>
      <c r="CA440" s="185">
        <f t="shared" si="364"/>
        <v>2.7870665423476623E-29</v>
      </c>
      <c r="CB440" s="185">
        <f t="shared" si="364"/>
        <v>1.7726386322626915E-31</v>
      </c>
      <c r="CC440" s="185">
        <f t="shared" si="365"/>
        <v>1.1274390736086622E-33</v>
      </c>
      <c r="CD440" s="185">
        <f t="shared" si="365"/>
        <v>7.1707726637833344E-36</v>
      </c>
      <c r="CE440" s="185">
        <f t="shared" si="389"/>
        <v>4.5607768791513761E-38</v>
      </c>
      <c r="CF440" s="185">
        <f t="shared" si="389"/>
        <v>2.9007593346889376E-40</v>
      </c>
      <c r="CG440" s="185">
        <f t="shared" si="366"/>
        <v>1.8449498716435074E-42</v>
      </c>
      <c r="CH440" s="185">
        <f t="shared" si="366"/>
        <v>1.1734306904307196E-44</v>
      </c>
      <c r="CI440" s="185">
        <f t="shared" si="390"/>
        <v>7.4632899592990999E-47</v>
      </c>
      <c r="CJ440" s="185">
        <f t="shared" si="390"/>
        <v>4.7468246289117645E-49</v>
      </c>
      <c r="CK440" s="185">
        <f t="shared" si="367"/>
        <v>3.0190899965729576E-51</v>
      </c>
      <c r="CL440" s="185">
        <f t="shared" si="367"/>
        <v>1.9202109030719643E-53</v>
      </c>
      <c r="CM440" s="185">
        <f t="shared" si="368"/>
        <v>1.2212984430612836E-55</v>
      </c>
      <c r="CN440" s="185">
        <f t="shared" si="368"/>
        <v>7.7677399114737516E-58</v>
      </c>
      <c r="CO440" s="185">
        <f t="shared" si="369"/>
        <v>4.9404618236522682E-60</v>
      </c>
      <c r="CP440" s="213" t="str">
        <f t="shared" si="374"/>
        <v>Đạt</v>
      </c>
      <c r="CQ440" s="213" t="str">
        <f t="shared" si="375"/>
        <v>Đạt</v>
      </c>
      <c r="CR440" s="185"/>
      <c r="CS440" s="213"/>
      <c r="CT440" s="231"/>
      <c r="CU440" s="163"/>
      <c r="CV440" s="252"/>
      <c r="CW440" s="253"/>
      <c r="CX440" s="254"/>
      <c r="CY440" s="254"/>
      <c r="CZ440" s="198"/>
      <c r="DA440" s="254"/>
      <c r="DB440" s="254"/>
      <c r="DC440" s="254"/>
      <c r="DE440" s="199"/>
      <c r="DF440" s="200"/>
      <c r="DG440" s="181"/>
    </row>
    <row r="441" spans="1:111" s="324" customFormat="1" outlineLevel="1" x14ac:dyDescent="0.25">
      <c r="A441" s="305" t="s">
        <v>34</v>
      </c>
      <c r="B441" s="318" t="s">
        <v>381</v>
      </c>
      <c r="C441" s="306"/>
      <c r="D441" s="317">
        <f>SUM(D442:D443)</f>
        <v>74500</v>
      </c>
      <c r="E441" s="317">
        <f t="shared" ref="E441:L441" si="397">SUM(E442:E443)</f>
        <v>0</v>
      </c>
      <c r="F441" s="317">
        <f t="shared" si="397"/>
        <v>74500</v>
      </c>
      <c r="G441" s="317">
        <f t="shared" si="397"/>
        <v>0</v>
      </c>
      <c r="H441" s="317">
        <f t="shared" si="397"/>
        <v>74500</v>
      </c>
      <c r="I441" s="214">
        <f t="shared" si="397"/>
        <v>0</v>
      </c>
      <c r="J441" s="214"/>
      <c r="K441" s="317">
        <f t="shared" si="397"/>
        <v>0</v>
      </c>
      <c r="L441" s="214">
        <f t="shared" si="397"/>
        <v>0</v>
      </c>
      <c r="M441" s="223"/>
      <c r="N441" s="223"/>
      <c r="O441" s="317">
        <f t="shared" si="386"/>
        <v>0</v>
      </c>
      <c r="P441" s="317">
        <v>0</v>
      </c>
      <c r="Q441" s="319">
        <f t="shared" si="371"/>
        <v>0</v>
      </c>
      <c r="R441" s="317">
        <v>0</v>
      </c>
      <c r="S441" s="320">
        <v>0</v>
      </c>
      <c r="T441" s="320">
        <v>0</v>
      </c>
      <c r="U441" s="317">
        <v>0</v>
      </c>
      <c r="V441" s="320">
        <v>0</v>
      </c>
      <c r="W441" s="320">
        <v>0</v>
      </c>
      <c r="X441" s="317">
        <v>0</v>
      </c>
      <c r="Y441" s="320">
        <v>0</v>
      </c>
      <c r="Z441" s="320">
        <v>0</v>
      </c>
      <c r="AA441" s="317">
        <v>0</v>
      </c>
      <c r="AB441" s="320">
        <v>0</v>
      </c>
      <c r="AC441" s="320">
        <v>0</v>
      </c>
      <c r="AD441" s="317">
        <v>0</v>
      </c>
      <c r="AE441" s="320">
        <v>0</v>
      </c>
      <c r="AF441" s="320">
        <v>0</v>
      </c>
      <c r="AG441" s="317">
        <v>0</v>
      </c>
      <c r="AH441" s="320">
        <v>0</v>
      </c>
      <c r="AI441" s="320">
        <v>0</v>
      </c>
      <c r="AJ441" s="257">
        <v>0</v>
      </c>
      <c r="AK441" s="320">
        <v>0</v>
      </c>
      <c r="AL441" s="320">
        <v>0</v>
      </c>
      <c r="AM441" s="317">
        <v>0</v>
      </c>
      <c r="AN441" s="320">
        <v>0</v>
      </c>
      <c r="AO441" s="320">
        <v>0</v>
      </c>
      <c r="AP441" s="320"/>
      <c r="AQ441" s="317">
        <v>0</v>
      </c>
      <c r="AR441" s="320">
        <v>0</v>
      </c>
      <c r="AS441" s="320">
        <v>0</v>
      </c>
      <c r="AT441" s="317">
        <v>0</v>
      </c>
      <c r="AU441" s="320">
        <v>0</v>
      </c>
      <c r="AV441" s="320">
        <v>0</v>
      </c>
      <c r="AW441" s="320"/>
      <c r="AX441" s="320"/>
      <c r="AY441" s="320"/>
      <c r="AZ441" s="320"/>
      <c r="BA441" s="320"/>
      <c r="BB441" s="320"/>
      <c r="BC441" s="317">
        <v>0</v>
      </c>
      <c r="BD441" s="320">
        <v>0</v>
      </c>
      <c r="BE441" s="320">
        <v>0</v>
      </c>
      <c r="BF441" s="349"/>
      <c r="BG441" s="349">
        <v>0</v>
      </c>
      <c r="BH441" s="320">
        <v>0</v>
      </c>
      <c r="BI441" s="320">
        <v>0</v>
      </c>
      <c r="BJ441" s="349">
        <f t="shared" si="372"/>
        <v>70775</v>
      </c>
      <c r="BK441" s="349">
        <v>0</v>
      </c>
      <c r="BL441" s="320">
        <f t="shared" si="358"/>
        <v>0</v>
      </c>
      <c r="BM441" s="320">
        <f t="shared" si="373"/>
        <v>0</v>
      </c>
      <c r="BN441" s="205">
        <f t="shared" si="356"/>
        <v>0</v>
      </c>
      <c r="BO441" s="205"/>
      <c r="BP441" s="307">
        <f>SUM(BP442:BP443)</f>
        <v>0</v>
      </c>
      <c r="BQ441" s="322">
        <f t="shared" si="359"/>
        <v>0</v>
      </c>
      <c r="BR441" s="307">
        <f>SUM(BR442:BR443)</f>
        <v>0</v>
      </c>
      <c r="BS441" s="322">
        <f t="shared" si="360"/>
        <v>0</v>
      </c>
      <c r="BT441" s="307">
        <f>SUM(BT442:BT443)</f>
        <v>5000</v>
      </c>
      <c r="BU441" s="319">
        <f t="shared" si="361"/>
        <v>6.7114093959731544E-2</v>
      </c>
      <c r="BV441" s="307">
        <f>SUM(BV442:BV443)</f>
        <v>5000</v>
      </c>
      <c r="BW441" s="322">
        <f t="shared" si="362"/>
        <v>6.7114093959731544E-2</v>
      </c>
      <c r="BX441" s="307">
        <f>SUM(BX442:BX443)</f>
        <v>5000</v>
      </c>
      <c r="BY441" s="322">
        <f t="shared" si="363"/>
        <v>6.7114093959731544E-2</v>
      </c>
      <c r="BZ441" s="307">
        <f>SUM(BZ442:BZ443)</f>
        <v>21425</v>
      </c>
      <c r="CA441" s="322">
        <f t="shared" si="364"/>
        <v>0.28758389261744965</v>
      </c>
      <c r="CB441" s="307">
        <f>SUM(CB442:CB443)</f>
        <v>26425</v>
      </c>
      <c r="CC441" s="322">
        <f t="shared" si="365"/>
        <v>0.35469798657718121</v>
      </c>
      <c r="CD441" s="307">
        <f>SUM(CD442:CD443)</f>
        <v>31425</v>
      </c>
      <c r="CE441" s="322">
        <f t="shared" si="389"/>
        <v>0.42181208053691277</v>
      </c>
      <c r="CF441" s="307">
        <f>SUM(CF442:CF443)</f>
        <v>41425</v>
      </c>
      <c r="CG441" s="322">
        <f t="shared" si="366"/>
        <v>0.55604026845637589</v>
      </c>
      <c r="CH441" s="307">
        <f>SUM(CH442:CH443)</f>
        <v>51425</v>
      </c>
      <c r="CI441" s="322">
        <f t="shared" si="390"/>
        <v>0.69026845637583889</v>
      </c>
      <c r="CJ441" s="307">
        <f>SUM(CJ442:CJ443)</f>
        <v>61425</v>
      </c>
      <c r="CK441" s="322">
        <f t="shared" si="367"/>
        <v>0.82449664429530201</v>
      </c>
      <c r="CL441" s="307">
        <f>SUM(CL442:CL443)</f>
        <v>70775</v>
      </c>
      <c r="CM441" s="322">
        <f t="shared" si="368"/>
        <v>0.95</v>
      </c>
      <c r="CN441" s="307">
        <f>SUM(CN442:CN443)</f>
        <v>70775</v>
      </c>
      <c r="CO441" s="322">
        <f t="shared" si="369"/>
        <v>0.95</v>
      </c>
      <c r="CP441" s="213" t="str">
        <f t="shared" si="374"/>
        <v>Không đạt</v>
      </c>
      <c r="CQ441" s="213" t="str">
        <f t="shared" si="375"/>
        <v>Không đạt</v>
      </c>
      <c r="CR441" s="312"/>
      <c r="CS441" s="312"/>
      <c r="CT441" s="235"/>
      <c r="CU441" s="163"/>
      <c r="CV441" s="323"/>
      <c r="CW441" s="195"/>
      <c r="CX441" s="196"/>
      <c r="CY441" s="196"/>
      <c r="CZ441" s="197"/>
      <c r="DA441" s="196"/>
      <c r="DB441" s="196"/>
      <c r="DC441" s="196"/>
      <c r="DE441" s="199"/>
      <c r="DF441" s="200"/>
      <c r="DG441" s="181"/>
    </row>
    <row r="442" spans="1:111" ht="29.25" customHeight="1" outlineLevel="1" x14ac:dyDescent="0.25">
      <c r="A442" s="192"/>
      <c r="B442" s="325" t="s">
        <v>454</v>
      </c>
      <c r="C442" s="325"/>
      <c r="D442" s="214">
        <f>E442+F442</f>
        <v>73000</v>
      </c>
      <c r="E442" s="215"/>
      <c r="F442" s="214">
        <f>G442+H442+K442+M442</f>
        <v>73000</v>
      </c>
      <c r="G442" s="223"/>
      <c r="H442" s="257">
        <v>73000</v>
      </c>
      <c r="I442" s="235"/>
      <c r="J442" s="235"/>
      <c r="K442" s="223"/>
      <c r="L442" s="235"/>
      <c r="M442" s="223"/>
      <c r="N442" s="223"/>
      <c r="O442" s="257">
        <f t="shared" si="386"/>
        <v>0</v>
      </c>
      <c r="P442" s="257">
        <v>0</v>
      </c>
      <c r="Q442" s="224">
        <f t="shared" si="371"/>
        <v>0</v>
      </c>
      <c r="R442" s="257">
        <v>0</v>
      </c>
      <c r="S442" s="326">
        <v>0</v>
      </c>
      <c r="T442" s="326">
        <v>0</v>
      </c>
      <c r="U442" s="257">
        <v>0</v>
      </c>
      <c r="V442" s="326">
        <v>0</v>
      </c>
      <c r="W442" s="326">
        <v>0</v>
      </c>
      <c r="X442" s="257">
        <v>0</v>
      </c>
      <c r="Y442" s="326">
        <v>0</v>
      </c>
      <c r="Z442" s="326">
        <v>0</v>
      </c>
      <c r="AA442" s="257">
        <v>0</v>
      </c>
      <c r="AB442" s="326">
        <v>0</v>
      </c>
      <c r="AC442" s="326">
        <v>0</v>
      </c>
      <c r="AD442" s="257">
        <v>0</v>
      </c>
      <c r="AE442" s="326">
        <v>0</v>
      </c>
      <c r="AF442" s="326">
        <v>0</v>
      </c>
      <c r="AG442" s="257">
        <v>0</v>
      </c>
      <c r="AH442" s="326">
        <v>0</v>
      </c>
      <c r="AI442" s="326">
        <v>0</v>
      </c>
      <c r="AJ442" s="257">
        <v>0</v>
      </c>
      <c r="AK442" s="326">
        <v>0</v>
      </c>
      <c r="AL442" s="326">
        <v>0</v>
      </c>
      <c r="AM442" s="257">
        <v>0</v>
      </c>
      <c r="AN442" s="326">
        <v>0</v>
      </c>
      <c r="AO442" s="326">
        <v>0</v>
      </c>
      <c r="AP442" s="326"/>
      <c r="AQ442" s="257">
        <v>0</v>
      </c>
      <c r="AR442" s="326">
        <v>0</v>
      </c>
      <c r="AS442" s="326">
        <v>0</v>
      </c>
      <c r="AT442" s="257">
        <v>0</v>
      </c>
      <c r="AU442" s="326">
        <v>0</v>
      </c>
      <c r="AV442" s="326">
        <v>0</v>
      </c>
      <c r="AW442" s="326"/>
      <c r="AX442" s="326"/>
      <c r="AY442" s="326"/>
      <c r="AZ442" s="326"/>
      <c r="BA442" s="326"/>
      <c r="BB442" s="326"/>
      <c r="BC442" s="257">
        <v>0</v>
      </c>
      <c r="BD442" s="326">
        <v>0</v>
      </c>
      <c r="BE442" s="326">
        <v>0</v>
      </c>
      <c r="BF442" s="350"/>
      <c r="BG442" s="350">
        <v>0</v>
      </c>
      <c r="BH442" s="326">
        <v>0</v>
      </c>
      <c r="BI442" s="326">
        <v>0</v>
      </c>
      <c r="BJ442" s="402">
        <f t="shared" si="372"/>
        <v>69350</v>
      </c>
      <c r="BK442" s="402">
        <v>0</v>
      </c>
      <c r="BL442" s="326">
        <f t="shared" si="358"/>
        <v>0</v>
      </c>
      <c r="BM442" s="326">
        <f t="shared" si="373"/>
        <v>0</v>
      </c>
      <c r="BN442" s="205">
        <f t="shared" si="356"/>
        <v>0</v>
      </c>
      <c r="BO442" s="205"/>
      <c r="BP442" s="227">
        <v>0</v>
      </c>
      <c r="BQ442" s="327">
        <f t="shared" si="359"/>
        <v>0</v>
      </c>
      <c r="BR442" s="227">
        <v>0</v>
      </c>
      <c r="BS442" s="327">
        <f t="shared" si="360"/>
        <v>0</v>
      </c>
      <c r="BT442" s="227">
        <v>5000</v>
      </c>
      <c r="BU442" s="224">
        <f t="shared" si="361"/>
        <v>6.8493150684931503E-2</v>
      </c>
      <c r="BV442" s="227">
        <f>BT442</f>
        <v>5000</v>
      </c>
      <c r="BW442" s="327">
        <f t="shared" si="362"/>
        <v>6.8493150684931503E-2</v>
      </c>
      <c r="BX442" s="227">
        <f>BV442</f>
        <v>5000</v>
      </c>
      <c r="BY442" s="327">
        <f t="shared" si="363"/>
        <v>6.8493150684931503E-2</v>
      </c>
      <c r="BZ442" s="227">
        <f>BX442+15000</f>
        <v>20000</v>
      </c>
      <c r="CA442" s="327">
        <f t="shared" si="364"/>
        <v>0.27397260273972601</v>
      </c>
      <c r="CB442" s="227">
        <f>BZ442+5000</f>
        <v>25000</v>
      </c>
      <c r="CC442" s="327">
        <f t="shared" si="365"/>
        <v>0.34246575342465752</v>
      </c>
      <c r="CD442" s="227">
        <f>CB442+5000</f>
        <v>30000</v>
      </c>
      <c r="CE442" s="327">
        <f t="shared" si="389"/>
        <v>0.41095890410958902</v>
      </c>
      <c r="CF442" s="227">
        <f>CD442+10000</f>
        <v>40000</v>
      </c>
      <c r="CG442" s="327">
        <f t="shared" si="366"/>
        <v>0.54794520547945202</v>
      </c>
      <c r="CH442" s="227">
        <f>CF442+10000</f>
        <v>50000</v>
      </c>
      <c r="CI442" s="327">
        <f t="shared" si="390"/>
        <v>0.68493150684931503</v>
      </c>
      <c r="CJ442" s="227">
        <f>CH442+10000</f>
        <v>60000</v>
      </c>
      <c r="CK442" s="327">
        <f t="shared" si="367"/>
        <v>0.82191780821917804</v>
      </c>
      <c r="CL442" s="227">
        <f>H442*0.95</f>
        <v>69350</v>
      </c>
      <c r="CM442" s="327">
        <f t="shared" si="368"/>
        <v>0.95</v>
      </c>
      <c r="CN442" s="227">
        <f>CL442</f>
        <v>69350</v>
      </c>
      <c r="CO442" s="327">
        <f t="shared" si="369"/>
        <v>0.95</v>
      </c>
      <c r="CP442" s="213" t="str">
        <f t="shared" si="374"/>
        <v>Không đạt</v>
      </c>
      <c r="CQ442" s="213" t="str">
        <f t="shared" si="375"/>
        <v>Không đạt</v>
      </c>
      <c r="CR442" s="192"/>
      <c r="CS442" s="192"/>
      <c r="CT442" s="223"/>
      <c r="CU442" s="163"/>
      <c r="CW442" s="195"/>
      <c r="CX442" s="196"/>
      <c r="CY442" s="196"/>
      <c r="CZ442" s="197"/>
      <c r="DA442" s="196"/>
      <c r="DB442" s="196"/>
      <c r="DC442" s="196"/>
      <c r="DE442" s="199"/>
      <c r="DF442" s="200"/>
      <c r="DG442" s="181"/>
    </row>
    <row r="443" spans="1:111" ht="29.25" customHeight="1" outlineLevel="1" x14ac:dyDescent="0.25">
      <c r="A443" s="192"/>
      <c r="B443" s="325" t="s">
        <v>455</v>
      </c>
      <c r="C443" s="325"/>
      <c r="D443" s="214">
        <f>E443+F443</f>
        <v>1500</v>
      </c>
      <c r="E443" s="215"/>
      <c r="F443" s="214">
        <f>G443+H443+K443+M443</f>
        <v>1500</v>
      </c>
      <c r="G443" s="223"/>
      <c r="H443" s="257">
        <v>1500</v>
      </c>
      <c r="I443" s="235"/>
      <c r="J443" s="235"/>
      <c r="K443" s="223"/>
      <c r="L443" s="235"/>
      <c r="M443" s="223"/>
      <c r="N443" s="223"/>
      <c r="O443" s="257">
        <f t="shared" si="386"/>
        <v>0</v>
      </c>
      <c r="P443" s="257">
        <v>0</v>
      </c>
      <c r="Q443" s="224">
        <f t="shared" si="371"/>
        <v>0</v>
      </c>
      <c r="R443" s="257">
        <v>0</v>
      </c>
      <c r="S443" s="326">
        <v>0</v>
      </c>
      <c r="T443" s="326">
        <v>0</v>
      </c>
      <c r="U443" s="257">
        <v>0</v>
      </c>
      <c r="V443" s="326">
        <v>0</v>
      </c>
      <c r="W443" s="326">
        <v>0</v>
      </c>
      <c r="X443" s="257">
        <v>0</v>
      </c>
      <c r="Y443" s="326">
        <v>0</v>
      </c>
      <c r="Z443" s="326">
        <v>0</v>
      </c>
      <c r="AA443" s="257">
        <v>0</v>
      </c>
      <c r="AB443" s="326">
        <v>0</v>
      </c>
      <c r="AC443" s="326">
        <v>0</v>
      </c>
      <c r="AD443" s="257">
        <v>0</v>
      </c>
      <c r="AE443" s="326">
        <v>0</v>
      </c>
      <c r="AF443" s="326">
        <v>0</v>
      </c>
      <c r="AG443" s="257">
        <v>0</v>
      </c>
      <c r="AH443" s="326">
        <v>0</v>
      </c>
      <c r="AI443" s="326">
        <v>0</v>
      </c>
      <c r="AJ443" s="303">
        <v>0</v>
      </c>
      <c r="AK443" s="326">
        <v>0</v>
      </c>
      <c r="AL443" s="326">
        <v>0</v>
      </c>
      <c r="AM443" s="257">
        <v>0</v>
      </c>
      <c r="AN443" s="326">
        <v>0</v>
      </c>
      <c r="AO443" s="326">
        <v>0</v>
      </c>
      <c r="AP443" s="326"/>
      <c r="AQ443" s="257">
        <v>0</v>
      </c>
      <c r="AR443" s="326">
        <v>0</v>
      </c>
      <c r="AS443" s="326">
        <v>0</v>
      </c>
      <c r="AT443" s="257">
        <v>0</v>
      </c>
      <c r="AU443" s="326">
        <v>0</v>
      </c>
      <c r="AV443" s="326">
        <v>0</v>
      </c>
      <c r="AW443" s="326"/>
      <c r="AX443" s="326"/>
      <c r="AY443" s="326"/>
      <c r="AZ443" s="326"/>
      <c r="BA443" s="326"/>
      <c r="BB443" s="326"/>
      <c r="BC443" s="257">
        <v>0</v>
      </c>
      <c r="BD443" s="326">
        <v>0</v>
      </c>
      <c r="BE443" s="326">
        <v>0</v>
      </c>
      <c r="BF443" s="350"/>
      <c r="BG443" s="350">
        <v>0</v>
      </c>
      <c r="BH443" s="326">
        <v>0</v>
      </c>
      <c r="BI443" s="326">
        <v>0</v>
      </c>
      <c r="BJ443" s="402">
        <f t="shared" si="372"/>
        <v>1425</v>
      </c>
      <c r="BK443" s="402">
        <v>0</v>
      </c>
      <c r="BL443" s="326">
        <f t="shared" si="358"/>
        <v>0</v>
      </c>
      <c r="BM443" s="326">
        <f t="shared" si="373"/>
        <v>0</v>
      </c>
      <c r="BN443" s="205">
        <f t="shared" si="356"/>
        <v>0</v>
      </c>
      <c r="BO443" s="205"/>
      <c r="BP443" s="227">
        <v>0</v>
      </c>
      <c r="BQ443" s="327">
        <f t="shared" si="359"/>
        <v>0</v>
      </c>
      <c r="BR443" s="227">
        <v>0</v>
      </c>
      <c r="BS443" s="327">
        <f t="shared" si="360"/>
        <v>0</v>
      </c>
      <c r="BT443" s="227">
        <v>0</v>
      </c>
      <c r="BU443" s="224">
        <f t="shared" si="361"/>
        <v>0</v>
      </c>
      <c r="BV443" s="227">
        <v>0</v>
      </c>
      <c r="BW443" s="327">
        <f t="shared" si="362"/>
        <v>0</v>
      </c>
      <c r="BX443" s="227">
        <v>0</v>
      </c>
      <c r="BY443" s="327">
        <f t="shared" si="363"/>
        <v>0</v>
      </c>
      <c r="BZ443" s="227">
        <f>1500*0.95</f>
        <v>1425</v>
      </c>
      <c r="CA443" s="327">
        <f t="shared" si="364"/>
        <v>0.95</v>
      </c>
      <c r="CB443" s="227">
        <f>BZ443</f>
        <v>1425</v>
      </c>
      <c r="CC443" s="327">
        <f t="shared" si="365"/>
        <v>0.95</v>
      </c>
      <c r="CD443" s="227">
        <f>CB443</f>
        <v>1425</v>
      </c>
      <c r="CE443" s="327">
        <f t="shared" si="389"/>
        <v>0.95</v>
      </c>
      <c r="CF443" s="227">
        <f>CD443</f>
        <v>1425</v>
      </c>
      <c r="CG443" s="327">
        <f t="shared" si="366"/>
        <v>0.95</v>
      </c>
      <c r="CH443" s="227">
        <f>CF443</f>
        <v>1425</v>
      </c>
      <c r="CI443" s="327">
        <f t="shared" si="390"/>
        <v>0.95</v>
      </c>
      <c r="CJ443" s="227">
        <f>CH443</f>
        <v>1425</v>
      </c>
      <c r="CK443" s="327">
        <f t="shared" si="367"/>
        <v>0.95</v>
      </c>
      <c r="CL443" s="227">
        <f>CJ443</f>
        <v>1425</v>
      </c>
      <c r="CM443" s="327">
        <f t="shared" si="368"/>
        <v>0.95</v>
      </c>
      <c r="CN443" s="227">
        <f>CL443</f>
        <v>1425</v>
      </c>
      <c r="CO443" s="327">
        <f t="shared" si="369"/>
        <v>0.95</v>
      </c>
      <c r="CP443" s="213" t="str">
        <f t="shared" si="374"/>
        <v>Không đạt</v>
      </c>
      <c r="CQ443" s="213" t="str">
        <f t="shared" si="375"/>
        <v>Không đạt</v>
      </c>
      <c r="CR443" s="192"/>
      <c r="CS443" s="192"/>
      <c r="CT443" s="223"/>
      <c r="CU443" s="163"/>
      <c r="CW443" s="195"/>
      <c r="CX443" s="196"/>
      <c r="CY443" s="196"/>
      <c r="CZ443" s="197"/>
      <c r="DA443" s="196"/>
      <c r="DB443" s="196"/>
      <c r="DC443" s="196"/>
      <c r="DE443" s="199"/>
      <c r="DF443" s="200"/>
      <c r="DG443" s="181"/>
    </row>
    <row r="444" spans="1:111" s="324" customFormat="1" outlineLevel="1" x14ac:dyDescent="0.25">
      <c r="A444" s="305" t="s">
        <v>34</v>
      </c>
      <c r="B444" s="318" t="s">
        <v>376</v>
      </c>
      <c r="C444" s="306"/>
      <c r="D444" s="307">
        <f>E444+F444</f>
        <v>3000</v>
      </c>
      <c r="E444" s="307"/>
      <c r="F444" s="307">
        <f>G444+H444+K444+M444</f>
        <v>3000</v>
      </c>
      <c r="G444" s="303">
        <v>3000</v>
      </c>
      <c r="H444" s="303"/>
      <c r="I444" s="235"/>
      <c r="J444" s="235"/>
      <c r="K444" s="303"/>
      <c r="L444" s="235"/>
      <c r="M444" s="223"/>
      <c r="N444" s="223"/>
      <c r="O444" s="303">
        <f t="shared" si="386"/>
        <v>3000</v>
      </c>
      <c r="P444" s="303">
        <v>0</v>
      </c>
      <c r="Q444" s="308">
        <f t="shared" si="371"/>
        <v>0</v>
      </c>
      <c r="R444" s="303">
        <v>0</v>
      </c>
      <c r="S444" s="313">
        <v>0</v>
      </c>
      <c r="T444" s="313">
        <v>0</v>
      </c>
      <c r="U444" s="303">
        <v>173.05199999999999</v>
      </c>
      <c r="V444" s="313">
        <v>5.7683999999999999E-2</v>
      </c>
      <c r="W444" s="313">
        <v>6.0719999999999996E-2</v>
      </c>
      <c r="X444" s="303">
        <v>173.05199999999999</v>
      </c>
      <c r="Y444" s="313">
        <v>5.7683999999999999E-2</v>
      </c>
      <c r="Z444" s="313">
        <v>6.0719999999999996E-2</v>
      </c>
      <c r="AA444" s="303">
        <v>173.05199999999999</v>
      </c>
      <c r="AB444" s="313">
        <v>5.7683999999999999E-2</v>
      </c>
      <c r="AC444" s="313">
        <v>6.0719999999999996E-2</v>
      </c>
      <c r="AD444" s="303">
        <v>173.05199999999999</v>
      </c>
      <c r="AE444" s="313">
        <v>5.7683999999999999E-2</v>
      </c>
      <c r="AF444" s="313">
        <v>6.0719999999999996E-2</v>
      </c>
      <c r="AG444" s="303">
        <v>173.05199999999999</v>
      </c>
      <c r="AH444" s="313">
        <v>5.7683999999999999E-2</v>
      </c>
      <c r="AI444" s="313">
        <v>6.0719999999999996E-2</v>
      </c>
      <c r="AJ444" s="303">
        <v>173.05199999999999</v>
      </c>
      <c r="AK444" s="313">
        <v>5.7683999999999999E-2</v>
      </c>
      <c r="AL444" s="313">
        <v>6.0719999999999996E-2</v>
      </c>
      <c r="AM444" s="303">
        <v>173.05199999999999</v>
      </c>
      <c r="AN444" s="313">
        <v>5.7683999999999999E-2</v>
      </c>
      <c r="AO444" s="313">
        <v>6.0719999999999996E-2</v>
      </c>
      <c r="AP444" s="313"/>
      <c r="AQ444" s="303">
        <v>173.05199999999999</v>
      </c>
      <c r="AR444" s="313">
        <v>5.7683999999999999E-2</v>
      </c>
      <c r="AS444" s="313">
        <v>6.0719999999999996E-2</v>
      </c>
      <c r="AT444" s="303">
        <v>173.05199999999999</v>
      </c>
      <c r="AU444" s="313">
        <v>5.7683999999999999E-2</v>
      </c>
      <c r="AV444" s="313">
        <v>6.0719999999999996E-2</v>
      </c>
      <c r="AW444" s="313"/>
      <c r="AX444" s="313"/>
      <c r="AY444" s="313"/>
      <c r="AZ444" s="313"/>
      <c r="BA444" s="313"/>
      <c r="BB444" s="313"/>
      <c r="BC444" s="303">
        <v>173.05199999999999</v>
      </c>
      <c r="BD444" s="313">
        <v>5.7683999999999999E-2</v>
      </c>
      <c r="BE444" s="313">
        <v>6.0719999999999996E-2</v>
      </c>
      <c r="BF444" s="351"/>
      <c r="BG444" s="351">
        <v>179.46699999999998</v>
      </c>
      <c r="BH444" s="313">
        <v>5.9822333333333332E-2</v>
      </c>
      <c r="BI444" s="313">
        <v>6.2970877192982444E-2</v>
      </c>
      <c r="BJ444" s="349">
        <f t="shared" si="372"/>
        <v>2850</v>
      </c>
      <c r="BK444" s="349">
        <v>179.46699999999998</v>
      </c>
      <c r="BL444" s="313">
        <f t="shared" si="358"/>
        <v>5.9822333333333332E-2</v>
      </c>
      <c r="BM444" s="313">
        <f t="shared" si="373"/>
        <v>6.2970877192982444E-2</v>
      </c>
      <c r="BN444" s="205">
        <f t="shared" si="356"/>
        <v>6.414999999999992</v>
      </c>
      <c r="BO444" s="205"/>
      <c r="BP444" s="310">
        <v>0</v>
      </c>
      <c r="BQ444" s="311">
        <f t="shared" si="359"/>
        <v>0</v>
      </c>
      <c r="BR444" s="310">
        <v>0</v>
      </c>
      <c r="BS444" s="311">
        <f t="shared" si="360"/>
        <v>0</v>
      </c>
      <c r="BT444" s="310">
        <v>500</v>
      </c>
      <c r="BU444" s="308">
        <f t="shared" si="361"/>
        <v>0.16666666666666666</v>
      </c>
      <c r="BV444" s="310">
        <f>BT444+1000</f>
        <v>1500</v>
      </c>
      <c r="BW444" s="311">
        <f t="shared" si="362"/>
        <v>0.5</v>
      </c>
      <c r="BX444" s="310">
        <f>BV444</f>
        <v>1500</v>
      </c>
      <c r="BY444" s="311">
        <f t="shared" si="363"/>
        <v>0.5</v>
      </c>
      <c r="BZ444" s="310">
        <f>G444*0.95</f>
        <v>2850</v>
      </c>
      <c r="CA444" s="311">
        <f t="shared" si="364"/>
        <v>0.95</v>
      </c>
      <c r="CB444" s="310">
        <f>BZ444</f>
        <v>2850</v>
      </c>
      <c r="CC444" s="311">
        <f t="shared" si="365"/>
        <v>0.95</v>
      </c>
      <c r="CD444" s="310">
        <f>CB444</f>
        <v>2850</v>
      </c>
      <c r="CE444" s="311">
        <f t="shared" si="389"/>
        <v>0.95</v>
      </c>
      <c r="CF444" s="310">
        <f>CD444</f>
        <v>2850</v>
      </c>
      <c r="CG444" s="311">
        <f t="shared" si="366"/>
        <v>0.95</v>
      </c>
      <c r="CH444" s="310">
        <f>CF444</f>
        <v>2850</v>
      </c>
      <c r="CI444" s="311">
        <f t="shared" si="390"/>
        <v>0.95</v>
      </c>
      <c r="CJ444" s="310">
        <f>CH444</f>
        <v>2850</v>
      </c>
      <c r="CK444" s="311">
        <f t="shared" si="367"/>
        <v>0.95</v>
      </c>
      <c r="CL444" s="310">
        <f>CJ444</f>
        <v>2850</v>
      </c>
      <c r="CM444" s="311">
        <f t="shared" si="368"/>
        <v>0.95</v>
      </c>
      <c r="CN444" s="310">
        <f>CL444</f>
        <v>2850</v>
      </c>
      <c r="CO444" s="311">
        <f t="shared" si="369"/>
        <v>0.95</v>
      </c>
      <c r="CP444" s="213" t="str">
        <f t="shared" si="374"/>
        <v>Không đạt</v>
      </c>
      <c r="CQ444" s="213" t="str">
        <f t="shared" si="375"/>
        <v>Không đạt</v>
      </c>
      <c r="CR444" s="312"/>
      <c r="CS444" s="312"/>
      <c r="CT444" s="235"/>
      <c r="CU444" s="163"/>
      <c r="CV444" s="323"/>
      <c r="CW444" s="195"/>
      <c r="CX444" s="196"/>
      <c r="CY444" s="196"/>
      <c r="CZ444" s="197"/>
      <c r="DA444" s="196"/>
      <c r="DB444" s="196"/>
      <c r="DC444" s="196"/>
      <c r="DE444" s="199"/>
      <c r="DF444" s="200"/>
      <c r="DG444" s="181"/>
    </row>
    <row r="445" spans="1:111" ht="44.45" customHeight="1" outlineLevel="1" x14ac:dyDescent="0.25">
      <c r="A445" s="305" t="s">
        <v>34</v>
      </c>
      <c r="B445" s="306" t="s">
        <v>377</v>
      </c>
      <c r="C445" s="306"/>
      <c r="D445" s="307">
        <f>E445+F445</f>
        <v>89250</v>
      </c>
      <c r="E445" s="307"/>
      <c r="F445" s="307">
        <f>G445+H445+K445+M445</f>
        <v>89250</v>
      </c>
      <c r="G445" s="307"/>
      <c r="H445" s="307">
        <v>89250</v>
      </c>
      <c r="I445" s="235"/>
      <c r="J445" s="235"/>
      <c r="K445" s="303"/>
      <c r="L445" s="235"/>
      <c r="M445" s="223"/>
      <c r="N445" s="223"/>
      <c r="O445" s="303"/>
      <c r="P445" s="303">
        <v>0</v>
      </c>
      <c r="Q445" s="308">
        <f t="shared" si="371"/>
        <v>0</v>
      </c>
      <c r="R445" s="303">
        <v>0</v>
      </c>
      <c r="S445" s="313">
        <v>0</v>
      </c>
      <c r="T445" s="313">
        <v>0</v>
      </c>
      <c r="U445" s="303">
        <v>0</v>
      </c>
      <c r="V445" s="313">
        <v>0</v>
      </c>
      <c r="W445" s="313">
        <v>0</v>
      </c>
      <c r="X445" s="303">
        <v>0</v>
      </c>
      <c r="Y445" s="313">
        <v>0</v>
      </c>
      <c r="Z445" s="313">
        <v>0</v>
      </c>
      <c r="AA445" s="303">
        <v>0</v>
      </c>
      <c r="AB445" s="313">
        <v>0</v>
      </c>
      <c r="AC445" s="313">
        <v>0</v>
      </c>
      <c r="AD445" s="303">
        <v>1825.829</v>
      </c>
      <c r="AE445" s="313">
        <v>2.0457467787114846E-2</v>
      </c>
      <c r="AF445" s="313">
        <v>2.1534176618015627E-2</v>
      </c>
      <c r="AG445" s="303">
        <v>1825.829</v>
      </c>
      <c r="AH445" s="313">
        <v>2.0457467787114846E-2</v>
      </c>
      <c r="AI445" s="313">
        <v>2.1534176618015627E-2</v>
      </c>
      <c r="AJ445" s="188">
        <v>1825.829</v>
      </c>
      <c r="AK445" s="313">
        <v>2.0457467787114846E-2</v>
      </c>
      <c r="AL445" s="313">
        <v>2.1534176618015627E-2</v>
      </c>
      <c r="AM445" s="303">
        <v>1825.829</v>
      </c>
      <c r="AN445" s="313">
        <v>2.0457467787114846E-2</v>
      </c>
      <c r="AO445" s="313">
        <v>2.1534176618015627E-2</v>
      </c>
      <c r="AP445" s="313"/>
      <c r="AQ445" s="303">
        <v>9317.0190000000002</v>
      </c>
      <c r="AR445" s="313">
        <v>0.10439236974789916</v>
      </c>
      <c r="AS445" s="313">
        <v>0.10988670499778859</v>
      </c>
      <c r="AT445" s="303">
        <v>9317.0190000000002</v>
      </c>
      <c r="AU445" s="313">
        <v>0.10439236974789916</v>
      </c>
      <c r="AV445" s="313">
        <v>0.10988670499778859</v>
      </c>
      <c r="AW445" s="313"/>
      <c r="AX445" s="313"/>
      <c r="AY445" s="313"/>
      <c r="AZ445" s="313"/>
      <c r="BA445" s="313"/>
      <c r="BB445" s="313"/>
      <c r="BC445" s="303">
        <v>9317.0190000000002</v>
      </c>
      <c r="BD445" s="313">
        <v>0.10439236974789916</v>
      </c>
      <c r="BE445" s="313">
        <v>0.10988670499778859</v>
      </c>
      <c r="BF445" s="351"/>
      <c r="BG445" s="351">
        <v>10362.638000000001</v>
      </c>
      <c r="BH445" s="313">
        <v>0.11610798879551822</v>
      </c>
      <c r="BI445" s="313">
        <v>0.12221893557422971</v>
      </c>
      <c r="BJ445" s="349">
        <f t="shared" si="372"/>
        <v>84787.5</v>
      </c>
      <c r="BK445" s="349">
        <v>12943.291000000001</v>
      </c>
      <c r="BL445" s="313">
        <f t="shared" si="358"/>
        <v>0.14502286834733893</v>
      </c>
      <c r="BM445" s="313">
        <f t="shared" si="373"/>
        <v>0.15265565089193572</v>
      </c>
      <c r="BN445" s="205">
        <f t="shared" si="356"/>
        <v>11117.462000000001</v>
      </c>
      <c r="BO445" s="205"/>
      <c r="BP445" s="310">
        <v>0</v>
      </c>
      <c r="BQ445" s="311">
        <f t="shared" si="359"/>
        <v>0</v>
      </c>
      <c r="BR445" s="310">
        <v>0</v>
      </c>
      <c r="BS445" s="311">
        <f t="shared" si="360"/>
        <v>0</v>
      </c>
      <c r="BT445" s="310">
        <v>5000</v>
      </c>
      <c r="BU445" s="308">
        <f t="shared" si="361"/>
        <v>5.6022408963585436E-2</v>
      </c>
      <c r="BV445" s="310">
        <f>BT445</f>
        <v>5000</v>
      </c>
      <c r="BW445" s="311">
        <f t="shared" si="362"/>
        <v>5.6022408963585436E-2</v>
      </c>
      <c r="BX445" s="310">
        <f>BV445+5000</f>
        <v>10000</v>
      </c>
      <c r="BY445" s="311">
        <f t="shared" si="363"/>
        <v>0.11204481792717087</v>
      </c>
      <c r="BZ445" s="310">
        <f>BX445+10000</f>
        <v>20000</v>
      </c>
      <c r="CA445" s="311">
        <f t="shared" si="364"/>
        <v>0.22408963585434175</v>
      </c>
      <c r="CB445" s="310">
        <f>BZ445</f>
        <v>20000</v>
      </c>
      <c r="CC445" s="311">
        <f t="shared" si="365"/>
        <v>0.22408963585434175</v>
      </c>
      <c r="CD445" s="310">
        <f>CB445+10000</f>
        <v>30000</v>
      </c>
      <c r="CE445" s="311">
        <f t="shared" si="389"/>
        <v>0.33613445378151263</v>
      </c>
      <c r="CF445" s="310">
        <f>CD445</f>
        <v>30000</v>
      </c>
      <c r="CG445" s="311">
        <f t="shared" si="366"/>
        <v>0.33613445378151263</v>
      </c>
      <c r="CH445" s="310">
        <f>CF445+30000</f>
        <v>60000</v>
      </c>
      <c r="CI445" s="311">
        <f t="shared" si="390"/>
        <v>0.67226890756302526</v>
      </c>
      <c r="CJ445" s="310">
        <f>CH445+20000</f>
        <v>80000</v>
      </c>
      <c r="CK445" s="311">
        <f t="shared" si="367"/>
        <v>0.89635854341736698</v>
      </c>
      <c r="CL445" s="310">
        <f>D445*0.95</f>
        <v>84787.5</v>
      </c>
      <c r="CM445" s="311">
        <f t="shared" si="368"/>
        <v>0.95</v>
      </c>
      <c r="CN445" s="310">
        <f>CL445</f>
        <v>84787.5</v>
      </c>
      <c r="CO445" s="311">
        <f t="shared" si="369"/>
        <v>0.95</v>
      </c>
      <c r="CP445" s="213" t="str">
        <f t="shared" si="374"/>
        <v>Không đạt</v>
      </c>
      <c r="CQ445" s="213" t="str">
        <f t="shared" si="375"/>
        <v>Không đạt</v>
      </c>
      <c r="CR445" s="312"/>
      <c r="CS445" s="312"/>
      <c r="CT445" s="235"/>
      <c r="CU445" s="163"/>
      <c r="CW445" s="195"/>
      <c r="CX445" s="196"/>
      <c r="CY445" s="196"/>
      <c r="CZ445" s="197"/>
      <c r="DA445" s="196"/>
      <c r="DB445" s="196"/>
      <c r="DC445" s="196"/>
      <c r="DE445" s="199"/>
      <c r="DF445" s="200"/>
      <c r="DG445" s="181"/>
    </row>
    <row r="446" spans="1:111" ht="18" customHeight="1" x14ac:dyDescent="0.25">
      <c r="A446" s="213">
        <f>MAX(A$243:A444)+1</f>
        <v>60</v>
      </c>
      <c r="B446" s="240" t="s">
        <v>456</v>
      </c>
      <c r="C446" s="240"/>
      <c r="D446" s="188">
        <f t="shared" ref="D446:I446" si="398">D447</f>
        <v>3000</v>
      </c>
      <c r="E446" s="188">
        <f t="shared" si="398"/>
        <v>0</v>
      </c>
      <c r="F446" s="188">
        <f t="shared" si="398"/>
        <v>3000</v>
      </c>
      <c r="G446" s="188">
        <f t="shared" si="398"/>
        <v>3000</v>
      </c>
      <c r="H446" s="188">
        <f t="shared" si="398"/>
        <v>0</v>
      </c>
      <c r="I446" s="188">
        <f t="shared" si="398"/>
        <v>0</v>
      </c>
      <c r="J446" s="188"/>
      <c r="K446" s="188">
        <f>K447</f>
        <v>0</v>
      </c>
      <c r="L446" s="188">
        <f>L447</f>
        <v>0</v>
      </c>
      <c r="M446" s="231"/>
      <c r="N446" s="231"/>
      <c r="O446" s="188">
        <f t="shared" si="386"/>
        <v>3000</v>
      </c>
      <c r="P446" s="188">
        <v>0</v>
      </c>
      <c r="Q446" s="186">
        <f t="shared" si="371"/>
        <v>0</v>
      </c>
      <c r="R446" s="188">
        <v>0</v>
      </c>
      <c r="S446" s="185">
        <v>0</v>
      </c>
      <c r="T446" s="185">
        <v>0</v>
      </c>
      <c r="U446" s="188">
        <v>722.93299999999999</v>
      </c>
      <c r="V446" s="185">
        <v>0.24097766666666667</v>
      </c>
      <c r="W446" s="185">
        <v>0.25366070175438599</v>
      </c>
      <c r="X446" s="188">
        <v>722.93299999999999</v>
      </c>
      <c r="Y446" s="185">
        <v>0.24097766666666667</v>
      </c>
      <c r="Z446" s="185">
        <v>0.25366070175438599</v>
      </c>
      <c r="AA446" s="188">
        <v>722.93299999999999</v>
      </c>
      <c r="AB446" s="185">
        <v>0.24097766666666667</v>
      </c>
      <c r="AC446" s="185">
        <v>0.25366070175438599</v>
      </c>
      <c r="AD446" s="188">
        <v>745.35299999999995</v>
      </c>
      <c r="AE446" s="185">
        <v>0.24845099999999998</v>
      </c>
      <c r="AF446" s="185">
        <v>0.26152736842105262</v>
      </c>
      <c r="AG446" s="188">
        <v>745.35299999999995</v>
      </c>
      <c r="AH446" s="185">
        <v>0.24845099999999998</v>
      </c>
      <c r="AI446" s="185">
        <v>0.26152736842105262</v>
      </c>
      <c r="AJ446" s="303">
        <v>745.35299999999995</v>
      </c>
      <c r="AK446" s="185">
        <v>0.24845099999999998</v>
      </c>
      <c r="AL446" s="185">
        <v>0.26152736842105262</v>
      </c>
      <c r="AM446" s="188">
        <v>745.35299999999995</v>
      </c>
      <c r="AN446" s="185">
        <v>0.24845099999999998</v>
      </c>
      <c r="AO446" s="185">
        <v>0.26152736842105262</v>
      </c>
      <c r="AP446" s="185"/>
      <c r="AQ446" s="188">
        <v>745.35299999999995</v>
      </c>
      <c r="AR446" s="185">
        <v>0.24845099999999998</v>
      </c>
      <c r="AS446" s="185">
        <v>0.26152736842105262</v>
      </c>
      <c r="AT446" s="188">
        <v>745.35299999999995</v>
      </c>
      <c r="AU446" s="185">
        <v>0.24845099999999998</v>
      </c>
      <c r="AV446" s="185">
        <v>0.26152736842105262</v>
      </c>
      <c r="AW446" s="185"/>
      <c r="AX446" s="185"/>
      <c r="AY446" s="185"/>
      <c r="AZ446" s="185"/>
      <c r="BA446" s="185"/>
      <c r="BB446" s="185"/>
      <c r="BC446" s="188">
        <v>745.35299999999995</v>
      </c>
      <c r="BD446" s="185">
        <v>0.24845099999999998</v>
      </c>
      <c r="BE446" s="185">
        <v>0.26152736842105262</v>
      </c>
      <c r="BF446" s="352"/>
      <c r="BG446" s="352">
        <v>1268</v>
      </c>
      <c r="BH446" s="185">
        <v>0.42266666666666669</v>
      </c>
      <c r="BI446" s="185">
        <v>0.44491228070175437</v>
      </c>
      <c r="BJ446" s="374">
        <f t="shared" si="372"/>
        <v>2850</v>
      </c>
      <c r="BK446" s="374">
        <v>1746</v>
      </c>
      <c r="BL446" s="185">
        <f t="shared" si="358"/>
        <v>0.58199999999999996</v>
      </c>
      <c r="BM446" s="185">
        <f t="shared" si="373"/>
        <v>0.61263157894736842</v>
      </c>
      <c r="BN446" s="205">
        <f t="shared" si="356"/>
        <v>1000.647</v>
      </c>
      <c r="BO446" s="205"/>
      <c r="BP446" s="189">
        <f>BP447</f>
        <v>0</v>
      </c>
      <c r="BQ446" s="186">
        <f t="shared" si="359"/>
        <v>0</v>
      </c>
      <c r="BR446" s="189">
        <f>BR447</f>
        <v>0</v>
      </c>
      <c r="BS446" s="186">
        <f t="shared" si="360"/>
        <v>0</v>
      </c>
      <c r="BT446" s="189">
        <f>BT447</f>
        <v>0</v>
      </c>
      <c r="BU446" s="186">
        <f t="shared" si="361"/>
        <v>0</v>
      </c>
      <c r="BV446" s="189">
        <f>BV447</f>
        <v>800</v>
      </c>
      <c r="BW446" s="186">
        <f t="shared" si="362"/>
        <v>0.26666666666666666</v>
      </c>
      <c r="BX446" s="189">
        <f>BX447</f>
        <v>800</v>
      </c>
      <c r="BY446" s="186">
        <f t="shared" si="363"/>
        <v>0.26666666666666666</v>
      </c>
      <c r="BZ446" s="189">
        <f>BZ447</f>
        <v>2250</v>
      </c>
      <c r="CA446" s="186">
        <f t="shared" si="364"/>
        <v>0.75</v>
      </c>
      <c r="CB446" s="189">
        <f>CB447</f>
        <v>2250</v>
      </c>
      <c r="CC446" s="186">
        <f t="shared" si="365"/>
        <v>0.75</v>
      </c>
      <c r="CD446" s="189">
        <f>CD447</f>
        <v>2850</v>
      </c>
      <c r="CE446" s="186">
        <f t="shared" si="389"/>
        <v>0.95</v>
      </c>
      <c r="CF446" s="189">
        <f>CF447</f>
        <v>2850</v>
      </c>
      <c r="CG446" s="186">
        <f t="shared" si="366"/>
        <v>0.95</v>
      </c>
      <c r="CH446" s="189">
        <f>CH447</f>
        <v>2850</v>
      </c>
      <c r="CI446" s="186">
        <f t="shared" si="390"/>
        <v>0.95</v>
      </c>
      <c r="CJ446" s="189">
        <f>CJ447</f>
        <v>2850</v>
      </c>
      <c r="CK446" s="186">
        <f t="shared" si="367"/>
        <v>0.95</v>
      </c>
      <c r="CL446" s="189">
        <f>CL447</f>
        <v>2850</v>
      </c>
      <c r="CM446" s="186">
        <f t="shared" si="368"/>
        <v>0.95</v>
      </c>
      <c r="CN446" s="189">
        <f>CN447</f>
        <v>2850</v>
      </c>
      <c r="CO446" s="186">
        <f t="shared" si="369"/>
        <v>0.95</v>
      </c>
      <c r="CP446" s="213" t="str">
        <f t="shared" si="374"/>
        <v>Đạt</v>
      </c>
      <c r="CQ446" s="213" t="str">
        <f t="shared" si="375"/>
        <v>Đạt</v>
      </c>
      <c r="CR446" s="213"/>
      <c r="CS446" s="213"/>
      <c r="CT446" s="231"/>
      <c r="CU446" s="163"/>
      <c r="CW446" s="195"/>
      <c r="CX446" s="196"/>
      <c r="CY446" s="196"/>
      <c r="CZ446" s="197"/>
      <c r="DA446" s="196"/>
      <c r="DB446" s="196"/>
      <c r="DC446" s="196"/>
      <c r="DE446" s="199"/>
      <c r="DF446" s="200"/>
      <c r="DG446" s="181"/>
    </row>
    <row r="447" spans="1:111" s="324" customFormat="1" outlineLevel="1" x14ac:dyDescent="0.25">
      <c r="A447" s="305" t="s">
        <v>34</v>
      </c>
      <c r="B447" s="318" t="s">
        <v>376</v>
      </c>
      <c r="C447" s="306"/>
      <c r="D447" s="307">
        <f>E447+F447</f>
        <v>3000</v>
      </c>
      <c r="E447" s="307"/>
      <c r="F447" s="307">
        <f>G447+H447+K447+M447</f>
        <v>3000</v>
      </c>
      <c r="G447" s="303">
        <v>3000</v>
      </c>
      <c r="H447" s="303"/>
      <c r="I447" s="235"/>
      <c r="J447" s="235"/>
      <c r="K447" s="303"/>
      <c r="L447" s="235"/>
      <c r="M447" s="223"/>
      <c r="N447" s="223"/>
      <c r="O447" s="303">
        <f t="shared" si="386"/>
        <v>3000</v>
      </c>
      <c r="P447" s="303">
        <v>0</v>
      </c>
      <c r="Q447" s="308">
        <f t="shared" si="371"/>
        <v>0</v>
      </c>
      <c r="R447" s="303"/>
      <c r="S447" s="313">
        <v>0</v>
      </c>
      <c r="T447" s="313">
        <v>0</v>
      </c>
      <c r="U447" s="303">
        <v>722.93299999999999</v>
      </c>
      <c r="V447" s="313">
        <v>0.24097766666666667</v>
      </c>
      <c r="W447" s="313">
        <v>0.25366070175438599</v>
      </c>
      <c r="X447" s="303">
        <v>722.93299999999999</v>
      </c>
      <c r="Y447" s="313">
        <v>0.24097766666666667</v>
      </c>
      <c r="Z447" s="313">
        <v>0.25366070175438599</v>
      </c>
      <c r="AA447" s="303">
        <v>722.93299999999999</v>
      </c>
      <c r="AB447" s="313">
        <v>0.24097766666666667</v>
      </c>
      <c r="AC447" s="313">
        <v>0.25366070175438599</v>
      </c>
      <c r="AD447" s="303">
        <v>745.35299999999995</v>
      </c>
      <c r="AE447" s="313">
        <v>0.24845099999999998</v>
      </c>
      <c r="AF447" s="313">
        <v>0.26152736842105262</v>
      </c>
      <c r="AG447" s="303">
        <v>745.35299999999995</v>
      </c>
      <c r="AH447" s="313">
        <v>0.24845099999999998</v>
      </c>
      <c r="AI447" s="313">
        <v>0.26152736842105262</v>
      </c>
      <c r="AJ447" s="304">
        <v>745.35299999999995</v>
      </c>
      <c r="AK447" s="313">
        <v>0.24845099999999998</v>
      </c>
      <c r="AL447" s="313">
        <v>0.26152736842105262</v>
      </c>
      <c r="AM447" s="303">
        <v>745.35299999999995</v>
      </c>
      <c r="AN447" s="313">
        <v>0.24845099999999998</v>
      </c>
      <c r="AO447" s="313">
        <v>0.26152736842105262</v>
      </c>
      <c r="AP447" s="313"/>
      <c r="AQ447" s="303">
        <v>745.35299999999995</v>
      </c>
      <c r="AR447" s="313">
        <v>0.24845099999999998</v>
      </c>
      <c r="AS447" s="313">
        <v>0.26152736842105262</v>
      </c>
      <c r="AT447" s="303">
        <v>745.35299999999995</v>
      </c>
      <c r="AU447" s="313">
        <v>0.24845099999999998</v>
      </c>
      <c r="AV447" s="313">
        <v>0.26152736842105262</v>
      </c>
      <c r="AW447" s="313"/>
      <c r="AX447" s="313"/>
      <c r="AY447" s="313"/>
      <c r="AZ447" s="313"/>
      <c r="BA447" s="313"/>
      <c r="BB447" s="313"/>
      <c r="BC447" s="303">
        <v>745.35299999999995</v>
      </c>
      <c r="BD447" s="313">
        <v>0.24845099999999998</v>
      </c>
      <c r="BE447" s="313">
        <v>0.26152736842105262</v>
      </c>
      <c r="BF447" s="351"/>
      <c r="BG447" s="351">
        <v>1268</v>
      </c>
      <c r="BH447" s="313">
        <v>0.42266666666666669</v>
      </c>
      <c r="BI447" s="313">
        <v>0.44491228070175437</v>
      </c>
      <c r="BJ447" s="349">
        <f t="shared" si="372"/>
        <v>2850</v>
      </c>
      <c r="BK447" s="349">
        <v>1379</v>
      </c>
      <c r="BL447" s="313">
        <f t="shared" si="358"/>
        <v>0.45966666666666667</v>
      </c>
      <c r="BM447" s="313">
        <f t="shared" si="373"/>
        <v>0.48385964912280705</v>
      </c>
      <c r="BN447" s="205">
        <f t="shared" si="356"/>
        <v>633.64700000000005</v>
      </c>
      <c r="BO447" s="205"/>
      <c r="BP447" s="310"/>
      <c r="BQ447" s="311">
        <f t="shared" si="359"/>
        <v>0</v>
      </c>
      <c r="BR447" s="310"/>
      <c r="BS447" s="311">
        <f t="shared" si="360"/>
        <v>0</v>
      </c>
      <c r="BT447" s="310"/>
      <c r="BU447" s="308">
        <f t="shared" si="361"/>
        <v>0</v>
      </c>
      <c r="BV447" s="310">
        <v>800</v>
      </c>
      <c r="BW447" s="311">
        <f t="shared" si="362"/>
        <v>0.26666666666666666</v>
      </c>
      <c r="BX447" s="310">
        <v>800</v>
      </c>
      <c r="BY447" s="311">
        <f t="shared" si="363"/>
        <v>0.26666666666666666</v>
      </c>
      <c r="BZ447" s="310">
        <f>900+250+600+500</f>
        <v>2250</v>
      </c>
      <c r="CA447" s="311">
        <f t="shared" si="364"/>
        <v>0.75</v>
      </c>
      <c r="CB447" s="310">
        <f>900+250+600+500</f>
        <v>2250</v>
      </c>
      <c r="CC447" s="311">
        <f t="shared" si="365"/>
        <v>0.75</v>
      </c>
      <c r="CD447" s="310">
        <v>2850</v>
      </c>
      <c r="CE447" s="311">
        <f t="shared" si="389"/>
        <v>0.95</v>
      </c>
      <c r="CF447" s="310">
        <v>2850</v>
      </c>
      <c r="CG447" s="311">
        <f t="shared" si="366"/>
        <v>0.95</v>
      </c>
      <c r="CH447" s="310">
        <v>2850</v>
      </c>
      <c r="CI447" s="311">
        <f t="shared" si="390"/>
        <v>0.95</v>
      </c>
      <c r="CJ447" s="310">
        <v>2850</v>
      </c>
      <c r="CK447" s="311">
        <f t="shared" si="367"/>
        <v>0.95</v>
      </c>
      <c r="CL447" s="310">
        <v>2850</v>
      </c>
      <c r="CM447" s="311">
        <f t="shared" si="368"/>
        <v>0.95</v>
      </c>
      <c r="CN447" s="310">
        <v>2850</v>
      </c>
      <c r="CO447" s="311">
        <f t="shared" si="369"/>
        <v>0.95</v>
      </c>
      <c r="CP447" s="213" t="str">
        <f t="shared" si="374"/>
        <v>Đạt</v>
      </c>
      <c r="CQ447" s="213" t="str">
        <f t="shared" si="375"/>
        <v>Đạt</v>
      </c>
      <c r="CR447" s="312"/>
      <c r="CS447" s="312"/>
      <c r="CT447" s="235"/>
      <c r="CU447" s="163"/>
      <c r="CV447" s="323"/>
      <c r="CW447" s="195"/>
      <c r="CX447" s="196"/>
      <c r="CY447" s="196"/>
      <c r="CZ447" s="197"/>
      <c r="DA447" s="196"/>
      <c r="DB447" s="196"/>
      <c r="DC447" s="196"/>
      <c r="DE447" s="199"/>
      <c r="DF447" s="200"/>
      <c r="DG447" s="181"/>
    </row>
    <row r="448" spans="1:111" ht="18" customHeight="1" x14ac:dyDescent="0.25">
      <c r="A448" s="213">
        <f>MAX(A$243:A447)+1</f>
        <v>61</v>
      </c>
      <c r="B448" s="240" t="s">
        <v>457</v>
      </c>
      <c r="C448" s="240"/>
      <c r="D448" s="188">
        <f t="shared" ref="D448:I448" si="399">D449+D450</f>
        <v>3255</v>
      </c>
      <c r="E448" s="188">
        <f t="shared" si="399"/>
        <v>0</v>
      </c>
      <c r="F448" s="188">
        <f t="shared" si="399"/>
        <v>3255</v>
      </c>
      <c r="G448" s="188">
        <f t="shared" si="399"/>
        <v>3000</v>
      </c>
      <c r="H448" s="188">
        <f t="shared" si="399"/>
        <v>255</v>
      </c>
      <c r="I448" s="188">
        <f t="shared" si="399"/>
        <v>0</v>
      </c>
      <c r="J448" s="188"/>
      <c r="K448" s="188">
        <f>K449+K450</f>
        <v>0</v>
      </c>
      <c r="L448" s="188">
        <f>L449+L450</f>
        <v>0</v>
      </c>
      <c r="M448" s="188">
        <f>M449+M450</f>
        <v>0</v>
      </c>
      <c r="N448" s="188">
        <f>N449+N450</f>
        <v>0</v>
      </c>
      <c r="O448" s="188">
        <f>O449+O450</f>
        <v>3000</v>
      </c>
      <c r="P448" s="188">
        <v>550</v>
      </c>
      <c r="Q448" s="186">
        <f t="shared" si="371"/>
        <v>0.16897081413210446</v>
      </c>
      <c r="R448" s="189">
        <v>599.4</v>
      </c>
      <c r="S448" s="185">
        <v>0.18414746543778801</v>
      </c>
      <c r="T448" s="185">
        <v>0.19383943730293474</v>
      </c>
      <c r="U448" s="304">
        <v>2766.8240000000001</v>
      </c>
      <c r="V448" s="185">
        <v>0.85002273425499231</v>
      </c>
      <c r="W448" s="185">
        <v>0.8947607728999919</v>
      </c>
      <c r="X448" s="304">
        <v>2766.8240000000001</v>
      </c>
      <c r="Y448" s="185">
        <v>0.85002273425499231</v>
      </c>
      <c r="Z448" s="185">
        <v>0.8947607728999919</v>
      </c>
      <c r="AA448" s="304">
        <v>2766.8240000000001</v>
      </c>
      <c r="AB448" s="185">
        <v>0.85002273425499231</v>
      </c>
      <c r="AC448" s="185">
        <v>0.8947607728999919</v>
      </c>
      <c r="AD448" s="304">
        <v>2766.8240000000001</v>
      </c>
      <c r="AE448" s="185">
        <v>0.85002273425499231</v>
      </c>
      <c r="AF448" s="185">
        <v>0.8947607728999919</v>
      </c>
      <c r="AG448" s="304">
        <v>2766.8240000000001</v>
      </c>
      <c r="AH448" s="185">
        <v>0.85002273425499231</v>
      </c>
      <c r="AI448" s="185">
        <v>0.8947607728999919</v>
      </c>
      <c r="AJ448" s="303">
        <v>2766.8240000000001</v>
      </c>
      <c r="AK448" s="185">
        <v>0.85002273425499231</v>
      </c>
      <c r="AL448" s="185">
        <v>0.8947607728999919</v>
      </c>
      <c r="AM448" s="304">
        <v>2766.8240000000001</v>
      </c>
      <c r="AN448" s="185">
        <v>0.85002273425499231</v>
      </c>
      <c r="AO448" s="185">
        <v>0.8947607728999919</v>
      </c>
      <c r="AP448" s="185"/>
      <c r="AQ448" s="189">
        <v>2811.4720000000002</v>
      </c>
      <c r="AR448" s="185">
        <v>0.86373947772657456</v>
      </c>
      <c r="AS448" s="185">
        <v>0.90919945023849957</v>
      </c>
      <c r="AT448" s="189">
        <v>2811.4720000000002</v>
      </c>
      <c r="AU448" s="185">
        <v>0.86373947772657456</v>
      </c>
      <c r="AV448" s="185">
        <v>0.90919945023849957</v>
      </c>
      <c r="AW448" s="185"/>
      <c r="AX448" s="185"/>
      <c r="AY448" s="185"/>
      <c r="AZ448" s="185"/>
      <c r="BA448" s="185"/>
      <c r="BB448" s="185"/>
      <c r="BC448" s="189">
        <v>2811.4720000000002</v>
      </c>
      <c r="BD448" s="185">
        <v>0.86373947772657456</v>
      </c>
      <c r="BE448" s="185">
        <v>0.90919945023849957</v>
      </c>
      <c r="BF448" s="352"/>
      <c r="BG448" s="352">
        <v>2850.4720000000002</v>
      </c>
      <c r="BH448" s="185">
        <v>0.87572104454685107</v>
      </c>
      <c r="BI448" s="185">
        <v>0.92181162583879062</v>
      </c>
      <c r="BJ448" s="374">
        <f t="shared" si="372"/>
        <v>3092.25</v>
      </c>
      <c r="BK448" s="374">
        <v>2850.4720000000002</v>
      </c>
      <c r="BL448" s="185">
        <f t="shared" si="358"/>
        <v>0.87572104454685107</v>
      </c>
      <c r="BM448" s="185">
        <f t="shared" si="373"/>
        <v>0.92181162583879062</v>
      </c>
      <c r="BN448" s="205">
        <f t="shared" si="356"/>
        <v>83.648000000000138</v>
      </c>
      <c r="BO448" s="205"/>
      <c r="BP448" s="189">
        <f>BP449+BP450</f>
        <v>0</v>
      </c>
      <c r="BQ448" s="186">
        <f t="shared" si="359"/>
        <v>0</v>
      </c>
      <c r="BR448" s="189">
        <f>BR449+BR450</f>
        <v>0</v>
      </c>
      <c r="BS448" s="186">
        <f t="shared" si="360"/>
        <v>0</v>
      </c>
      <c r="BT448" s="189">
        <f>BT449+BT450</f>
        <v>500</v>
      </c>
      <c r="BU448" s="186">
        <f t="shared" si="361"/>
        <v>0.15360983102918588</v>
      </c>
      <c r="BV448" s="189">
        <f>BV449+BV450</f>
        <v>1500</v>
      </c>
      <c r="BW448" s="186">
        <f t="shared" si="362"/>
        <v>0.46082949308755761</v>
      </c>
      <c r="BX448" s="189">
        <f>BX449+BX450</f>
        <v>1500</v>
      </c>
      <c r="BY448" s="186">
        <f t="shared" si="363"/>
        <v>0.46082949308755761</v>
      </c>
      <c r="BZ448" s="189">
        <f>BZ449+BZ450</f>
        <v>2850</v>
      </c>
      <c r="CA448" s="186">
        <f t="shared" si="364"/>
        <v>0.87557603686635943</v>
      </c>
      <c r="CB448" s="189">
        <f>CB449+CB450</f>
        <v>2850</v>
      </c>
      <c r="CC448" s="186">
        <f t="shared" si="365"/>
        <v>0.87557603686635943</v>
      </c>
      <c r="CD448" s="189">
        <f>CD449+CD450</f>
        <v>2850</v>
      </c>
      <c r="CE448" s="186">
        <f t="shared" si="389"/>
        <v>0.87557603686635943</v>
      </c>
      <c r="CF448" s="189">
        <f>CF449+CF450</f>
        <v>2900</v>
      </c>
      <c r="CG448" s="186">
        <f t="shared" si="366"/>
        <v>0.89093701996927799</v>
      </c>
      <c r="CH448" s="189">
        <f>CH449+CH450</f>
        <v>3027</v>
      </c>
      <c r="CI448" s="186">
        <f t="shared" si="390"/>
        <v>0.92995391705069119</v>
      </c>
      <c r="CJ448" s="189">
        <f>CJ449+CJ450</f>
        <v>3048</v>
      </c>
      <c r="CK448" s="186">
        <f t="shared" si="367"/>
        <v>0.93640552995391702</v>
      </c>
      <c r="CL448" s="189">
        <f>CL449+CL450</f>
        <v>3063</v>
      </c>
      <c r="CM448" s="186">
        <f t="shared" si="368"/>
        <v>0.94101382488479257</v>
      </c>
      <c r="CN448" s="189">
        <f>CN449+CN450</f>
        <v>3092.25</v>
      </c>
      <c r="CO448" s="186">
        <f t="shared" si="369"/>
        <v>0.95</v>
      </c>
      <c r="CP448" s="213" t="str">
        <f t="shared" si="374"/>
        <v>Đạt</v>
      </c>
      <c r="CQ448" s="213" t="str">
        <f t="shared" si="375"/>
        <v>Đạt</v>
      </c>
      <c r="CR448" s="213"/>
      <c r="CS448" s="213"/>
      <c r="CT448" s="231"/>
      <c r="CU448" s="163"/>
      <c r="CW448" s="195"/>
      <c r="CX448" s="196"/>
      <c r="CY448" s="196"/>
      <c r="CZ448" s="197"/>
      <c r="DA448" s="196"/>
      <c r="DB448" s="196"/>
      <c r="DC448" s="196"/>
      <c r="DE448" s="199"/>
      <c r="DF448" s="200"/>
      <c r="DG448" s="181"/>
    </row>
    <row r="449" spans="1:111" s="324" customFormat="1" outlineLevel="1" x14ac:dyDescent="0.25">
      <c r="A449" s="305" t="s">
        <v>34</v>
      </c>
      <c r="B449" s="318" t="s">
        <v>376</v>
      </c>
      <c r="C449" s="306"/>
      <c r="D449" s="307">
        <f>E449+F449</f>
        <v>3000</v>
      </c>
      <c r="E449" s="307"/>
      <c r="F449" s="307">
        <f>G449+H449+K449+M449</f>
        <v>3000</v>
      </c>
      <c r="G449" s="303">
        <v>3000</v>
      </c>
      <c r="H449" s="303"/>
      <c r="I449" s="235"/>
      <c r="J449" s="235"/>
      <c r="K449" s="303"/>
      <c r="L449" s="235"/>
      <c r="M449" s="223"/>
      <c r="N449" s="223"/>
      <c r="O449" s="303">
        <f t="shared" si="386"/>
        <v>3000</v>
      </c>
      <c r="P449" s="303">
        <v>0</v>
      </c>
      <c r="Q449" s="308">
        <f t="shared" si="371"/>
        <v>0</v>
      </c>
      <c r="R449" s="303">
        <v>599.4</v>
      </c>
      <c r="S449" s="313">
        <v>0.19980000000000001</v>
      </c>
      <c r="T449" s="313">
        <v>0.21031578947368421</v>
      </c>
      <c r="U449" s="303">
        <v>2766.8240000000001</v>
      </c>
      <c r="V449" s="313">
        <v>0.92227466666666669</v>
      </c>
      <c r="W449" s="313">
        <v>0.97081543859649122</v>
      </c>
      <c r="X449" s="303">
        <v>2766.8240000000001</v>
      </c>
      <c r="Y449" s="313">
        <v>0.92227466666666669</v>
      </c>
      <c r="Z449" s="313">
        <v>0.97081543859649122</v>
      </c>
      <c r="AA449" s="303">
        <v>2766.8240000000001</v>
      </c>
      <c r="AB449" s="313">
        <v>0.92227466666666669</v>
      </c>
      <c r="AC449" s="313">
        <v>0.97081543859649122</v>
      </c>
      <c r="AD449" s="303">
        <v>2766.8240000000001</v>
      </c>
      <c r="AE449" s="313">
        <v>0.92227466666666669</v>
      </c>
      <c r="AF449" s="313">
        <v>0.97081543859649122</v>
      </c>
      <c r="AG449" s="303">
        <v>2766.8240000000001</v>
      </c>
      <c r="AH449" s="313">
        <v>0.92227466666666669</v>
      </c>
      <c r="AI449" s="313">
        <v>0.97081543859649122</v>
      </c>
      <c r="AJ449" s="303">
        <v>2766.8240000000001</v>
      </c>
      <c r="AK449" s="313">
        <v>0.92227466666666669</v>
      </c>
      <c r="AL449" s="313">
        <v>0.97081543859649122</v>
      </c>
      <c r="AM449" s="303">
        <v>2766.8240000000001</v>
      </c>
      <c r="AN449" s="313">
        <v>0.92227466666666669</v>
      </c>
      <c r="AO449" s="313">
        <v>0.97081543859649122</v>
      </c>
      <c r="AP449" s="313"/>
      <c r="AQ449" s="303">
        <v>2811.4720000000002</v>
      </c>
      <c r="AR449" s="313">
        <v>0.9371573333333334</v>
      </c>
      <c r="AS449" s="313">
        <v>0.986481403508772</v>
      </c>
      <c r="AT449" s="303">
        <v>2811.4720000000002</v>
      </c>
      <c r="AU449" s="313">
        <v>0.9371573333333334</v>
      </c>
      <c r="AV449" s="313">
        <v>0.986481403508772</v>
      </c>
      <c r="AW449" s="313"/>
      <c r="AX449" s="313"/>
      <c r="AY449" s="313"/>
      <c r="AZ449" s="313"/>
      <c r="BA449" s="313"/>
      <c r="BB449" s="313"/>
      <c r="BC449" s="303">
        <v>2811.4720000000002</v>
      </c>
      <c r="BD449" s="313">
        <v>0.9371573333333334</v>
      </c>
      <c r="BE449" s="313">
        <v>0.986481403508772</v>
      </c>
      <c r="BF449" s="351"/>
      <c r="BG449" s="351">
        <v>2850.4720000000002</v>
      </c>
      <c r="BH449" s="313">
        <v>0.95015733333333341</v>
      </c>
      <c r="BI449" s="313">
        <v>1.0001656140350879</v>
      </c>
      <c r="BJ449" s="349">
        <f t="shared" si="372"/>
        <v>2850</v>
      </c>
      <c r="BK449" s="349">
        <v>2850.4720000000002</v>
      </c>
      <c r="BL449" s="313">
        <f t="shared" si="358"/>
        <v>0.95015733333333341</v>
      </c>
      <c r="BM449" s="313">
        <f t="shared" si="373"/>
        <v>1.0001656140350879</v>
      </c>
      <c r="BN449" s="205">
        <f t="shared" si="356"/>
        <v>83.648000000000138</v>
      </c>
      <c r="BO449" s="205"/>
      <c r="BP449" s="310"/>
      <c r="BQ449" s="311">
        <f t="shared" si="359"/>
        <v>0</v>
      </c>
      <c r="BR449" s="310"/>
      <c r="BS449" s="311">
        <f t="shared" si="360"/>
        <v>0</v>
      </c>
      <c r="BT449" s="310">
        <v>500</v>
      </c>
      <c r="BU449" s="308">
        <f t="shared" si="361"/>
        <v>0.16666666666666666</v>
      </c>
      <c r="BV449" s="310">
        <v>1500</v>
      </c>
      <c r="BW449" s="311">
        <f t="shared" si="362"/>
        <v>0.5</v>
      </c>
      <c r="BX449" s="310">
        <v>1500</v>
      </c>
      <c r="BY449" s="311">
        <f t="shared" si="363"/>
        <v>0.5</v>
      </c>
      <c r="BZ449" s="310">
        <v>2850</v>
      </c>
      <c r="CA449" s="311">
        <f t="shared" si="364"/>
        <v>0.95</v>
      </c>
      <c r="CB449" s="310">
        <v>2850</v>
      </c>
      <c r="CC449" s="311">
        <f t="shared" si="365"/>
        <v>0.95</v>
      </c>
      <c r="CD449" s="310">
        <v>2850</v>
      </c>
      <c r="CE449" s="311">
        <f t="shared" si="389"/>
        <v>0.95</v>
      </c>
      <c r="CF449" s="310">
        <v>2850</v>
      </c>
      <c r="CG449" s="311">
        <f t="shared" si="366"/>
        <v>0.95</v>
      </c>
      <c r="CH449" s="310">
        <v>2850</v>
      </c>
      <c r="CI449" s="311">
        <f t="shared" si="390"/>
        <v>0.95</v>
      </c>
      <c r="CJ449" s="310">
        <v>2850</v>
      </c>
      <c r="CK449" s="311">
        <f t="shared" si="367"/>
        <v>0.95</v>
      </c>
      <c r="CL449" s="310">
        <v>2850</v>
      </c>
      <c r="CM449" s="311">
        <f t="shared" si="368"/>
        <v>0.95</v>
      </c>
      <c r="CN449" s="310">
        <v>2850</v>
      </c>
      <c r="CO449" s="311">
        <f t="shared" si="369"/>
        <v>0.95</v>
      </c>
      <c r="CP449" s="213" t="str">
        <f t="shared" si="374"/>
        <v>Đạt</v>
      </c>
      <c r="CQ449" s="213" t="str">
        <f t="shared" si="375"/>
        <v>Đạt</v>
      </c>
      <c r="CR449" s="312"/>
      <c r="CS449" s="312"/>
      <c r="CT449" s="235"/>
      <c r="CU449" s="163"/>
      <c r="CV449" s="323"/>
      <c r="CW449" s="195"/>
      <c r="CX449" s="196"/>
      <c r="CY449" s="196"/>
      <c r="CZ449" s="197"/>
      <c r="DA449" s="196"/>
      <c r="DB449" s="196"/>
      <c r="DC449" s="196"/>
      <c r="DE449" s="199"/>
      <c r="DF449" s="200"/>
      <c r="DG449" s="181"/>
    </row>
    <row r="450" spans="1:111" ht="25.5" outlineLevel="1" x14ac:dyDescent="0.25">
      <c r="A450" s="305" t="s">
        <v>34</v>
      </c>
      <c r="B450" s="306" t="s">
        <v>377</v>
      </c>
      <c r="C450" s="306"/>
      <c r="D450" s="307">
        <f>E450+F450</f>
        <v>255</v>
      </c>
      <c r="E450" s="307"/>
      <c r="F450" s="307">
        <f>G450+H450+K450+M450</f>
        <v>255</v>
      </c>
      <c r="G450" s="307"/>
      <c r="H450" s="307">
        <v>255</v>
      </c>
      <c r="I450" s="235"/>
      <c r="J450" s="235"/>
      <c r="K450" s="303"/>
      <c r="L450" s="235"/>
      <c r="M450" s="223"/>
      <c r="N450" s="223"/>
      <c r="O450" s="303"/>
      <c r="P450" s="303">
        <v>0</v>
      </c>
      <c r="Q450" s="308">
        <f t="shared" si="371"/>
        <v>0</v>
      </c>
      <c r="R450" s="303"/>
      <c r="S450" s="313">
        <v>0</v>
      </c>
      <c r="T450" s="313">
        <v>0</v>
      </c>
      <c r="U450" s="303"/>
      <c r="V450" s="313">
        <v>0</v>
      </c>
      <c r="W450" s="313">
        <v>0</v>
      </c>
      <c r="X450" s="303"/>
      <c r="Y450" s="313">
        <v>0</v>
      </c>
      <c r="Z450" s="313">
        <v>0</v>
      </c>
      <c r="AA450" s="303"/>
      <c r="AB450" s="313">
        <v>0</v>
      </c>
      <c r="AC450" s="313">
        <v>0</v>
      </c>
      <c r="AD450" s="303"/>
      <c r="AE450" s="313">
        <v>0</v>
      </c>
      <c r="AF450" s="313">
        <v>0</v>
      </c>
      <c r="AG450" s="303"/>
      <c r="AH450" s="313">
        <v>0</v>
      </c>
      <c r="AI450" s="313">
        <v>0</v>
      </c>
      <c r="AJ450" s="304"/>
      <c r="AK450" s="313">
        <v>0</v>
      </c>
      <c r="AL450" s="313">
        <v>0</v>
      </c>
      <c r="AM450" s="303"/>
      <c r="AN450" s="313">
        <v>0</v>
      </c>
      <c r="AO450" s="313">
        <v>0</v>
      </c>
      <c r="AP450" s="313"/>
      <c r="AQ450" s="303"/>
      <c r="AR450" s="313">
        <v>0</v>
      </c>
      <c r="AS450" s="313">
        <v>0</v>
      </c>
      <c r="AT450" s="303"/>
      <c r="AU450" s="313">
        <v>0</v>
      </c>
      <c r="AV450" s="313">
        <v>0</v>
      </c>
      <c r="AW450" s="313"/>
      <c r="AX450" s="313"/>
      <c r="AY450" s="313"/>
      <c r="AZ450" s="313"/>
      <c r="BA450" s="313"/>
      <c r="BB450" s="313"/>
      <c r="BC450" s="303"/>
      <c r="BD450" s="313">
        <v>0</v>
      </c>
      <c r="BE450" s="313">
        <v>0</v>
      </c>
      <c r="BF450" s="351"/>
      <c r="BG450" s="351">
        <v>0</v>
      </c>
      <c r="BH450" s="313">
        <v>0</v>
      </c>
      <c r="BI450" s="313">
        <v>0</v>
      </c>
      <c r="BJ450" s="349">
        <f t="shared" si="372"/>
        <v>242.25</v>
      </c>
      <c r="BK450" s="349">
        <v>0</v>
      </c>
      <c r="BL450" s="313">
        <f t="shared" si="358"/>
        <v>0</v>
      </c>
      <c r="BM450" s="313">
        <f t="shared" si="373"/>
        <v>0</v>
      </c>
      <c r="BN450" s="205">
        <f t="shared" si="356"/>
        <v>0</v>
      </c>
      <c r="BO450" s="205"/>
      <c r="BP450" s="310"/>
      <c r="BQ450" s="311">
        <f t="shared" si="359"/>
        <v>0</v>
      </c>
      <c r="BR450" s="310"/>
      <c r="BS450" s="311">
        <f t="shared" si="360"/>
        <v>0</v>
      </c>
      <c r="BT450" s="310"/>
      <c r="BU450" s="308">
        <f t="shared" si="361"/>
        <v>0</v>
      </c>
      <c r="BV450" s="310"/>
      <c r="BW450" s="311">
        <f t="shared" si="362"/>
        <v>0</v>
      </c>
      <c r="BX450" s="310"/>
      <c r="BY450" s="311">
        <f t="shared" si="363"/>
        <v>0</v>
      </c>
      <c r="BZ450" s="310"/>
      <c r="CA450" s="311">
        <f t="shared" si="364"/>
        <v>0</v>
      </c>
      <c r="CB450" s="310"/>
      <c r="CC450" s="311">
        <f t="shared" si="365"/>
        <v>0</v>
      </c>
      <c r="CD450" s="310"/>
      <c r="CE450" s="311">
        <f t="shared" si="389"/>
        <v>0</v>
      </c>
      <c r="CF450" s="310">
        <v>50</v>
      </c>
      <c r="CG450" s="311">
        <f t="shared" si="366"/>
        <v>0.19607843137254902</v>
      </c>
      <c r="CH450" s="310">
        <v>177</v>
      </c>
      <c r="CI450" s="311">
        <f t="shared" si="390"/>
        <v>0.69411764705882351</v>
      </c>
      <c r="CJ450" s="310">
        <v>198</v>
      </c>
      <c r="CK450" s="311">
        <f t="shared" si="367"/>
        <v>0.77647058823529413</v>
      </c>
      <c r="CL450" s="310">
        <v>213</v>
      </c>
      <c r="CM450" s="311">
        <f t="shared" si="368"/>
        <v>0.83529411764705885</v>
      </c>
      <c r="CN450" s="310">
        <f>255*0.95</f>
        <v>242.25</v>
      </c>
      <c r="CO450" s="311">
        <f t="shared" si="369"/>
        <v>0.95</v>
      </c>
      <c r="CP450" s="213" t="str">
        <f t="shared" si="374"/>
        <v>Không đạt</v>
      </c>
      <c r="CQ450" s="213" t="str">
        <f t="shared" si="375"/>
        <v>Không đạt</v>
      </c>
      <c r="CR450" s="312"/>
      <c r="CS450" s="312"/>
      <c r="CT450" s="235"/>
      <c r="CU450" s="163"/>
      <c r="CW450" s="195"/>
      <c r="CX450" s="196"/>
      <c r="CY450" s="196"/>
      <c r="CZ450" s="197"/>
      <c r="DA450" s="196"/>
      <c r="DB450" s="196"/>
      <c r="DC450" s="196"/>
      <c r="DE450" s="199"/>
      <c r="DF450" s="200"/>
      <c r="DG450" s="181"/>
    </row>
    <row r="451" spans="1:111" ht="18" customHeight="1" x14ac:dyDescent="0.25">
      <c r="A451" s="213">
        <f>MAX(A$243:A449)+1</f>
        <v>62</v>
      </c>
      <c r="B451" s="240" t="s">
        <v>458</v>
      </c>
      <c r="C451" s="240"/>
      <c r="D451" s="188">
        <f t="shared" ref="D451:I451" si="400">D452+D453</f>
        <v>4275</v>
      </c>
      <c r="E451" s="188">
        <f t="shared" si="400"/>
        <v>0</v>
      </c>
      <c r="F451" s="188">
        <f t="shared" si="400"/>
        <v>4275</v>
      </c>
      <c r="G451" s="188">
        <f t="shared" si="400"/>
        <v>3000</v>
      </c>
      <c r="H451" s="188">
        <f t="shared" si="400"/>
        <v>1275</v>
      </c>
      <c r="I451" s="188">
        <f t="shared" si="400"/>
        <v>0</v>
      </c>
      <c r="J451" s="188"/>
      <c r="K451" s="188">
        <f>K452+K453</f>
        <v>0</v>
      </c>
      <c r="L451" s="188">
        <f>L452+L453</f>
        <v>0</v>
      </c>
      <c r="M451" s="188">
        <f>M452+M453</f>
        <v>0</v>
      </c>
      <c r="N451" s="188">
        <f>N452+N453</f>
        <v>0</v>
      </c>
      <c r="O451" s="188">
        <f>O452+O453</f>
        <v>3000</v>
      </c>
      <c r="P451" s="188">
        <v>1050</v>
      </c>
      <c r="Q451" s="186">
        <f t="shared" si="371"/>
        <v>0.24561403508771928</v>
      </c>
      <c r="R451" s="189">
        <v>1050.48</v>
      </c>
      <c r="S451" s="185">
        <v>0.24572631578947368</v>
      </c>
      <c r="T451" s="185">
        <v>0.25865927977839337</v>
      </c>
      <c r="U451" s="304">
        <v>1050.4829999999999</v>
      </c>
      <c r="V451" s="185">
        <v>0.24572701754385964</v>
      </c>
      <c r="W451" s="185">
        <v>0.25866001846722064</v>
      </c>
      <c r="X451" s="304">
        <v>1050.4829999999999</v>
      </c>
      <c r="Y451" s="185">
        <v>0.24572701754385964</v>
      </c>
      <c r="Z451" s="185">
        <v>0.25866001846722064</v>
      </c>
      <c r="AA451" s="304">
        <v>1050.4829999999999</v>
      </c>
      <c r="AB451" s="185">
        <v>0.24572701754385964</v>
      </c>
      <c r="AC451" s="185">
        <v>0.25866001846722064</v>
      </c>
      <c r="AD451" s="304">
        <v>1050.4829999999999</v>
      </c>
      <c r="AE451" s="185">
        <v>0.24572701754385964</v>
      </c>
      <c r="AF451" s="185">
        <v>0.25866001846722064</v>
      </c>
      <c r="AG451" s="304">
        <v>1050.4829999999999</v>
      </c>
      <c r="AH451" s="185">
        <v>0.24572701754385964</v>
      </c>
      <c r="AI451" s="185">
        <v>0.25866001846722064</v>
      </c>
      <c r="AJ451" s="303">
        <v>1050.4829999999999</v>
      </c>
      <c r="AK451" s="185">
        <v>0.24572701754385964</v>
      </c>
      <c r="AL451" s="185">
        <v>0.25866001846722064</v>
      </c>
      <c r="AM451" s="304">
        <v>1050.4829999999999</v>
      </c>
      <c r="AN451" s="185">
        <v>0.24572701754385964</v>
      </c>
      <c r="AO451" s="185">
        <v>0.25866001846722064</v>
      </c>
      <c r="AP451" s="185"/>
      <c r="AQ451" s="189">
        <v>1847.99</v>
      </c>
      <c r="AR451" s="185">
        <v>0.43227836257309943</v>
      </c>
      <c r="AS451" s="185">
        <v>0.45502985534010465</v>
      </c>
      <c r="AT451" s="189">
        <v>1847.99</v>
      </c>
      <c r="AU451" s="185">
        <v>0.43227836257309943</v>
      </c>
      <c r="AV451" s="185">
        <v>0.45502985534010465</v>
      </c>
      <c r="AW451" s="185"/>
      <c r="AX451" s="185"/>
      <c r="AY451" s="185"/>
      <c r="AZ451" s="185"/>
      <c r="BA451" s="185"/>
      <c r="BB451" s="185"/>
      <c r="BC451" s="189">
        <v>1847.99</v>
      </c>
      <c r="BD451" s="185">
        <v>0.43227836257309943</v>
      </c>
      <c r="BE451" s="185">
        <v>0.45502985534010465</v>
      </c>
      <c r="BF451" s="352"/>
      <c r="BG451" s="352">
        <v>2841.99</v>
      </c>
      <c r="BH451" s="185">
        <v>0.66479298245614027</v>
      </c>
      <c r="BI451" s="185">
        <v>0.69978208679593712</v>
      </c>
      <c r="BJ451" s="374">
        <f t="shared" si="372"/>
        <v>4061.25</v>
      </c>
      <c r="BK451" s="374">
        <v>2841.99</v>
      </c>
      <c r="BL451" s="185">
        <f t="shared" si="358"/>
        <v>0.66479298245614027</v>
      </c>
      <c r="BM451" s="185">
        <f t="shared" si="373"/>
        <v>0.69978208679593712</v>
      </c>
      <c r="BN451" s="205">
        <f t="shared" si="356"/>
        <v>1791.5069999999998</v>
      </c>
      <c r="BO451" s="205"/>
      <c r="BP451" s="189">
        <f>BP452+BP453</f>
        <v>0</v>
      </c>
      <c r="BQ451" s="186">
        <f t="shared" si="359"/>
        <v>0</v>
      </c>
      <c r="BR451" s="189">
        <f>BR452+BR453</f>
        <v>0</v>
      </c>
      <c r="BS451" s="186">
        <f t="shared" si="360"/>
        <v>0</v>
      </c>
      <c r="BT451" s="189">
        <f>BT452+BT453</f>
        <v>565.75</v>
      </c>
      <c r="BU451" s="186">
        <f t="shared" si="361"/>
        <v>0.1323391812865497</v>
      </c>
      <c r="BV451" s="189">
        <f>BV452+BV453</f>
        <v>1420.75</v>
      </c>
      <c r="BW451" s="186">
        <f t="shared" si="362"/>
        <v>0.33233918128654971</v>
      </c>
      <c r="BX451" s="189">
        <f>BX452+BX453</f>
        <v>2137.5</v>
      </c>
      <c r="BY451" s="186">
        <f t="shared" si="363"/>
        <v>0.5</v>
      </c>
      <c r="BZ451" s="189">
        <f>BZ452+BZ453</f>
        <v>2854.25</v>
      </c>
      <c r="CA451" s="186">
        <f t="shared" si="364"/>
        <v>0.66766081871345029</v>
      </c>
      <c r="CB451" s="189">
        <f>CB452+CB453</f>
        <v>3558.25</v>
      </c>
      <c r="CC451" s="186">
        <f t="shared" si="365"/>
        <v>0.83233918128654971</v>
      </c>
      <c r="CD451" s="189">
        <f>CD452+CD453</f>
        <v>4061.25</v>
      </c>
      <c r="CE451" s="186">
        <f t="shared" si="389"/>
        <v>0.95</v>
      </c>
      <c r="CF451" s="189">
        <f>CF452+CF453</f>
        <v>4061.25</v>
      </c>
      <c r="CG451" s="186">
        <f t="shared" si="366"/>
        <v>0.95</v>
      </c>
      <c r="CH451" s="189">
        <f>CH452+CH453</f>
        <v>4061.25</v>
      </c>
      <c r="CI451" s="186">
        <f t="shared" si="390"/>
        <v>0.95</v>
      </c>
      <c r="CJ451" s="189">
        <f>CJ452+CJ453</f>
        <v>4061.25</v>
      </c>
      <c r="CK451" s="186">
        <f t="shared" si="367"/>
        <v>0.95</v>
      </c>
      <c r="CL451" s="189">
        <f>CL452+CL453</f>
        <v>4061.25</v>
      </c>
      <c r="CM451" s="186">
        <f t="shared" si="368"/>
        <v>0.95</v>
      </c>
      <c r="CN451" s="189">
        <f>CN452+CN453</f>
        <v>4061.25</v>
      </c>
      <c r="CO451" s="186">
        <f t="shared" si="369"/>
        <v>0.95</v>
      </c>
      <c r="CP451" s="213" t="str">
        <f t="shared" si="374"/>
        <v>Đạt</v>
      </c>
      <c r="CQ451" s="213" t="str">
        <f t="shared" si="375"/>
        <v>Đạt</v>
      </c>
      <c r="CR451" s="213"/>
      <c r="CS451" s="213"/>
      <c r="CT451" s="231"/>
      <c r="CU451" s="163"/>
      <c r="CW451" s="195"/>
      <c r="CX451" s="196"/>
      <c r="CY451" s="196"/>
      <c r="CZ451" s="197"/>
      <c r="DA451" s="196"/>
      <c r="DB451" s="196"/>
      <c r="DC451" s="196"/>
      <c r="DE451" s="199"/>
      <c r="DF451" s="200"/>
      <c r="DG451" s="181"/>
    </row>
    <row r="452" spans="1:111" s="324" customFormat="1" outlineLevel="1" x14ac:dyDescent="0.25">
      <c r="A452" s="305" t="s">
        <v>34</v>
      </c>
      <c r="B452" s="318" t="s">
        <v>376</v>
      </c>
      <c r="C452" s="306"/>
      <c r="D452" s="307">
        <f>E452+F452</f>
        <v>3000</v>
      </c>
      <c r="E452" s="307"/>
      <c r="F452" s="307">
        <f>G452+H452+K452+M452</f>
        <v>3000</v>
      </c>
      <c r="G452" s="303">
        <v>3000</v>
      </c>
      <c r="H452" s="303"/>
      <c r="I452" s="235"/>
      <c r="J452" s="235"/>
      <c r="K452" s="303"/>
      <c r="L452" s="235"/>
      <c r="M452" s="223"/>
      <c r="N452" s="223"/>
      <c r="O452" s="303">
        <f t="shared" si="386"/>
        <v>3000</v>
      </c>
      <c r="P452" s="303">
        <v>0</v>
      </c>
      <c r="Q452" s="308">
        <f t="shared" si="371"/>
        <v>0</v>
      </c>
      <c r="R452" s="303">
        <v>1050.48</v>
      </c>
      <c r="S452" s="313">
        <v>0.35016000000000003</v>
      </c>
      <c r="T452" s="313">
        <v>0.36858947368421052</v>
      </c>
      <c r="U452" s="303">
        <v>1050.4829999999999</v>
      </c>
      <c r="V452" s="313">
        <v>0.350161</v>
      </c>
      <c r="W452" s="313">
        <v>0.36859052631578948</v>
      </c>
      <c r="X452" s="303">
        <v>1050.4829999999999</v>
      </c>
      <c r="Y452" s="313">
        <v>0.350161</v>
      </c>
      <c r="Z452" s="313">
        <v>0.36859052631578948</v>
      </c>
      <c r="AA452" s="303">
        <v>1050.4829999999999</v>
      </c>
      <c r="AB452" s="313">
        <v>0.350161</v>
      </c>
      <c r="AC452" s="313">
        <v>0.36859052631578948</v>
      </c>
      <c r="AD452" s="303">
        <v>1050.4829999999999</v>
      </c>
      <c r="AE452" s="313">
        <v>0.350161</v>
      </c>
      <c r="AF452" s="313">
        <v>0.36859052631578948</v>
      </c>
      <c r="AG452" s="303">
        <v>1050.4829999999999</v>
      </c>
      <c r="AH452" s="313">
        <v>0.350161</v>
      </c>
      <c r="AI452" s="313">
        <v>0.36859052631578948</v>
      </c>
      <c r="AJ452" s="303">
        <v>1050.4829999999999</v>
      </c>
      <c r="AK452" s="313">
        <v>0.350161</v>
      </c>
      <c r="AL452" s="313">
        <v>0.36859052631578948</v>
      </c>
      <c r="AM452" s="303">
        <v>1050.4829999999999</v>
      </c>
      <c r="AN452" s="313">
        <v>0.350161</v>
      </c>
      <c r="AO452" s="313">
        <v>0.36859052631578948</v>
      </c>
      <c r="AP452" s="313"/>
      <c r="AQ452" s="303">
        <v>1847.99</v>
      </c>
      <c r="AR452" s="313">
        <v>0.61599666666666664</v>
      </c>
      <c r="AS452" s="313">
        <v>0.64841754385964911</v>
      </c>
      <c r="AT452" s="303">
        <v>1847.99</v>
      </c>
      <c r="AU452" s="313">
        <v>0.61599666666666664</v>
      </c>
      <c r="AV452" s="313">
        <v>0.64841754385964911</v>
      </c>
      <c r="AW452" s="313"/>
      <c r="AX452" s="313"/>
      <c r="AY452" s="313"/>
      <c r="AZ452" s="313"/>
      <c r="BA452" s="313"/>
      <c r="BB452" s="313"/>
      <c r="BC452" s="303">
        <v>1847.99</v>
      </c>
      <c r="BD452" s="313">
        <v>0.61599666666666664</v>
      </c>
      <c r="BE452" s="313">
        <v>0.64841754385964911</v>
      </c>
      <c r="BF452" s="351"/>
      <c r="BG452" s="351">
        <v>2841.99</v>
      </c>
      <c r="BH452" s="313">
        <v>0.94732999999999989</v>
      </c>
      <c r="BI452" s="313">
        <v>0.9971894736842104</v>
      </c>
      <c r="BJ452" s="349">
        <f t="shared" si="372"/>
        <v>2850</v>
      </c>
      <c r="BK452" s="349">
        <v>2841.99</v>
      </c>
      <c r="BL452" s="313">
        <f t="shared" si="358"/>
        <v>0.94732999999999989</v>
      </c>
      <c r="BM452" s="313">
        <f t="shared" si="373"/>
        <v>0.9971894736842104</v>
      </c>
      <c r="BN452" s="205">
        <f t="shared" si="356"/>
        <v>1791.5069999999998</v>
      </c>
      <c r="BO452" s="205"/>
      <c r="BP452" s="310"/>
      <c r="BQ452" s="311">
        <f t="shared" si="359"/>
        <v>0</v>
      </c>
      <c r="BR452" s="310"/>
      <c r="BS452" s="311">
        <f t="shared" si="360"/>
        <v>0</v>
      </c>
      <c r="BT452" s="310">
        <v>400</v>
      </c>
      <c r="BU452" s="308">
        <f t="shared" si="361"/>
        <v>0.13333333333333333</v>
      </c>
      <c r="BV452" s="310">
        <v>1000</v>
      </c>
      <c r="BW452" s="311">
        <f t="shared" si="362"/>
        <v>0.33333333333333331</v>
      </c>
      <c r="BX452" s="310">
        <v>1500</v>
      </c>
      <c r="BY452" s="311">
        <f t="shared" si="363"/>
        <v>0.5</v>
      </c>
      <c r="BZ452" s="310">
        <v>2000</v>
      </c>
      <c r="CA452" s="311">
        <f t="shared" si="364"/>
        <v>0.66666666666666663</v>
      </c>
      <c r="CB452" s="310">
        <v>2500</v>
      </c>
      <c r="CC452" s="311">
        <f t="shared" si="365"/>
        <v>0.83333333333333337</v>
      </c>
      <c r="CD452" s="310">
        <v>2850</v>
      </c>
      <c r="CE452" s="311">
        <f t="shared" si="389"/>
        <v>0.95</v>
      </c>
      <c r="CF452" s="310">
        <v>2850</v>
      </c>
      <c r="CG452" s="311">
        <f t="shared" si="366"/>
        <v>0.95</v>
      </c>
      <c r="CH452" s="310">
        <v>2850</v>
      </c>
      <c r="CI452" s="311">
        <f t="shared" si="390"/>
        <v>0.95</v>
      </c>
      <c r="CJ452" s="310">
        <v>2850</v>
      </c>
      <c r="CK452" s="311">
        <f t="shared" si="367"/>
        <v>0.95</v>
      </c>
      <c r="CL452" s="310">
        <v>2850</v>
      </c>
      <c r="CM452" s="311">
        <f t="shared" si="368"/>
        <v>0.95</v>
      </c>
      <c r="CN452" s="310">
        <v>2850</v>
      </c>
      <c r="CO452" s="311">
        <f t="shared" si="369"/>
        <v>0.95</v>
      </c>
      <c r="CP452" s="213" t="str">
        <f t="shared" si="374"/>
        <v>Đạt</v>
      </c>
      <c r="CQ452" s="213" t="str">
        <f t="shared" si="375"/>
        <v>Đạt</v>
      </c>
      <c r="CR452" s="312"/>
      <c r="CS452" s="312"/>
      <c r="CT452" s="235"/>
      <c r="CU452" s="163"/>
      <c r="CV452" s="323"/>
      <c r="CW452" s="195"/>
      <c r="CX452" s="196"/>
      <c r="CY452" s="196"/>
      <c r="CZ452" s="197"/>
      <c r="DA452" s="196"/>
      <c r="DB452" s="196"/>
      <c r="DC452" s="196"/>
      <c r="DE452" s="199"/>
      <c r="DF452" s="200"/>
      <c r="DG452" s="181"/>
    </row>
    <row r="453" spans="1:111" ht="25.5" outlineLevel="1" x14ac:dyDescent="0.25">
      <c r="A453" s="305" t="s">
        <v>34</v>
      </c>
      <c r="B453" s="306" t="s">
        <v>377</v>
      </c>
      <c r="C453" s="306"/>
      <c r="D453" s="307">
        <f>E453+F453</f>
        <v>1275</v>
      </c>
      <c r="E453" s="307"/>
      <c r="F453" s="307">
        <f>G453+H453+K453+M453</f>
        <v>1275</v>
      </c>
      <c r="G453" s="307"/>
      <c r="H453" s="307">
        <v>1275</v>
      </c>
      <c r="I453" s="235"/>
      <c r="J453" s="235"/>
      <c r="K453" s="303"/>
      <c r="L453" s="235"/>
      <c r="M453" s="223"/>
      <c r="N453" s="223"/>
      <c r="O453" s="303"/>
      <c r="P453" s="303">
        <v>0</v>
      </c>
      <c r="Q453" s="308">
        <f t="shared" si="371"/>
        <v>0</v>
      </c>
      <c r="R453" s="303"/>
      <c r="S453" s="313">
        <v>0</v>
      </c>
      <c r="T453" s="313">
        <v>0</v>
      </c>
      <c r="U453" s="303"/>
      <c r="V453" s="313">
        <v>0</v>
      </c>
      <c r="W453" s="313">
        <v>0</v>
      </c>
      <c r="X453" s="303"/>
      <c r="Y453" s="313">
        <v>0</v>
      </c>
      <c r="Z453" s="313">
        <v>0</v>
      </c>
      <c r="AA453" s="303"/>
      <c r="AB453" s="313">
        <v>0</v>
      </c>
      <c r="AC453" s="313">
        <v>0</v>
      </c>
      <c r="AD453" s="303"/>
      <c r="AE453" s="313">
        <v>0</v>
      </c>
      <c r="AF453" s="313">
        <v>0</v>
      </c>
      <c r="AG453" s="303"/>
      <c r="AH453" s="313">
        <v>0</v>
      </c>
      <c r="AI453" s="313">
        <v>0</v>
      </c>
      <c r="AJ453" s="304"/>
      <c r="AK453" s="313">
        <v>0</v>
      </c>
      <c r="AL453" s="313">
        <v>0</v>
      </c>
      <c r="AM453" s="303"/>
      <c r="AN453" s="313">
        <v>0</v>
      </c>
      <c r="AO453" s="313">
        <v>0</v>
      </c>
      <c r="AP453" s="313"/>
      <c r="AQ453" s="303"/>
      <c r="AR453" s="313">
        <v>0</v>
      </c>
      <c r="AS453" s="313">
        <v>0</v>
      </c>
      <c r="AT453" s="303"/>
      <c r="AU453" s="313">
        <v>0</v>
      </c>
      <c r="AV453" s="313">
        <v>0</v>
      </c>
      <c r="AW453" s="313"/>
      <c r="AX453" s="313"/>
      <c r="AY453" s="313"/>
      <c r="AZ453" s="313"/>
      <c r="BA453" s="313"/>
      <c r="BB453" s="313"/>
      <c r="BC453" s="303"/>
      <c r="BD453" s="313">
        <v>0</v>
      </c>
      <c r="BE453" s="313">
        <v>0</v>
      </c>
      <c r="BF453" s="351"/>
      <c r="BG453" s="351">
        <v>0</v>
      </c>
      <c r="BH453" s="313">
        <v>0</v>
      </c>
      <c r="BI453" s="313">
        <v>0</v>
      </c>
      <c r="BJ453" s="349">
        <f t="shared" si="372"/>
        <v>1211.25</v>
      </c>
      <c r="BK453" s="349">
        <v>0</v>
      </c>
      <c r="BL453" s="313">
        <f t="shared" si="358"/>
        <v>0</v>
      </c>
      <c r="BM453" s="313">
        <f t="shared" si="373"/>
        <v>0</v>
      </c>
      <c r="BN453" s="205">
        <f t="shared" si="356"/>
        <v>0</v>
      </c>
      <c r="BO453" s="205"/>
      <c r="BP453" s="310"/>
      <c r="BQ453" s="311">
        <f t="shared" si="359"/>
        <v>0</v>
      </c>
      <c r="BR453" s="310"/>
      <c r="BS453" s="311">
        <f t="shared" si="360"/>
        <v>0</v>
      </c>
      <c r="BT453" s="310">
        <f>1275*0.13</f>
        <v>165.75</v>
      </c>
      <c r="BU453" s="308">
        <f t="shared" si="361"/>
        <v>0.13</v>
      </c>
      <c r="BV453" s="310">
        <f>1275*0.33</f>
        <v>420.75</v>
      </c>
      <c r="BW453" s="311">
        <f t="shared" si="362"/>
        <v>0.33</v>
      </c>
      <c r="BX453" s="310">
        <f>1275*0.5</f>
        <v>637.5</v>
      </c>
      <c r="BY453" s="311">
        <f t="shared" si="363"/>
        <v>0.5</v>
      </c>
      <c r="BZ453" s="310">
        <f>1275*0.67</f>
        <v>854.25</v>
      </c>
      <c r="CA453" s="311">
        <f t="shared" si="364"/>
        <v>0.67</v>
      </c>
      <c r="CB453" s="310">
        <f>1275*0.83</f>
        <v>1058.25</v>
      </c>
      <c r="CC453" s="311">
        <f t="shared" si="365"/>
        <v>0.83</v>
      </c>
      <c r="CD453" s="310">
        <f>1275*0.95</f>
        <v>1211.25</v>
      </c>
      <c r="CE453" s="311">
        <f t="shared" si="389"/>
        <v>0.95</v>
      </c>
      <c r="CF453" s="310">
        <f>1275*0.95</f>
        <v>1211.25</v>
      </c>
      <c r="CG453" s="311">
        <f t="shared" si="366"/>
        <v>0.95</v>
      </c>
      <c r="CH453" s="310">
        <f>1275*0.95</f>
        <v>1211.25</v>
      </c>
      <c r="CI453" s="311">
        <f t="shared" si="390"/>
        <v>0.95</v>
      </c>
      <c r="CJ453" s="310">
        <f>1275*0.95</f>
        <v>1211.25</v>
      </c>
      <c r="CK453" s="311">
        <f t="shared" si="367"/>
        <v>0.95</v>
      </c>
      <c r="CL453" s="310">
        <f>1275*0.95</f>
        <v>1211.25</v>
      </c>
      <c r="CM453" s="311">
        <f t="shared" si="368"/>
        <v>0.95</v>
      </c>
      <c r="CN453" s="310">
        <f>1275*0.95</f>
        <v>1211.25</v>
      </c>
      <c r="CO453" s="311">
        <f t="shared" si="369"/>
        <v>0.95</v>
      </c>
      <c r="CP453" s="213" t="str">
        <f t="shared" si="374"/>
        <v>Không đạt</v>
      </c>
      <c r="CQ453" s="213" t="str">
        <f t="shared" si="375"/>
        <v>Không đạt</v>
      </c>
      <c r="CR453" s="312"/>
      <c r="CS453" s="312"/>
      <c r="CT453" s="235"/>
      <c r="CU453" s="163"/>
      <c r="CW453" s="195"/>
      <c r="CX453" s="196"/>
      <c r="CY453" s="196"/>
      <c r="CZ453" s="197"/>
      <c r="DA453" s="196"/>
      <c r="DB453" s="196"/>
      <c r="DC453" s="196"/>
      <c r="DE453" s="199"/>
      <c r="DF453" s="200"/>
      <c r="DG453" s="181"/>
    </row>
    <row r="454" spans="1:111" ht="18" customHeight="1" x14ac:dyDescent="0.25">
      <c r="A454" s="213">
        <f>MAX(A$243:A452)+1</f>
        <v>63</v>
      </c>
      <c r="B454" s="240" t="s">
        <v>459</v>
      </c>
      <c r="C454" s="240"/>
      <c r="D454" s="188">
        <f t="shared" ref="D454:I454" si="401">D455+D456</f>
        <v>3510</v>
      </c>
      <c r="E454" s="188">
        <f t="shared" si="401"/>
        <v>0</v>
      </c>
      <c r="F454" s="188">
        <f t="shared" si="401"/>
        <v>3510</v>
      </c>
      <c r="G454" s="188">
        <f t="shared" si="401"/>
        <v>3000</v>
      </c>
      <c r="H454" s="188">
        <f t="shared" si="401"/>
        <v>510</v>
      </c>
      <c r="I454" s="188">
        <f t="shared" si="401"/>
        <v>0</v>
      </c>
      <c r="J454" s="188"/>
      <c r="K454" s="188">
        <f>K455+K456</f>
        <v>0</v>
      </c>
      <c r="L454" s="188">
        <f>L455+L456</f>
        <v>0</v>
      </c>
      <c r="M454" s="188">
        <f>M455+M456</f>
        <v>0</v>
      </c>
      <c r="N454" s="188">
        <f>N455+N456</f>
        <v>0</v>
      </c>
      <c r="O454" s="188">
        <f>O455+O456</f>
        <v>3000</v>
      </c>
      <c r="P454" s="188">
        <v>896.30200000000002</v>
      </c>
      <c r="Q454" s="186">
        <f t="shared" si="371"/>
        <v>0.25535669515669518</v>
      </c>
      <c r="R454" s="189">
        <v>896.30200000000002</v>
      </c>
      <c r="S454" s="185">
        <v>0.25535669515669518</v>
      </c>
      <c r="T454" s="185">
        <v>0.26879652121757386</v>
      </c>
      <c r="U454" s="304">
        <v>896.30200000000002</v>
      </c>
      <c r="V454" s="185">
        <v>0.25535669515669518</v>
      </c>
      <c r="W454" s="185">
        <v>0.26879652121757386</v>
      </c>
      <c r="X454" s="304">
        <v>896.30200000000002</v>
      </c>
      <c r="Y454" s="185">
        <v>0.25535669515669518</v>
      </c>
      <c r="Z454" s="185">
        <v>0.26879652121757386</v>
      </c>
      <c r="AA454" s="304">
        <v>896.30200000000002</v>
      </c>
      <c r="AB454" s="185">
        <v>0.25535669515669518</v>
      </c>
      <c r="AC454" s="185">
        <v>0.26879652121757386</v>
      </c>
      <c r="AD454" s="304">
        <v>2382.6990000000001</v>
      </c>
      <c r="AE454" s="185">
        <v>0.678831623931624</v>
      </c>
      <c r="AF454" s="185">
        <v>0.71455960413855157</v>
      </c>
      <c r="AG454" s="304">
        <v>2382.6990000000001</v>
      </c>
      <c r="AH454" s="185">
        <v>0.678831623931624</v>
      </c>
      <c r="AI454" s="185">
        <v>0.71455960413855157</v>
      </c>
      <c r="AJ454" s="303">
        <v>2382.6990000000001</v>
      </c>
      <c r="AK454" s="185">
        <v>0.678831623931624</v>
      </c>
      <c r="AL454" s="185">
        <v>0.71455960413855157</v>
      </c>
      <c r="AM454" s="304">
        <v>2382.6990000000001</v>
      </c>
      <c r="AN454" s="185">
        <v>0.678831623931624</v>
      </c>
      <c r="AO454" s="185">
        <v>0.71455960413855157</v>
      </c>
      <c r="AP454" s="185"/>
      <c r="AQ454" s="189">
        <v>2779.7370000000001</v>
      </c>
      <c r="AR454" s="185">
        <v>0.79194786324786326</v>
      </c>
      <c r="AS454" s="185">
        <v>0.83362932973459292</v>
      </c>
      <c r="AT454" s="189">
        <v>2779.7370000000001</v>
      </c>
      <c r="AU454" s="185">
        <v>0.79194786324786326</v>
      </c>
      <c r="AV454" s="185">
        <v>0.83362932973459292</v>
      </c>
      <c r="AW454" s="185"/>
      <c r="AX454" s="185"/>
      <c r="AY454" s="185"/>
      <c r="AZ454" s="185"/>
      <c r="BA454" s="185"/>
      <c r="BB454" s="185"/>
      <c r="BC454" s="189">
        <v>2779.7370000000001</v>
      </c>
      <c r="BD454" s="185">
        <v>0.79194786324786326</v>
      </c>
      <c r="BE454" s="185">
        <v>0.83362932973459292</v>
      </c>
      <c r="BF454" s="352"/>
      <c r="BG454" s="352">
        <v>2827.9290000000001</v>
      </c>
      <c r="BH454" s="185">
        <v>0.80567777777777783</v>
      </c>
      <c r="BI454" s="185">
        <v>0.84808187134502921</v>
      </c>
      <c r="BJ454" s="374">
        <f t="shared" si="372"/>
        <v>3334.5</v>
      </c>
      <c r="BK454" s="374">
        <v>2827.9290000000001</v>
      </c>
      <c r="BL454" s="185">
        <f t="shared" si="358"/>
        <v>0.80567777777777783</v>
      </c>
      <c r="BM454" s="185">
        <f t="shared" si="373"/>
        <v>0.84808187134502921</v>
      </c>
      <c r="BN454" s="205">
        <f t="shared" si="356"/>
        <v>445.23</v>
      </c>
      <c r="BO454" s="205"/>
      <c r="BP454" s="189">
        <f>BP455+BP456</f>
        <v>0</v>
      </c>
      <c r="BQ454" s="186">
        <f t="shared" si="359"/>
        <v>0</v>
      </c>
      <c r="BR454" s="189">
        <f>BR455+BR456</f>
        <v>0</v>
      </c>
      <c r="BS454" s="186">
        <f t="shared" si="360"/>
        <v>0</v>
      </c>
      <c r="BT454" s="189">
        <f>BT455+BT456</f>
        <v>466.3</v>
      </c>
      <c r="BU454" s="186">
        <f t="shared" si="361"/>
        <v>0.13284900284900286</v>
      </c>
      <c r="BV454" s="189">
        <f>BV455+BV456</f>
        <v>1168.3</v>
      </c>
      <c r="BW454" s="186">
        <f t="shared" si="362"/>
        <v>0.33284900284900282</v>
      </c>
      <c r="BX454" s="189">
        <f>BX455+BX456</f>
        <v>1755</v>
      </c>
      <c r="BY454" s="186">
        <f t="shared" si="363"/>
        <v>0.5</v>
      </c>
      <c r="BZ454" s="189">
        <f>BZ455+BZ456</f>
        <v>2923.3</v>
      </c>
      <c r="CA454" s="186">
        <f t="shared" si="364"/>
        <v>0.83284900284900287</v>
      </c>
      <c r="CB454" s="189">
        <f>CB455+CB456</f>
        <v>3334.5</v>
      </c>
      <c r="CC454" s="186">
        <f t="shared" si="365"/>
        <v>0.95</v>
      </c>
      <c r="CD454" s="189">
        <f>CD455+CD456</f>
        <v>3334.5</v>
      </c>
      <c r="CE454" s="186">
        <f t="shared" si="389"/>
        <v>0.95</v>
      </c>
      <c r="CF454" s="189">
        <f>CF455+CF456</f>
        <v>3334.5</v>
      </c>
      <c r="CG454" s="186">
        <f t="shared" si="366"/>
        <v>0.95</v>
      </c>
      <c r="CH454" s="189">
        <f>CH455+CH456</f>
        <v>3334.5</v>
      </c>
      <c r="CI454" s="186">
        <f t="shared" si="390"/>
        <v>0.95</v>
      </c>
      <c r="CJ454" s="189">
        <f>CJ455+CJ456</f>
        <v>3334.5</v>
      </c>
      <c r="CK454" s="186">
        <f t="shared" si="367"/>
        <v>0.95</v>
      </c>
      <c r="CL454" s="189">
        <f>CL455+CL456</f>
        <v>3334.5</v>
      </c>
      <c r="CM454" s="186">
        <f t="shared" si="368"/>
        <v>0.95</v>
      </c>
      <c r="CN454" s="189">
        <f>CN455+CN456</f>
        <v>3334.5</v>
      </c>
      <c r="CO454" s="186">
        <f t="shared" si="369"/>
        <v>0.95</v>
      </c>
      <c r="CP454" s="213" t="str">
        <f t="shared" si="374"/>
        <v>Đạt</v>
      </c>
      <c r="CQ454" s="213" t="str">
        <f t="shared" si="375"/>
        <v>Đạt</v>
      </c>
      <c r="CR454" s="213"/>
      <c r="CS454" s="213"/>
      <c r="CT454" s="231"/>
      <c r="CU454" s="163"/>
      <c r="CW454" s="195"/>
      <c r="CX454" s="196"/>
      <c r="CY454" s="196"/>
      <c r="CZ454" s="197"/>
      <c r="DA454" s="196"/>
      <c r="DB454" s="196"/>
      <c r="DC454" s="196"/>
      <c r="DE454" s="199"/>
      <c r="DF454" s="200"/>
      <c r="DG454" s="181"/>
    </row>
    <row r="455" spans="1:111" s="324" customFormat="1" outlineLevel="1" x14ac:dyDescent="0.25">
      <c r="A455" s="305" t="s">
        <v>34</v>
      </c>
      <c r="B455" s="318" t="s">
        <v>376</v>
      </c>
      <c r="C455" s="306"/>
      <c r="D455" s="307">
        <f>E455+F455</f>
        <v>3000</v>
      </c>
      <c r="E455" s="307"/>
      <c r="F455" s="307">
        <f>G455+H455+K455+M455</f>
        <v>3000</v>
      </c>
      <c r="G455" s="303">
        <v>3000</v>
      </c>
      <c r="H455" s="303"/>
      <c r="I455" s="235"/>
      <c r="J455" s="235"/>
      <c r="K455" s="303"/>
      <c r="L455" s="235"/>
      <c r="M455" s="223"/>
      <c r="N455" s="223"/>
      <c r="O455" s="303">
        <f t="shared" si="386"/>
        <v>3000</v>
      </c>
      <c r="P455" s="303">
        <v>0</v>
      </c>
      <c r="Q455" s="308">
        <f t="shared" si="371"/>
        <v>0</v>
      </c>
      <c r="R455" s="303">
        <v>896.30200000000002</v>
      </c>
      <c r="S455" s="313">
        <v>0.29876733333333333</v>
      </c>
      <c r="T455" s="313">
        <v>0.31449192982456142</v>
      </c>
      <c r="U455" s="303">
        <v>896.30200000000002</v>
      </c>
      <c r="V455" s="313">
        <v>0.29876733333333333</v>
      </c>
      <c r="W455" s="313">
        <v>0.31449192982456142</v>
      </c>
      <c r="X455" s="303">
        <v>896.30200000000002</v>
      </c>
      <c r="Y455" s="313">
        <v>0.29876733333333333</v>
      </c>
      <c r="Z455" s="313">
        <v>0.31449192982456142</v>
      </c>
      <c r="AA455" s="303">
        <v>896.30200000000002</v>
      </c>
      <c r="AB455" s="313">
        <v>0.29876733333333333</v>
      </c>
      <c r="AC455" s="313">
        <v>0.31449192982456142</v>
      </c>
      <c r="AD455" s="303">
        <v>2382.6990000000001</v>
      </c>
      <c r="AE455" s="313">
        <v>0.79423300000000008</v>
      </c>
      <c r="AF455" s="313">
        <v>0.83603473684210527</v>
      </c>
      <c r="AG455" s="303">
        <v>2382.6990000000001</v>
      </c>
      <c r="AH455" s="313">
        <v>0.79423300000000008</v>
      </c>
      <c r="AI455" s="313">
        <v>0.83603473684210527</v>
      </c>
      <c r="AJ455" s="303">
        <v>2382.6990000000001</v>
      </c>
      <c r="AK455" s="313">
        <v>0.79423300000000008</v>
      </c>
      <c r="AL455" s="313">
        <v>0.83603473684210527</v>
      </c>
      <c r="AM455" s="303">
        <v>2382.6990000000001</v>
      </c>
      <c r="AN455" s="313">
        <v>0.79423300000000008</v>
      </c>
      <c r="AO455" s="313">
        <v>0.83603473684210527</v>
      </c>
      <c r="AP455" s="313"/>
      <c r="AQ455" s="303">
        <v>2779.7370000000001</v>
      </c>
      <c r="AR455" s="313">
        <v>0.92657900000000004</v>
      </c>
      <c r="AS455" s="313">
        <v>0.97534631578947373</v>
      </c>
      <c r="AT455" s="303">
        <v>2779.7370000000001</v>
      </c>
      <c r="AU455" s="313">
        <v>0.92657900000000004</v>
      </c>
      <c r="AV455" s="313">
        <v>0.97534631578947373</v>
      </c>
      <c r="AW455" s="313"/>
      <c r="AX455" s="313"/>
      <c r="AY455" s="313"/>
      <c r="AZ455" s="313"/>
      <c r="BA455" s="313"/>
      <c r="BB455" s="313"/>
      <c r="BC455" s="303">
        <v>2779.7370000000001</v>
      </c>
      <c r="BD455" s="313">
        <v>0.92657900000000004</v>
      </c>
      <c r="BE455" s="313">
        <v>0.97534631578947373</v>
      </c>
      <c r="BF455" s="351"/>
      <c r="BG455" s="351">
        <v>2827.9290000000001</v>
      </c>
      <c r="BH455" s="313">
        <v>0.94264300000000001</v>
      </c>
      <c r="BI455" s="313">
        <v>0.9922557894736842</v>
      </c>
      <c r="BJ455" s="349">
        <f t="shared" si="372"/>
        <v>2850</v>
      </c>
      <c r="BK455" s="349">
        <v>2827.9290000000001</v>
      </c>
      <c r="BL455" s="313">
        <f t="shared" si="358"/>
        <v>0.94264300000000001</v>
      </c>
      <c r="BM455" s="313">
        <f t="shared" si="373"/>
        <v>0.9922557894736842</v>
      </c>
      <c r="BN455" s="205">
        <f t="shared" si="356"/>
        <v>445.23</v>
      </c>
      <c r="BO455" s="205"/>
      <c r="BP455" s="310"/>
      <c r="BQ455" s="311">
        <f t="shared" si="359"/>
        <v>0</v>
      </c>
      <c r="BR455" s="310"/>
      <c r="BS455" s="311">
        <f t="shared" si="360"/>
        <v>0</v>
      </c>
      <c r="BT455" s="310">
        <v>400</v>
      </c>
      <c r="BU455" s="308">
        <f t="shared" si="361"/>
        <v>0.13333333333333333</v>
      </c>
      <c r="BV455" s="310">
        <v>1000</v>
      </c>
      <c r="BW455" s="311">
        <f t="shared" si="362"/>
        <v>0.33333333333333331</v>
      </c>
      <c r="BX455" s="310">
        <v>1500</v>
      </c>
      <c r="BY455" s="311">
        <f t="shared" si="363"/>
        <v>0.5</v>
      </c>
      <c r="BZ455" s="310">
        <v>2500</v>
      </c>
      <c r="CA455" s="311">
        <f t="shared" si="364"/>
        <v>0.83333333333333337</v>
      </c>
      <c r="CB455" s="310">
        <v>2850</v>
      </c>
      <c r="CC455" s="311">
        <f t="shared" si="365"/>
        <v>0.95</v>
      </c>
      <c r="CD455" s="310">
        <v>2850</v>
      </c>
      <c r="CE455" s="311">
        <f t="shared" si="389"/>
        <v>0.95</v>
      </c>
      <c r="CF455" s="310">
        <v>2850</v>
      </c>
      <c r="CG455" s="311">
        <f t="shared" si="366"/>
        <v>0.95</v>
      </c>
      <c r="CH455" s="310">
        <v>2850</v>
      </c>
      <c r="CI455" s="311">
        <f t="shared" si="390"/>
        <v>0.95</v>
      </c>
      <c r="CJ455" s="310">
        <v>2850</v>
      </c>
      <c r="CK455" s="311">
        <f t="shared" si="367"/>
        <v>0.95</v>
      </c>
      <c r="CL455" s="310">
        <v>2850</v>
      </c>
      <c r="CM455" s="311">
        <f t="shared" si="368"/>
        <v>0.95</v>
      </c>
      <c r="CN455" s="310">
        <v>2850</v>
      </c>
      <c r="CO455" s="311">
        <f t="shared" si="369"/>
        <v>0.95</v>
      </c>
      <c r="CP455" s="213" t="str">
        <f t="shared" si="374"/>
        <v>Đạt</v>
      </c>
      <c r="CQ455" s="213" t="str">
        <f t="shared" si="375"/>
        <v>Đạt</v>
      </c>
      <c r="CR455" s="312"/>
      <c r="CS455" s="312"/>
      <c r="CT455" s="235"/>
      <c r="CU455" s="163"/>
      <c r="CV455" s="323"/>
      <c r="CW455" s="195"/>
      <c r="CX455" s="196"/>
      <c r="CY455" s="196"/>
      <c r="CZ455" s="197"/>
      <c r="DA455" s="196"/>
      <c r="DB455" s="196"/>
      <c r="DC455" s="196"/>
      <c r="DE455" s="199"/>
      <c r="DF455" s="200"/>
      <c r="DG455" s="181"/>
    </row>
    <row r="456" spans="1:111" ht="25.5" outlineLevel="1" x14ac:dyDescent="0.25">
      <c r="A456" s="305" t="s">
        <v>34</v>
      </c>
      <c r="B456" s="306" t="s">
        <v>377</v>
      </c>
      <c r="C456" s="306"/>
      <c r="D456" s="307">
        <f>E456+F456</f>
        <v>510</v>
      </c>
      <c r="E456" s="307"/>
      <c r="F456" s="307">
        <f>G456+H456+K456+M456</f>
        <v>510</v>
      </c>
      <c r="G456" s="307"/>
      <c r="H456" s="307">
        <v>510</v>
      </c>
      <c r="I456" s="235"/>
      <c r="J456" s="235"/>
      <c r="K456" s="303"/>
      <c r="L456" s="235"/>
      <c r="M456" s="223"/>
      <c r="N456" s="223"/>
      <c r="O456" s="303"/>
      <c r="P456" s="303">
        <v>0</v>
      </c>
      <c r="Q456" s="308">
        <f t="shared" si="371"/>
        <v>0</v>
      </c>
      <c r="R456" s="303"/>
      <c r="S456" s="313">
        <v>0</v>
      </c>
      <c r="T456" s="313">
        <v>0</v>
      </c>
      <c r="U456" s="303"/>
      <c r="V456" s="313">
        <v>0</v>
      </c>
      <c r="W456" s="313">
        <v>0</v>
      </c>
      <c r="X456" s="303"/>
      <c r="Y456" s="313">
        <v>0</v>
      </c>
      <c r="Z456" s="313">
        <v>0</v>
      </c>
      <c r="AA456" s="303"/>
      <c r="AB456" s="313">
        <v>0</v>
      </c>
      <c r="AC456" s="313">
        <v>0</v>
      </c>
      <c r="AD456" s="303"/>
      <c r="AE456" s="313">
        <v>0</v>
      </c>
      <c r="AF456" s="313">
        <v>0</v>
      </c>
      <c r="AG456" s="303"/>
      <c r="AH456" s="313">
        <v>0</v>
      </c>
      <c r="AI456" s="313">
        <v>0</v>
      </c>
      <c r="AJ456" s="188"/>
      <c r="AK456" s="313">
        <v>0</v>
      </c>
      <c r="AL456" s="313">
        <v>0</v>
      </c>
      <c r="AM456" s="303"/>
      <c r="AN456" s="313">
        <v>0</v>
      </c>
      <c r="AO456" s="313">
        <v>0</v>
      </c>
      <c r="AP456" s="313"/>
      <c r="AQ456" s="303"/>
      <c r="AR456" s="313">
        <v>0</v>
      </c>
      <c r="AS456" s="313">
        <v>0</v>
      </c>
      <c r="AT456" s="303"/>
      <c r="AU456" s="313">
        <v>0</v>
      </c>
      <c r="AV456" s="313">
        <v>0</v>
      </c>
      <c r="AW456" s="313"/>
      <c r="AX456" s="313"/>
      <c r="AY456" s="313"/>
      <c r="AZ456" s="313"/>
      <c r="BA456" s="313"/>
      <c r="BB456" s="313"/>
      <c r="BC456" s="303"/>
      <c r="BD456" s="313">
        <v>0</v>
      </c>
      <c r="BE456" s="313">
        <v>0</v>
      </c>
      <c r="BF456" s="351"/>
      <c r="BG456" s="351">
        <v>0</v>
      </c>
      <c r="BH456" s="313">
        <v>0</v>
      </c>
      <c r="BI456" s="313">
        <v>0</v>
      </c>
      <c r="BJ456" s="349">
        <f t="shared" si="372"/>
        <v>484.5</v>
      </c>
      <c r="BK456" s="349">
        <v>0</v>
      </c>
      <c r="BL456" s="313">
        <f t="shared" si="358"/>
        <v>0</v>
      </c>
      <c r="BM456" s="313">
        <f t="shared" si="373"/>
        <v>0</v>
      </c>
      <c r="BN456" s="205">
        <f t="shared" si="356"/>
        <v>0</v>
      </c>
      <c r="BO456" s="205"/>
      <c r="BP456" s="310"/>
      <c r="BQ456" s="311">
        <f t="shared" si="359"/>
        <v>0</v>
      </c>
      <c r="BR456" s="310"/>
      <c r="BS456" s="311">
        <f t="shared" si="360"/>
        <v>0</v>
      </c>
      <c r="BT456" s="310">
        <f>510*0.13</f>
        <v>66.3</v>
      </c>
      <c r="BU456" s="308">
        <f t="shared" si="361"/>
        <v>0.13</v>
      </c>
      <c r="BV456" s="310">
        <f>510*0.33</f>
        <v>168.3</v>
      </c>
      <c r="BW456" s="311">
        <f t="shared" si="362"/>
        <v>0.33</v>
      </c>
      <c r="BX456" s="310">
        <f>510*0.5</f>
        <v>255</v>
      </c>
      <c r="BY456" s="311">
        <f t="shared" si="363"/>
        <v>0.5</v>
      </c>
      <c r="BZ456" s="310">
        <f>510*0.83</f>
        <v>423.29999999999995</v>
      </c>
      <c r="CA456" s="311">
        <f t="shared" si="364"/>
        <v>0.83</v>
      </c>
      <c r="CB456" s="310">
        <f>510*0.95</f>
        <v>484.5</v>
      </c>
      <c r="CC456" s="311">
        <f t="shared" si="365"/>
        <v>0.95</v>
      </c>
      <c r="CD456" s="310">
        <f>510*0.95</f>
        <v>484.5</v>
      </c>
      <c r="CE456" s="311">
        <f t="shared" si="389"/>
        <v>0.95</v>
      </c>
      <c r="CF456" s="310">
        <f>510*0.95</f>
        <v>484.5</v>
      </c>
      <c r="CG456" s="311">
        <f t="shared" si="366"/>
        <v>0.95</v>
      </c>
      <c r="CH456" s="310">
        <f>510*0.95</f>
        <v>484.5</v>
      </c>
      <c r="CI456" s="311">
        <f t="shared" si="390"/>
        <v>0.95</v>
      </c>
      <c r="CJ456" s="310">
        <f>510*0.95</f>
        <v>484.5</v>
      </c>
      <c r="CK456" s="311">
        <f t="shared" si="367"/>
        <v>0.95</v>
      </c>
      <c r="CL456" s="310">
        <f>510*0.95</f>
        <v>484.5</v>
      </c>
      <c r="CM456" s="311">
        <f t="shared" si="368"/>
        <v>0.95</v>
      </c>
      <c r="CN456" s="310">
        <f>510*0.95</f>
        <v>484.5</v>
      </c>
      <c r="CO456" s="311">
        <f t="shared" si="369"/>
        <v>0.95</v>
      </c>
      <c r="CP456" s="213" t="str">
        <f t="shared" si="374"/>
        <v>Không đạt</v>
      </c>
      <c r="CQ456" s="213" t="str">
        <f t="shared" si="375"/>
        <v>Không đạt</v>
      </c>
      <c r="CR456" s="312"/>
      <c r="CS456" s="312"/>
      <c r="CT456" s="235"/>
      <c r="CU456" s="163"/>
      <c r="CW456" s="195"/>
      <c r="CX456" s="196"/>
      <c r="CY456" s="196"/>
      <c r="CZ456" s="197"/>
      <c r="DA456" s="196"/>
      <c r="DB456" s="196"/>
      <c r="DC456" s="196"/>
      <c r="DE456" s="199"/>
      <c r="DF456" s="200"/>
      <c r="DG456" s="181"/>
    </row>
    <row r="457" spans="1:111" ht="18" customHeight="1" x14ac:dyDescent="0.25">
      <c r="A457" s="213">
        <f>MAX(A$243:A455)+1</f>
        <v>64</v>
      </c>
      <c r="B457" s="240" t="s">
        <v>460</v>
      </c>
      <c r="C457" s="240"/>
      <c r="D457" s="188">
        <f t="shared" ref="D457:I457" si="402">D458+D466+D467</f>
        <v>174250</v>
      </c>
      <c r="E457" s="188">
        <f t="shared" si="402"/>
        <v>0</v>
      </c>
      <c r="F457" s="188">
        <f t="shared" si="402"/>
        <v>174250</v>
      </c>
      <c r="G457" s="188">
        <f t="shared" si="402"/>
        <v>18000</v>
      </c>
      <c r="H457" s="188">
        <f t="shared" si="402"/>
        <v>156250</v>
      </c>
      <c r="I457" s="188">
        <f t="shared" si="402"/>
        <v>0</v>
      </c>
      <c r="J457" s="188"/>
      <c r="K457" s="188">
        <f>K458+K466+K467</f>
        <v>0</v>
      </c>
      <c r="L457" s="188">
        <f>L458+L466+L467</f>
        <v>0</v>
      </c>
      <c r="M457" s="188">
        <f>M458+M466+M467</f>
        <v>0</v>
      </c>
      <c r="N457" s="188">
        <f>N458+N466+N467</f>
        <v>0</v>
      </c>
      <c r="O457" s="188">
        <f>O458+O466+O467</f>
        <v>18000</v>
      </c>
      <c r="P457" s="188">
        <v>0</v>
      </c>
      <c r="Q457" s="186">
        <f t="shared" si="371"/>
        <v>0</v>
      </c>
      <c r="R457" s="188">
        <v>0</v>
      </c>
      <c r="S457" s="185">
        <v>0</v>
      </c>
      <c r="T457" s="185">
        <v>0</v>
      </c>
      <c r="U457" s="188">
        <v>0</v>
      </c>
      <c r="V457" s="185">
        <v>0</v>
      </c>
      <c r="W457" s="185">
        <v>0</v>
      </c>
      <c r="X457" s="188">
        <v>0</v>
      </c>
      <c r="Y457" s="185">
        <v>0</v>
      </c>
      <c r="Z457" s="185">
        <v>0</v>
      </c>
      <c r="AA457" s="188">
        <v>0</v>
      </c>
      <c r="AB457" s="185">
        <v>0</v>
      </c>
      <c r="AC457" s="185">
        <v>0</v>
      </c>
      <c r="AD457" s="188">
        <v>320.11500000000001</v>
      </c>
      <c r="AE457" s="185">
        <v>1.8255774165953807E-3</v>
      </c>
      <c r="AF457" s="185">
        <v>1.9216604385214535E-3</v>
      </c>
      <c r="AG457" s="188">
        <v>320.11500000000001</v>
      </c>
      <c r="AH457" s="185">
        <v>1.8255774165953807E-3</v>
      </c>
      <c r="AI457" s="185">
        <v>1.9216604385214535E-3</v>
      </c>
      <c r="AJ457" s="317">
        <v>320.11500000000001</v>
      </c>
      <c r="AK457" s="185">
        <v>1.8255774165953807E-3</v>
      </c>
      <c r="AL457" s="185">
        <v>1.9216604385214535E-3</v>
      </c>
      <c r="AM457" s="188">
        <v>320.11500000000001</v>
      </c>
      <c r="AN457" s="185">
        <v>1.8255774165953807E-3</v>
      </c>
      <c r="AO457" s="185">
        <v>1.9216604385214535E-3</v>
      </c>
      <c r="AP457" s="185"/>
      <c r="AQ457" s="188">
        <v>320.11500000000001</v>
      </c>
      <c r="AR457" s="185">
        <v>1.8255774165953807E-3</v>
      </c>
      <c r="AS457" s="185">
        <v>1.9216604385214535E-3</v>
      </c>
      <c r="AT457" s="188">
        <v>320.11500000000001</v>
      </c>
      <c r="AU457" s="185">
        <v>1.8255774165953807E-3</v>
      </c>
      <c r="AV457" s="185">
        <v>1.9216604385214535E-3</v>
      </c>
      <c r="AW457" s="185"/>
      <c r="AX457" s="185"/>
      <c r="AY457" s="185"/>
      <c r="AZ457" s="185"/>
      <c r="BA457" s="185"/>
      <c r="BB457" s="185"/>
      <c r="BC457" s="188">
        <v>320.11500000000001</v>
      </c>
      <c r="BD457" s="185">
        <v>1.8255774165953807E-3</v>
      </c>
      <c r="BE457" s="185">
        <v>1.9216604385214535E-3</v>
      </c>
      <c r="BF457" s="352"/>
      <c r="BG457" s="352">
        <v>320.11500000000001</v>
      </c>
      <c r="BH457" s="185">
        <v>1.8371018651362984E-3</v>
      </c>
      <c r="BI457" s="185">
        <v>1.9337914369855773E-3</v>
      </c>
      <c r="BJ457" s="374">
        <f t="shared" si="372"/>
        <v>165537.5</v>
      </c>
      <c r="BK457" s="374">
        <v>2241.4110000000001</v>
      </c>
      <c r="BL457" s="185">
        <f t="shared" si="358"/>
        <v>1.2863190817790532E-2</v>
      </c>
      <c r="BM457" s="185">
        <f t="shared" si="373"/>
        <v>1.3540200860832139E-2</v>
      </c>
      <c r="BN457" s="205">
        <f t="shared" si="356"/>
        <v>1921.296</v>
      </c>
      <c r="BO457" s="205"/>
      <c r="BP457" s="189">
        <f>BP458+BP466+BP467</f>
        <v>300</v>
      </c>
      <c r="BQ457" s="186">
        <f t="shared" si="359"/>
        <v>1.721664275466284E-3</v>
      </c>
      <c r="BR457" s="189">
        <f>BR458+BR466+BR467</f>
        <v>300</v>
      </c>
      <c r="BS457" s="186">
        <f t="shared" si="360"/>
        <v>1.721664275466284E-3</v>
      </c>
      <c r="BT457" s="189">
        <f>BT458+BT466+BT467</f>
        <v>2425</v>
      </c>
      <c r="BU457" s="186">
        <f t="shared" si="361"/>
        <v>1.3916786226685796E-2</v>
      </c>
      <c r="BV457" s="189">
        <f>BV458+BV466+BV467</f>
        <v>5550</v>
      </c>
      <c r="BW457" s="186">
        <f t="shared" si="362"/>
        <v>3.1850789096126257E-2</v>
      </c>
      <c r="BX457" s="189">
        <f>BX458+BX466+BX467</f>
        <v>16675</v>
      </c>
      <c r="BY457" s="186">
        <f t="shared" si="363"/>
        <v>9.5695839311334296E-2</v>
      </c>
      <c r="BZ457" s="189">
        <f>BZ458+BZ466+BZ467</f>
        <v>36350</v>
      </c>
      <c r="CA457" s="186">
        <f t="shared" si="364"/>
        <v>0.20860832137733143</v>
      </c>
      <c r="CB457" s="189">
        <f>CB458+CB466+CB467</f>
        <v>79675</v>
      </c>
      <c r="CC457" s="186">
        <f t="shared" si="365"/>
        <v>0.45724533715925397</v>
      </c>
      <c r="CD457" s="189">
        <f>CD458+CD466+CD467</f>
        <v>99645</v>
      </c>
      <c r="CE457" s="186">
        <f t="shared" si="389"/>
        <v>0.5718507890961263</v>
      </c>
      <c r="CF457" s="189">
        <f>CF458+CF466+CF467</f>
        <v>111770</v>
      </c>
      <c r="CG457" s="186">
        <f t="shared" si="366"/>
        <v>0.64143472022955528</v>
      </c>
      <c r="CH457" s="189">
        <f>CH458+CH466+CH467</f>
        <v>126895</v>
      </c>
      <c r="CI457" s="186">
        <f t="shared" si="390"/>
        <v>0.72823529411764709</v>
      </c>
      <c r="CJ457" s="189">
        <f>CJ458+CJ466+CJ467</f>
        <v>132320</v>
      </c>
      <c r="CK457" s="186">
        <f t="shared" si="367"/>
        <v>0.75936872309899572</v>
      </c>
      <c r="CL457" s="189">
        <f>CL458+CL466+CL467</f>
        <v>164457.5</v>
      </c>
      <c r="CM457" s="186">
        <f t="shared" si="368"/>
        <v>0.94380200860832142</v>
      </c>
      <c r="CN457" s="189">
        <f>CN458+CN466+CN467</f>
        <v>166582.5</v>
      </c>
      <c r="CO457" s="186">
        <f t="shared" si="369"/>
        <v>0.95599713055954094</v>
      </c>
      <c r="CP457" s="213" t="str">
        <f t="shared" si="374"/>
        <v>Không đạt</v>
      </c>
      <c r="CQ457" s="213" t="str">
        <f t="shared" si="375"/>
        <v>Không đạt</v>
      </c>
      <c r="CR457" s="213"/>
      <c r="CS457" s="213"/>
      <c r="CT457" s="231"/>
      <c r="CU457" s="163"/>
      <c r="CW457" s="195"/>
      <c r="CX457" s="196"/>
      <c r="CY457" s="196"/>
      <c r="CZ457" s="197"/>
      <c r="DA457" s="196"/>
      <c r="DB457" s="196"/>
      <c r="DC457" s="196"/>
      <c r="DE457" s="199"/>
      <c r="DF457" s="200"/>
      <c r="DG457" s="181"/>
    </row>
    <row r="458" spans="1:111" s="324" customFormat="1" outlineLevel="1" x14ac:dyDescent="0.25">
      <c r="A458" s="305" t="s">
        <v>34</v>
      </c>
      <c r="B458" s="318" t="s">
        <v>381</v>
      </c>
      <c r="C458" s="306"/>
      <c r="D458" s="317">
        <f>SUM(D459:D465)</f>
        <v>150000</v>
      </c>
      <c r="E458" s="317">
        <f t="shared" ref="E458:L458" si="403">SUM(E459:E465)</f>
        <v>0</v>
      </c>
      <c r="F458" s="317">
        <f t="shared" si="403"/>
        <v>150000</v>
      </c>
      <c r="G458" s="317">
        <f t="shared" si="403"/>
        <v>15000</v>
      </c>
      <c r="H458" s="317">
        <f t="shared" si="403"/>
        <v>135000</v>
      </c>
      <c r="I458" s="214">
        <f t="shared" si="403"/>
        <v>0</v>
      </c>
      <c r="J458" s="214"/>
      <c r="K458" s="317">
        <f t="shared" si="403"/>
        <v>0</v>
      </c>
      <c r="L458" s="214">
        <f t="shared" si="403"/>
        <v>0</v>
      </c>
      <c r="M458" s="223"/>
      <c r="N458" s="223"/>
      <c r="O458" s="317">
        <f t="shared" si="386"/>
        <v>15000</v>
      </c>
      <c r="P458" s="317">
        <v>0</v>
      </c>
      <c r="Q458" s="353">
        <f t="shared" si="371"/>
        <v>0</v>
      </c>
      <c r="R458" s="317">
        <v>0</v>
      </c>
      <c r="S458" s="354">
        <v>0</v>
      </c>
      <c r="T458" s="354">
        <v>0</v>
      </c>
      <c r="U458" s="317">
        <v>0</v>
      </c>
      <c r="V458" s="354">
        <v>0</v>
      </c>
      <c r="W458" s="354">
        <v>0</v>
      </c>
      <c r="X458" s="317">
        <v>0</v>
      </c>
      <c r="Y458" s="354">
        <v>0</v>
      </c>
      <c r="Z458" s="354">
        <v>0</v>
      </c>
      <c r="AA458" s="317">
        <v>0</v>
      </c>
      <c r="AB458" s="354">
        <v>0</v>
      </c>
      <c r="AC458" s="354">
        <v>0</v>
      </c>
      <c r="AD458" s="317">
        <v>0</v>
      </c>
      <c r="AE458" s="354">
        <v>0</v>
      </c>
      <c r="AF458" s="354">
        <v>0</v>
      </c>
      <c r="AG458" s="317">
        <v>0</v>
      </c>
      <c r="AH458" s="354">
        <v>0</v>
      </c>
      <c r="AI458" s="354">
        <v>0</v>
      </c>
      <c r="AJ458" s="260">
        <v>0</v>
      </c>
      <c r="AK458" s="354">
        <v>0</v>
      </c>
      <c r="AL458" s="354">
        <v>0</v>
      </c>
      <c r="AM458" s="317">
        <v>0</v>
      </c>
      <c r="AN458" s="354">
        <v>0</v>
      </c>
      <c r="AO458" s="354">
        <v>0</v>
      </c>
      <c r="AP458" s="354"/>
      <c r="AQ458" s="317">
        <v>0</v>
      </c>
      <c r="AR458" s="354">
        <v>0</v>
      </c>
      <c r="AS458" s="354">
        <v>0</v>
      </c>
      <c r="AT458" s="317">
        <v>0</v>
      </c>
      <c r="AU458" s="354">
        <v>0</v>
      </c>
      <c r="AV458" s="354">
        <v>0</v>
      </c>
      <c r="AW458" s="354"/>
      <c r="AX458" s="354"/>
      <c r="AY458" s="354"/>
      <c r="AZ458" s="354"/>
      <c r="BA458" s="354"/>
      <c r="BB458" s="354"/>
      <c r="BC458" s="317">
        <v>0</v>
      </c>
      <c r="BD458" s="354">
        <v>0</v>
      </c>
      <c r="BE458" s="354">
        <v>0</v>
      </c>
      <c r="BF458" s="349"/>
      <c r="BG458" s="349">
        <v>0</v>
      </c>
      <c r="BH458" s="354">
        <v>0</v>
      </c>
      <c r="BI458" s="354">
        <v>0</v>
      </c>
      <c r="BJ458" s="349">
        <f t="shared" si="372"/>
        <v>142500</v>
      </c>
      <c r="BK458" s="349">
        <v>0</v>
      </c>
      <c r="BL458" s="354">
        <f t="shared" si="358"/>
        <v>0</v>
      </c>
      <c r="BM458" s="354">
        <f t="shared" si="373"/>
        <v>0</v>
      </c>
      <c r="BN458" s="205">
        <f t="shared" si="356"/>
        <v>0</v>
      </c>
      <c r="BO458" s="205"/>
      <c r="BP458" s="355">
        <f t="shared" ref="BP458:CN458" si="404">SUM(BP459:BP465)</f>
        <v>0</v>
      </c>
      <c r="BQ458" s="353">
        <f t="shared" si="359"/>
        <v>0</v>
      </c>
      <c r="BR458" s="355">
        <f t="shared" si="404"/>
        <v>0</v>
      </c>
      <c r="BS458" s="353">
        <f t="shared" si="360"/>
        <v>0</v>
      </c>
      <c r="BT458" s="355">
        <f t="shared" si="404"/>
        <v>0</v>
      </c>
      <c r="BU458" s="353">
        <f t="shared" si="361"/>
        <v>0</v>
      </c>
      <c r="BV458" s="355">
        <f>SUM(BV459:BV465)</f>
        <v>1000</v>
      </c>
      <c r="BW458" s="353">
        <f t="shared" si="362"/>
        <v>6.6666666666666671E-3</v>
      </c>
      <c r="BX458" s="355">
        <f t="shared" si="404"/>
        <v>10000</v>
      </c>
      <c r="BY458" s="353">
        <f t="shared" si="363"/>
        <v>6.6666666666666666E-2</v>
      </c>
      <c r="BZ458" s="355">
        <f t="shared" si="404"/>
        <v>25000</v>
      </c>
      <c r="CA458" s="353">
        <f t="shared" si="364"/>
        <v>0.16666666666666666</v>
      </c>
      <c r="CB458" s="355">
        <f t="shared" si="404"/>
        <v>66200</v>
      </c>
      <c r="CC458" s="353">
        <f t="shared" si="365"/>
        <v>0.44133333333333336</v>
      </c>
      <c r="CD458" s="355">
        <f t="shared" si="404"/>
        <v>84045</v>
      </c>
      <c r="CE458" s="353">
        <f>CD458/$D458</f>
        <v>0.56030000000000002</v>
      </c>
      <c r="CF458" s="355">
        <f t="shared" si="404"/>
        <v>94045</v>
      </c>
      <c r="CG458" s="353">
        <f t="shared" si="366"/>
        <v>0.62696666666666667</v>
      </c>
      <c r="CH458" s="355">
        <f t="shared" si="404"/>
        <v>107045</v>
      </c>
      <c r="CI458" s="353">
        <f>CH458/$D458</f>
        <v>0.71363333333333334</v>
      </c>
      <c r="CJ458" s="355">
        <f t="shared" si="404"/>
        <v>112045</v>
      </c>
      <c r="CK458" s="353">
        <f t="shared" si="367"/>
        <v>0.74696666666666667</v>
      </c>
      <c r="CL458" s="355">
        <f t="shared" si="404"/>
        <v>143545</v>
      </c>
      <c r="CM458" s="353">
        <f t="shared" si="368"/>
        <v>0.95696666666666663</v>
      </c>
      <c r="CN458" s="355">
        <f t="shared" si="404"/>
        <v>143545</v>
      </c>
      <c r="CO458" s="353">
        <f t="shared" si="369"/>
        <v>0.95696666666666663</v>
      </c>
      <c r="CP458" s="213" t="str">
        <f t="shared" si="374"/>
        <v>Không đạt</v>
      </c>
      <c r="CQ458" s="213" t="str">
        <f t="shared" si="375"/>
        <v>Không đạt</v>
      </c>
      <c r="CR458" s="312"/>
      <c r="CS458" s="312"/>
      <c r="CT458" s="235"/>
      <c r="CU458" s="163"/>
      <c r="CV458" s="323"/>
      <c r="CW458" s="195"/>
      <c r="CX458" s="196"/>
      <c r="CY458" s="196"/>
      <c r="CZ458" s="197"/>
      <c r="DA458" s="196"/>
      <c r="DB458" s="196"/>
      <c r="DC458" s="196"/>
      <c r="DE458" s="199"/>
      <c r="DF458" s="200"/>
      <c r="DG458" s="181"/>
    </row>
    <row r="459" spans="1:111" ht="43.5" customHeight="1" outlineLevel="1" x14ac:dyDescent="0.25">
      <c r="A459" s="356"/>
      <c r="B459" s="325" t="s">
        <v>461</v>
      </c>
      <c r="C459" s="325"/>
      <c r="D459" s="214">
        <f t="shared" ref="D459:D467" si="405">E459+F459</f>
        <v>30000</v>
      </c>
      <c r="E459" s="215"/>
      <c r="F459" s="214">
        <f t="shared" ref="F459:F466" si="406">G459+H459+K459+M459</f>
        <v>30000</v>
      </c>
      <c r="G459" s="260">
        <v>10000</v>
      </c>
      <c r="H459" s="260">
        <v>20000</v>
      </c>
      <c r="I459" s="235"/>
      <c r="J459" s="235"/>
      <c r="K459" s="223"/>
      <c r="L459" s="235"/>
      <c r="M459" s="223"/>
      <c r="N459" s="223"/>
      <c r="O459" s="260">
        <f t="shared" si="386"/>
        <v>10000</v>
      </c>
      <c r="P459" s="260">
        <v>0</v>
      </c>
      <c r="Q459" s="224">
        <f t="shared" si="371"/>
        <v>0</v>
      </c>
      <c r="R459" s="260">
        <v>0</v>
      </c>
      <c r="S459" s="225">
        <v>0</v>
      </c>
      <c r="T459" s="225">
        <v>0</v>
      </c>
      <c r="U459" s="260">
        <v>0</v>
      </c>
      <c r="V459" s="225">
        <v>0</v>
      </c>
      <c r="W459" s="225">
        <v>0</v>
      </c>
      <c r="X459" s="260">
        <v>0</v>
      </c>
      <c r="Y459" s="225">
        <v>0</v>
      </c>
      <c r="Z459" s="225">
        <v>0</v>
      </c>
      <c r="AA459" s="260">
        <v>0</v>
      </c>
      <c r="AB459" s="225">
        <v>0</v>
      </c>
      <c r="AC459" s="225">
        <v>0</v>
      </c>
      <c r="AD459" s="260">
        <v>0</v>
      </c>
      <c r="AE459" s="225">
        <v>0</v>
      </c>
      <c r="AF459" s="225">
        <v>0</v>
      </c>
      <c r="AG459" s="260">
        <v>0</v>
      </c>
      <c r="AH459" s="225">
        <v>0</v>
      </c>
      <c r="AI459" s="225">
        <v>0</v>
      </c>
      <c r="AJ459" s="257">
        <v>0</v>
      </c>
      <c r="AK459" s="225">
        <v>0</v>
      </c>
      <c r="AL459" s="225">
        <v>0</v>
      </c>
      <c r="AM459" s="260">
        <v>0</v>
      </c>
      <c r="AN459" s="225">
        <v>0</v>
      </c>
      <c r="AO459" s="225">
        <v>0</v>
      </c>
      <c r="AP459" s="225"/>
      <c r="AQ459" s="260">
        <v>0</v>
      </c>
      <c r="AR459" s="225">
        <v>0</v>
      </c>
      <c r="AS459" s="225">
        <v>0</v>
      </c>
      <c r="AT459" s="260">
        <v>0</v>
      </c>
      <c r="AU459" s="225">
        <v>0</v>
      </c>
      <c r="AV459" s="225">
        <v>0</v>
      </c>
      <c r="AW459" s="225"/>
      <c r="AX459" s="225"/>
      <c r="AY459" s="225"/>
      <c r="AZ459" s="225"/>
      <c r="BA459" s="225"/>
      <c r="BB459" s="225"/>
      <c r="BC459" s="260">
        <v>0</v>
      </c>
      <c r="BD459" s="225">
        <v>0</v>
      </c>
      <c r="BE459" s="225">
        <v>0</v>
      </c>
      <c r="BF459" s="350"/>
      <c r="BG459" s="350">
        <v>0</v>
      </c>
      <c r="BH459" s="225">
        <v>0</v>
      </c>
      <c r="BI459" s="225">
        <v>0</v>
      </c>
      <c r="BJ459" s="402">
        <f t="shared" si="372"/>
        <v>28500</v>
      </c>
      <c r="BK459" s="402">
        <v>0</v>
      </c>
      <c r="BL459" s="225">
        <f t="shared" si="358"/>
        <v>0</v>
      </c>
      <c r="BM459" s="225">
        <f t="shared" si="373"/>
        <v>0</v>
      </c>
      <c r="BN459" s="205">
        <f t="shared" si="356"/>
        <v>0</v>
      </c>
      <c r="BO459" s="205"/>
      <c r="BP459" s="227">
        <v>0</v>
      </c>
      <c r="BQ459" s="224">
        <f t="shared" si="359"/>
        <v>0</v>
      </c>
      <c r="BR459" s="227">
        <v>0</v>
      </c>
      <c r="BS459" s="224">
        <f t="shared" si="360"/>
        <v>0</v>
      </c>
      <c r="BT459" s="227">
        <v>0</v>
      </c>
      <c r="BU459" s="224">
        <f t="shared" si="361"/>
        <v>0</v>
      </c>
      <c r="BV459" s="227">
        <v>0</v>
      </c>
      <c r="BW459" s="224">
        <f t="shared" si="362"/>
        <v>0</v>
      </c>
      <c r="BX459" s="227">
        <v>0</v>
      </c>
      <c r="BY459" s="224">
        <f t="shared" si="363"/>
        <v>0</v>
      </c>
      <c r="BZ459" s="227">
        <v>5000</v>
      </c>
      <c r="CA459" s="224">
        <f t="shared" si="364"/>
        <v>0.16666666666666666</v>
      </c>
      <c r="CB459" s="227">
        <v>10000</v>
      </c>
      <c r="CC459" s="224">
        <f t="shared" si="365"/>
        <v>0.33333333333333331</v>
      </c>
      <c r="CD459" s="227">
        <v>10000</v>
      </c>
      <c r="CE459" s="224">
        <f t="shared" si="365"/>
        <v>0.33333333333333331</v>
      </c>
      <c r="CF459" s="227">
        <v>10000</v>
      </c>
      <c r="CG459" s="224">
        <f t="shared" si="366"/>
        <v>0.33333333333333331</v>
      </c>
      <c r="CH459" s="227">
        <v>20000</v>
      </c>
      <c r="CI459" s="224">
        <f t="shared" si="366"/>
        <v>0.66666666666666663</v>
      </c>
      <c r="CJ459" s="227">
        <v>20000</v>
      </c>
      <c r="CK459" s="224">
        <f t="shared" si="367"/>
        <v>0.66666666666666663</v>
      </c>
      <c r="CL459" s="227">
        <v>28500</v>
      </c>
      <c r="CM459" s="224">
        <f t="shared" si="368"/>
        <v>0.95</v>
      </c>
      <c r="CN459" s="227">
        <v>28500</v>
      </c>
      <c r="CO459" s="224">
        <f t="shared" si="369"/>
        <v>0.95</v>
      </c>
      <c r="CP459" s="213" t="str">
        <f t="shared" si="374"/>
        <v>Không đạt</v>
      </c>
      <c r="CQ459" s="213" t="str">
        <f t="shared" si="375"/>
        <v>Không đạt</v>
      </c>
      <c r="CR459" s="192"/>
      <c r="CS459" s="192"/>
      <c r="CT459" s="223"/>
      <c r="CU459" s="163"/>
      <c r="CW459" s="195"/>
      <c r="CX459" s="196"/>
      <c r="CY459" s="196"/>
      <c r="CZ459" s="197"/>
      <c r="DA459" s="196"/>
      <c r="DB459" s="196"/>
      <c r="DC459" s="196"/>
      <c r="DE459" s="199"/>
      <c r="DF459" s="200"/>
      <c r="DG459" s="181"/>
    </row>
    <row r="460" spans="1:111" ht="38.25" outlineLevel="1" x14ac:dyDescent="0.25">
      <c r="A460" s="192"/>
      <c r="B460" s="325" t="s">
        <v>462</v>
      </c>
      <c r="C460" s="325"/>
      <c r="D460" s="214">
        <f t="shared" si="405"/>
        <v>40000</v>
      </c>
      <c r="E460" s="215"/>
      <c r="F460" s="214">
        <f t="shared" si="406"/>
        <v>40000</v>
      </c>
      <c r="G460" s="257">
        <v>5000</v>
      </c>
      <c r="H460" s="257">
        <v>35000</v>
      </c>
      <c r="I460" s="235"/>
      <c r="J460" s="235"/>
      <c r="K460" s="223"/>
      <c r="L460" s="235"/>
      <c r="M460" s="223"/>
      <c r="N460" s="223"/>
      <c r="O460" s="257">
        <f t="shared" si="386"/>
        <v>5000</v>
      </c>
      <c r="P460" s="257">
        <v>0</v>
      </c>
      <c r="Q460" s="224">
        <f t="shared" si="371"/>
        <v>0</v>
      </c>
      <c r="R460" s="257">
        <v>0</v>
      </c>
      <c r="S460" s="225">
        <v>0</v>
      </c>
      <c r="T460" s="225">
        <v>0</v>
      </c>
      <c r="U460" s="257">
        <v>0</v>
      </c>
      <c r="V460" s="225">
        <v>0</v>
      </c>
      <c r="W460" s="225">
        <v>0</v>
      </c>
      <c r="X460" s="257">
        <v>0</v>
      </c>
      <c r="Y460" s="225">
        <v>0</v>
      </c>
      <c r="Z460" s="225">
        <v>0</v>
      </c>
      <c r="AA460" s="257">
        <v>0</v>
      </c>
      <c r="AB460" s="225">
        <v>0</v>
      </c>
      <c r="AC460" s="225">
        <v>0</v>
      </c>
      <c r="AD460" s="257">
        <v>0</v>
      </c>
      <c r="AE460" s="225">
        <v>0</v>
      </c>
      <c r="AF460" s="225">
        <v>0</v>
      </c>
      <c r="AG460" s="257">
        <v>0</v>
      </c>
      <c r="AH460" s="225">
        <v>0</v>
      </c>
      <c r="AI460" s="225">
        <v>0</v>
      </c>
      <c r="AJ460" s="257">
        <v>0</v>
      </c>
      <c r="AK460" s="225">
        <v>0</v>
      </c>
      <c r="AL460" s="225">
        <v>0</v>
      </c>
      <c r="AM460" s="257">
        <v>0</v>
      </c>
      <c r="AN460" s="225">
        <v>0</v>
      </c>
      <c r="AO460" s="225">
        <v>0</v>
      </c>
      <c r="AP460" s="225"/>
      <c r="AQ460" s="257">
        <v>0</v>
      </c>
      <c r="AR460" s="225">
        <v>0</v>
      </c>
      <c r="AS460" s="225">
        <v>0</v>
      </c>
      <c r="AT460" s="257">
        <v>0</v>
      </c>
      <c r="AU460" s="225">
        <v>0</v>
      </c>
      <c r="AV460" s="225">
        <v>0</v>
      </c>
      <c r="AW460" s="225"/>
      <c r="AX460" s="225"/>
      <c r="AY460" s="225"/>
      <c r="AZ460" s="225"/>
      <c r="BA460" s="225"/>
      <c r="BB460" s="225"/>
      <c r="BC460" s="257">
        <v>0</v>
      </c>
      <c r="BD460" s="225">
        <v>0</v>
      </c>
      <c r="BE460" s="225">
        <v>0</v>
      </c>
      <c r="BF460" s="350"/>
      <c r="BG460" s="350">
        <v>0</v>
      </c>
      <c r="BH460" s="225">
        <v>0</v>
      </c>
      <c r="BI460" s="225">
        <v>0</v>
      </c>
      <c r="BJ460" s="402">
        <f t="shared" si="372"/>
        <v>38000</v>
      </c>
      <c r="BK460" s="402">
        <v>0</v>
      </c>
      <c r="BL460" s="225">
        <f t="shared" si="358"/>
        <v>0</v>
      </c>
      <c r="BM460" s="225">
        <f t="shared" si="373"/>
        <v>0</v>
      </c>
      <c r="BN460" s="205">
        <f t="shared" si="356"/>
        <v>0</v>
      </c>
      <c r="BO460" s="205"/>
      <c r="BP460" s="227">
        <v>0</v>
      </c>
      <c r="BQ460" s="224">
        <f t="shared" si="359"/>
        <v>0</v>
      </c>
      <c r="BR460" s="227">
        <v>0</v>
      </c>
      <c r="BS460" s="224">
        <f t="shared" si="360"/>
        <v>0</v>
      </c>
      <c r="BT460" s="227">
        <v>0</v>
      </c>
      <c r="BU460" s="224">
        <f t="shared" si="361"/>
        <v>0</v>
      </c>
      <c r="BV460" s="227">
        <v>1000</v>
      </c>
      <c r="BW460" s="224">
        <f t="shared" si="362"/>
        <v>2.5000000000000001E-2</v>
      </c>
      <c r="BX460" s="227">
        <v>10000</v>
      </c>
      <c r="BY460" s="224">
        <f t="shared" si="363"/>
        <v>0.25</v>
      </c>
      <c r="BZ460" s="227">
        <v>20000</v>
      </c>
      <c r="CA460" s="224">
        <f t="shared" si="364"/>
        <v>0.5</v>
      </c>
      <c r="CB460" s="227">
        <v>30000</v>
      </c>
      <c r="CC460" s="224">
        <f t="shared" si="365"/>
        <v>0.75</v>
      </c>
      <c r="CD460" s="227">
        <v>38000</v>
      </c>
      <c r="CE460" s="224">
        <f t="shared" si="365"/>
        <v>0.95</v>
      </c>
      <c r="CF460" s="227">
        <v>38000</v>
      </c>
      <c r="CG460" s="224">
        <f t="shared" si="366"/>
        <v>0.95</v>
      </c>
      <c r="CH460" s="227">
        <v>38000</v>
      </c>
      <c r="CI460" s="224">
        <f t="shared" si="366"/>
        <v>0.95</v>
      </c>
      <c r="CJ460" s="227">
        <v>38000</v>
      </c>
      <c r="CK460" s="224">
        <f t="shared" si="367"/>
        <v>0.95</v>
      </c>
      <c r="CL460" s="227">
        <v>38000</v>
      </c>
      <c r="CM460" s="224">
        <f t="shared" si="368"/>
        <v>0.95</v>
      </c>
      <c r="CN460" s="227">
        <v>38000</v>
      </c>
      <c r="CO460" s="224">
        <f t="shared" si="369"/>
        <v>0.95</v>
      </c>
      <c r="CP460" s="213" t="str">
        <f t="shared" si="374"/>
        <v>Không đạt</v>
      </c>
      <c r="CQ460" s="213" t="str">
        <f t="shared" si="375"/>
        <v>Không đạt</v>
      </c>
      <c r="CR460" s="192"/>
      <c r="CS460" s="192"/>
      <c r="CT460" s="223"/>
      <c r="CU460" s="163"/>
      <c r="CW460" s="195"/>
      <c r="CX460" s="196"/>
      <c r="CY460" s="196"/>
      <c r="CZ460" s="197"/>
      <c r="DA460" s="196"/>
      <c r="DB460" s="196"/>
      <c r="DC460" s="196"/>
      <c r="DE460" s="199"/>
      <c r="DF460" s="200"/>
      <c r="DG460" s="181"/>
    </row>
    <row r="461" spans="1:111" ht="38.25" outlineLevel="1" x14ac:dyDescent="0.25">
      <c r="A461" s="192"/>
      <c r="B461" s="325" t="s">
        <v>463</v>
      </c>
      <c r="C461" s="325"/>
      <c r="D461" s="214">
        <f t="shared" si="405"/>
        <v>25000</v>
      </c>
      <c r="E461" s="215"/>
      <c r="F461" s="214">
        <f t="shared" si="406"/>
        <v>25000</v>
      </c>
      <c r="G461" s="257"/>
      <c r="H461" s="257">
        <v>25000</v>
      </c>
      <c r="I461" s="235"/>
      <c r="J461" s="235"/>
      <c r="K461" s="223"/>
      <c r="L461" s="235"/>
      <c r="M461" s="223"/>
      <c r="N461" s="223"/>
      <c r="O461" s="257">
        <f t="shared" si="386"/>
        <v>0</v>
      </c>
      <c r="P461" s="257">
        <v>0</v>
      </c>
      <c r="Q461" s="224">
        <f t="shared" si="371"/>
        <v>0</v>
      </c>
      <c r="R461" s="257">
        <v>0</v>
      </c>
      <c r="S461" s="225">
        <v>0</v>
      </c>
      <c r="T461" s="225">
        <v>0</v>
      </c>
      <c r="U461" s="257">
        <v>0</v>
      </c>
      <c r="V461" s="225">
        <v>0</v>
      </c>
      <c r="W461" s="225">
        <v>0</v>
      </c>
      <c r="X461" s="257">
        <v>0</v>
      </c>
      <c r="Y461" s="225">
        <v>0</v>
      </c>
      <c r="Z461" s="225">
        <v>0</v>
      </c>
      <c r="AA461" s="257">
        <v>0</v>
      </c>
      <c r="AB461" s="225">
        <v>0</v>
      </c>
      <c r="AC461" s="225">
        <v>0</v>
      </c>
      <c r="AD461" s="257">
        <v>0</v>
      </c>
      <c r="AE461" s="225">
        <v>0</v>
      </c>
      <c r="AF461" s="225">
        <v>0</v>
      </c>
      <c r="AG461" s="257">
        <v>0</v>
      </c>
      <c r="AH461" s="225">
        <v>0</v>
      </c>
      <c r="AI461" s="225">
        <v>0</v>
      </c>
      <c r="AJ461" s="257">
        <v>0</v>
      </c>
      <c r="AK461" s="225">
        <v>0</v>
      </c>
      <c r="AL461" s="225">
        <v>0</v>
      </c>
      <c r="AM461" s="257">
        <v>0</v>
      </c>
      <c r="AN461" s="225">
        <v>0</v>
      </c>
      <c r="AO461" s="225">
        <v>0</v>
      </c>
      <c r="AP461" s="225"/>
      <c r="AQ461" s="257">
        <v>0</v>
      </c>
      <c r="AR461" s="225">
        <v>0</v>
      </c>
      <c r="AS461" s="225">
        <v>0</v>
      </c>
      <c r="AT461" s="257">
        <v>0</v>
      </c>
      <c r="AU461" s="225">
        <v>0</v>
      </c>
      <c r="AV461" s="225">
        <v>0</v>
      </c>
      <c r="AW461" s="225"/>
      <c r="AX461" s="225"/>
      <c r="AY461" s="225"/>
      <c r="AZ461" s="225"/>
      <c r="BA461" s="225"/>
      <c r="BB461" s="225"/>
      <c r="BC461" s="257">
        <v>0</v>
      </c>
      <c r="BD461" s="225">
        <v>0</v>
      </c>
      <c r="BE461" s="225">
        <v>0</v>
      </c>
      <c r="BF461" s="350"/>
      <c r="BG461" s="350">
        <v>0</v>
      </c>
      <c r="BH461" s="225">
        <v>0</v>
      </c>
      <c r="BI461" s="225">
        <v>0</v>
      </c>
      <c r="BJ461" s="402">
        <f t="shared" si="372"/>
        <v>23750</v>
      </c>
      <c r="BK461" s="402">
        <v>0</v>
      </c>
      <c r="BL461" s="225">
        <f t="shared" si="358"/>
        <v>0</v>
      </c>
      <c r="BM461" s="225">
        <f t="shared" si="373"/>
        <v>0</v>
      </c>
      <c r="BN461" s="205">
        <f t="shared" ref="BN461:BN524" si="407">BK461-AD461</f>
        <v>0</v>
      </c>
      <c r="BO461" s="205"/>
      <c r="BP461" s="227">
        <v>0</v>
      </c>
      <c r="BQ461" s="224">
        <f t="shared" si="359"/>
        <v>0</v>
      </c>
      <c r="BR461" s="227">
        <v>0</v>
      </c>
      <c r="BS461" s="224">
        <f t="shared" si="360"/>
        <v>0</v>
      </c>
      <c r="BT461" s="227">
        <v>0</v>
      </c>
      <c r="BU461" s="224">
        <f t="shared" si="361"/>
        <v>0</v>
      </c>
      <c r="BV461" s="227">
        <v>0</v>
      </c>
      <c r="BW461" s="224">
        <f t="shared" si="362"/>
        <v>0</v>
      </c>
      <c r="BX461" s="227">
        <v>0</v>
      </c>
      <c r="BY461" s="224">
        <f t="shared" si="363"/>
        <v>0</v>
      </c>
      <c r="BZ461" s="227">
        <v>0</v>
      </c>
      <c r="CA461" s="224">
        <f t="shared" si="364"/>
        <v>0</v>
      </c>
      <c r="CB461" s="227">
        <v>5000</v>
      </c>
      <c r="CC461" s="224">
        <f t="shared" si="365"/>
        <v>0.2</v>
      </c>
      <c r="CD461" s="227">
        <v>10000</v>
      </c>
      <c r="CE461" s="224">
        <f t="shared" si="365"/>
        <v>0.4</v>
      </c>
      <c r="CF461" s="227">
        <v>15000</v>
      </c>
      <c r="CG461" s="224">
        <f t="shared" si="366"/>
        <v>0.6</v>
      </c>
      <c r="CH461" s="227">
        <v>15000</v>
      </c>
      <c r="CI461" s="224">
        <f t="shared" si="366"/>
        <v>0.6</v>
      </c>
      <c r="CJ461" s="227">
        <v>15000</v>
      </c>
      <c r="CK461" s="224">
        <f t="shared" si="367"/>
        <v>0.6</v>
      </c>
      <c r="CL461" s="227">
        <v>23750</v>
      </c>
      <c r="CM461" s="224">
        <f t="shared" si="368"/>
        <v>0.95</v>
      </c>
      <c r="CN461" s="227">
        <v>23750</v>
      </c>
      <c r="CO461" s="224">
        <f t="shared" si="369"/>
        <v>0.95</v>
      </c>
      <c r="CP461" s="213" t="str">
        <f t="shared" si="374"/>
        <v>Không đạt</v>
      </c>
      <c r="CQ461" s="213" t="str">
        <f t="shared" si="375"/>
        <v>Không đạt</v>
      </c>
      <c r="CR461" s="192"/>
      <c r="CS461" s="192"/>
      <c r="CT461" s="223"/>
      <c r="CU461" s="163"/>
      <c r="CW461" s="195"/>
      <c r="CX461" s="196"/>
      <c r="CY461" s="196"/>
      <c r="CZ461" s="197"/>
      <c r="DA461" s="196"/>
      <c r="DB461" s="196"/>
      <c r="DC461" s="196"/>
      <c r="DE461" s="199"/>
      <c r="DF461" s="200"/>
      <c r="DG461" s="181"/>
    </row>
    <row r="462" spans="1:111" ht="38.25" outlineLevel="1" x14ac:dyDescent="0.25">
      <c r="A462" s="192"/>
      <c r="B462" s="325" t="s">
        <v>464</v>
      </c>
      <c r="C462" s="325"/>
      <c r="D462" s="214">
        <f t="shared" si="405"/>
        <v>15000</v>
      </c>
      <c r="E462" s="215"/>
      <c r="F462" s="214">
        <f t="shared" si="406"/>
        <v>15000</v>
      </c>
      <c r="G462" s="257"/>
      <c r="H462" s="257">
        <v>15000</v>
      </c>
      <c r="I462" s="235"/>
      <c r="J462" s="235"/>
      <c r="K462" s="223"/>
      <c r="L462" s="235"/>
      <c r="M462" s="223"/>
      <c r="N462" s="223"/>
      <c r="O462" s="257">
        <f t="shared" si="386"/>
        <v>0</v>
      </c>
      <c r="P462" s="257">
        <v>0</v>
      </c>
      <c r="Q462" s="224">
        <f t="shared" si="371"/>
        <v>0</v>
      </c>
      <c r="R462" s="257">
        <v>0</v>
      </c>
      <c r="S462" s="225">
        <v>0</v>
      </c>
      <c r="T462" s="225">
        <v>0</v>
      </c>
      <c r="U462" s="257">
        <v>0</v>
      </c>
      <c r="V462" s="225">
        <v>0</v>
      </c>
      <c r="W462" s="225">
        <v>0</v>
      </c>
      <c r="X462" s="257">
        <v>0</v>
      </c>
      <c r="Y462" s="225">
        <v>0</v>
      </c>
      <c r="Z462" s="225">
        <v>0</v>
      </c>
      <c r="AA462" s="257">
        <v>0</v>
      </c>
      <c r="AB462" s="225">
        <v>0</v>
      </c>
      <c r="AC462" s="225">
        <v>0</v>
      </c>
      <c r="AD462" s="257">
        <v>0</v>
      </c>
      <c r="AE462" s="225">
        <v>0</v>
      </c>
      <c r="AF462" s="225">
        <v>0</v>
      </c>
      <c r="AG462" s="257">
        <v>0</v>
      </c>
      <c r="AH462" s="225">
        <v>0</v>
      </c>
      <c r="AI462" s="225">
        <v>0</v>
      </c>
      <c r="AJ462" s="257">
        <v>0</v>
      </c>
      <c r="AK462" s="225">
        <v>0</v>
      </c>
      <c r="AL462" s="225">
        <v>0</v>
      </c>
      <c r="AM462" s="257">
        <v>0</v>
      </c>
      <c r="AN462" s="225">
        <v>0</v>
      </c>
      <c r="AO462" s="225">
        <v>0</v>
      </c>
      <c r="AP462" s="225"/>
      <c r="AQ462" s="257">
        <v>0</v>
      </c>
      <c r="AR462" s="225">
        <v>0</v>
      </c>
      <c r="AS462" s="225">
        <v>0</v>
      </c>
      <c r="AT462" s="257">
        <v>0</v>
      </c>
      <c r="AU462" s="225">
        <v>0</v>
      </c>
      <c r="AV462" s="225">
        <v>0</v>
      </c>
      <c r="AW462" s="225"/>
      <c r="AX462" s="225"/>
      <c r="AY462" s="225"/>
      <c r="AZ462" s="225"/>
      <c r="BA462" s="225"/>
      <c r="BB462" s="225"/>
      <c r="BC462" s="257">
        <v>0</v>
      </c>
      <c r="BD462" s="225">
        <v>0</v>
      </c>
      <c r="BE462" s="225">
        <v>0</v>
      </c>
      <c r="BF462" s="350"/>
      <c r="BG462" s="350">
        <v>0</v>
      </c>
      <c r="BH462" s="225">
        <v>0</v>
      </c>
      <c r="BI462" s="225">
        <v>0</v>
      </c>
      <c r="BJ462" s="402">
        <f t="shared" si="372"/>
        <v>14250</v>
      </c>
      <c r="BK462" s="402">
        <v>0</v>
      </c>
      <c r="BL462" s="225">
        <f t="shared" si="358"/>
        <v>0</v>
      </c>
      <c r="BM462" s="225">
        <f t="shared" si="373"/>
        <v>0</v>
      </c>
      <c r="BN462" s="205">
        <f t="shared" si="407"/>
        <v>0</v>
      </c>
      <c r="BO462" s="205"/>
      <c r="BP462" s="227">
        <v>0</v>
      </c>
      <c r="BQ462" s="224">
        <f t="shared" si="359"/>
        <v>0</v>
      </c>
      <c r="BR462" s="227">
        <v>0</v>
      </c>
      <c r="BS462" s="224">
        <f t="shared" si="360"/>
        <v>0</v>
      </c>
      <c r="BT462" s="227">
        <v>0</v>
      </c>
      <c r="BU462" s="224">
        <f t="shared" si="361"/>
        <v>0</v>
      </c>
      <c r="BV462" s="227">
        <v>0</v>
      </c>
      <c r="BW462" s="224">
        <f t="shared" si="362"/>
        <v>0</v>
      </c>
      <c r="BX462" s="227">
        <v>0</v>
      </c>
      <c r="BY462" s="224">
        <f t="shared" si="363"/>
        <v>0</v>
      </c>
      <c r="BZ462" s="227">
        <v>0</v>
      </c>
      <c r="CA462" s="224">
        <f t="shared" si="364"/>
        <v>0</v>
      </c>
      <c r="CB462" s="227">
        <v>5000</v>
      </c>
      <c r="CC462" s="224">
        <f t="shared" si="365"/>
        <v>0.33333333333333331</v>
      </c>
      <c r="CD462" s="227">
        <v>5000</v>
      </c>
      <c r="CE462" s="224">
        <f t="shared" si="365"/>
        <v>0.33333333333333331</v>
      </c>
      <c r="CF462" s="227">
        <v>5000</v>
      </c>
      <c r="CG462" s="224">
        <f t="shared" si="366"/>
        <v>0.33333333333333331</v>
      </c>
      <c r="CH462" s="227">
        <v>8000</v>
      </c>
      <c r="CI462" s="224">
        <f t="shared" si="366"/>
        <v>0.53333333333333333</v>
      </c>
      <c r="CJ462" s="227">
        <v>8000</v>
      </c>
      <c r="CK462" s="224">
        <f t="shared" si="367"/>
        <v>0.53333333333333333</v>
      </c>
      <c r="CL462" s="227">
        <v>14250</v>
      </c>
      <c r="CM462" s="224">
        <f t="shared" si="368"/>
        <v>0.95</v>
      </c>
      <c r="CN462" s="227">
        <v>14250</v>
      </c>
      <c r="CO462" s="224">
        <f t="shared" si="369"/>
        <v>0.95</v>
      </c>
      <c r="CP462" s="213" t="str">
        <f t="shared" si="374"/>
        <v>Không đạt</v>
      </c>
      <c r="CQ462" s="213" t="str">
        <f t="shared" si="375"/>
        <v>Không đạt</v>
      </c>
      <c r="CR462" s="192"/>
      <c r="CS462" s="192"/>
      <c r="CT462" s="223"/>
      <c r="CU462" s="163"/>
      <c r="CW462" s="195"/>
      <c r="CX462" s="196"/>
      <c r="CY462" s="196"/>
      <c r="CZ462" s="197"/>
      <c r="DA462" s="196"/>
      <c r="DB462" s="196"/>
      <c r="DC462" s="196"/>
      <c r="DE462" s="199"/>
      <c r="DF462" s="200"/>
      <c r="DG462" s="181"/>
    </row>
    <row r="463" spans="1:111" ht="25.5" outlineLevel="1" x14ac:dyDescent="0.25">
      <c r="A463" s="192"/>
      <c r="B463" s="325" t="s">
        <v>465</v>
      </c>
      <c r="C463" s="325"/>
      <c r="D463" s="214">
        <f t="shared" si="405"/>
        <v>40000</v>
      </c>
      <c r="E463" s="215"/>
      <c r="F463" s="214">
        <f t="shared" si="406"/>
        <v>40000</v>
      </c>
      <c r="G463" s="260"/>
      <c r="H463" s="257">
        <f>25000+15000</f>
        <v>40000</v>
      </c>
      <c r="I463" s="235"/>
      <c r="J463" s="235"/>
      <c r="K463" s="223"/>
      <c r="L463" s="235"/>
      <c r="M463" s="223"/>
      <c r="N463" s="223"/>
      <c r="O463" s="257">
        <f t="shared" si="386"/>
        <v>0</v>
      </c>
      <c r="P463" s="257">
        <v>0</v>
      </c>
      <c r="Q463" s="224">
        <f t="shared" si="371"/>
        <v>0</v>
      </c>
      <c r="R463" s="257">
        <v>0</v>
      </c>
      <c r="S463" s="225">
        <v>0</v>
      </c>
      <c r="T463" s="225">
        <v>0</v>
      </c>
      <c r="U463" s="257">
        <v>0</v>
      </c>
      <c r="V463" s="225">
        <v>0</v>
      </c>
      <c r="W463" s="225">
        <v>0</v>
      </c>
      <c r="X463" s="257">
        <v>0</v>
      </c>
      <c r="Y463" s="225">
        <v>0</v>
      </c>
      <c r="Z463" s="225">
        <v>0</v>
      </c>
      <c r="AA463" s="257">
        <v>0</v>
      </c>
      <c r="AB463" s="225">
        <v>0</v>
      </c>
      <c r="AC463" s="225">
        <v>0</v>
      </c>
      <c r="AD463" s="257">
        <v>0</v>
      </c>
      <c r="AE463" s="225">
        <v>0</v>
      </c>
      <c r="AF463" s="225">
        <v>0</v>
      </c>
      <c r="AG463" s="257">
        <v>0</v>
      </c>
      <c r="AH463" s="225">
        <v>0</v>
      </c>
      <c r="AI463" s="225">
        <v>0</v>
      </c>
      <c r="AJ463" s="257">
        <v>0</v>
      </c>
      <c r="AK463" s="225">
        <v>0</v>
      </c>
      <c r="AL463" s="225">
        <v>0</v>
      </c>
      <c r="AM463" s="257">
        <v>0</v>
      </c>
      <c r="AN463" s="225">
        <v>0</v>
      </c>
      <c r="AO463" s="225">
        <v>0</v>
      </c>
      <c r="AP463" s="225"/>
      <c r="AQ463" s="257">
        <v>0</v>
      </c>
      <c r="AR463" s="225">
        <v>0</v>
      </c>
      <c r="AS463" s="225">
        <v>0</v>
      </c>
      <c r="AT463" s="257">
        <v>0</v>
      </c>
      <c r="AU463" s="225">
        <v>0</v>
      </c>
      <c r="AV463" s="225">
        <v>0</v>
      </c>
      <c r="AW463" s="225"/>
      <c r="AX463" s="225"/>
      <c r="AY463" s="225"/>
      <c r="AZ463" s="225"/>
      <c r="BA463" s="225"/>
      <c r="BB463" s="225"/>
      <c r="BC463" s="257">
        <v>0</v>
      </c>
      <c r="BD463" s="225">
        <v>0</v>
      </c>
      <c r="BE463" s="225">
        <v>0</v>
      </c>
      <c r="BF463" s="350"/>
      <c r="BG463" s="350">
        <v>0</v>
      </c>
      <c r="BH463" s="225">
        <v>0</v>
      </c>
      <c r="BI463" s="225">
        <v>0</v>
      </c>
      <c r="BJ463" s="402">
        <f t="shared" si="372"/>
        <v>38000</v>
      </c>
      <c r="BK463" s="402">
        <v>0</v>
      </c>
      <c r="BL463" s="225">
        <f t="shared" si="358"/>
        <v>0</v>
      </c>
      <c r="BM463" s="225">
        <f t="shared" si="373"/>
        <v>0</v>
      </c>
      <c r="BN463" s="205">
        <f t="shared" si="407"/>
        <v>0</v>
      </c>
      <c r="BO463" s="205"/>
      <c r="BP463" s="227">
        <v>0</v>
      </c>
      <c r="BQ463" s="224">
        <f t="shared" si="359"/>
        <v>0</v>
      </c>
      <c r="BR463" s="227">
        <v>0</v>
      </c>
      <c r="BS463" s="224">
        <f t="shared" si="360"/>
        <v>0</v>
      </c>
      <c r="BT463" s="227">
        <v>0</v>
      </c>
      <c r="BU463" s="224">
        <f t="shared" si="361"/>
        <v>0</v>
      </c>
      <c r="BV463" s="227">
        <v>0</v>
      </c>
      <c r="BW463" s="224">
        <f t="shared" si="362"/>
        <v>0</v>
      </c>
      <c r="BX463" s="227">
        <v>0</v>
      </c>
      <c r="BY463" s="224">
        <f t="shared" si="363"/>
        <v>0</v>
      </c>
      <c r="BZ463" s="227">
        <v>0</v>
      </c>
      <c r="CA463" s="224">
        <f t="shared" si="364"/>
        <v>0</v>
      </c>
      <c r="CB463" s="227">
        <v>10000</v>
      </c>
      <c r="CC463" s="224">
        <f t="shared" ref="CC463:CE478" si="408">CB463/$D463</f>
        <v>0.25</v>
      </c>
      <c r="CD463" s="227">
        <v>10000</v>
      </c>
      <c r="CE463" s="224">
        <f t="shared" si="408"/>
        <v>0.25</v>
      </c>
      <c r="CF463" s="227">
        <v>15000</v>
      </c>
      <c r="CG463" s="224">
        <f t="shared" ref="CG463:CI478" si="409">CF463/$D463</f>
        <v>0.375</v>
      </c>
      <c r="CH463" s="227">
        <v>15000</v>
      </c>
      <c r="CI463" s="224">
        <f t="shared" si="409"/>
        <v>0.375</v>
      </c>
      <c r="CJ463" s="227">
        <v>20000</v>
      </c>
      <c r="CK463" s="224">
        <f t="shared" si="367"/>
        <v>0.5</v>
      </c>
      <c r="CL463" s="227">
        <v>23750</v>
      </c>
      <c r="CM463" s="224">
        <f t="shared" si="368"/>
        <v>0.59375</v>
      </c>
      <c r="CN463" s="227">
        <v>23750</v>
      </c>
      <c r="CO463" s="224">
        <f t="shared" si="369"/>
        <v>0.59375</v>
      </c>
      <c r="CP463" s="213" t="str">
        <f t="shared" si="374"/>
        <v>Không đạt</v>
      </c>
      <c r="CQ463" s="213" t="str">
        <f t="shared" si="375"/>
        <v>Không đạt</v>
      </c>
      <c r="CR463" s="192"/>
      <c r="CS463" s="192"/>
      <c r="CT463" s="223"/>
      <c r="CU463" s="163"/>
      <c r="CW463" s="195"/>
      <c r="CX463" s="196"/>
      <c r="CY463" s="196"/>
      <c r="CZ463" s="197"/>
      <c r="DA463" s="196"/>
      <c r="DB463" s="196"/>
      <c r="DC463" s="196"/>
      <c r="DE463" s="199"/>
      <c r="DF463" s="200"/>
      <c r="DG463" s="181"/>
    </row>
    <row r="464" spans="1:111" ht="38.25" outlineLevel="1" x14ac:dyDescent="0.25">
      <c r="A464" s="192"/>
      <c r="B464" s="325" t="s">
        <v>466</v>
      </c>
      <c r="C464" s="325"/>
      <c r="D464" s="214">
        <f t="shared" si="405"/>
        <v>0</v>
      </c>
      <c r="E464" s="215"/>
      <c r="F464" s="214">
        <f t="shared" si="406"/>
        <v>0</v>
      </c>
      <c r="G464" s="260"/>
      <c r="H464" s="257">
        <f>15000-15000</f>
        <v>0</v>
      </c>
      <c r="I464" s="235"/>
      <c r="J464" s="235"/>
      <c r="K464" s="223"/>
      <c r="L464" s="235"/>
      <c r="M464" s="223"/>
      <c r="N464" s="223"/>
      <c r="O464" s="257">
        <f t="shared" si="386"/>
        <v>0</v>
      </c>
      <c r="P464" s="257">
        <v>0</v>
      </c>
      <c r="Q464" s="224" t="e">
        <f t="shared" si="371"/>
        <v>#DIV/0!</v>
      </c>
      <c r="R464" s="257">
        <v>0</v>
      </c>
      <c r="S464" s="225">
        <v>0</v>
      </c>
      <c r="T464" s="225">
        <v>0</v>
      </c>
      <c r="U464" s="257">
        <v>0</v>
      </c>
      <c r="V464" s="225">
        <v>0</v>
      </c>
      <c r="W464" s="225">
        <v>0</v>
      </c>
      <c r="X464" s="257">
        <v>0</v>
      </c>
      <c r="Y464" s="225">
        <v>0</v>
      </c>
      <c r="Z464" s="225">
        <v>0</v>
      </c>
      <c r="AA464" s="257">
        <v>0</v>
      </c>
      <c r="AB464" s="225">
        <v>0</v>
      </c>
      <c r="AC464" s="225">
        <v>0</v>
      </c>
      <c r="AD464" s="257">
        <v>0</v>
      </c>
      <c r="AE464" s="225">
        <v>0</v>
      </c>
      <c r="AF464" s="225">
        <v>0</v>
      </c>
      <c r="AG464" s="257">
        <v>0</v>
      </c>
      <c r="AH464" s="225">
        <v>0</v>
      </c>
      <c r="AI464" s="225">
        <v>0</v>
      </c>
      <c r="AJ464" s="260">
        <v>0</v>
      </c>
      <c r="AK464" s="225">
        <v>0</v>
      </c>
      <c r="AL464" s="225">
        <v>0</v>
      </c>
      <c r="AM464" s="257">
        <v>0</v>
      </c>
      <c r="AN464" s="225">
        <v>0</v>
      </c>
      <c r="AO464" s="225">
        <v>0</v>
      </c>
      <c r="AP464" s="225"/>
      <c r="AQ464" s="257">
        <v>0</v>
      </c>
      <c r="AR464" s="225">
        <v>0</v>
      </c>
      <c r="AS464" s="225">
        <v>0</v>
      </c>
      <c r="AT464" s="257">
        <v>0</v>
      </c>
      <c r="AU464" s="225">
        <v>0</v>
      </c>
      <c r="AV464" s="225">
        <v>0</v>
      </c>
      <c r="AW464" s="225"/>
      <c r="AX464" s="225"/>
      <c r="AY464" s="225"/>
      <c r="AZ464" s="225"/>
      <c r="BA464" s="225"/>
      <c r="BB464" s="225"/>
      <c r="BC464" s="257">
        <v>0</v>
      </c>
      <c r="BD464" s="225">
        <v>0</v>
      </c>
      <c r="BE464" s="225">
        <v>0</v>
      </c>
      <c r="BF464" s="350"/>
      <c r="BG464" s="350">
        <v>0</v>
      </c>
      <c r="BH464" s="225" t="e">
        <v>#DIV/0!</v>
      </c>
      <c r="BI464" s="225" t="e">
        <v>#DIV/0!</v>
      </c>
      <c r="BJ464" s="402">
        <f t="shared" ref="BJ464:BJ527" si="410">E464+(F464*0.95)</f>
        <v>0</v>
      </c>
      <c r="BK464" s="402">
        <v>0</v>
      </c>
      <c r="BL464" s="225" t="e">
        <f t="shared" si="358"/>
        <v>#DIV/0!</v>
      </c>
      <c r="BM464" s="225" t="e">
        <f t="shared" si="373"/>
        <v>#DIV/0!</v>
      </c>
      <c r="BN464" s="205">
        <f t="shared" si="407"/>
        <v>0</v>
      </c>
      <c r="BO464" s="205"/>
      <c r="BP464" s="227">
        <v>0</v>
      </c>
      <c r="BQ464" s="224" t="e">
        <f t="shared" si="359"/>
        <v>#DIV/0!</v>
      </c>
      <c r="BR464" s="227">
        <v>0</v>
      </c>
      <c r="BS464" s="224" t="e">
        <f t="shared" si="360"/>
        <v>#DIV/0!</v>
      </c>
      <c r="BT464" s="227">
        <v>0</v>
      </c>
      <c r="BU464" s="224" t="e">
        <f t="shared" si="361"/>
        <v>#DIV/0!</v>
      </c>
      <c r="BV464" s="227">
        <v>0</v>
      </c>
      <c r="BW464" s="224" t="e">
        <f t="shared" si="362"/>
        <v>#DIV/0!</v>
      </c>
      <c r="BX464" s="227">
        <v>0</v>
      </c>
      <c r="BY464" s="224" t="e">
        <f t="shared" si="363"/>
        <v>#DIV/0!</v>
      </c>
      <c r="BZ464" s="227">
        <v>0</v>
      </c>
      <c r="CA464" s="224" t="e">
        <f t="shared" si="364"/>
        <v>#DIV/0!</v>
      </c>
      <c r="CB464" s="227">
        <v>5500</v>
      </c>
      <c r="CC464" s="224" t="e">
        <f t="shared" si="408"/>
        <v>#DIV/0!</v>
      </c>
      <c r="CD464" s="227">
        <v>10000</v>
      </c>
      <c r="CE464" s="224" t="e">
        <f t="shared" si="408"/>
        <v>#DIV/0!</v>
      </c>
      <c r="CF464" s="227">
        <v>10000</v>
      </c>
      <c r="CG464" s="224" t="e">
        <f t="shared" si="409"/>
        <v>#DIV/0!</v>
      </c>
      <c r="CH464" s="227">
        <v>10000</v>
      </c>
      <c r="CI464" s="224" t="e">
        <f t="shared" si="409"/>
        <v>#DIV/0!</v>
      </c>
      <c r="CJ464" s="227">
        <v>10000</v>
      </c>
      <c r="CK464" s="224" t="e">
        <f t="shared" si="367"/>
        <v>#DIV/0!</v>
      </c>
      <c r="CL464" s="227">
        <v>14250</v>
      </c>
      <c r="CM464" s="224" t="e">
        <f t="shared" si="368"/>
        <v>#DIV/0!</v>
      </c>
      <c r="CN464" s="227">
        <v>14250</v>
      </c>
      <c r="CO464" s="224" t="e">
        <f t="shared" si="369"/>
        <v>#DIV/0!</v>
      </c>
      <c r="CP464" s="213" t="e">
        <f t="shared" si="374"/>
        <v>#DIV/0!</v>
      </c>
      <c r="CQ464" s="213" t="e">
        <f t="shared" si="375"/>
        <v>#DIV/0!</v>
      </c>
      <c r="CR464" s="192"/>
      <c r="CS464" s="192"/>
      <c r="CT464" s="223"/>
      <c r="CU464" s="163"/>
      <c r="CW464" s="195"/>
      <c r="CX464" s="196"/>
      <c r="CY464" s="196"/>
      <c r="CZ464" s="197"/>
      <c r="DA464" s="196"/>
      <c r="DB464" s="196"/>
      <c r="DC464" s="196"/>
      <c r="DE464" s="199"/>
      <c r="DF464" s="200"/>
      <c r="DG464" s="181"/>
    </row>
    <row r="465" spans="1:111" ht="38.25" outlineLevel="1" x14ac:dyDescent="0.25">
      <c r="A465" s="192"/>
      <c r="B465" s="325" t="s">
        <v>467</v>
      </c>
      <c r="C465" s="325"/>
      <c r="D465" s="214">
        <f t="shared" si="405"/>
        <v>0</v>
      </c>
      <c r="E465" s="215"/>
      <c r="F465" s="214">
        <f t="shared" si="406"/>
        <v>0</v>
      </c>
      <c r="G465" s="260">
        <f>1100-1100</f>
        <v>0</v>
      </c>
      <c r="H465" s="260"/>
      <c r="I465" s="235"/>
      <c r="J465" s="235"/>
      <c r="K465" s="223"/>
      <c r="L465" s="235"/>
      <c r="M465" s="223"/>
      <c r="N465" s="223"/>
      <c r="O465" s="260">
        <f t="shared" si="386"/>
        <v>0</v>
      </c>
      <c r="P465" s="260">
        <v>0</v>
      </c>
      <c r="Q465" s="224" t="e">
        <f t="shared" si="371"/>
        <v>#DIV/0!</v>
      </c>
      <c r="R465" s="260">
        <v>0</v>
      </c>
      <c r="S465" s="225">
        <v>0</v>
      </c>
      <c r="T465" s="225">
        <v>0</v>
      </c>
      <c r="U465" s="260">
        <v>0</v>
      </c>
      <c r="V465" s="225">
        <v>0</v>
      </c>
      <c r="W465" s="225">
        <v>0</v>
      </c>
      <c r="X465" s="260">
        <v>0</v>
      </c>
      <c r="Y465" s="225">
        <v>0</v>
      </c>
      <c r="Z465" s="225">
        <v>0</v>
      </c>
      <c r="AA465" s="260">
        <v>0</v>
      </c>
      <c r="AB465" s="225">
        <v>0</v>
      </c>
      <c r="AC465" s="225">
        <v>0</v>
      </c>
      <c r="AD465" s="260">
        <v>0</v>
      </c>
      <c r="AE465" s="225">
        <v>0</v>
      </c>
      <c r="AF465" s="225">
        <v>0</v>
      </c>
      <c r="AG465" s="260">
        <v>0</v>
      </c>
      <c r="AH465" s="225">
        <v>0</v>
      </c>
      <c r="AI465" s="225">
        <v>0</v>
      </c>
      <c r="AJ465" s="307">
        <v>0</v>
      </c>
      <c r="AK465" s="225">
        <v>0</v>
      </c>
      <c r="AL465" s="225">
        <v>0</v>
      </c>
      <c r="AM465" s="260">
        <v>0</v>
      </c>
      <c r="AN465" s="225">
        <v>0</v>
      </c>
      <c r="AO465" s="225">
        <v>0</v>
      </c>
      <c r="AP465" s="225"/>
      <c r="AQ465" s="260">
        <v>0</v>
      </c>
      <c r="AR465" s="225">
        <v>0</v>
      </c>
      <c r="AS465" s="225">
        <v>0</v>
      </c>
      <c r="AT465" s="260">
        <v>0</v>
      </c>
      <c r="AU465" s="225">
        <v>0</v>
      </c>
      <c r="AV465" s="225">
        <v>0</v>
      </c>
      <c r="AW465" s="225"/>
      <c r="AX465" s="225"/>
      <c r="AY465" s="225"/>
      <c r="AZ465" s="225"/>
      <c r="BA465" s="225"/>
      <c r="BB465" s="225"/>
      <c r="BC465" s="260">
        <v>0</v>
      </c>
      <c r="BD465" s="225">
        <v>0</v>
      </c>
      <c r="BE465" s="225">
        <v>0</v>
      </c>
      <c r="BF465" s="350"/>
      <c r="BG465" s="350">
        <v>0</v>
      </c>
      <c r="BH465" s="225" t="e">
        <v>#DIV/0!</v>
      </c>
      <c r="BI465" s="225" t="e">
        <v>#DIV/0!</v>
      </c>
      <c r="BJ465" s="402">
        <f t="shared" si="410"/>
        <v>0</v>
      </c>
      <c r="BK465" s="402">
        <v>0</v>
      </c>
      <c r="BL465" s="225" t="e">
        <f t="shared" ref="BL465:BL528" si="411">BK465/$D465</f>
        <v>#DIV/0!</v>
      </c>
      <c r="BM465" s="225" t="e">
        <f t="shared" si="373"/>
        <v>#DIV/0!</v>
      </c>
      <c r="BN465" s="205">
        <f t="shared" si="407"/>
        <v>0</v>
      </c>
      <c r="BO465" s="205"/>
      <c r="BP465" s="227">
        <v>0</v>
      </c>
      <c r="BQ465" s="224" t="e">
        <f t="shared" ref="BQ465:BQ528" si="412">BP465/$D465</f>
        <v>#DIV/0!</v>
      </c>
      <c r="BR465" s="227">
        <v>0</v>
      </c>
      <c r="BS465" s="224" t="e">
        <f t="shared" ref="BS465:BS528" si="413">BR465/$D465</f>
        <v>#DIV/0!</v>
      </c>
      <c r="BT465" s="227">
        <v>0</v>
      </c>
      <c r="BU465" s="224" t="e">
        <f t="shared" ref="BU465:BU528" si="414">BT465/$D465</f>
        <v>#DIV/0!</v>
      </c>
      <c r="BV465" s="227">
        <v>0</v>
      </c>
      <c r="BW465" s="224" t="e">
        <f t="shared" ref="BW465:BW515" si="415">BV465/$D465</f>
        <v>#DIV/0!</v>
      </c>
      <c r="BX465" s="227">
        <v>0</v>
      </c>
      <c r="BY465" s="224" t="e">
        <f t="shared" ref="BY465:BY515" si="416">BX465/$D465</f>
        <v>#DIV/0!</v>
      </c>
      <c r="BZ465" s="227">
        <v>0</v>
      </c>
      <c r="CA465" s="224" t="e">
        <f t="shared" ref="CA465:CA515" si="417">BZ465/$D465</f>
        <v>#DIV/0!</v>
      </c>
      <c r="CB465" s="227">
        <v>700</v>
      </c>
      <c r="CC465" s="224" t="e">
        <f t="shared" si="408"/>
        <v>#DIV/0!</v>
      </c>
      <c r="CD465" s="227">
        <v>1045</v>
      </c>
      <c r="CE465" s="224" t="e">
        <f t="shared" si="408"/>
        <v>#DIV/0!</v>
      </c>
      <c r="CF465" s="227">
        <v>1045</v>
      </c>
      <c r="CG465" s="224" t="e">
        <f t="shared" si="409"/>
        <v>#DIV/0!</v>
      </c>
      <c r="CH465" s="227">
        <v>1045</v>
      </c>
      <c r="CI465" s="224" t="e">
        <f t="shared" si="409"/>
        <v>#DIV/0!</v>
      </c>
      <c r="CJ465" s="227">
        <v>1045</v>
      </c>
      <c r="CK465" s="224" t="e">
        <f t="shared" ref="CK465:CK515" si="418">CJ465/$D465</f>
        <v>#DIV/0!</v>
      </c>
      <c r="CL465" s="227">
        <v>1045</v>
      </c>
      <c r="CM465" s="224" t="e">
        <f t="shared" ref="CM465:CM515" si="419">CL465/$D465</f>
        <v>#DIV/0!</v>
      </c>
      <c r="CN465" s="227">
        <v>1045</v>
      </c>
      <c r="CO465" s="224" t="e">
        <f t="shared" ref="CO465:CO515" si="420">CN465/$D465</f>
        <v>#DIV/0!</v>
      </c>
      <c r="CP465" s="213" t="e">
        <f t="shared" si="374"/>
        <v>#DIV/0!</v>
      </c>
      <c r="CQ465" s="213" t="e">
        <f t="shared" si="375"/>
        <v>#DIV/0!</v>
      </c>
      <c r="CR465" s="192"/>
      <c r="CS465" s="192"/>
      <c r="CT465" s="223"/>
      <c r="CU465" s="163"/>
      <c r="CW465" s="195"/>
      <c r="CX465" s="196"/>
      <c r="CY465" s="196"/>
      <c r="CZ465" s="197"/>
      <c r="DA465" s="196"/>
      <c r="DB465" s="196"/>
      <c r="DC465" s="196"/>
      <c r="DE465" s="199"/>
      <c r="DF465" s="200"/>
      <c r="DG465" s="181"/>
    </row>
    <row r="466" spans="1:111" s="324" customFormat="1" outlineLevel="1" x14ac:dyDescent="0.25">
      <c r="A466" s="305" t="s">
        <v>34</v>
      </c>
      <c r="B466" s="318" t="s">
        <v>376</v>
      </c>
      <c r="C466" s="306"/>
      <c r="D466" s="307">
        <f t="shared" si="405"/>
        <v>3000</v>
      </c>
      <c r="E466" s="307"/>
      <c r="F466" s="307">
        <f t="shared" si="406"/>
        <v>3000</v>
      </c>
      <c r="G466" s="307">
        <v>3000</v>
      </c>
      <c r="H466" s="307"/>
      <c r="I466" s="235"/>
      <c r="J466" s="235"/>
      <c r="K466" s="303"/>
      <c r="L466" s="235"/>
      <c r="M466" s="223"/>
      <c r="N466" s="223"/>
      <c r="O466" s="307">
        <f t="shared" si="386"/>
        <v>3000</v>
      </c>
      <c r="P466" s="307">
        <v>0</v>
      </c>
      <c r="Q466" s="308">
        <f t="shared" ref="Q466:Q529" si="421">P466/$D466</f>
        <v>0</v>
      </c>
      <c r="R466" s="307"/>
      <c r="S466" s="309">
        <v>0</v>
      </c>
      <c r="T466" s="309">
        <v>0</v>
      </c>
      <c r="U466" s="307"/>
      <c r="V466" s="309">
        <v>0</v>
      </c>
      <c r="W466" s="309">
        <v>0</v>
      </c>
      <c r="X466" s="307"/>
      <c r="Y466" s="309">
        <v>0</v>
      </c>
      <c r="Z466" s="309">
        <v>0</v>
      </c>
      <c r="AA466" s="307"/>
      <c r="AB466" s="309">
        <v>0</v>
      </c>
      <c r="AC466" s="309">
        <v>0</v>
      </c>
      <c r="AD466" s="307">
        <v>320.11500000000001</v>
      </c>
      <c r="AE466" s="309">
        <v>0.10670500000000001</v>
      </c>
      <c r="AF466" s="309">
        <v>0.11232105263157895</v>
      </c>
      <c r="AG466" s="307">
        <v>320.11500000000001</v>
      </c>
      <c r="AH466" s="309">
        <v>0.10670500000000001</v>
      </c>
      <c r="AI466" s="309">
        <v>0.11232105263157895</v>
      </c>
      <c r="AJ466" s="303">
        <v>320.11500000000001</v>
      </c>
      <c r="AK466" s="309">
        <v>0.10670500000000001</v>
      </c>
      <c r="AL466" s="309">
        <v>0.11232105263157895</v>
      </c>
      <c r="AM466" s="307">
        <v>320.11500000000001</v>
      </c>
      <c r="AN466" s="309">
        <v>0.10670500000000001</v>
      </c>
      <c r="AO466" s="309">
        <v>0.11232105263157895</v>
      </c>
      <c r="AP466" s="309"/>
      <c r="AQ466" s="307">
        <v>320.11500000000001</v>
      </c>
      <c r="AR466" s="309">
        <v>0.10670500000000001</v>
      </c>
      <c r="AS466" s="309">
        <v>0.11232105263157895</v>
      </c>
      <c r="AT466" s="307">
        <v>320.11500000000001</v>
      </c>
      <c r="AU466" s="309">
        <v>0.10670500000000001</v>
      </c>
      <c r="AV466" s="309">
        <v>0.11232105263157895</v>
      </c>
      <c r="AW466" s="309"/>
      <c r="AX466" s="309"/>
      <c r="AY466" s="309"/>
      <c r="AZ466" s="309"/>
      <c r="BA466" s="309"/>
      <c r="BB466" s="309"/>
      <c r="BC466" s="307">
        <v>320.11500000000001</v>
      </c>
      <c r="BD466" s="309">
        <v>0.10670500000000001</v>
      </c>
      <c r="BE466" s="309">
        <v>0.11232105263157895</v>
      </c>
      <c r="BF466" s="351"/>
      <c r="BG466" s="351">
        <v>320.11500000000001</v>
      </c>
      <c r="BH466" s="309">
        <v>0.10670500000000001</v>
      </c>
      <c r="BI466" s="309">
        <v>0.11232105263157895</v>
      </c>
      <c r="BJ466" s="349">
        <f t="shared" si="410"/>
        <v>2850</v>
      </c>
      <c r="BK466" s="349">
        <v>1785.4110000000001</v>
      </c>
      <c r="BL466" s="309">
        <f t="shared" si="411"/>
        <v>0.59513700000000003</v>
      </c>
      <c r="BM466" s="309">
        <f t="shared" si="373"/>
        <v>0.62646000000000002</v>
      </c>
      <c r="BN466" s="205">
        <f t="shared" si="407"/>
        <v>1465.296</v>
      </c>
      <c r="BO466" s="205"/>
      <c r="BP466" s="310">
        <v>300</v>
      </c>
      <c r="BQ466" s="308">
        <f t="shared" si="412"/>
        <v>0.1</v>
      </c>
      <c r="BR466" s="310">
        <v>300</v>
      </c>
      <c r="BS466" s="308">
        <f t="shared" si="413"/>
        <v>0.1</v>
      </c>
      <c r="BT466" s="310">
        <v>300</v>
      </c>
      <c r="BU466" s="308">
        <f t="shared" si="414"/>
        <v>0.1</v>
      </c>
      <c r="BV466" s="310">
        <v>300</v>
      </c>
      <c r="BW466" s="308">
        <f t="shared" si="415"/>
        <v>0.1</v>
      </c>
      <c r="BX466" s="310">
        <v>300</v>
      </c>
      <c r="BY466" s="308">
        <f t="shared" si="416"/>
        <v>0.1</v>
      </c>
      <c r="BZ466" s="310">
        <v>2850</v>
      </c>
      <c r="CA466" s="308">
        <f t="shared" si="417"/>
        <v>0.95</v>
      </c>
      <c r="CB466" s="310">
        <v>2850</v>
      </c>
      <c r="CC466" s="308">
        <f t="shared" si="408"/>
        <v>0.95</v>
      </c>
      <c r="CD466" s="310">
        <v>2850</v>
      </c>
      <c r="CE466" s="308">
        <f t="shared" si="408"/>
        <v>0.95</v>
      </c>
      <c r="CF466" s="310">
        <v>2850</v>
      </c>
      <c r="CG466" s="308">
        <f t="shared" si="409"/>
        <v>0.95</v>
      </c>
      <c r="CH466" s="310">
        <v>2850</v>
      </c>
      <c r="CI466" s="308">
        <f t="shared" si="409"/>
        <v>0.95</v>
      </c>
      <c r="CJ466" s="310">
        <v>2850</v>
      </c>
      <c r="CK466" s="308">
        <f t="shared" si="418"/>
        <v>0.95</v>
      </c>
      <c r="CL466" s="310">
        <v>2850</v>
      </c>
      <c r="CM466" s="308">
        <f t="shared" si="419"/>
        <v>0.95</v>
      </c>
      <c r="CN466" s="310">
        <v>2850</v>
      </c>
      <c r="CO466" s="308">
        <f t="shared" si="420"/>
        <v>0.95</v>
      </c>
      <c r="CP466" s="213" t="str">
        <f t="shared" ref="CP466:CP529" si="422">IF(BM466&gt;34.7%,"Đạt","Không đạt")</f>
        <v>Đạt</v>
      </c>
      <c r="CQ466" s="213" t="str">
        <f t="shared" ref="CQ466:CQ529" si="423">IF(BM466&gt;43.8%,"Đạt","Không đạt")</f>
        <v>Đạt</v>
      </c>
      <c r="CR466" s="312"/>
      <c r="CS466" s="312"/>
      <c r="CT466" s="235"/>
      <c r="CU466" s="163"/>
      <c r="CV466" s="323"/>
      <c r="CW466" s="195"/>
      <c r="CX466" s="196"/>
      <c r="CY466" s="196"/>
      <c r="CZ466" s="197"/>
      <c r="DA466" s="196"/>
      <c r="DB466" s="196"/>
      <c r="DC466" s="196"/>
      <c r="DE466" s="199"/>
      <c r="DF466" s="200"/>
      <c r="DG466" s="181"/>
    </row>
    <row r="467" spans="1:111" ht="25.5" outlineLevel="1" x14ac:dyDescent="0.25">
      <c r="A467" s="305" t="s">
        <v>34</v>
      </c>
      <c r="B467" s="306" t="s">
        <v>377</v>
      </c>
      <c r="C467" s="306"/>
      <c r="D467" s="307">
        <f t="shared" si="405"/>
        <v>21250</v>
      </c>
      <c r="E467" s="307"/>
      <c r="F467" s="307">
        <f>G467+H467+K467+M467</f>
        <v>21250</v>
      </c>
      <c r="G467" s="307"/>
      <c r="H467" s="307">
        <v>21250</v>
      </c>
      <c r="I467" s="235"/>
      <c r="J467" s="235"/>
      <c r="K467" s="303"/>
      <c r="L467" s="235"/>
      <c r="M467" s="223"/>
      <c r="N467" s="223"/>
      <c r="O467" s="303"/>
      <c r="P467" s="303">
        <v>0</v>
      </c>
      <c r="Q467" s="224">
        <f t="shared" si="421"/>
        <v>0</v>
      </c>
      <c r="R467" s="303"/>
      <c r="S467" s="225">
        <v>0</v>
      </c>
      <c r="T467" s="225">
        <v>0</v>
      </c>
      <c r="U467" s="303"/>
      <c r="V467" s="225">
        <v>0</v>
      </c>
      <c r="W467" s="225">
        <v>0</v>
      </c>
      <c r="X467" s="303"/>
      <c r="Y467" s="225">
        <v>0</v>
      </c>
      <c r="Z467" s="225">
        <v>0</v>
      </c>
      <c r="AA467" s="303"/>
      <c r="AB467" s="225">
        <v>0</v>
      </c>
      <c r="AC467" s="225">
        <v>0</v>
      </c>
      <c r="AD467" s="303"/>
      <c r="AE467" s="225">
        <v>0</v>
      </c>
      <c r="AF467" s="225">
        <v>0</v>
      </c>
      <c r="AG467" s="303"/>
      <c r="AH467" s="225">
        <v>0</v>
      </c>
      <c r="AI467" s="225">
        <v>0</v>
      </c>
      <c r="AJ467" s="188"/>
      <c r="AK467" s="225">
        <v>0</v>
      </c>
      <c r="AL467" s="225">
        <v>0</v>
      </c>
      <c r="AM467" s="303"/>
      <c r="AN467" s="225">
        <v>0</v>
      </c>
      <c r="AO467" s="225">
        <v>0</v>
      </c>
      <c r="AP467" s="225"/>
      <c r="AQ467" s="303"/>
      <c r="AR467" s="225">
        <v>0</v>
      </c>
      <c r="AS467" s="225">
        <v>0</v>
      </c>
      <c r="AT467" s="303"/>
      <c r="AU467" s="225">
        <v>0</v>
      </c>
      <c r="AV467" s="225">
        <v>0</v>
      </c>
      <c r="AW467" s="225"/>
      <c r="AX467" s="225"/>
      <c r="AY467" s="225"/>
      <c r="AZ467" s="225"/>
      <c r="BA467" s="225"/>
      <c r="BB467" s="225"/>
      <c r="BC467" s="303"/>
      <c r="BD467" s="225">
        <v>0</v>
      </c>
      <c r="BE467" s="225">
        <v>0</v>
      </c>
      <c r="BF467" s="351"/>
      <c r="BG467" s="351">
        <v>0</v>
      </c>
      <c r="BH467" s="225">
        <v>0</v>
      </c>
      <c r="BI467" s="225">
        <v>0</v>
      </c>
      <c r="BJ467" s="349">
        <f t="shared" si="410"/>
        <v>20187.5</v>
      </c>
      <c r="BK467" s="349">
        <v>0</v>
      </c>
      <c r="BL467" s="225">
        <f t="shared" si="411"/>
        <v>0</v>
      </c>
      <c r="BM467" s="225">
        <f t="shared" si="373"/>
        <v>0</v>
      </c>
      <c r="BN467" s="205">
        <f t="shared" si="407"/>
        <v>0</v>
      </c>
      <c r="BO467" s="205"/>
      <c r="BP467" s="227"/>
      <c r="BQ467" s="224">
        <f t="shared" si="412"/>
        <v>0</v>
      </c>
      <c r="BR467" s="227"/>
      <c r="BS467" s="224">
        <f t="shared" si="413"/>
        <v>0</v>
      </c>
      <c r="BT467" s="227">
        <f>21250*0.1</f>
        <v>2125</v>
      </c>
      <c r="BU467" s="224">
        <f t="shared" si="414"/>
        <v>0.1</v>
      </c>
      <c r="BV467" s="227">
        <f>21250*0.2</f>
        <v>4250</v>
      </c>
      <c r="BW467" s="224">
        <f t="shared" si="415"/>
        <v>0.2</v>
      </c>
      <c r="BX467" s="227">
        <f>21250*0.3</f>
        <v>6375</v>
      </c>
      <c r="BY467" s="224">
        <f t="shared" si="416"/>
        <v>0.3</v>
      </c>
      <c r="BZ467" s="227">
        <f>21250*0.4</f>
        <v>8500</v>
      </c>
      <c r="CA467" s="224">
        <f t="shared" si="417"/>
        <v>0.4</v>
      </c>
      <c r="CB467" s="227">
        <f>21250*0.5</f>
        <v>10625</v>
      </c>
      <c r="CC467" s="224">
        <f t="shared" si="408"/>
        <v>0.5</v>
      </c>
      <c r="CD467" s="227">
        <f>21250*0.6</f>
        <v>12750</v>
      </c>
      <c r="CE467" s="224">
        <f t="shared" si="408"/>
        <v>0.6</v>
      </c>
      <c r="CF467" s="227">
        <f>21250*0.7</f>
        <v>14874.999999999998</v>
      </c>
      <c r="CG467" s="224">
        <f t="shared" si="409"/>
        <v>0.7</v>
      </c>
      <c r="CH467" s="227">
        <f>21250*0.8</f>
        <v>17000</v>
      </c>
      <c r="CI467" s="224">
        <f t="shared" si="409"/>
        <v>0.8</v>
      </c>
      <c r="CJ467" s="227">
        <f>21250*0.82</f>
        <v>17425</v>
      </c>
      <c r="CK467" s="224">
        <f t="shared" si="418"/>
        <v>0.82</v>
      </c>
      <c r="CL467" s="227">
        <f>21250*0.85</f>
        <v>18062.5</v>
      </c>
      <c r="CM467" s="224">
        <f t="shared" si="419"/>
        <v>0.85</v>
      </c>
      <c r="CN467" s="227">
        <f>21250*0.95</f>
        <v>20187.5</v>
      </c>
      <c r="CO467" s="224">
        <f t="shared" si="420"/>
        <v>0.95</v>
      </c>
      <c r="CP467" s="213" t="str">
        <f t="shared" si="422"/>
        <v>Không đạt</v>
      </c>
      <c r="CQ467" s="213" t="str">
        <f t="shared" si="423"/>
        <v>Không đạt</v>
      </c>
      <c r="CR467" s="312"/>
      <c r="CS467" s="312"/>
      <c r="CT467" s="235"/>
      <c r="CU467" s="163"/>
      <c r="CW467" s="195"/>
      <c r="CX467" s="196"/>
      <c r="CY467" s="196"/>
      <c r="CZ467" s="197"/>
      <c r="DA467" s="196"/>
      <c r="DB467" s="196"/>
      <c r="DC467" s="196"/>
      <c r="DE467" s="199"/>
      <c r="DF467" s="200"/>
      <c r="DG467" s="181"/>
    </row>
    <row r="468" spans="1:111" ht="18" customHeight="1" x14ac:dyDescent="0.25">
      <c r="A468" s="213">
        <f>MAX(A$243:A466)+1</f>
        <v>65</v>
      </c>
      <c r="B468" s="240" t="s">
        <v>468</v>
      </c>
      <c r="C468" s="240"/>
      <c r="D468" s="188">
        <f t="shared" ref="D468:I468" si="424">D469+D471+D472</f>
        <v>49950</v>
      </c>
      <c r="E468" s="188">
        <f t="shared" si="424"/>
        <v>0</v>
      </c>
      <c r="F468" s="188">
        <f t="shared" si="424"/>
        <v>49950</v>
      </c>
      <c r="G468" s="188">
        <f t="shared" si="424"/>
        <v>3000</v>
      </c>
      <c r="H468" s="188">
        <f t="shared" si="424"/>
        <v>46950</v>
      </c>
      <c r="I468" s="188">
        <f t="shared" si="424"/>
        <v>0</v>
      </c>
      <c r="J468" s="188"/>
      <c r="K468" s="188">
        <f>K469+K471+K472</f>
        <v>0</v>
      </c>
      <c r="L468" s="188">
        <f>L469+L471+L472</f>
        <v>0</v>
      </c>
      <c r="M468" s="188">
        <f>M469+M471+M472</f>
        <v>0</v>
      </c>
      <c r="N468" s="188">
        <f>N469+N471+N472</f>
        <v>0</v>
      </c>
      <c r="O468" s="188">
        <f>O469+O471+O472</f>
        <v>3000</v>
      </c>
      <c r="P468" s="188">
        <v>0</v>
      </c>
      <c r="Q468" s="186">
        <f t="shared" si="421"/>
        <v>0</v>
      </c>
      <c r="R468" s="188">
        <v>0</v>
      </c>
      <c r="S468" s="185">
        <v>0</v>
      </c>
      <c r="T468" s="185">
        <v>0</v>
      </c>
      <c r="U468" s="188">
        <v>1131.7998460000001</v>
      </c>
      <c r="V468" s="185">
        <v>2.2658655575575577E-2</v>
      </c>
      <c r="W468" s="185">
        <v>2.3851216395342715E-2</v>
      </c>
      <c r="X468" s="188">
        <v>1131.7998460000001</v>
      </c>
      <c r="Y468" s="185">
        <v>2.2658655575575577E-2</v>
      </c>
      <c r="Z468" s="185">
        <v>2.3851216395342715E-2</v>
      </c>
      <c r="AA468" s="188">
        <v>1131.7998460000001</v>
      </c>
      <c r="AB468" s="185">
        <v>2.2658655575575577E-2</v>
      </c>
      <c r="AC468" s="185">
        <v>2.3851216395342715E-2</v>
      </c>
      <c r="AD468" s="188">
        <v>221</v>
      </c>
      <c r="AE468" s="185">
        <v>4.4244244244244241E-3</v>
      </c>
      <c r="AF468" s="185">
        <v>4.6572888678151833E-3</v>
      </c>
      <c r="AG468" s="188">
        <v>221</v>
      </c>
      <c r="AH468" s="185">
        <v>4.4244244244244241E-3</v>
      </c>
      <c r="AI468" s="185">
        <v>4.6572888678151833E-3</v>
      </c>
      <c r="AJ468" s="317">
        <v>221</v>
      </c>
      <c r="AK468" s="185">
        <v>4.4244244244244241E-3</v>
      </c>
      <c r="AL468" s="185">
        <v>4.6572888678151833E-3</v>
      </c>
      <c r="AM468" s="188">
        <v>221</v>
      </c>
      <c r="AN468" s="185">
        <v>4.4244244244244241E-3</v>
      </c>
      <c r="AO468" s="185">
        <v>4.6572888678151833E-3</v>
      </c>
      <c r="AP468" s="185"/>
      <c r="AQ468" s="188">
        <v>563.69200000000001</v>
      </c>
      <c r="AR468" s="185">
        <v>1.1285125125125126E-2</v>
      </c>
      <c r="AS468" s="185">
        <v>1.1879079079079079E-2</v>
      </c>
      <c r="AT468" s="188">
        <v>563.69200000000001</v>
      </c>
      <c r="AU468" s="185">
        <v>1.1285125125125126E-2</v>
      </c>
      <c r="AV468" s="185">
        <v>1.1879079079079079E-2</v>
      </c>
      <c r="AW468" s="185"/>
      <c r="AX468" s="185"/>
      <c r="AY468" s="185"/>
      <c r="AZ468" s="185"/>
      <c r="BA468" s="185"/>
      <c r="BB468" s="185"/>
      <c r="BC468" s="188">
        <v>563.69200000000001</v>
      </c>
      <c r="BD468" s="185">
        <v>1.1285125125125126E-2</v>
      </c>
      <c r="BE468" s="185">
        <v>1.1879079079079079E-2</v>
      </c>
      <c r="BF468" s="352"/>
      <c r="BG468" s="352">
        <v>3030.692</v>
      </c>
      <c r="BH468" s="185">
        <v>6.0674514514514513E-2</v>
      </c>
      <c r="BI468" s="185">
        <v>6.3867910015278431E-2</v>
      </c>
      <c r="BJ468" s="374">
        <f t="shared" si="410"/>
        <v>47452.5</v>
      </c>
      <c r="BK468" s="374">
        <v>3117.692</v>
      </c>
      <c r="BL468" s="185">
        <f t="shared" si="411"/>
        <v>6.2416256256256256E-2</v>
      </c>
      <c r="BM468" s="185">
        <f t="shared" ref="BM468:BM531" si="425">BK468/(E468+0.95*F468)</f>
        <v>6.5701322375006588E-2</v>
      </c>
      <c r="BN468" s="205">
        <f t="shared" si="407"/>
        <v>2896.692</v>
      </c>
      <c r="BO468" s="205"/>
      <c r="BP468" s="189">
        <f>BP469+BP471+BP472</f>
        <v>0</v>
      </c>
      <c r="BQ468" s="186">
        <f t="shared" si="412"/>
        <v>0</v>
      </c>
      <c r="BR468" s="189">
        <f>BR469+BR471+BR472</f>
        <v>0</v>
      </c>
      <c r="BS468" s="186">
        <f t="shared" si="413"/>
        <v>0</v>
      </c>
      <c r="BT468" s="189">
        <f>BT469+BT471+BT472</f>
        <v>0</v>
      </c>
      <c r="BU468" s="186">
        <f t="shared" si="414"/>
        <v>0</v>
      </c>
      <c r="BV468" s="189">
        <f>BV469+BV471+BV472</f>
        <v>0</v>
      </c>
      <c r="BW468" s="186">
        <f t="shared" si="415"/>
        <v>0</v>
      </c>
      <c r="BX468" s="189">
        <f>BX469+BX471+BX472</f>
        <v>0</v>
      </c>
      <c r="BY468" s="186">
        <f t="shared" si="416"/>
        <v>0</v>
      </c>
      <c r="BZ468" s="189">
        <f>BZ469+BZ471+BZ472</f>
        <v>2850</v>
      </c>
      <c r="CA468" s="186">
        <f t="shared" si="417"/>
        <v>5.7057057057057055E-2</v>
      </c>
      <c r="CB468" s="189">
        <f>CB469+CB471+CB472</f>
        <v>14725</v>
      </c>
      <c r="CC468" s="186">
        <f t="shared" si="408"/>
        <v>0.29479479479479481</v>
      </c>
      <c r="CD468" s="189">
        <f>CD469+CD471+CD472</f>
        <v>21831</v>
      </c>
      <c r="CE468" s="186">
        <f t="shared" si="408"/>
        <v>0.43705705705705705</v>
      </c>
      <c r="CF468" s="189">
        <f>CF469+CF471+CF472</f>
        <v>28471</v>
      </c>
      <c r="CG468" s="186">
        <f t="shared" si="409"/>
        <v>0.56998998998998995</v>
      </c>
      <c r="CH468" s="189">
        <f>CH469+CH471+CH472</f>
        <v>33096</v>
      </c>
      <c r="CI468" s="186">
        <f t="shared" si="409"/>
        <v>0.66258258258258262</v>
      </c>
      <c r="CJ468" s="189">
        <f>CJ469+CJ471+CJ472</f>
        <v>36125</v>
      </c>
      <c r="CK468" s="186">
        <f t="shared" si="418"/>
        <v>0.72322322322322319</v>
      </c>
      <c r="CL468" s="189">
        <f>CL469+CL471+CL472</f>
        <v>47452</v>
      </c>
      <c r="CM468" s="186">
        <f t="shared" si="419"/>
        <v>0.94998998998998996</v>
      </c>
      <c r="CN468" s="189">
        <f>CN469+CN471+CN472</f>
        <v>47452</v>
      </c>
      <c r="CO468" s="186">
        <f t="shared" si="420"/>
        <v>0.94998998998998996</v>
      </c>
      <c r="CP468" s="213" t="str">
        <f t="shared" si="422"/>
        <v>Không đạt</v>
      </c>
      <c r="CQ468" s="213" t="str">
        <f t="shared" si="423"/>
        <v>Không đạt</v>
      </c>
      <c r="CR468" s="213"/>
      <c r="CS468" s="213"/>
      <c r="CT468" s="231"/>
      <c r="CU468" s="163"/>
      <c r="CW468" s="195"/>
      <c r="CX468" s="196"/>
      <c r="CY468" s="196"/>
      <c r="CZ468" s="197"/>
      <c r="DA468" s="196"/>
      <c r="DB468" s="196"/>
      <c r="DC468" s="196"/>
      <c r="DE468" s="199"/>
      <c r="DF468" s="200"/>
      <c r="DG468" s="181"/>
    </row>
    <row r="469" spans="1:111" s="324" customFormat="1" outlineLevel="1" x14ac:dyDescent="0.25">
      <c r="A469" s="305" t="s">
        <v>34</v>
      </c>
      <c r="B469" s="318" t="s">
        <v>381</v>
      </c>
      <c r="C469" s="306"/>
      <c r="D469" s="317">
        <f t="shared" ref="D469:I469" si="426">D470</f>
        <v>25000</v>
      </c>
      <c r="E469" s="317">
        <f t="shared" si="426"/>
        <v>0</v>
      </c>
      <c r="F469" s="317">
        <f t="shared" si="426"/>
        <v>25000</v>
      </c>
      <c r="G469" s="317">
        <f t="shared" si="426"/>
        <v>0</v>
      </c>
      <c r="H469" s="317">
        <f t="shared" si="426"/>
        <v>25000</v>
      </c>
      <c r="I469" s="317">
        <f t="shared" si="426"/>
        <v>0</v>
      </c>
      <c r="J469" s="317"/>
      <c r="K469" s="317">
        <f>K470</f>
        <v>0</v>
      </c>
      <c r="L469" s="317">
        <f>L470</f>
        <v>0</v>
      </c>
      <c r="M469" s="223"/>
      <c r="N469" s="223"/>
      <c r="O469" s="317">
        <f>O470</f>
        <v>0</v>
      </c>
      <c r="P469" s="317">
        <v>0</v>
      </c>
      <c r="Q469" s="319">
        <f t="shared" si="421"/>
        <v>0</v>
      </c>
      <c r="R469" s="317">
        <v>0</v>
      </c>
      <c r="S469" s="320">
        <v>0</v>
      </c>
      <c r="T469" s="320">
        <v>0</v>
      </c>
      <c r="U469" s="317">
        <v>0</v>
      </c>
      <c r="V469" s="320">
        <v>0</v>
      </c>
      <c r="W469" s="320">
        <v>0</v>
      </c>
      <c r="X469" s="317">
        <v>0</v>
      </c>
      <c r="Y469" s="320">
        <v>0</v>
      </c>
      <c r="Z469" s="320">
        <v>0</v>
      </c>
      <c r="AA469" s="317">
        <v>0</v>
      </c>
      <c r="AB469" s="320">
        <v>0</v>
      </c>
      <c r="AC469" s="320">
        <v>0</v>
      </c>
      <c r="AD469" s="317">
        <v>0</v>
      </c>
      <c r="AE469" s="320">
        <v>0</v>
      </c>
      <c r="AF469" s="320">
        <v>0</v>
      </c>
      <c r="AG469" s="317">
        <v>0</v>
      </c>
      <c r="AH469" s="320">
        <v>0</v>
      </c>
      <c r="AI469" s="320">
        <v>0</v>
      </c>
      <c r="AJ469" s="257">
        <v>0</v>
      </c>
      <c r="AK469" s="320">
        <v>0</v>
      </c>
      <c r="AL469" s="320">
        <v>0</v>
      </c>
      <c r="AM469" s="317">
        <v>0</v>
      </c>
      <c r="AN469" s="320">
        <v>0</v>
      </c>
      <c r="AO469" s="320">
        <v>0</v>
      </c>
      <c r="AP469" s="320"/>
      <c r="AQ469" s="317">
        <v>0</v>
      </c>
      <c r="AR469" s="320">
        <v>0</v>
      </c>
      <c r="AS469" s="320">
        <v>0</v>
      </c>
      <c r="AT469" s="317">
        <v>0</v>
      </c>
      <c r="AU469" s="320">
        <v>0</v>
      </c>
      <c r="AV469" s="320">
        <v>0</v>
      </c>
      <c r="AW469" s="320"/>
      <c r="AX469" s="320"/>
      <c r="AY469" s="320"/>
      <c r="AZ469" s="320"/>
      <c r="BA469" s="320"/>
      <c r="BB469" s="320"/>
      <c r="BC469" s="317">
        <v>0</v>
      </c>
      <c r="BD469" s="320">
        <v>0</v>
      </c>
      <c r="BE469" s="320">
        <v>0</v>
      </c>
      <c r="BF469" s="349"/>
      <c r="BG469" s="349">
        <v>0</v>
      </c>
      <c r="BH469" s="320">
        <v>0</v>
      </c>
      <c r="BI469" s="320">
        <v>0</v>
      </c>
      <c r="BJ469" s="349">
        <f t="shared" si="410"/>
        <v>23750</v>
      </c>
      <c r="BK469" s="349">
        <v>0</v>
      </c>
      <c r="BL469" s="320">
        <f t="shared" si="411"/>
        <v>0</v>
      </c>
      <c r="BM469" s="320">
        <f t="shared" si="425"/>
        <v>0</v>
      </c>
      <c r="BN469" s="205">
        <f t="shared" si="407"/>
        <v>0</v>
      </c>
      <c r="BO469" s="205"/>
      <c r="BP469" s="307">
        <f>BP470</f>
        <v>0</v>
      </c>
      <c r="BQ469" s="322">
        <f t="shared" si="412"/>
        <v>0</v>
      </c>
      <c r="BR469" s="307">
        <f>BR470</f>
        <v>0</v>
      </c>
      <c r="BS469" s="322">
        <f t="shared" si="413"/>
        <v>0</v>
      </c>
      <c r="BT469" s="307">
        <f>BT470</f>
        <v>0</v>
      </c>
      <c r="BU469" s="319">
        <f t="shared" si="414"/>
        <v>0</v>
      </c>
      <c r="BV469" s="307">
        <f>BV470</f>
        <v>0</v>
      </c>
      <c r="BW469" s="322">
        <f t="shared" si="415"/>
        <v>0</v>
      </c>
      <c r="BX469" s="307">
        <f>BX470</f>
        <v>0</v>
      </c>
      <c r="BY469" s="322">
        <f t="shared" si="416"/>
        <v>0</v>
      </c>
      <c r="BZ469" s="307">
        <f>BZ470</f>
        <v>0</v>
      </c>
      <c r="CA469" s="322">
        <f t="shared" si="417"/>
        <v>0</v>
      </c>
      <c r="CB469" s="307">
        <f>CB470</f>
        <v>11875</v>
      </c>
      <c r="CC469" s="322">
        <f t="shared" si="408"/>
        <v>0.47499999999999998</v>
      </c>
      <c r="CD469" s="307">
        <f>CD470</f>
        <v>11875</v>
      </c>
      <c r="CE469" s="322">
        <f t="shared" si="408"/>
        <v>0.47499999999999998</v>
      </c>
      <c r="CF469" s="307">
        <f>CF470</f>
        <v>11875</v>
      </c>
      <c r="CG469" s="322">
        <f t="shared" si="409"/>
        <v>0.47499999999999998</v>
      </c>
      <c r="CH469" s="307">
        <f>CH470</f>
        <v>16500</v>
      </c>
      <c r="CI469" s="322">
        <f t="shared" si="409"/>
        <v>0.66</v>
      </c>
      <c r="CJ469" s="307">
        <f>CJ470</f>
        <v>16500</v>
      </c>
      <c r="CK469" s="322">
        <f t="shared" si="418"/>
        <v>0.66</v>
      </c>
      <c r="CL469" s="307">
        <f>CL470</f>
        <v>23750</v>
      </c>
      <c r="CM469" s="322">
        <f t="shared" si="419"/>
        <v>0.95</v>
      </c>
      <c r="CN469" s="307">
        <f>CN470</f>
        <v>23750</v>
      </c>
      <c r="CO469" s="322">
        <f t="shared" si="420"/>
        <v>0.95</v>
      </c>
      <c r="CP469" s="213" t="str">
        <f t="shared" si="422"/>
        <v>Không đạt</v>
      </c>
      <c r="CQ469" s="213" t="str">
        <f t="shared" si="423"/>
        <v>Không đạt</v>
      </c>
      <c r="CR469" s="312"/>
      <c r="CS469" s="312"/>
      <c r="CT469" s="235"/>
      <c r="CU469" s="163"/>
      <c r="CV469" s="323"/>
      <c r="CW469" s="195"/>
      <c r="CX469" s="196"/>
      <c r="CY469" s="196"/>
      <c r="CZ469" s="197"/>
      <c r="DA469" s="196"/>
      <c r="DB469" s="196"/>
      <c r="DC469" s="196"/>
      <c r="DE469" s="199"/>
      <c r="DF469" s="200"/>
      <c r="DG469" s="181"/>
    </row>
    <row r="470" spans="1:111" ht="38.25" outlineLevel="1" x14ac:dyDescent="0.25">
      <c r="A470" s="192"/>
      <c r="B470" s="325" t="s">
        <v>469</v>
      </c>
      <c r="C470" s="325"/>
      <c r="D470" s="214">
        <f>E470+F470</f>
        <v>25000</v>
      </c>
      <c r="E470" s="215"/>
      <c r="F470" s="214">
        <f>G470+H470+K470+M470</f>
        <v>25000</v>
      </c>
      <c r="G470" s="223"/>
      <c r="H470" s="257">
        <v>25000</v>
      </c>
      <c r="I470" s="235"/>
      <c r="J470" s="235"/>
      <c r="K470" s="223"/>
      <c r="L470" s="235"/>
      <c r="M470" s="223"/>
      <c r="N470" s="223"/>
      <c r="O470" s="257">
        <f t="shared" ref="O470:O513" si="427">G470+I470+L470+N470</f>
        <v>0</v>
      </c>
      <c r="P470" s="257">
        <v>0</v>
      </c>
      <c r="Q470" s="224">
        <f t="shared" si="421"/>
        <v>0</v>
      </c>
      <c r="R470" s="257"/>
      <c r="S470" s="326">
        <v>0</v>
      </c>
      <c r="T470" s="326">
        <v>0</v>
      </c>
      <c r="U470" s="257"/>
      <c r="V470" s="326">
        <v>0</v>
      </c>
      <c r="W470" s="326">
        <v>0</v>
      </c>
      <c r="X470" s="257"/>
      <c r="Y470" s="326">
        <v>0</v>
      </c>
      <c r="Z470" s="326">
        <v>0</v>
      </c>
      <c r="AA470" s="257"/>
      <c r="AB470" s="326">
        <v>0</v>
      </c>
      <c r="AC470" s="326">
        <v>0</v>
      </c>
      <c r="AD470" s="257"/>
      <c r="AE470" s="326">
        <v>0</v>
      </c>
      <c r="AF470" s="326">
        <v>0</v>
      </c>
      <c r="AG470" s="257"/>
      <c r="AH470" s="326">
        <v>0</v>
      </c>
      <c r="AI470" s="326">
        <v>0</v>
      </c>
      <c r="AJ470" s="307"/>
      <c r="AK470" s="326">
        <v>0</v>
      </c>
      <c r="AL470" s="326">
        <v>0</v>
      </c>
      <c r="AM470" s="257"/>
      <c r="AN470" s="326">
        <v>0</v>
      </c>
      <c r="AO470" s="326">
        <v>0</v>
      </c>
      <c r="AP470" s="326"/>
      <c r="AQ470" s="257"/>
      <c r="AR470" s="326">
        <v>0</v>
      </c>
      <c r="AS470" s="326">
        <v>0</v>
      </c>
      <c r="AT470" s="257"/>
      <c r="AU470" s="326">
        <v>0</v>
      </c>
      <c r="AV470" s="326">
        <v>0</v>
      </c>
      <c r="AW470" s="326"/>
      <c r="AX470" s="326"/>
      <c r="AY470" s="326"/>
      <c r="AZ470" s="326"/>
      <c r="BA470" s="326"/>
      <c r="BB470" s="326"/>
      <c r="BC470" s="257"/>
      <c r="BD470" s="326">
        <v>0</v>
      </c>
      <c r="BE470" s="326">
        <v>0</v>
      </c>
      <c r="BF470" s="350"/>
      <c r="BG470" s="350">
        <v>0</v>
      </c>
      <c r="BH470" s="326">
        <v>0</v>
      </c>
      <c r="BI470" s="326">
        <v>0</v>
      </c>
      <c r="BJ470" s="402">
        <f t="shared" si="410"/>
        <v>23750</v>
      </c>
      <c r="BK470" s="402">
        <v>0</v>
      </c>
      <c r="BL470" s="326">
        <f t="shared" si="411"/>
        <v>0</v>
      </c>
      <c r="BM470" s="326">
        <f t="shared" si="425"/>
        <v>0</v>
      </c>
      <c r="BN470" s="205">
        <f t="shared" si="407"/>
        <v>0</v>
      </c>
      <c r="BO470" s="205"/>
      <c r="BP470" s="227"/>
      <c r="BQ470" s="327">
        <f t="shared" si="412"/>
        <v>0</v>
      </c>
      <c r="BR470" s="227"/>
      <c r="BS470" s="327">
        <f t="shared" si="413"/>
        <v>0</v>
      </c>
      <c r="BT470" s="227"/>
      <c r="BU470" s="224">
        <f t="shared" si="414"/>
        <v>0</v>
      </c>
      <c r="BV470" s="227"/>
      <c r="BW470" s="327">
        <f t="shared" si="415"/>
        <v>0</v>
      </c>
      <c r="BX470" s="227"/>
      <c r="BY470" s="327">
        <f t="shared" si="416"/>
        <v>0</v>
      </c>
      <c r="BZ470" s="227"/>
      <c r="CA470" s="327">
        <f t="shared" si="417"/>
        <v>0</v>
      </c>
      <c r="CB470" s="227">
        <v>11875</v>
      </c>
      <c r="CC470" s="327">
        <f t="shared" si="408"/>
        <v>0.47499999999999998</v>
      </c>
      <c r="CD470" s="227">
        <v>11875</v>
      </c>
      <c r="CE470" s="327">
        <f t="shared" si="408"/>
        <v>0.47499999999999998</v>
      </c>
      <c r="CF470" s="227">
        <v>11875</v>
      </c>
      <c r="CG470" s="327">
        <f t="shared" si="409"/>
        <v>0.47499999999999998</v>
      </c>
      <c r="CH470" s="227">
        <v>16500</v>
      </c>
      <c r="CI470" s="327">
        <f t="shared" si="409"/>
        <v>0.66</v>
      </c>
      <c r="CJ470" s="227">
        <v>16500</v>
      </c>
      <c r="CK470" s="327">
        <f t="shared" si="418"/>
        <v>0.66</v>
      </c>
      <c r="CL470" s="227">
        <v>23750</v>
      </c>
      <c r="CM470" s="327">
        <f t="shared" si="419"/>
        <v>0.95</v>
      </c>
      <c r="CN470" s="227">
        <v>23750</v>
      </c>
      <c r="CO470" s="327">
        <f t="shared" si="420"/>
        <v>0.95</v>
      </c>
      <c r="CP470" s="213" t="str">
        <f t="shared" si="422"/>
        <v>Không đạt</v>
      </c>
      <c r="CQ470" s="213" t="str">
        <f t="shared" si="423"/>
        <v>Không đạt</v>
      </c>
      <c r="CR470" s="192"/>
      <c r="CS470" s="192"/>
      <c r="CT470" s="223"/>
      <c r="CU470" s="163"/>
      <c r="CW470" s="195"/>
      <c r="CX470" s="196"/>
      <c r="CY470" s="196"/>
      <c r="CZ470" s="197"/>
      <c r="DA470" s="196"/>
      <c r="DB470" s="196"/>
      <c r="DC470" s="196"/>
      <c r="DE470" s="199"/>
      <c r="DF470" s="200"/>
      <c r="DG470" s="181"/>
    </row>
    <row r="471" spans="1:111" s="324" customFormat="1" outlineLevel="1" x14ac:dyDescent="0.25">
      <c r="A471" s="305" t="s">
        <v>34</v>
      </c>
      <c r="B471" s="318" t="s">
        <v>376</v>
      </c>
      <c r="C471" s="306"/>
      <c r="D471" s="307">
        <f>E471+F471</f>
        <v>3000</v>
      </c>
      <c r="E471" s="307"/>
      <c r="F471" s="307">
        <f>G471+H471+K471+M471</f>
        <v>3000</v>
      </c>
      <c r="G471" s="303">
        <v>3000</v>
      </c>
      <c r="H471" s="303"/>
      <c r="I471" s="235"/>
      <c r="J471" s="235"/>
      <c r="K471" s="303"/>
      <c r="L471" s="235"/>
      <c r="M471" s="223"/>
      <c r="N471" s="223"/>
      <c r="O471" s="303">
        <f t="shared" si="427"/>
        <v>3000</v>
      </c>
      <c r="P471" s="303">
        <v>0</v>
      </c>
      <c r="Q471" s="308">
        <f t="shared" si="421"/>
        <v>0</v>
      </c>
      <c r="R471" s="303"/>
      <c r="S471" s="313">
        <v>0</v>
      </c>
      <c r="T471" s="313">
        <v>0</v>
      </c>
      <c r="U471" s="303">
        <v>1131.7998460000001</v>
      </c>
      <c r="V471" s="313">
        <v>0.37726661533333339</v>
      </c>
      <c r="W471" s="313">
        <v>0.3971227529824562</v>
      </c>
      <c r="X471" s="303">
        <v>1131.7998460000001</v>
      </c>
      <c r="Y471" s="313">
        <v>0.37726661533333339</v>
      </c>
      <c r="Z471" s="313">
        <v>0.3971227529824562</v>
      </c>
      <c r="AA471" s="303">
        <v>1131.7998460000001</v>
      </c>
      <c r="AB471" s="313">
        <v>0.37726661533333339</v>
      </c>
      <c r="AC471" s="313">
        <v>0.3971227529824562</v>
      </c>
      <c r="AD471" s="303">
        <v>221</v>
      </c>
      <c r="AE471" s="313">
        <v>7.3666666666666672E-2</v>
      </c>
      <c r="AF471" s="313">
        <v>7.7543859649122804E-2</v>
      </c>
      <c r="AG471" s="307">
        <v>221</v>
      </c>
      <c r="AH471" s="313">
        <v>7.3666666666666672E-2</v>
      </c>
      <c r="AI471" s="313">
        <v>7.7543859649122804E-2</v>
      </c>
      <c r="AJ471" s="303">
        <v>221</v>
      </c>
      <c r="AK471" s="313">
        <v>7.3666666666666672E-2</v>
      </c>
      <c r="AL471" s="313">
        <v>7.7543859649122804E-2</v>
      </c>
      <c r="AM471" s="307">
        <v>221</v>
      </c>
      <c r="AN471" s="313">
        <v>7.3666666666666672E-2</v>
      </c>
      <c r="AO471" s="313">
        <v>7.7543859649122804E-2</v>
      </c>
      <c r="AP471" s="313"/>
      <c r="AQ471" s="307">
        <v>563.69200000000001</v>
      </c>
      <c r="AR471" s="313">
        <v>0.18789733333333333</v>
      </c>
      <c r="AS471" s="313">
        <v>0.19778666666666667</v>
      </c>
      <c r="AT471" s="307">
        <v>563.69200000000001</v>
      </c>
      <c r="AU471" s="313">
        <v>0.18789733333333333</v>
      </c>
      <c r="AV471" s="313">
        <v>0.19778666666666667</v>
      </c>
      <c r="AW471" s="313"/>
      <c r="AX471" s="313"/>
      <c r="AY471" s="313"/>
      <c r="AZ471" s="313"/>
      <c r="BA471" s="313"/>
      <c r="BB471" s="313"/>
      <c r="BC471" s="307">
        <v>563.69200000000001</v>
      </c>
      <c r="BD471" s="313">
        <v>0.18789733333333333</v>
      </c>
      <c r="BE471" s="313">
        <v>0.19778666666666667</v>
      </c>
      <c r="BF471" s="351"/>
      <c r="BG471" s="351">
        <v>2849.692</v>
      </c>
      <c r="BH471" s="313">
        <v>0.94989733333333337</v>
      </c>
      <c r="BI471" s="313">
        <v>0.99989192982456143</v>
      </c>
      <c r="BJ471" s="349">
        <f t="shared" si="410"/>
        <v>2850</v>
      </c>
      <c r="BK471" s="349">
        <v>2849.692</v>
      </c>
      <c r="BL471" s="313">
        <f t="shared" si="411"/>
        <v>0.94989733333333337</v>
      </c>
      <c r="BM471" s="313">
        <f t="shared" si="425"/>
        <v>0.99989192982456143</v>
      </c>
      <c r="BN471" s="205">
        <f t="shared" si="407"/>
        <v>2628.692</v>
      </c>
      <c r="BO471" s="205"/>
      <c r="BP471" s="310"/>
      <c r="BQ471" s="311">
        <f t="shared" si="412"/>
        <v>0</v>
      </c>
      <c r="BR471" s="310"/>
      <c r="BS471" s="311">
        <f t="shared" si="413"/>
        <v>0</v>
      </c>
      <c r="BT471" s="310"/>
      <c r="BU471" s="308">
        <f t="shared" si="414"/>
        <v>0</v>
      </c>
      <c r="BV471" s="310"/>
      <c r="BW471" s="311">
        <f t="shared" si="415"/>
        <v>0</v>
      </c>
      <c r="BX471" s="310"/>
      <c r="BY471" s="311">
        <f t="shared" si="416"/>
        <v>0</v>
      </c>
      <c r="BZ471" s="310">
        <v>2850</v>
      </c>
      <c r="CA471" s="311">
        <f t="shared" si="417"/>
        <v>0.95</v>
      </c>
      <c r="CB471" s="310">
        <v>2850</v>
      </c>
      <c r="CC471" s="311">
        <f t="shared" si="408"/>
        <v>0.95</v>
      </c>
      <c r="CD471" s="310">
        <v>2850</v>
      </c>
      <c r="CE471" s="311">
        <f t="shared" si="408"/>
        <v>0.95</v>
      </c>
      <c r="CF471" s="310">
        <v>2850</v>
      </c>
      <c r="CG471" s="311">
        <f t="shared" si="409"/>
        <v>0.95</v>
      </c>
      <c r="CH471" s="310">
        <v>2850</v>
      </c>
      <c r="CI471" s="311">
        <f t="shared" si="409"/>
        <v>0.95</v>
      </c>
      <c r="CJ471" s="310">
        <v>2850</v>
      </c>
      <c r="CK471" s="311">
        <f t="shared" si="418"/>
        <v>0.95</v>
      </c>
      <c r="CL471" s="310">
        <v>2850</v>
      </c>
      <c r="CM471" s="311">
        <f t="shared" si="419"/>
        <v>0.95</v>
      </c>
      <c r="CN471" s="310">
        <v>2850</v>
      </c>
      <c r="CO471" s="311">
        <f t="shared" si="420"/>
        <v>0.95</v>
      </c>
      <c r="CP471" s="213" t="str">
        <f t="shared" si="422"/>
        <v>Đạt</v>
      </c>
      <c r="CQ471" s="213" t="str">
        <f t="shared" si="423"/>
        <v>Đạt</v>
      </c>
      <c r="CR471" s="312"/>
      <c r="CS471" s="312"/>
      <c r="CT471" s="235"/>
      <c r="CU471" s="163"/>
      <c r="CV471" s="323"/>
      <c r="CW471" s="195"/>
      <c r="CX471" s="196"/>
      <c r="CY471" s="196"/>
      <c r="CZ471" s="197"/>
      <c r="DA471" s="196"/>
      <c r="DB471" s="196"/>
      <c r="DC471" s="196"/>
      <c r="DE471" s="199"/>
      <c r="DF471" s="200"/>
      <c r="DG471" s="181"/>
    </row>
    <row r="472" spans="1:111" ht="25.5" outlineLevel="1" x14ac:dyDescent="0.25">
      <c r="A472" s="305" t="s">
        <v>34</v>
      </c>
      <c r="B472" s="306" t="s">
        <v>377</v>
      </c>
      <c r="C472" s="306"/>
      <c r="D472" s="307">
        <f>E472+F472</f>
        <v>21950</v>
      </c>
      <c r="E472" s="307"/>
      <c r="F472" s="307">
        <f>G472+H472+K472+M472</f>
        <v>21950</v>
      </c>
      <c r="G472" s="307"/>
      <c r="H472" s="307">
        <v>21950</v>
      </c>
      <c r="I472" s="235"/>
      <c r="J472" s="235"/>
      <c r="K472" s="303"/>
      <c r="L472" s="235"/>
      <c r="M472" s="223"/>
      <c r="N472" s="223"/>
      <c r="O472" s="303"/>
      <c r="P472" s="303">
        <v>0</v>
      </c>
      <c r="Q472" s="308">
        <f t="shared" si="421"/>
        <v>0</v>
      </c>
      <c r="R472" s="303"/>
      <c r="S472" s="313">
        <v>0</v>
      </c>
      <c r="T472" s="313">
        <v>0</v>
      </c>
      <c r="U472" s="303"/>
      <c r="V472" s="313">
        <v>0</v>
      </c>
      <c r="W472" s="313">
        <v>0</v>
      </c>
      <c r="X472" s="303"/>
      <c r="Y472" s="313">
        <v>0</v>
      </c>
      <c r="Z472" s="313">
        <v>0</v>
      </c>
      <c r="AA472" s="303"/>
      <c r="AB472" s="313">
        <v>0</v>
      </c>
      <c r="AC472" s="313">
        <v>0</v>
      </c>
      <c r="AD472" s="303"/>
      <c r="AE472" s="313">
        <v>0</v>
      </c>
      <c r="AF472" s="313">
        <v>0</v>
      </c>
      <c r="AG472" s="303"/>
      <c r="AH472" s="313">
        <v>0</v>
      </c>
      <c r="AI472" s="313">
        <v>0</v>
      </c>
      <c r="AJ472" s="189"/>
      <c r="AK472" s="313">
        <v>0</v>
      </c>
      <c r="AL472" s="313">
        <v>0</v>
      </c>
      <c r="AM472" s="303"/>
      <c r="AN472" s="313">
        <v>0</v>
      </c>
      <c r="AO472" s="313">
        <v>0</v>
      </c>
      <c r="AP472" s="313"/>
      <c r="AQ472" s="303"/>
      <c r="AR472" s="313">
        <v>0</v>
      </c>
      <c r="AS472" s="313">
        <v>0</v>
      </c>
      <c r="AT472" s="303"/>
      <c r="AU472" s="313">
        <v>0</v>
      </c>
      <c r="AV472" s="313">
        <v>0</v>
      </c>
      <c r="AW472" s="313"/>
      <c r="AX472" s="313"/>
      <c r="AY472" s="313"/>
      <c r="AZ472" s="313"/>
      <c r="BA472" s="313"/>
      <c r="BB472" s="313"/>
      <c r="BC472" s="303"/>
      <c r="BD472" s="313">
        <v>0</v>
      </c>
      <c r="BE472" s="313">
        <v>0</v>
      </c>
      <c r="BF472" s="351"/>
      <c r="BG472" s="351">
        <v>181</v>
      </c>
      <c r="BH472" s="313">
        <v>8.2460136674259686E-3</v>
      </c>
      <c r="BI472" s="313">
        <v>8.6800143867641778E-3</v>
      </c>
      <c r="BJ472" s="349">
        <f t="shared" si="410"/>
        <v>20852.5</v>
      </c>
      <c r="BK472" s="349">
        <v>181</v>
      </c>
      <c r="BL472" s="313">
        <f t="shared" si="411"/>
        <v>8.2460136674259686E-3</v>
      </c>
      <c r="BM472" s="313">
        <f t="shared" si="425"/>
        <v>8.6800143867641778E-3</v>
      </c>
      <c r="BN472" s="205">
        <f t="shared" si="407"/>
        <v>181</v>
      </c>
      <c r="BO472" s="205"/>
      <c r="BP472" s="310"/>
      <c r="BQ472" s="311">
        <f t="shared" si="412"/>
        <v>0</v>
      </c>
      <c r="BR472" s="310"/>
      <c r="BS472" s="311">
        <f t="shared" si="413"/>
        <v>0</v>
      </c>
      <c r="BT472" s="310"/>
      <c r="BU472" s="308">
        <f t="shared" si="414"/>
        <v>0</v>
      </c>
      <c r="BV472" s="310"/>
      <c r="BW472" s="311">
        <f t="shared" si="415"/>
        <v>0</v>
      </c>
      <c r="BX472" s="310"/>
      <c r="BY472" s="311">
        <f t="shared" si="416"/>
        <v>0</v>
      </c>
      <c r="BZ472" s="310"/>
      <c r="CA472" s="311">
        <f t="shared" si="417"/>
        <v>0</v>
      </c>
      <c r="CB472" s="310"/>
      <c r="CC472" s="311">
        <f t="shared" si="408"/>
        <v>0</v>
      </c>
      <c r="CD472" s="310">
        <v>7106</v>
      </c>
      <c r="CE472" s="311">
        <f t="shared" si="408"/>
        <v>0.32373576309794988</v>
      </c>
      <c r="CF472" s="310">
        <f>6640+7106</f>
        <v>13746</v>
      </c>
      <c r="CG472" s="311">
        <f t="shared" si="409"/>
        <v>0.62624145785876995</v>
      </c>
      <c r="CH472" s="310">
        <v>13746</v>
      </c>
      <c r="CI472" s="311">
        <f t="shared" si="409"/>
        <v>0.62624145785876995</v>
      </c>
      <c r="CJ472" s="310">
        <v>16775</v>
      </c>
      <c r="CK472" s="311">
        <f t="shared" si="418"/>
        <v>0.76423690205011385</v>
      </c>
      <c r="CL472" s="310">
        <v>20852</v>
      </c>
      <c r="CM472" s="311">
        <f t="shared" si="419"/>
        <v>0.94997722095671977</v>
      </c>
      <c r="CN472" s="310">
        <v>20852</v>
      </c>
      <c r="CO472" s="311">
        <f t="shared" si="420"/>
        <v>0.94997722095671977</v>
      </c>
      <c r="CP472" s="213" t="str">
        <f t="shared" si="422"/>
        <v>Không đạt</v>
      </c>
      <c r="CQ472" s="213" t="str">
        <f t="shared" si="423"/>
        <v>Không đạt</v>
      </c>
      <c r="CR472" s="312"/>
      <c r="CS472" s="312"/>
      <c r="CT472" s="235"/>
      <c r="CU472" s="163"/>
      <c r="CW472" s="195"/>
      <c r="CX472" s="196"/>
      <c r="CY472" s="196"/>
      <c r="CZ472" s="197"/>
      <c r="DA472" s="196"/>
      <c r="DB472" s="196"/>
      <c r="DC472" s="196"/>
      <c r="DE472" s="199"/>
      <c r="DF472" s="200"/>
      <c r="DG472" s="181"/>
    </row>
    <row r="473" spans="1:111" ht="18" customHeight="1" x14ac:dyDescent="0.25">
      <c r="A473" s="213">
        <f>MAX(A$243:A471)+1</f>
        <v>66</v>
      </c>
      <c r="B473" s="240" t="s">
        <v>470</v>
      </c>
      <c r="C473" s="240"/>
      <c r="D473" s="188">
        <f t="shared" ref="D473:I473" si="428">D474+D475</f>
        <v>7675</v>
      </c>
      <c r="E473" s="188">
        <f t="shared" si="428"/>
        <v>0</v>
      </c>
      <c r="F473" s="188">
        <f t="shared" si="428"/>
        <v>7675</v>
      </c>
      <c r="G473" s="188">
        <f t="shared" si="428"/>
        <v>3000</v>
      </c>
      <c r="H473" s="188">
        <f t="shared" si="428"/>
        <v>4675</v>
      </c>
      <c r="I473" s="188">
        <f t="shared" si="428"/>
        <v>0</v>
      </c>
      <c r="J473" s="188"/>
      <c r="K473" s="188">
        <f>K474+K475</f>
        <v>0</v>
      </c>
      <c r="L473" s="188">
        <f>L474+L475</f>
        <v>0</v>
      </c>
      <c r="M473" s="188">
        <f>M474+M475</f>
        <v>0</v>
      </c>
      <c r="N473" s="188">
        <f>N474+N475</f>
        <v>0</v>
      </c>
      <c r="O473" s="188">
        <f>O474+O475</f>
        <v>3000</v>
      </c>
      <c r="P473" s="188">
        <v>0</v>
      </c>
      <c r="Q473" s="186">
        <f t="shared" si="421"/>
        <v>0</v>
      </c>
      <c r="R473" s="189">
        <v>1088.7765999999999</v>
      </c>
      <c r="S473" s="185">
        <v>0.14186058631921825</v>
      </c>
      <c r="T473" s="185">
        <v>0.14932693296759814</v>
      </c>
      <c r="U473" s="189">
        <v>1088.7765999999999</v>
      </c>
      <c r="V473" s="185">
        <v>0.14186014332247557</v>
      </c>
      <c r="W473" s="185">
        <v>0.14932646665523744</v>
      </c>
      <c r="X473" s="189">
        <v>1088.7765999999999</v>
      </c>
      <c r="Y473" s="185">
        <v>0.14186014332247557</v>
      </c>
      <c r="Z473" s="185">
        <v>0.14932646665523744</v>
      </c>
      <c r="AA473" s="189">
        <v>1088.7765999999999</v>
      </c>
      <c r="AB473" s="185">
        <v>0.14186014332247557</v>
      </c>
      <c r="AC473" s="185">
        <v>0.14932646665523744</v>
      </c>
      <c r="AD473" s="189">
        <v>1158</v>
      </c>
      <c r="AE473" s="185">
        <v>0.15087947882736155</v>
      </c>
      <c r="AF473" s="185">
        <v>0.15882050402880166</v>
      </c>
      <c r="AG473" s="189">
        <v>1158</v>
      </c>
      <c r="AH473" s="185">
        <v>0.15087947882736155</v>
      </c>
      <c r="AI473" s="185">
        <v>0.15882050402880166</v>
      </c>
      <c r="AJ473" s="307">
        <v>1158</v>
      </c>
      <c r="AK473" s="185">
        <v>0.15087947882736155</v>
      </c>
      <c r="AL473" s="185">
        <v>0.15882050402880166</v>
      </c>
      <c r="AM473" s="189">
        <v>1158</v>
      </c>
      <c r="AN473" s="185">
        <v>0.15087947882736155</v>
      </c>
      <c r="AO473" s="185">
        <v>0.15882050402880166</v>
      </c>
      <c r="AP473" s="185"/>
      <c r="AQ473" s="189">
        <v>2191.6206950000001</v>
      </c>
      <c r="AR473" s="185">
        <v>0.28555318501628668</v>
      </c>
      <c r="AS473" s="185">
        <v>0.30058230001714387</v>
      </c>
      <c r="AT473" s="189">
        <v>2191.6206950000001</v>
      </c>
      <c r="AU473" s="185">
        <v>0.28555318501628668</v>
      </c>
      <c r="AV473" s="185">
        <v>0.30058230001714387</v>
      </c>
      <c r="AW473" s="185"/>
      <c r="AX473" s="185"/>
      <c r="AY473" s="185"/>
      <c r="AZ473" s="185"/>
      <c r="BA473" s="185"/>
      <c r="BB473" s="185"/>
      <c r="BC473" s="189">
        <v>2191.6206950000001</v>
      </c>
      <c r="BD473" s="185">
        <v>0.28555318501628668</v>
      </c>
      <c r="BE473" s="185">
        <v>0.30058230001714387</v>
      </c>
      <c r="BF473" s="352"/>
      <c r="BG473" s="352">
        <v>2717.8388570000002</v>
      </c>
      <c r="BH473" s="185">
        <v>0.35411581198697073</v>
      </c>
      <c r="BI473" s="185">
        <v>0.37275348630207444</v>
      </c>
      <c r="BJ473" s="374">
        <f t="shared" si="410"/>
        <v>7291.25</v>
      </c>
      <c r="BK473" s="374">
        <v>4724.6591100000005</v>
      </c>
      <c r="BL473" s="185">
        <f t="shared" si="411"/>
        <v>0.61559076351791542</v>
      </c>
      <c r="BM473" s="185">
        <f t="shared" si="425"/>
        <v>0.64799027738727932</v>
      </c>
      <c r="BN473" s="205">
        <f t="shared" si="407"/>
        <v>3566.6591100000005</v>
      </c>
      <c r="BO473" s="205"/>
      <c r="BP473" s="189">
        <f>BP474+BP475</f>
        <v>0</v>
      </c>
      <c r="BQ473" s="186">
        <f t="shared" si="412"/>
        <v>0</v>
      </c>
      <c r="BR473" s="189">
        <f>BR474+BR475</f>
        <v>0</v>
      </c>
      <c r="BS473" s="186">
        <f t="shared" si="413"/>
        <v>0</v>
      </c>
      <c r="BT473" s="189">
        <f>BT474+BT475</f>
        <v>767.5</v>
      </c>
      <c r="BU473" s="186">
        <f t="shared" si="414"/>
        <v>0.1</v>
      </c>
      <c r="BV473" s="189">
        <f>BV474+BV475</f>
        <v>1385</v>
      </c>
      <c r="BW473" s="186">
        <f t="shared" si="415"/>
        <v>0.18045602605863192</v>
      </c>
      <c r="BX473" s="189">
        <f>BX474+BX475</f>
        <v>2152.5</v>
      </c>
      <c r="BY473" s="186">
        <f t="shared" si="416"/>
        <v>0.2804560260586319</v>
      </c>
      <c r="BZ473" s="189">
        <f>BZ474+BZ475</f>
        <v>3070</v>
      </c>
      <c r="CA473" s="186">
        <f t="shared" si="417"/>
        <v>0.4</v>
      </c>
      <c r="CB473" s="189">
        <f>CB474+CB475</f>
        <v>3987.5</v>
      </c>
      <c r="CC473" s="186">
        <f t="shared" si="408"/>
        <v>0.51954397394136809</v>
      </c>
      <c r="CD473" s="189">
        <f>CD474+CD475</f>
        <v>4671.25</v>
      </c>
      <c r="CE473" s="186">
        <f t="shared" si="408"/>
        <v>0.60863192182410419</v>
      </c>
      <c r="CF473" s="189">
        <f>CF474+CF475</f>
        <v>5055</v>
      </c>
      <c r="CG473" s="186">
        <f t="shared" si="409"/>
        <v>0.65863192182410424</v>
      </c>
      <c r="CH473" s="189">
        <f>CH474+CH475</f>
        <v>5672.5</v>
      </c>
      <c r="CI473" s="186">
        <f t="shared" si="409"/>
        <v>0.73908794788273613</v>
      </c>
      <c r="CJ473" s="189">
        <f>CJ474+CJ475</f>
        <v>6200</v>
      </c>
      <c r="CK473" s="186">
        <f t="shared" si="418"/>
        <v>0.80781758957654726</v>
      </c>
      <c r="CL473" s="189">
        <f>CL474+CL475</f>
        <v>6757.5</v>
      </c>
      <c r="CM473" s="186">
        <f t="shared" si="419"/>
        <v>0.88045602605863194</v>
      </c>
      <c r="CN473" s="189">
        <f>CN474+CN475</f>
        <v>7291.25</v>
      </c>
      <c r="CO473" s="186">
        <f t="shared" si="420"/>
        <v>0.95</v>
      </c>
      <c r="CP473" s="213" t="str">
        <f t="shared" si="422"/>
        <v>Đạt</v>
      </c>
      <c r="CQ473" s="213" t="str">
        <f t="shared" si="423"/>
        <v>Đạt</v>
      </c>
      <c r="CR473" s="213"/>
      <c r="CS473" s="213"/>
      <c r="CT473" s="231"/>
      <c r="CU473" s="163"/>
      <c r="CW473" s="195"/>
      <c r="CX473" s="196"/>
      <c r="CY473" s="196"/>
      <c r="CZ473" s="197"/>
      <c r="DA473" s="196"/>
      <c r="DB473" s="196"/>
      <c r="DC473" s="196"/>
      <c r="DE473" s="199"/>
      <c r="DF473" s="200"/>
      <c r="DG473" s="181"/>
    </row>
    <row r="474" spans="1:111" s="324" customFormat="1" outlineLevel="1" x14ac:dyDescent="0.25">
      <c r="A474" s="305" t="s">
        <v>34</v>
      </c>
      <c r="B474" s="318" t="s">
        <v>376</v>
      </c>
      <c r="C474" s="306"/>
      <c r="D474" s="307">
        <f>E474+F474</f>
        <v>3000</v>
      </c>
      <c r="E474" s="307"/>
      <c r="F474" s="307">
        <f>G474+H474+K474+M474</f>
        <v>3000</v>
      </c>
      <c r="G474" s="303">
        <v>3000</v>
      </c>
      <c r="H474" s="303"/>
      <c r="I474" s="235"/>
      <c r="J474" s="235"/>
      <c r="K474" s="303"/>
      <c r="L474" s="235"/>
      <c r="M474" s="223"/>
      <c r="N474" s="223"/>
      <c r="O474" s="303">
        <f t="shared" si="427"/>
        <v>3000</v>
      </c>
      <c r="P474" s="303">
        <v>0</v>
      </c>
      <c r="Q474" s="308">
        <f t="shared" si="421"/>
        <v>0</v>
      </c>
      <c r="R474" s="303">
        <v>1088.7765999999999</v>
      </c>
      <c r="S474" s="309">
        <v>0.36292666666666668</v>
      </c>
      <c r="T474" s="309">
        <v>0.38202807017543861</v>
      </c>
      <c r="U474" s="357">
        <v>1088.7765999999999</v>
      </c>
      <c r="V474" s="309">
        <v>0.36292553333333333</v>
      </c>
      <c r="W474" s="309">
        <v>0.38202687719298245</v>
      </c>
      <c r="X474" s="357">
        <v>1088.7765999999999</v>
      </c>
      <c r="Y474" s="309">
        <v>0.36292553333333333</v>
      </c>
      <c r="Z474" s="309">
        <v>0.38202687719298245</v>
      </c>
      <c r="AA474" s="357">
        <v>1088.7765999999999</v>
      </c>
      <c r="AB474" s="309">
        <v>0.36292553333333333</v>
      </c>
      <c r="AC474" s="309">
        <v>0.38202687719298245</v>
      </c>
      <c r="AD474" s="357">
        <v>1158</v>
      </c>
      <c r="AE474" s="309">
        <v>0.38600000000000001</v>
      </c>
      <c r="AF474" s="309">
        <v>0.40631578947368419</v>
      </c>
      <c r="AG474" s="307">
        <v>1158</v>
      </c>
      <c r="AH474" s="309">
        <v>0.38600000000000001</v>
      </c>
      <c r="AI474" s="309">
        <v>0.40631578947368419</v>
      </c>
      <c r="AJ474" s="303">
        <v>1158</v>
      </c>
      <c r="AK474" s="309">
        <v>0.38600000000000001</v>
      </c>
      <c r="AL474" s="309">
        <v>0.40631578947368419</v>
      </c>
      <c r="AM474" s="307">
        <v>1158</v>
      </c>
      <c r="AN474" s="309">
        <v>0.38600000000000001</v>
      </c>
      <c r="AO474" s="309">
        <v>0.40631578947368419</v>
      </c>
      <c r="AP474" s="309"/>
      <c r="AQ474" s="307">
        <v>2191.6206950000001</v>
      </c>
      <c r="AR474" s="309">
        <v>0.73054023166666671</v>
      </c>
      <c r="AS474" s="309">
        <v>0.7689897175438597</v>
      </c>
      <c r="AT474" s="307">
        <v>2191.6206950000001</v>
      </c>
      <c r="AU474" s="309">
        <v>0.73054023166666671</v>
      </c>
      <c r="AV474" s="309">
        <v>0.7689897175438597</v>
      </c>
      <c r="AW474" s="309"/>
      <c r="AX474" s="309"/>
      <c r="AY474" s="309"/>
      <c r="AZ474" s="309"/>
      <c r="BA474" s="309"/>
      <c r="BB474" s="309"/>
      <c r="BC474" s="307">
        <v>2191.6206950000001</v>
      </c>
      <c r="BD474" s="309">
        <v>0.73054023166666671</v>
      </c>
      <c r="BE474" s="309">
        <v>0.7689897175438597</v>
      </c>
      <c r="BF474" s="351"/>
      <c r="BG474" s="351">
        <v>2340.2348570000004</v>
      </c>
      <c r="BH474" s="309">
        <v>0.78007828566666682</v>
      </c>
      <c r="BI474" s="309">
        <v>0.82113503754385975</v>
      </c>
      <c r="BJ474" s="349">
        <f t="shared" si="410"/>
        <v>2850</v>
      </c>
      <c r="BK474" s="349">
        <v>2340.2348570000004</v>
      </c>
      <c r="BL474" s="309">
        <f t="shared" si="411"/>
        <v>0.78007828566666682</v>
      </c>
      <c r="BM474" s="309">
        <f t="shared" si="425"/>
        <v>0.82113503754385975</v>
      </c>
      <c r="BN474" s="205">
        <f t="shared" si="407"/>
        <v>1182.2348570000004</v>
      </c>
      <c r="BO474" s="205"/>
      <c r="BP474" s="310"/>
      <c r="BQ474" s="308">
        <f t="shared" si="412"/>
        <v>0</v>
      </c>
      <c r="BR474" s="310"/>
      <c r="BS474" s="308">
        <f t="shared" si="413"/>
        <v>0</v>
      </c>
      <c r="BT474" s="310">
        <f>3000*0.1</f>
        <v>300</v>
      </c>
      <c r="BU474" s="308">
        <f t="shared" si="414"/>
        <v>0.1</v>
      </c>
      <c r="BV474" s="310">
        <f>3000*0.15</f>
        <v>450</v>
      </c>
      <c r="BW474" s="308">
        <f t="shared" si="415"/>
        <v>0.15</v>
      </c>
      <c r="BX474" s="310">
        <f>3000*0.25</f>
        <v>750</v>
      </c>
      <c r="BY474" s="308">
        <f t="shared" si="416"/>
        <v>0.25</v>
      </c>
      <c r="BZ474" s="310">
        <f>3000*0.4</f>
        <v>1200</v>
      </c>
      <c r="CA474" s="308">
        <f t="shared" si="417"/>
        <v>0.4</v>
      </c>
      <c r="CB474" s="310">
        <f>3000*0.55</f>
        <v>1650.0000000000002</v>
      </c>
      <c r="CC474" s="308">
        <f t="shared" si="408"/>
        <v>0.55000000000000004</v>
      </c>
      <c r="CD474" s="310">
        <f>3000*0.7</f>
        <v>2100</v>
      </c>
      <c r="CE474" s="308">
        <f t="shared" si="408"/>
        <v>0.7</v>
      </c>
      <c r="CF474" s="310">
        <f>3000*0.75</f>
        <v>2250</v>
      </c>
      <c r="CG474" s="308">
        <f t="shared" si="409"/>
        <v>0.75</v>
      </c>
      <c r="CH474" s="310">
        <f>3000*0.8</f>
        <v>2400</v>
      </c>
      <c r="CI474" s="308">
        <f t="shared" si="409"/>
        <v>0.8</v>
      </c>
      <c r="CJ474" s="310">
        <f>3000*0.82</f>
        <v>2460</v>
      </c>
      <c r="CK474" s="308">
        <f t="shared" si="418"/>
        <v>0.82</v>
      </c>
      <c r="CL474" s="310">
        <f>3000*0.85</f>
        <v>2550</v>
      </c>
      <c r="CM474" s="308">
        <f t="shared" si="419"/>
        <v>0.85</v>
      </c>
      <c r="CN474" s="310">
        <f>3000*0.95</f>
        <v>2850</v>
      </c>
      <c r="CO474" s="308">
        <f t="shared" si="420"/>
        <v>0.95</v>
      </c>
      <c r="CP474" s="213" t="str">
        <f t="shared" si="422"/>
        <v>Đạt</v>
      </c>
      <c r="CQ474" s="213" t="str">
        <f t="shared" si="423"/>
        <v>Đạt</v>
      </c>
      <c r="CR474" s="312"/>
      <c r="CS474" s="312"/>
      <c r="CT474" s="235"/>
      <c r="CU474" s="163"/>
      <c r="CV474" s="323"/>
      <c r="CW474" s="195"/>
      <c r="CX474" s="196"/>
      <c r="CY474" s="196"/>
      <c r="CZ474" s="197"/>
      <c r="DA474" s="196"/>
      <c r="DB474" s="196"/>
      <c r="DC474" s="196"/>
      <c r="DE474" s="199"/>
      <c r="DF474" s="200"/>
      <c r="DG474" s="181"/>
    </row>
    <row r="475" spans="1:111" ht="45.75" customHeight="1" outlineLevel="1" x14ac:dyDescent="0.25">
      <c r="A475" s="305" t="s">
        <v>34</v>
      </c>
      <c r="B475" s="306" t="s">
        <v>377</v>
      </c>
      <c r="C475" s="306"/>
      <c r="D475" s="307">
        <f>E475+F475</f>
        <v>4675</v>
      </c>
      <c r="E475" s="307"/>
      <c r="F475" s="307">
        <f>G475+H475+K475+M475</f>
        <v>4675</v>
      </c>
      <c r="G475" s="307"/>
      <c r="H475" s="307">
        <v>4675</v>
      </c>
      <c r="I475" s="235"/>
      <c r="J475" s="235"/>
      <c r="K475" s="303"/>
      <c r="L475" s="235"/>
      <c r="M475" s="223"/>
      <c r="N475" s="223"/>
      <c r="O475" s="303"/>
      <c r="P475" s="303">
        <v>0</v>
      </c>
      <c r="Q475" s="308">
        <f t="shared" si="421"/>
        <v>0</v>
      </c>
      <c r="R475" s="303"/>
      <c r="S475" s="309">
        <v>0</v>
      </c>
      <c r="T475" s="309">
        <v>0</v>
      </c>
      <c r="U475" s="303"/>
      <c r="V475" s="309">
        <v>0</v>
      </c>
      <c r="W475" s="309">
        <v>0</v>
      </c>
      <c r="X475" s="303"/>
      <c r="Y475" s="309">
        <v>0</v>
      </c>
      <c r="Z475" s="309">
        <v>0</v>
      </c>
      <c r="AA475" s="303"/>
      <c r="AB475" s="309">
        <v>0</v>
      </c>
      <c r="AC475" s="309">
        <v>0</v>
      </c>
      <c r="AD475" s="303"/>
      <c r="AE475" s="309">
        <v>0</v>
      </c>
      <c r="AF475" s="309">
        <v>0</v>
      </c>
      <c r="AG475" s="303"/>
      <c r="AH475" s="309">
        <v>0</v>
      </c>
      <c r="AI475" s="309">
        <v>0</v>
      </c>
      <c r="AJ475" s="188"/>
      <c r="AK475" s="309">
        <v>0</v>
      </c>
      <c r="AL475" s="309">
        <v>0</v>
      </c>
      <c r="AM475" s="303"/>
      <c r="AN475" s="309">
        <v>0</v>
      </c>
      <c r="AO475" s="309">
        <v>0</v>
      </c>
      <c r="AP475" s="309"/>
      <c r="AQ475" s="303"/>
      <c r="AR475" s="309">
        <v>0</v>
      </c>
      <c r="AS475" s="309">
        <v>0</v>
      </c>
      <c r="AT475" s="303"/>
      <c r="AU475" s="309">
        <v>0</v>
      </c>
      <c r="AV475" s="309">
        <v>0</v>
      </c>
      <c r="AW475" s="309"/>
      <c r="AX475" s="309"/>
      <c r="AY475" s="309"/>
      <c r="AZ475" s="309"/>
      <c r="BA475" s="309"/>
      <c r="BB475" s="309"/>
      <c r="BC475" s="303"/>
      <c r="BD475" s="309">
        <v>0</v>
      </c>
      <c r="BE475" s="309">
        <v>0</v>
      </c>
      <c r="BF475" s="351"/>
      <c r="BG475" s="351">
        <v>377.60399999999998</v>
      </c>
      <c r="BH475" s="309">
        <v>8.0770909090909088E-2</v>
      </c>
      <c r="BI475" s="309">
        <v>8.5022009569377985E-2</v>
      </c>
      <c r="BJ475" s="349">
        <f t="shared" si="410"/>
        <v>4441.25</v>
      </c>
      <c r="BK475" s="349">
        <v>1045.537</v>
      </c>
      <c r="BL475" s="309">
        <f t="shared" si="411"/>
        <v>0.22364427807486631</v>
      </c>
      <c r="BM475" s="309">
        <f t="shared" si="425"/>
        <v>0.23541502955249086</v>
      </c>
      <c r="BN475" s="205">
        <f t="shared" si="407"/>
        <v>1045.537</v>
      </c>
      <c r="BO475" s="205"/>
      <c r="BP475" s="310"/>
      <c r="BQ475" s="308">
        <f t="shared" si="412"/>
        <v>0</v>
      </c>
      <c r="BR475" s="310"/>
      <c r="BS475" s="308">
        <f t="shared" si="413"/>
        <v>0</v>
      </c>
      <c r="BT475" s="310">
        <f>F475*0.1</f>
        <v>467.5</v>
      </c>
      <c r="BU475" s="308">
        <f t="shared" si="414"/>
        <v>0.1</v>
      </c>
      <c r="BV475" s="310">
        <f>F475*0.2</f>
        <v>935</v>
      </c>
      <c r="BW475" s="308">
        <f t="shared" si="415"/>
        <v>0.2</v>
      </c>
      <c r="BX475" s="310">
        <f>F475*0.3</f>
        <v>1402.5</v>
      </c>
      <c r="BY475" s="308">
        <f t="shared" si="416"/>
        <v>0.3</v>
      </c>
      <c r="BZ475" s="310">
        <f>F475*0.4</f>
        <v>1870</v>
      </c>
      <c r="CA475" s="308">
        <f t="shared" si="417"/>
        <v>0.4</v>
      </c>
      <c r="CB475" s="310">
        <f>F475*0.5</f>
        <v>2337.5</v>
      </c>
      <c r="CC475" s="308">
        <f t="shared" si="408"/>
        <v>0.5</v>
      </c>
      <c r="CD475" s="310">
        <f>F475*0.55</f>
        <v>2571.25</v>
      </c>
      <c r="CE475" s="308">
        <f t="shared" si="408"/>
        <v>0.55000000000000004</v>
      </c>
      <c r="CF475" s="310">
        <f>F475*0.6</f>
        <v>2805</v>
      </c>
      <c r="CG475" s="308">
        <f t="shared" si="409"/>
        <v>0.6</v>
      </c>
      <c r="CH475" s="310">
        <f>F475*0.7</f>
        <v>3272.5</v>
      </c>
      <c r="CI475" s="308">
        <f t="shared" si="409"/>
        <v>0.7</v>
      </c>
      <c r="CJ475" s="310">
        <f>F475*0.8</f>
        <v>3740</v>
      </c>
      <c r="CK475" s="308">
        <f t="shared" si="418"/>
        <v>0.8</v>
      </c>
      <c r="CL475" s="310">
        <f>F475*0.9</f>
        <v>4207.5</v>
      </c>
      <c r="CM475" s="308">
        <f t="shared" si="419"/>
        <v>0.9</v>
      </c>
      <c r="CN475" s="310">
        <f>F475*0.95</f>
        <v>4441.25</v>
      </c>
      <c r="CO475" s="308">
        <f t="shared" si="420"/>
        <v>0.95</v>
      </c>
      <c r="CP475" s="213" t="str">
        <f t="shared" si="422"/>
        <v>Không đạt</v>
      </c>
      <c r="CQ475" s="213" t="str">
        <f t="shared" si="423"/>
        <v>Không đạt</v>
      </c>
      <c r="CR475" s="312"/>
      <c r="CS475" s="312"/>
      <c r="CT475" s="235"/>
      <c r="CU475" s="163"/>
      <c r="CW475" s="195"/>
      <c r="CX475" s="196"/>
      <c r="CY475" s="196"/>
      <c r="CZ475" s="197"/>
      <c r="DA475" s="196"/>
      <c r="DB475" s="196"/>
      <c r="DC475" s="196"/>
      <c r="DE475" s="199"/>
      <c r="DF475" s="200"/>
      <c r="DG475" s="181"/>
    </row>
    <row r="476" spans="1:111" ht="18" customHeight="1" x14ac:dyDescent="0.25">
      <c r="A476" s="213">
        <f>MAX(A$243:A474)+1</f>
        <v>67</v>
      </c>
      <c r="B476" s="240" t="s">
        <v>471</v>
      </c>
      <c r="C476" s="240"/>
      <c r="D476" s="188">
        <f t="shared" ref="D476:I476" si="429">D477+D479+D480</f>
        <v>10975</v>
      </c>
      <c r="E476" s="188">
        <f t="shared" si="429"/>
        <v>0</v>
      </c>
      <c r="F476" s="188">
        <f t="shared" si="429"/>
        <v>10975</v>
      </c>
      <c r="G476" s="188">
        <f t="shared" si="429"/>
        <v>8000</v>
      </c>
      <c r="H476" s="188">
        <f t="shared" si="429"/>
        <v>2975</v>
      </c>
      <c r="I476" s="188">
        <f t="shared" si="429"/>
        <v>0</v>
      </c>
      <c r="J476" s="188"/>
      <c r="K476" s="188">
        <f>K477+K479+K480</f>
        <v>0</v>
      </c>
      <c r="L476" s="188">
        <f>L477+L479+L480</f>
        <v>0</v>
      </c>
      <c r="M476" s="188">
        <f>M477+M479+M480</f>
        <v>0</v>
      </c>
      <c r="N476" s="188">
        <f>N477+N479+N480</f>
        <v>0</v>
      </c>
      <c r="O476" s="188">
        <f>O477+O479+O480</f>
        <v>8000</v>
      </c>
      <c r="P476" s="188">
        <v>0</v>
      </c>
      <c r="Q476" s="186">
        <f t="shared" si="421"/>
        <v>0</v>
      </c>
      <c r="R476" s="188">
        <v>0</v>
      </c>
      <c r="S476" s="185">
        <v>0</v>
      </c>
      <c r="T476" s="185">
        <v>0</v>
      </c>
      <c r="U476" s="188">
        <v>0</v>
      </c>
      <c r="V476" s="185">
        <v>0</v>
      </c>
      <c r="W476" s="185">
        <v>0</v>
      </c>
      <c r="X476" s="188">
        <v>0</v>
      </c>
      <c r="Y476" s="185">
        <v>0</v>
      </c>
      <c r="Z476" s="185">
        <v>0</v>
      </c>
      <c r="AA476" s="188">
        <v>0</v>
      </c>
      <c r="AB476" s="185">
        <v>0</v>
      </c>
      <c r="AC476" s="185">
        <v>0</v>
      </c>
      <c r="AD476" s="188">
        <v>872.75300000000004</v>
      </c>
      <c r="AE476" s="185">
        <v>7.9521913439635536E-2</v>
      </c>
      <c r="AF476" s="185">
        <v>8.3707277304879521E-2</v>
      </c>
      <c r="AG476" s="188">
        <v>872.75300000000004</v>
      </c>
      <c r="AH476" s="185">
        <v>7.9521913439635536E-2</v>
      </c>
      <c r="AI476" s="185">
        <v>8.3707277304879521E-2</v>
      </c>
      <c r="AJ476" s="317">
        <v>872.75300000000004</v>
      </c>
      <c r="AK476" s="185">
        <v>7.9521913439635536E-2</v>
      </c>
      <c r="AL476" s="185">
        <v>8.3707277304879521E-2</v>
      </c>
      <c r="AM476" s="188">
        <v>872.75300000000004</v>
      </c>
      <c r="AN476" s="185">
        <v>7.9521913439635536E-2</v>
      </c>
      <c r="AO476" s="185">
        <v>8.3707277304879521E-2</v>
      </c>
      <c r="AP476" s="185"/>
      <c r="AQ476" s="188">
        <v>872.75300000000004</v>
      </c>
      <c r="AR476" s="185">
        <v>7.9521913439635536E-2</v>
      </c>
      <c r="AS476" s="185">
        <v>8.3707277304879521E-2</v>
      </c>
      <c r="AT476" s="188">
        <v>872.75300000000004</v>
      </c>
      <c r="AU476" s="185">
        <v>7.9521913439635536E-2</v>
      </c>
      <c r="AV476" s="185">
        <v>8.3707277304879521E-2</v>
      </c>
      <c r="AW476" s="185"/>
      <c r="AX476" s="185"/>
      <c r="AY476" s="185"/>
      <c r="AZ476" s="185"/>
      <c r="BA476" s="185"/>
      <c r="BB476" s="185"/>
      <c r="BC476" s="188">
        <v>872.75300000000004</v>
      </c>
      <c r="BD476" s="185">
        <v>7.9521913439635536E-2</v>
      </c>
      <c r="BE476" s="185">
        <v>8.3707277304879521E-2</v>
      </c>
      <c r="BF476" s="352"/>
      <c r="BG476" s="352">
        <v>962.173</v>
      </c>
      <c r="BH476" s="185">
        <v>8.7669521640091119E-2</v>
      </c>
      <c r="BI476" s="185">
        <v>9.22837069895696E-2</v>
      </c>
      <c r="BJ476" s="374">
        <f t="shared" si="410"/>
        <v>10426.25</v>
      </c>
      <c r="BK476" s="374">
        <v>1012.143</v>
      </c>
      <c r="BL476" s="185">
        <f t="shared" si="411"/>
        <v>9.2222596810933949E-2</v>
      </c>
      <c r="BM476" s="185">
        <f t="shared" si="425"/>
        <v>9.7076417695719938E-2</v>
      </c>
      <c r="BN476" s="205">
        <f t="shared" si="407"/>
        <v>139.38999999999999</v>
      </c>
      <c r="BO476" s="205"/>
      <c r="BP476" s="189">
        <f>BP477+BP479+BP480</f>
        <v>800</v>
      </c>
      <c r="BQ476" s="186">
        <f t="shared" si="412"/>
        <v>7.289293849658314E-2</v>
      </c>
      <c r="BR476" s="189">
        <f>BR477+BR479+BR480</f>
        <v>2300</v>
      </c>
      <c r="BS476" s="186">
        <f t="shared" si="413"/>
        <v>0.20956719817767655</v>
      </c>
      <c r="BT476" s="189">
        <f>BT477+BT479+BT480</f>
        <v>3740</v>
      </c>
      <c r="BU476" s="186">
        <f t="shared" si="414"/>
        <v>0.34077448747152622</v>
      </c>
      <c r="BV476" s="189">
        <f>BV477+BV479+BV480</f>
        <v>5190</v>
      </c>
      <c r="BW476" s="186">
        <f t="shared" si="415"/>
        <v>0.47289293849658315</v>
      </c>
      <c r="BX476" s="189">
        <f>BX477+BX479+BX480</f>
        <v>6640</v>
      </c>
      <c r="BY476" s="186">
        <f t="shared" si="416"/>
        <v>0.60501138952164013</v>
      </c>
      <c r="BZ476" s="189">
        <f>BZ477+BZ479+BZ480</f>
        <v>8040</v>
      </c>
      <c r="CA476" s="186">
        <f t="shared" si="417"/>
        <v>0.73257403189066062</v>
      </c>
      <c r="CB476" s="189">
        <f>CB477+CB479+CB480</f>
        <v>8790</v>
      </c>
      <c r="CC476" s="186">
        <f t="shared" si="408"/>
        <v>0.80091116173120724</v>
      </c>
      <c r="CD476" s="189">
        <f>CD477+CD479+CD480</f>
        <v>9240</v>
      </c>
      <c r="CE476" s="186">
        <f t="shared" si="408"/>
        <v>0.84191343963553533</v>
      </c>
      <c r="CF476" s="189">
        <f>CF477+CF479+CF480</f>
        <v>9640</v>
      </c>
      <c r="CG476" s="186">
        <f t="shared" si="409"/>
        <v>0.87835990888382687</v>
      </c>
      <c r="CH476" s="189">
        <f>CH477+CH479+CH480</f>
        <v>9890</v>
      </c>
      <c r="CI476" s="186">
        <f t="shared" si="409"/>
        <v>0.90113895216400908</v>
      </c>
      <c r="CJ476" s="189">
        <f>CJ477+CJ479+CJ480</f>
        <v>10140</v>
      </c>
      <c r="CK476" s="186">
        <f t="shared" si="418"/>
        <v>0.9239179954441914</v>
      </c>
      <c r="CL476" s="189">
        <f>CL477+CL479+CL480</f>
        <v>10426.25</v>
      </c>
      <c r="CM476" s="186">
        <f t="shared" si="419"/>
        <v>0.95</v>
      </c>
      <c r="CN476" s="189">
        <f>CN477+CN479+CN480</f>
        <v>10426.25</v>
      </c>
      <c r="CO476" s="186">
        <f t="shared" si="420"/>
        <v>0.95</v>
      </c>
      <c r="CP476" s="213" t="str">
        <f t="shared" si="422"/>
        <v>Không đạt</v>
      </c>
      <c r="CQ476" s="213" t="str">
        <f t="shared" si="423"/>
        <v>Không đạt</v>
      </c>
      <c r="CR476" s="213"/>
      <c r="CS476" s="213"/>
      <c r="CT476" s="231"/>
      <c r="CU476" s="163"/>
      <c r="CW476" s="195"/>
      <c r="CX476" s="196"/>
      <c r="CY476" s="196"/>
      <c r="CZ476" s="197"/>
      <c r="DA476" s="196"/>
      <c r="DB476" s="196"/>
      <c r="DC476" s="196"/>
      <c r="DE476" s="199"/>
      <c r="DF476" s="200"/>
      <c r="DG476" s="181"/>
    </row>
    <row r="477" spans="1:111" s="324" customFormat="1" outlineLevel="1" x14ac:dyDescent="0.25">
      <c r="A477" s="305" t="s">
        <v>34</v>
      </c>
      <c r="B477" s="318" t="s">
        <v>381</v>
      </c>
      <c r="C477" s="306"/>
      <c r="D477" s="317">
        <f>D478</f>
        <v>5000</v>
      </c>
      <c r="E477" s="317">
        <f t="shared" ref="E477:L477" si="430">E478</f>
        <v>0</v>
      </c>
      <c r="F477" s="317">
        <f t="shared" si="430"/>
        <v>5000</v>
      </c>
      <c r="G477" s="317">
        <f t="shared" si="430"/>
        <v>5000</v>
      </c>
      <c r="H477" s="317">
        <f t="shared" si="430"/>
        <v>0</v>
      </c>
      <c r="I477" s="214">
        <f t="shared" si="430"/>
        <v>0</v>
      </c>
      <c r="J477" s="214"/>
      <c r="K477" s="317">
        <f t="shared" si="430"/>
        <v>0</v>
      </c>
      <c r="L477" s="214">
        <f t="shared" si="430"/>
        <v>0</v>
      </c>
      <c r="M477" s="223"/>
      <c r="N477" s="223"/>
      <c r="O477" s="317">
        <f t="shared" si="427"/>
        <v>5000</v>
      </c>
      <c r="P477" s="317">
        <v>0</v>
      </c>
      <c r="Q477" s="319">
        <f t="shared" si="421"/>
        <v>0</v>
      </c>
      <c r="R477" s="317">
        <v>0</v>
      </c>
      <c r="S477" s="320">
        <v>0</v>
      </c>
      <c r="T477" s="320">
        <v>0</v>
      </c>
      <c r="U477" s="317">
        <v>0</v>
      </c>
      <c r="V477" s="320">
        <v>0</v>
      </c>
      <c r="W477" s="320">
        <v>0</v>
      </c>
      <c r="X477" s="317">
        <v>0</v>
      </c>
      <c r="Y477" s="320">
        <v>0</v>
      </c>
      <c r="Z477" s="320">
        <v>0</v>
      </c>
      <c r="AA477" s="317">
        <v>0</v>
      </c>
      <c r="AB477" s="320">
        <v>0</v>
      </c>
      <c r="AC477" s="320">
        <v>0</v>
      </c>
      <c r="AD477" s="317">
        <v>0</v>
      </c>
      <c r="AE477" s="320">
        <v>0</v>
      </c>
      <c r="AF477" s="320">
        <v>0</v>
      </c>
      <c r="AG477" s="317">
        <v>0</v>
      </c>
      <c r="AH477" s="320">
        <v>0</v>
      </c>
      <c r="AI477" s="320">
        <v>0</v>
      </c>
      <c r="AJ477" s="223">
        <v>0</v>
      </c>
      <c r="AK477" s="320">
        <v>0</v>
      </c>
      <c r="AL477" s="320">
        <v>0</v>
      </c>
      <c r="AM477" s="317">
        <v>0</v>
      </c>
      <c r="AN477" s="320">
        <v>0</v>
      </c>
      <c r="AO477" s="320">
        <v>0</v>
      </c>
      <c r="AP477" s="320"/>
      <c r="AQ477" s="317">
        <v>0</v>
      </c>
      <c r="AR477" s="320">
        <v>0</v>
      </c>
      <c r="AS477" s="320">
        <v>0</v>
      </c>
      <c r="AT477" s="317">
        <v>0</v>
      </c>
      <c r="AU477" s="320">
        <v>0</v>
      </c>
      <c r="AV477" s="320">
        <v>0</v>
      </c>
      <c r="AW477" s="320"/>
      <c r="AX477" s="320"/>
      <c r="AY477" s="320"/>
      <c r="AZ477" s="320"/>
      <c r="BA477" s="320"/>
      <c r="BB477" s="320"/>
      <c r="BC477" s="317">
        <v>0</v>
      </c>
      <c r="BD477" s="320">
        <v>0</v>
      </c>
      <c r="BE477" s="320">
        <v>0</v>
      </c>
      <c r="BF477" s="349"/>
      <c r="BG477" s="349">
        <v>0</v>
      </c>
      <c r="BH477" s="320">
        <v>0</v>
      </c>
      <c r="BI477" s="320">
        <v>0</v>
      </c>
      <c r="BJ477" s="349">
        <f t="shared" si="410"/>
        <v>4750</v>
      </c>
      <c r="BK477" s="349">
        <v>0</v>
      </c>
      <c r="BL477" s="320">
        <f t="shared" si="411"/>
        <v>0</v>
      </c>
      <c r="BM477" s="320">
        <f t="shared" si="425"/>
        <v>0</v>
      </c>
      <c r="BN477" s="205">
        <f t="shared" si="407"/>
        <v>0</v>
      </c>
      <c r="BO477" s="205"/>
      <c r="BP477" s="307">
        <f>BP478</f>
        <v>800</v>
      </c>
      <c r="BQ477" s="322">
        <f t="shared" si="412"/>
        <v>0.16</v>
      </c>
      <c r="BR477" s="307">
        <f>BR478</f>
        <v>1700</v>
      </c>
      <c r="BS477" s="322">
        <f t="shared" si="413"/>
        <v>0.34</v>
      </c>
      <c r="BT477" s="307">
        <f>BT478</f>
        <v>2500</v>
      </c>
      <c r="BU477" s="319">
        <f t="shared" si="414"/>
        <v>0.5</v>
      </c>
      <c r="BV477" s="307">
        <f>BV478</f>
        <v>3300</v>
      </c>
      <c r="BW477" s="322">
        <f t="shared" si="415"/>
        <v>0.66</v>
      </c>
      <c r="BX477" s="307">
        <f>BX478</f>
        <v>4100</v>
      </c>
      <c r="BY477" s="322">
        <f t="shared" si="416"/>
        <v>0.82</v>
      </c>
      <c r="BZ477" s="307">
        <f>BZ478</f>
        <v>4750</v>
      </c>
      <c r="CA477" s="322">
        <f t="shared" si="417"/>
        <v>0.95</v>
      </c>
      <c r="CB477" s="307">
        <f>CB478</f>
        <v>4750</v>
      </c>
      <c r="CC477" s="322">
        <f t="shared" si="408"/>
        <v>0.95</v>
      </c>
      <c r="CD477" s="307">
        <f>CD478</f>
        <v>4750</v>
      </c>
      <c r="CE477" s="322">
        <f t="shared" si="408"/>
        <v>0.95</v>
      </c>
      <c r="CF477" s="307">
        <f>CF478</f>
        <v>4750</v>
      </c>
      <c r="CG477" s="322">
        <f t="shared" si="409"/>
        <v>0.95</v>
      </c>
      <c r="CH477" s="307">
        <f>CH478</f>
        <v>4750</v>
      </c>
      <c r="CI477" s="322">
        <f t="shared" si="409"/>
        <v>0.95</v>
      </c>
      <c r="CJ477" s="307">
        <f>CJ478</f>
        <v>4750</v>
      </c>
      <c r="CK477" s="322">
        <f t="shared" si="418"/>
        <v>0.95</v>
      </c>
      <c r="CL477" s="307">
        <f>CL478</f>
        <v>4750</v>
      </c>
      <c r="CM477" s="322">
        <f t="shared" si="419"/>
        <v>0.95</v>
      </c>
      <c r="CN477" s="307">
        <f>CN478</f>
        <v>4750</v>
      </c>
      <c r="CO477" s="322">
        <f t="shared" si="420"/>
        <v>0.95</v>
      </c>
      <c r="CP477" s="213" t="str">
        <f t="shared" si="422"/>
        <v>Không đạt</v>
      </c>
      <c r="CQ477" s="213" t="str">
        <f t="shared" si="423"/>
        <v>Không đạt</v>
      </c>
      <c r="CR477" s="312"/>
      <c r="CS477" s="312"/>
      <c r="CT477" s="235"/>
      <c r="CU477" s="163"/>
      <c r="CV477" s="323"/>
      <c r="CW477" s="195"/>
      <c r="CX477" s="196"/>
      <c r="CY477" s="196"/>
      <c r="CZ477" s="197"/>
      <c r="DA477" s="196"/>
      <c r="DB477" s="196"/>
      <c r="DC477" s="196"/>
      <c r="DE477" s="199"/>
      <c r="DF477" s="200"/>
      <c r="DG477" s="181"/>
    </row>
    <row r="478" spans="1:111" ht="25.5" outlineLevel="1" x14ac:dyDescent="0.25">
      <c r="A478" s="192"/>
      <c r="B478" s="325" t="s">
        <v>472</v>
      </c>
      <c r="C478" s="325"/>
      <c r="D478" s="214">
        <f>E478+F478</f>
        <v>5000</v>
      </c>
      <c r="E478" s="215"/>
      <c r="F478" s="214">
        <f>G478+H478+K478+M478</f>
        <v>5000</v>
      </c>
      <c r="G478" s="333">
        <v>5000</v>
      </c>
      <c r="H478" s="223"/>
      <c r="I478" s="235"/>
      <c r="J478" s="235"/>
      <c r="K478" s="223"/>
      <c r="L478" s="235"/>
      <c r="M478" s="223"/>
      <c r="N478" s="223"/>
      <c r="O478" s="223">
        <f t="shared" si="427"/>
        <v>5000</v>
      </c>
      <c r="P478" s="223">
        <v>0</v>
      </c>
      <c r="Q478" s="224">
        <f t="shared" si="421"/>
        <v>0</v>
      </c>
      <c r="R478" s="223"/>
      <c r="S478" s="326">
        <v>0</v>
      </c>
      <c r="T478" s="326">
        <v>0</v>
      </c>
      <c r="U478" s="223"/>
      <c r="V478" s="326">
        <v>0</v>
      </c>
      <c r="W478" s="326">
        <v>0</v>
      </c>
      <c r="X478" s="223"/>
      <c r="Y478" s="326">
        <v>0</v>
      </c>
      <c r="Z478" s="326">
        <v>0</v>
      </c>
      <c r="AA478" s="223"/>
      <c r="AB478" s="326">
        <v>0</v>
      </c>
      <c r="AC478" s="326">
        <v>0</v>
      </c>
      <c r="AD478" s="223"/>
      <c r="AE478" s="326">
        <v>0</v>
      </c>
      <c r="AF478" s="326">
        <v>0</v>
      </c>
      <c r="AG478" s="223"/>
      <c r="AH478" s="326">
        <v>0</v>
      </c>
      <c r="AI478" s="326">
        <v>0</v>
      </c>
      <c r="AJ478" s="307"/>
      <c r="AK478" s="326">
        <v>0</v>
      </c>
      <c r="AL478" s="326">
        <v>0</v>
      </c>
      <c r="AM478" s="223"/>
      <c r="AN478" s="326">
        <v>0</v>
      </c>
      <c r="AO478" s="326">
        <v>0</v>
      </c>
      <c r="AP478" s="326"/>
      <c r="AQ478" s="223"/>
      <c r="AR478" s="326">
        <v>0</v>
      </c>
      <c r="AS478" s="326">
        <v>0</v>
      </c>
      <c r="AT478" s="223"/>
      <c r="AU478" s="326">
        <v>0</v>
      </c>
      <c r="AV478" s="326">
        <v>0</v>
      </c>
      <c r="AW478" s="326"/>
      <c r="AX478" s="326"/>
      <c r="AY478" s="326"/>
      <c r="AZ478" s="326"/>
      <c r="BA478" s="326"/>
      <c r="BB478" s="326"/>
      <c r="BC478" s="223"/>
      <c r="BD478" s="326">
        <v>0</v>
      </c>
      <c r="BE478" s="326">
        <v>0</v>
      </c>
      <c r="BF478" s="350"/>
      <c r="BG478" s="350">
        <v>0</v>
      </c>
      <c r="BH478" s="326">
        <v>0</v>
      </c>
      <c r="BI478" s="326">
        <v>0</v>
      </c>
      <c r="BJ478" s="402">
        <f t="shared" si="410"/>
        <v>4750</v>
      </c>
      <c r="BK478" s="402">
        <v>0</v>
      </c>
      <c r="BL478" s="326">
        <f t="shared" si="411"/>
        <v>0</v>
      </c>
      <c r="BM478" s="326">
        <f t="shared" si="425"/>
        <v>0</v>
      </c>
      <c r="BN478" s="205">
        <f t="shared" si="407"/>
        <v>0</v>
      </c>
      <c r="BO478" s="205"/>
      <c r="BP478" s="227">
        <v>800</v>
      </c>
      <c r="BQ478" s="327">
        <f t="shared" si="412"/>
        <v>0.16</v>
      </c>
      <c r="BR478" s="227">
        <v>1700</v>
      </c>
      <c r="BS478" s="327">
        <f t="shared" si="413"/>
        <v>0.34</v>
      </c>
      <c r="BT478" s="227">
        <v>2500</v>
      </c>
      <c r="BU478" s="224">
        <f t="shared" si="414"/>
        <v>0.5</v>
      </c>
      <c r="BV478" s="227">
        <v>3300</v>
      </c>
      <c r="BW478" s="327">
        <f t="shared" si="415"/>
        <v>0.66</v>
      </c>
      <c r="BX478" s="227">
        <v>4100</v>
      </c>
      <c r="BY478" s="327">
        <f t="shared" si="416"/>
        <v>0.82</v>
      </c>
      <c r="BZ478" s="227">
        <v>4750</v>
      </c>
      <c r="CA478" s="327">
        <f t="shared" si="417"/>
        <v>0.95</v>
      </c>
      <c r="CB478" s="227">
        <v>4750</v>
      </c>
      <c r="CC478" s="327">
        <f t="shared" si="408"/>
        <v>0.95</v>
      </c>
      <c r="CD478" s="227">
        <v>4750</v>
      </c>
      <c r="CE478" s="327">
        <f t="shared" si="408"/>
        <v>0.95</v>
      </c>
      <c r="CF478" s="227">
        <v>4750</v>
      </c>
      <c r="CG478" s="327">
        <f t="shared" si="409"/>
        <v>0.95</v>
      </c>
      <c r="CH478" s="227">
        <v>4750</v>
      </c>
      <c r="CI478" s="327">
        <f t="shared" si="409"/>
        <v>0.95</v>
      </c>
      <c r="CJ478" s="227">
        <v>4750</v>
      </c>
      <c r="CK478" s="327">
        <f t="shared" si="418"/>
        <v>0.95</v>
      </c>
      <c r="CL478" s="227">
        <v>4750</v>
      </c>
      <c r="CM478" s="327">
        <f t="shared" si="419"/>
        <v>0.95</v>
      </c>
      <c r="CN478" s="227">
        <v>4750</v>
      </c>
      <c r="CO478" s="327">
        <f t="shared" si="420"/>
        <v>0.95</v>
      </c>
      <c r="CP478" s="213" t="str">
        <f t="shared" si="422"/>
        <v>Không đạt</v>
      </c>
      <c r="CQ478" s="213" t="str">
        <f t="shared" si="423"/>
        <v>Không đạt</v>
      </c>
      <c r="CR478" s="192"/>
      <c r="CS478" s="192"/>
      <c r="CT478" s="223"/>
      <c r="CU478" s="163"/>
      <c r="CW478" s="195"/>
      <c r="CX478" s="196"/>
      <c r="CY478" s="196"/>
      <c r="CZ478" s="197"/>
      <c r="DA478" s="196"/>
      <c r="DB478" s="196"/>
      <c r="DC478" s="196"/>
      <c r="DE478" s="199"/>
      <c r="DF478" s="200"/>
      <c r="DG478" s="181"/>
    </row>
    <row r="479" spans="1:111" s="324" customFormat="1" outlineLevel="1" x14ac:dyDescent="0.25">
      <c r="A479" s="305" t="s">
        <v>34</v>
      </c>
      <c r="B479" s="318" t="s">
        <v>376</v>
      </c>
      <c r="C479" s="306"/>
      <c r="D479" s="307">
        <f>E479+F479</f>
        <v>3000</v>
      </c>
      <c r="E479" s="307"/>
      <c r="F479" s="307">
        <f>G479+H479+K479+M479</f>
        <v>3000</v>
      </c>
      <c r="G479" s="307">
        <v>3000</v>
      </c>
      <c r="H479" s="303"/>
      <c r="I479" s="235"/>
      <c r="J479" s="235"/>
      <c r="K479" s="303"/>
      <c r="L479" s="235"/>
      <c r="M479" s="223"/>
      <c r="N479" s="223"/>
      <c r="O479" s="303">
        <f t="shared" si="427"/>
        <v>3000</v>
      </c>
      <c r="P479" s="303">
        <v>0</v>
      </c>
      <c r="Q479" s="308">
        <f t="shared" si="421"/>
        <v>0</v>
      </c>
      <c r="R479" s="303"/>
      <c r="S479" s="313">
        <v>0</v>
      </c>
      <c r="T479" s="313">
        <v>0</v>
      </c>
      <c r="U479" s="303"/>
      <c r="V479" s="313">
        <v>0</v>
      </c>
      <c r="W479" s="313">
        <v>0</v>
      </c>
      <c r="X479" s="303"/>
      <c r="Y479" s="313">
        <v>0</v>
      </c>
      <c r="Z479" s="313">
        <v>0</v>
      </c>
      <c r="AA479" s="303"/>
      <c r="AB479" s="313">
        <v>0</v>
      </c>
      <c r="AC479" s="313">
        <v>0</v>
      </c>
      <c r="AD479" s="303">
        <v>872.75300000000004</v>
      </c>
      <c r="AE479" s="313">
        <v>0.29091766666666669</v>
      </c>
      <c r="AF479" s="313">
        <v>0.30622912280701758</v>
      </c>
      <c r="AG479" s="307">
        <v>872.75300000000004</v>
      </c>
      <c r="AH479" s="313">
        <v>0.29091766666666669</v>
      </c>
      <c r="AI479" s="313">
        <v>0.30622912280701758</v>
      </c>
      <c r="AJ479" s="303">
        <v>872.75300000000004</v>
      </c>
      <c r="AK479" s="313">
        <v>0.29091766666666669</v>
      </c>
      <c r="AL479" s="313">
        <v>0.30622912280701758</v>
      </c>
      <c r="AM479" s="307">
        <v>872.75300000000004</v>
      </c>
      <c r="AN479" s="313">
        <v>0.29091766666666669</v>
      </c>
      <c r="AO479" s="313">
        <v>0.30622912280701758</v>
      </c>
      <c r="AP479" s="313"/>
      <c r="AQ479" s="307">
        <v>872.75300000000004</v>
      </c>
      <c r="AR479" s="313">
        <v>0.29091766666666669</v>
      </c>
      <c r="AS479" s="313">
        <v>0.30622912280701758</v>
      </c>
      <c r="AT479" s="307">
        <v>872.75300000000004</v>
      </c>
      <c r="AU479" s="313">
        <v>0.29091766666666669</v>
      </c>
      <c r="AV479" s="313">
        <v>0.30622912280701758</v>
      </c>
      <c r="AW479" s="313"/>
      <c r="AX479" s="313"/>
      <c r="AY479" s="313"/>
      <c r="AZ479" s="313"/>
      <c r="BA479" s="313"/>
      <c r="BB479" s="313"/>
      <c r="BC479" s="307">
        <v>872.75300000000004</v>
      </c>
      <c r="BD479" s="313">
        <v>0.29091766666666669</v>
      </c>
      <c r="BE479" s="313">
        <v>0.30622912280701758</v>
      </c>
      <c r="BF479" s="351"/>
      <c r="BG479" s="351">
        <v>962.173</v>
      </c>
      <c r="BH479" s="313">
        <v>0.32072433333333333</v>
      </c>
      <c r="BI479" s="313">
        <v>0.33760456140350875</v>
      </c>
      <c r="BJ479" s="349">
        <f t="shared" si="410"/>
        <v>2850</v>
      </c>
      <c r="BK479" s="349">
        <v>962.173</v>
      </c>
      <c r="BL479" s="313">
        <f t="shared" si="411"/>
        <v>0.32072433333333333</v>
      </c>
      <c r="BM479" s="313">
        <f t="shared" si="425"/>
        <v>0.33760456140350875</v>
      </c>
      <c r="BN479" s="205">
        <f t="shared" si="407"/>
        <v>89.419999999999959</v>
      </c>
      <c r="BO479" s="205"/>
      <c r="BP479" s="310"/>
      <c r="BQ479" s="311">
        <f t="shared" si="412"/>
        <v>0</v>
      </c>
      <c r="BR479" s="310">
        <v>300</v>
      </c>
      <c r="BS479" s="311">
        <f t="shared" si="413"/>
        <v>0.1</v>
      </c>
      <c r="BT479" s="310">
        <v>700</v>
      </c>
      <c r="BU479" s="308">
        <f t="shared" si="414"/>
        <v>0.23333333333333334</v>
      </c>
      <c r="BV479" s="310">
        <v>1100</v>
      </c>
      <c r="BW479" s="311">
        <f t="shared" si="415"/>
        <v>0.36666666666666664</v>
      </c>
      <c r="BX479" s="310">
        <v>1500</v>
      </c>
      <c r="BY479" s="311">
        <f t="shared" si="416"/>
        <v>0.5</v>
      </c>
      <c r="BZ479" s="310">
        <v>2000</v>
      </c>
      <c r="CA479" s="311">
        <f t="shared" si="417"/>
        <v>0.66666666666666663</v>
      </c>
      <c r="CB479" s="310">
        <v>2500</v>
      </c>
      <c r="CC479" s="311">
        <f t="shared" ref="CC479:CC542" si="431">CB479/$D479</f>
        <v>0.83333333333333337</v>
      </c>
      <c r="CD479" s="310">
        <v>2700</v>
      </c>
      <c r="CE479" s="311">
        <f t="shared" ref="CE479:CE515" si="432">CD479/$D479</f>
        <v>0.9</v>
      </c>
      <c r="CF479" s="310">
        <v>2850</v>
      </c>
      <c r="CG479" s="311">
        <f t="shared" ref="CG479:CG515" si="433">CF479/$D479</f>
        <v>0.95</v>
      </c>
      <c r="CH479" s="310">
        <v>2850</v>
      </c>
      <c r="CI479" s="311">
        <f t="shared" ref="CI479:CI515" si="434">CH479/$D479</f>
        <v>0.95</v>
      </c>
      <c r="CJ479" s="310">
        <v>2850</v>
      </c>
      <c r="CK479" s="311">
        <f t="shared" si="418"/>
        <v>0.95</v>
      </c>
      <c r="CL479" s="310">
        <v>2850</v>
      </c>
      <c r="CM479" s="311">
        <f t="shared" si="419"/>
        <v>0.95</v>
      </c>
      <c r="CN479" s="310">
        <v>2850</v>
      </c>
      <c r="CO479" s="311">
        <f t="shared" si="420"/>
        <v>0.95</v>
      </c>
      <c r="CP479" s="213" t="str">
        <f t="shared" si="422"/>
        <v>Không đạt</v>
      </c>
      <c r="CQ479" s="213" t="str">
        <f t="shared" si="423"/>
        <v>Không đạt</v>
      </c>
      <c r="CR479" s="312"/>
      <c r="CS479" s="312"/>
      <c r="CT479" s="235"/>
      <c r="CU479" s="163"/>
      <c r="CV479" s="323"/>
      <c r="CW479" s="195"/>
      <c r="CX479" s="196"/>
      <c r="CY479" s="196"/>
      <c r="CZ479" s="197"/>
      <c r="DA479" s="196"/>
      <c r="DB479" s="196"/>
      <c r="DC479" s="196"/>
      <c r="DE479" s="199"/>
      <c r="DF479" s="200"/>
      <c r="DG479" s="181"/>
    </row>
    <row r="480" spans="1:111" ht="25.5" outlineLevel="1" x14ac:dyDescent="0.25">
      <c r="A480" s="305" t="s">
        <v>34</v>
      </c>
      <c r="B480" s="306" t="s">
        <v>377</v>
      </c>
      <c r="C480" s="306"/>
      <c r="D480" s="307">
        <f>E480+F480</f>
        <v>2975</v>
      </c>
      <c r="E480" s="307"/>
      <c r="F480" s="307">
        <f>G480+H480+K480+M480</f>
        <v>2975</v>
      </c>
      <c r="G480" s="307"/>
      <c r="H480" s="307">
        <v>2975</v>
      </c>
      <c r="I480" s="235"/>
      <c r="J480" s="235"/>
      <c r="K480" s="303"/>
      <c r="L480" s="235"/>
      <c r="M480" s="223"/>
      <c r="N480" s="223"/>
      <c r="O480" s="303"/>
      <c r="P480" s="303">
        <v>0</v>
      </c>
      <c r="Q480" s="308">
        <f t="shared" si="421"/>
        <v>0</v>
      </c>
      <c r="R480" s="303"/>
      <c r="S480" s="313">
        <v>0</v>
      </c>
      <c r="T480" s="313">
        <v>0</v>
      </c>
      <c r="U480" s="303"/>
      <c r="V480" s="313">
        <v>0</v>
      </c>
      <c r="W480" s="313">
        <v>0</v>
      </c>
      <c r="X480" s="303"/>
      <c r="Y480" s="313">
        <v>0</v>
      </c>
      <c r="Z480" s="313">
        <v>0</v>
      </c>
      <c r="AA480" s="303"/>
      <c r="AB480" s="313">
        <v>0</v>
      </c>
      <c r="AC480" s="313">
        <v>0</v>
      </c>
      <c r="AD480" s="303"/>
      <c r="AE480" s="313">
        <v>0</v>
      </c>
      <c r="AF480" s="313">
        <v>0</v>
      </c>
      <c r="AG480" s="303"/>
      <c r="AH480" s="313">
        <v>0</v>
      </c>
      <c r="AI480" s="313">
        <v>0</v>
      </c>
      <c r="AJ480" s="314"/>
      <c r="AK480" s="313">
        <v>0</v>
      </c>
      <c r="AL480" s="313">
        <v>0</v>
      </c>
      <c r="AM480" s="303"/>
      <c r="AN480" s="313">
        <v>0</v>
      </c>
      <c r="AO480" s="313">
        <v>0</v>
      </c>
      <c r="AP480" s="313"/>
      <c r="AQ480" s="303"/>
      <c r="AR480" s="313">
        <v>0</v>
      </c>
      <c r="AS480" s="313">
        <v>0</v>
      </c>
      <c r="AT480" s="303"/>
      <c r="AU480" s="313">
        <v>0</v>
      </c>
      <c r="AV480" s="313">
        <v>0</v>
      </c>
      <c r="AW480" s="313"/>
      <c r="AX480" s="313"/>
      <c r="AY480" s="313"/>
      <c r="AZ480" s="313"/>
      <c r="BA480" s="313"/>
      <c r="BB480" s="313"/>
      <c r="BC480" s="303"/>
      <c r="BD480" s="313">
        <v>0</v>
      </c>
      <c r="BE480" s="313">
        <v>0</v>
      </c>
      <c r="BF480" s="351"/>
      <c r="BG480" s="351">
        <v>0</v>
      </c>
      <c r="BH480" s="313">
        <v>0</v>
      </c>
      <c r="BI480" s="313">
        <v>0</v>
      </c>
      <c r="BJ480" s="349">
        <f t="shared" si="410"/>
        <v>2826.25</v>
      </c>
      <c r="BK480" s="349">
        <v>0</v>
      </c>
      <c r="BL480" s="313">
        <f t="shared" si="411"/>
        <v>0</v>
      </c>
      <c r="BM480" s="313">
        <f t="shared" si="425"/>
        <v>0</v>
      </c>
      <c r="BN480" s="205">
        <f t="shared" si="407"/>
        <v>0</v>
      </c>
      <c r="BO480" s="205"/>
      <c r="BP480" s="310"/>
      <c r="BQ480" s="311">
        <f t="shared" si="412"/>
        <v>0</v>
      </c>
      <c r="BR480" s="310">
        <v>300</v>
      </c>
      <c r="BS480" s="311">
        <f t="shared" si="413"/>
        <v>0.10084033613445378</v>
      </c>
      <c r="BT480" s="310">
        <v>540</v>
      </c>
      <c r="BU480" s="308">
        <f t="shared" si="414"/>
        <v>0.1815126050420168</v>
      </c>
      <c r="BV480" s="310">
        <v>790</v>
      </c>
      <c r="BW480" s="311">
        <f t="shared" si="415"/>
        <v>0.26554621848739496</v>
      </c>
      <c r="BX480" s="310">
        <v>1040</v>
      </c>
      <c r="BY480" s="311">
        <f t="shared" si="416"/>
        <v>0.34957983193277309</v>
      </c>
      <c r="BZ480" s="310">
        <v>1290</v>
      </c>
      <c r="CA480" s="311">
        <f t="shared" si="417"/>
        <v>0.43361344537815127</v>
      </c>
      <c r="CB480" s="310">
        <v>1540</v>
      </c>
      <c r="CC480" s="311">
        <f t="shared" si="431"/>
        <v>0.51764705882352946</v>
      </c>
      <c r="CD480" s="310">
        <v>1790</v>
      </c>
      <c r="CE480" s="311">
        <f t="shared" si="432"/>
        <v>0.60168067226890753</v>
      </c>
      <c r="CF480" s="310">
        <v>2040</v>
      </c>
      <c r="CG480" s="311">
        <f t="shared" si="433"/>
        <v>0.68571428571428572</v>
      </c>
      <c r="CH480" s="310">
        <v>2290</v>
      </c>
      <c r="CI480" s="311">
        <f t="shared" si="434"/>
        <v>0.76974789915966391</v>
      </c>
      <c r="CJ480" s="310">
        <v>2540</v>
      </c>
      <c r="CK480" s="311">
        <f t="shared" si="418"/>
        <v>0.85378151260504198</v>
      </c>
      <c r="CL480" s="310">
        <v>2826.25</v>
      </c>
      <c r="CM480" s="311">
        <f t="shared" si="419"/>
        <v>0.95</v>
      </c>
      <c r="CN480" s="310">
        <v>2826.25</v>
      </c>
      <c r="CO480" s="311">
        <f t="shared" si="420"/>
        <v>0.95</v>
      </c>
      <c r="CP480" s="213" t="str">
        <f t="shared" si="422"/>
        <v>Không đạt</v>
      </c>
      <c r="CQ480" s="213" t="str">
        <f t="shared" si="423"/>
        <v>Không đạt</v>
      </c>
      <c r="CR480" s="312"/>
      <c r="CS480" s="312"/>
      <c r="CT480" s="235"/>
      <c r="CU480" s="163"/>
      <c r="CW480" s="195"/>
      <c r="CX480" s="196"/>
      <c r="CY480" s="196"/>
      <c r="CZ480" s="197"/>
      <c r="DA480" s="196"/>
      <c r="DB480" s="196"/>
      <c r="DC480" s="196"/>
      <c r="DE480" s="199"/>
      <c r="DF480" s="200"/>
      <c r="DG480" s="181"/>
    </row>
    <row r="481" spans="1:111" ht="18" customHeight="1" x14ac:dyDescent="0.25">
      <c r="A481" s="213">
        <f>MAX(A$243:A479)+1</f>
        <v>68</v>
      </c>
      <c r="B481" s="240" t="s">
        <v>473</v>
      </c>
      <c r="C481" s="240"/>
      <c r="D481" s="188">
        <f t="shared" ref="D481:I481" si="435">D482+D485+D486</f>
        <v>77750</v>
      </c>
      <c r="E481" s="188">
        <f t="shared" si="435"/>
        <v>0</v>
      </c>
      <c r="F481" s="188">
        <f t="shared" si="435"/>
        <v>77750</v>
      </c>
      <c r="G481" s="188">
        <f t="shared" si="435"/>
        <v>3000</v>
      </c>
      <c r="H481" s="188">
        <f t="shared" si="435"/>
        <v>74750</v>
      </c>
      <c r="I481" s="188">
        <f t="shared" si="435"/>
        <v>52250</v>
      </c>
      <c r="J481" s="188"/>
      <c r="K481" s="188">
        <f>K482+K485+K486</f>
        <v>0</v>
      </c>
      <c r="L481" s="188">
        <f>L482+L485+L486</f>
        <v>0</v>
      </c>
      <c r="M481" s="188">
        <f>M482+M485+M486</f>
        <v>0</v>
      </c>
      <c r="N481" s="188">
        <f>N482+N485+N486</f>
        <v>0</v>
      </c>
      <c r="O481" s="188">
        <f>O482+O485+O486</f>
        <v>55250</v>
      </c>
      <c r="P481" s="188">
        <v>0</v>
      </c>
      <c r="Q481" s="186">
        <f t="shared" si="421"/>
        <v>0</v>
      </c>
      <c r="R481" s="188">
        <v>0</v>
      </c>
      <c r="S481" s="185">
        <v>0</v>
      </c>
      <c r="T481" s="185">
        <v>0</v>
      </c>
      <c r="U481" s="314">
        <v>1131.7998460000001</v>
      </c>
      <c r="V481" s="185">
        <v>1.4556911202572348E-2</v>
      </c>
      <c r="W481" s="185">
        <v>1.5323064423760368E-2</v>
      </c>
      <c r="X481" s="314">
        <v>1131.7998460000001</v>
      </c>
      <c r="Y481" s="185">
        <v>1.4556911202572348E-2</v>
      </c>
      <c r="Z481" s="185">
        <v>1.5323064423760368E-2</v>
      </c>
      <c r="AA481" s="314">
        <v>1131.7998460000001</v>
      </c>
      <c r="AB481" s="185">
        <v>1.4556911202572348E-2</v>
      </c>
      <c r="AC481" s="185">
        <v>1.5323064423760368E-2</v>
      </c>
      <c r="AD481" s="314">
        <v>1648</v>
      </c>
      <c r="AE481" s="185">
        <v>2.1196141479099678E-2</v>
      </c>
      <c r="AF481" s="185">
        <v>2.2311727872736505E-2</v>
      </c>
      <c r="AG481" s="314">
        <v>1648</v>
      </c>
      <c r="AH481" s="185">
        <v>2.1196141479099678E-2</v>
      </c>
      <c r="AI481" s="185">
        <v>2.2311727872736505E-2</v>
      </c>
      <c r="AJ481" s="317">
        <v>1648</v>
      </c>
      <c r="AK481" s="185">
        <v>2.1196141479099678E-2</v>
      </c>
      <c r="AL481" s="185">
        <v>2.2311727872736505E-2</v>
      </c>
      <c r="AM481" s="314">
        <v>1648</v>
      </c>
      <c r="AN481" s="185">
        <v>2.1196141479099678E-2</v>
      </c>
      <c r="AO481" s="185">
        <v>2.2311727872736505E-2</v>
      </c>
      <c r="AP481" s="185"/>
      <c r="AQ481" s="188">
        <v>53953</v>
      </c>
      <c r="AR481" s="185">
        <v>0.69392926045016079</v>
      </c>
      <c r="AS481" s="185">
        <v>0.73045185310543237</v>
      </c>
      <c r="AT481" s="188">
        <v>53953</v>
      </c>
      <c r="AU481" s="185">
        <v>0.69392926045016079</v>
      </c>
      <c r="AV481" s="185">
        <v>0.73045185310543237</v>
      </c>
      <c r="AW481" s="185"/>
      <c r="AX481" s="185"/>
      <c r="AY481" s="185"/>
      <c r="AZ481" s="185"/>
      <c r="BA481" s="185"/>
      <c r="BB481" s="185"/>
      <c r="BC481" s="188">
        <v>53953</v>
      </c>
      <c r="BD481" s="185">
        <v>0.69392926045016079</v>
      </c>
      <c r="BE481" s="185">
        <v>0.73045185310543237</v>
      </c>
      <c r="BF481" s="352"/>
      <c r="BG481" s="352">
        <v>55953</v>
      </c>
      <c r="BH481" s="185">
        <v>0.71965273311897104</v>
      </c>
      <c r="BI481" s="185">
        <v>0.75752919275681163</v>
      </c>
      <c r="BJ481" s="374">
        <f t="shared" si="410"/>
        <v>73862.5</v>
      </c>
      <c r="BK481" s="374">
        <v>55953</v>
      </c>
      <c r="BL481" s="185">
        <f t="shared" si="411"/>
        <v>0.71965273311897104</v>
      </c>
      <c r="BM481" s="185">
        <f t="shared" si="425"/>
        <v>0.75752919275681163</v>
      </c>
      <c r="BN481" s="205">
        <f t="shared" si="407"/>
        <v>54305</v>
      </c>
      <c r="BO481" s="205"/>
      <c r="BP481" s="189">
        <f>BP482+BP485+BP486</f>
        <v>0</v>
      </c>
      <c r="BQ481" s="186">
        <f t="shared" si="412"/>
        <v>0</v>
      </c>
      <c r="BR481" s="189">
        <f>BR482+BR485+BR486</f>
        <v>52250</v>
      </c>
      <c r="BS481" s="186">
        <f t="shared" si="413"/>
        <v>0.67202572347266876</v>
      </c>
      <c r="BT481" s="189">
        <f>BT482+BT485+BT486</f>
        <v>52250</v>
      </c>
      <c r="BU481" s="186">
        <f t="shared" si="414"/>
        <v>0.67202572347266876</v>
      </c>
      <c r="BV481" s="189">
        <f>BV482+BV485+BV486</f>
        <v>53250</v>
      </c>
      <c r="BW481" s="186">
        <f t="shared" si="415"/>
        <v>0.68488745980707399</v>
      </c>
      <c r="BX481" s="189">
        <f>BX482+BX485+BX486</f>
        <v>54250</v>
      </c>
      <c r="BY481" s="186">
        <f t="shared" si="416"/>
        <v>0.69774919614147912</v>
      </c>
      <c r="BZ481" s="189">
        <f>BZ482+BZ485+BZ486</f>
        <v>57820</v>
      </c>
      <c r="CA481" s="186">
        <f t="shared" si="417"/>
        <v>0.74366559485530548</v>
      </c>
      <c r="CB481" s="189">
        <f>CB482+CB485+CB486</f>
        <v>59750</v>
      </c>
      <c r="CC481" s="186">
        <f t="shared" si="431"/>
        <v>0.76848874598070738</v>
      </c>
      <c r="CD481" s="189">
        <f>CD482+CD485+CD486</f>
        <v>60650</v>
      </c>
      <c r="CE481" s="186">
        <f t="shared" si="432"/>
        <v>0.78006430868167198</v>
      </c>
      <c r="CF481" s="189">
        <f>CF482+CF485+CF486</f>
        <v>62950</v>
      </c>
      <c r="CG481" s="186">
        <f t="shared" si="433"/>
        <v>0.80964630225080381</v>
      </c>
      <c r="CH481" s="189">
        <f>CH482+CH485+CH486</f>
        <v>63750</v>
      </c>
      <c r="CI481" s="186">
        <f t="shared" si="434"/>
        <v>0.819935691318328</v>
      </c>
      <c r="CJ481" s="189">
        <f>CJ482+CJ485+CJ486</f>
        <v>73862.5</v>
      </c>
      <c r="CK481" s="186">
        <f t="shared" si="418"/>
        <v>0.95</v>
      </c>
      <c r="CL481" s="189">
        <f>CL482+CL485+CL486</f>
        <v>73862.5</v>
      </c>
      <c r="CM481" s="186">
        <f t="shared" si="419"/>
        <v>0.95</v>
      </c>
      <c r="CN481" s="189">
        <f>CN482+CN485+CN486</f>
        <v>73862.5</v>
      </c>
      <c r="CO481" s="186">
        <f t="shared" si="420"/>
        <v>0.95</v>
      </c>
      <c r="CP481" s="213" t="str">
        <f t="shared" si="422"/>
        <v>Đạt</v>
      </c>
      <c r="CQ481" s="213" t="str">
        <f t="shared" si="423"/>
        <v>Đạt</v>
      </c>
      <c r="CR481" s="213"/>
      <c r="CS481" s="213"/>
      <c r="CT481" s="231"/>
      <c r="CU481" s="163"/>
      <c r="CW481" s="195"/>
      <c r="CX481" s="196"/>
      <c r="CY481" s="196"/>
      <c r="CZ481" s="197"/>
      <c r="DA481" s="196"/>
      <c r="DB481" s="196"/>
      <c r="DC481" s="196"/>
      <c r="DE481" s="199"/>
      <c r="DF481" s="200"/>
      <c r="DG481" s="181"/>
    </row>
    <row r="482" spans="1:111" s="324" customFormat="1" outlineLevel="1" x14ac:dyDescent="0.25">
      <c r="A482" s="305" t="s">
        <v>34</v>
      </c>
      <c r="B482" s="318" t="s">
        <v>381</v>
      </c>
      <c r="C482" s="306"/>
      <c r="D482" s="317">
        <f>D483+D484</f>
        <v>62000</v>
      </c>
      <c r="E482" s="317">
        <f t="shared" ref="E482:L482" si="436">E483+E484</f>
        <v>0</v>
      </c>
      <c r="F482" s="317">
        <f t="shared" si="436"/>
        <v>62000</v>
      </c>
      <c r="G482" s="317">
        <f t="shared" si="436"/>
        <v>0</v>
      </c>
      <c r="H482" s="317">
        <f t="shared" si="436"/>
        <v>62000</v>
      </c>
      <c r="I482" s="214">
        <f t="shared" si="436"/>
        <v>52250</v>
      </c>
      <c r="J482" s="214"/>
      <c r="K482" s="317">
        <f t="shared" si="436"/>
        <v>0</v>
      </c>
      <c r="L482" s="214">
        <f t="shared" si="436"/>
        <v>0</v>
      </c>
      <c r="M482" s="223"/>
      <c r="N482" s="223"/>
      <c r="O482" s="317">
        <f t="shared" si="427"/>
        <v>52250</v>
      </c>
      <c r="P482" s="317">
        <v>0</v>
      </c>
      <c r="Q482" s="319">
        <f t="shared" si="421"/>
        <v>0</v>
      </c>
      <c r="R482" s="317">
        <v>0</v>
      </c>
      <c r="S482" s="320">
        <v>0</v>
      </c>
      <c r="T482" s="320">
        <v>0</v>
      </c>
      <c r="U482" s="317">
        <v>0</v>
      </c>
      <c r="V482" s="320">
        <v>0</v>
      </c>
      <c r="W482" s="320">
        <v>0</v>
      </c>
      <c r="X482" s="317">
        <v>0</v>
      </c>
      <c r="Y482" s="320">
        <v>0</v>
      </c>
      <c r="Z482" s="320">
        <v>0</v>
      </c>
      <c r="AA482" s="317">
        <v>0</v>
      </c>
      <c r="AB482" s="320">
        <v>0</v>
      </c>
      <c r="AC482" s="320">
        <v>0</v>
      </c>
      <c r="AD482" s="317">
        <v>0</v>
      </c>
      <c r="AE482" s="320">
        <v>0</v>
      </c>
      <c r="AF482" s="320">
        <v>0</v>
      </c>
      <c r="AG482" s="317">
        <v>0</v>
      </c>
      <c r="AH482" s="320">
        <v>0</v>
      </c>
      <c r="AI482" s="320">
        <v>0</v>
      </c>
      <c r="AJ482" s="257">
        <v>0</v>
      </c>
      <c r="AK482" s="320">
        <v>0</v>
      </c>
      <c r="AL482" s="320">
        <v>0</v>
      </c>
      <c r="AM482" s="317">
        <v>0</v>
      </c>
      <c r="AN482" s="320">
        <v>0</v>
      </c>
      <c r="AO482" s="320">
        <v>0</v>
      </c>
      <c r="AP482" s="320"/>
      <c r="AQ482" s="317">
        <v>52250</v>
      </c>
      <c r="AR482" s="320">
        <v>0.842741935483871</v>
      </c>
      <c r="AS482" s="320">
        <v>0.88709677419354838</v>
      </c>
      <c r="AT482" s="317">
        <v>52250</v>
      </c>
      <c r="AU482" s="320">
        <v>0.842741935483871</v>
      </c>
      <c r="AV482" s="320">
        <v>0.88709677419354838</v>
      </c>
      <c r="AW482" s="320"/>
      <c r="AX482" s="320"/>
      <c r="AY482" s="320"/>
      <c r="AZ482" s="320"/>
      <c r="BA482" s="320"/>
      <c r="BB482" s="320"/>
      <c r="BC482" s="317">
        <v>52250</v>
      </c>
      <c r="BD482" s="320">
        <v>0.842741935483871</v>
      </c>
      <c r="BE482" s="320">
        <v>0.88709677419354838</v>
      </c>
      <c r="BF482" s="349"/>
      <c r="BG482" s="349">
        <v>52250</v>
      </c>
      <c r="BH482" s="320">
        <v>0.842741935483871</v>
      </c>
      <c r="BI482" s="320">
        <v>0.88709677419354838</v>
      </c>
      <c r="BJ482" s="349">
        <f t="shared" si="410"/>
        <v>58900</v>
      </c>
      <c r="BK482" s="349">
        <v>52250</v>
      </c>
      <c r="BL482" s="320">
        <f t="shared" si="411"/>
        <v>0.842741935483871</v>
      </c>
      <c r="BM482" s="320">
        <f t="shared" si="425"/>
        <v>0.88709677419354838</v>
      </c>
      <c r="BN482" s="205">
        <f t="shared" si="407"/>
        <v>52250</v>
      </c>
      <c r="BO482" s="205"/>
      <c r="BP482" s="307">
        <f>BP483+BP484</f>
        <v>0</v>
      </c>
      <c r="BQ482" s="322">
        <f t="shared" si="412"/>
        <v>0</v>
      </c>
      <c r="BR482" s="307">
        <f>BR483+BR484</f>
        <v>52250</v>
      </c>
      <c r="BS482" s="322">
        <f t="shared" si="413"/>
        <v>0.842741935483871</v>
      </c>
      <c r="BT482" s="307">
        <f>BT483+BT484</f>
        <v>52250</v>
      </c>
      <c r="BU482" s="319">
        <f t="shared" si="414"/>
        <v>0.842741935483871</v>
      </c>
      <c r="BV482" s="307">
        <f>BV483+BV484</f>
        <v>52250</v>
      </c>
      <c r="BW482" s="322">
        <f t="shared" si="415"/>
        <v>0.842741935483871</v>
      </c>
      <c r="BX482" s="307">
        <f>BX483+BX484</f>
        <v>53250</v>
      </c>
      <c r="BY482" s="322">
        <f t="shared" si="416"/>
        <v>0.8588709677419355</v>
      </c>
      <c r="BZ482" s="307">
        <f>BZ483+BZ484</f>
        <v>54820</v>
      </c>
      <c r="CA482" s="322">
        <f t="shared" si="417"/>
        <v>0.88419354838709674</v>
      </c>
      <c r="CB482" s="307">
        <f>CB483+CB484</f>
        <v>56750</v>
      </c>
      <c r="CC482" s="322">
        <f t="shared" si="431"/>
        <v>0.91532258064516125</v>
      </c>
      <c r="CD482" s="307">
        <f>CD483+CD484</f>
        <v>57650</v>
      </c>
      <c r="CE482" s="322">
        <f t="shared" si="432"/>
        <v>0.92983870967741933</v>
      </c>
      <c r="CF482" s="307">
        <f>CF483+CF484</f>
        <v>58100</v>
      </c>
      <c r="CG482" s="322">
        <f t="shared" si="433"/>
        <v>0.93709677419354842</v>
      </c>
      <c r="CH482" s="307">
        <f>CH483+CH484</f>
        <v>58900</v>
      </c>
      <c r="CI482" s="322">
        <f t="shared" si="434"/>
        <v>0.95</v>
      </c>
      <c r="CJ482" s="307">
        <f>CJ483+CJ484</f>
        <v>58900</v>
      </c>
      <c r="CK482" s="322">
        <f t="shared" si="418"/>
        <v>0.95</v>
      </c>
      <c r="CL482" s="307">
        <f>CL483+CL484</f>
        <v>58900</v>
      </c>
      <c r="CM482" s="322">
        <f t="shared" si="419"/>
        <v>0.95</v>
      </c>
      <c r="CN482" s="307">
        <f>CN483+CN484</f>
        <v>58900</v>
      </c>
      <c r="CO482" s="322">
        <f t="shared" si="420"/>
        <v>0.95</v>
      </c>
      <c r="CP482" s="213" t="str">
        <f t="shared" si="422"/>
        <v>Đạt</v>
      </c>
      <c r="CQ482" s="213" t="str">
        <f t="shared" si="423"/>
        <v>Đạt</v>
      </c>
      <c r="CR482" s="312"/>
      <c r="CS482" s="312"/>
      <c r="CT482" s="235"/>
      <c r="CU482" s="163"/>
      <c r="CV482" s="323"/>
      <c r="CW482" s="195"/>
      <c r="CX482" s="196"/>
      <c r="CY482" s="196"/>
      <c r="CZ482" s="197"/>
      <c r="DA482" s="196"/>
      <c r="DB482" s="196"/>
      <c r="DC482" s="196"/>
      <c r="DE482" s="199"/>
      <c r="DF482" s="200"/>
      <c r="DG482" s="181"/>
    </row>
    <row r="483" spans="1:111" ht="67.900000000000006" customHeight="1" outlineLevel="1" x14ac:dyDescent="0.25">
      <c r="A483" s="192"/>
      <c r="B483" s="269" t="s">
        <v>474</v>
      </c>
      <c r="C483" s="269"/>
      <c r="D483" s="214">
        <f>E483+F483</f>
        <v>55000</v>
      </c>
      <c r="E483" s="215"/>
      <c r="F483" s="214">
        <f>G483+H483+K483+M483</f>
        <v>55000</v>
      </c>
      <c r="G483" s="223"/>
      <c r="H483" s="257">
        <f>45000+10000</f>
        <v>55000</v>
      </c>
      <c r="I483" s="235">
        <v>52250</v>
      </c>
      <c r="J483" s="235"/>
      <c r="K483" s="223"/>
      <c r="L483" s="235"/>
      <c r="M483" s="223"/>
      <c r="N483" s="223"/>
      <c r="O483" s="257">
        <f t="shared" si="427"/>
        <v>52250</v>
      </c>
      <c r="P483" s="257">
        <v>0</v>
      </c>
      <c r="Q483" s="224">
        <f t="shared" si="421"/>
        <v>0</v>
      </c>
      <c r="R483" s="257"/>
      <c r="S483" s="326">
        <v>0</v>
      </c>
      <c r="T483" s="326">
        <v>0</v>
      </c>
      <c r="U483" s="257"/>
      <c r="V483" s="326">
        <v>0</v>
      </c>
      <c r="W483" s="326">
        <v>0</v>
      </c>
      <c r="X483" s="257"/>
      <c r="Y483" s="326">
        <v>0</v>
      </c>
      <c r="Z483" s="326">
        <v>0</v>
      </c>
      <c r="AA483" s="257"/>
      <c r="AB483" s="326">
        <v>0</v>
      </c>
      <c r="AC483" s="326">
        <v>0</v>
      </c>
      <c r="AD483" s="257"/>
      <c r="AE483" s="326">
        <v>0</v>
      </c>
      <c r="AF483" s="326">
        <v>0</v>
      </c>
      <c r="AG483" s="257"/>
      <c r="AH483" s="326">
        <v>0</v>
      </c>
      <c r="AI483" s="326">
        <v>0</v>
      </c>
      <c r="AJ483" s="257"/>
      <c r="AK483" s="326">
        <v>0</v>
      </c>
      <c r="AL483" s="326">
        <v>0</v>
      </c>
      <c r="AM483" s="257"/>
      <c r="AN483" s="326">
        <v>0</v>
      </c>
      <c r="AO483" s="326">
        <v>0</v>
      </c>
      <c r="AP483" s="326"/>
      <c r="AQ483" s="257">
        <v>52250</v>
      </c>
      <c r="AR483" s="326">
        <v>0.95</v>
      </c>
      <c r="AS483" s="326">
        <v>1</v>
      </c>
      <c r="AT483" s="257">
        <v>52250</v>
      </c>
      <c r="AU483" s="326">
        <v>0.95</v>
      </c>
      <c r="AV483" s="326">
        <v>1</v>
      </c>
      <c r="AW483" s="326"/>
      <c r="AX483" s="326"/>
      <c r="AY483" s="326"/>
      <c r="AZ483" s="326"/>
      <c r="BA483" s="326"/>
      <c r="BB483" s="326"/>
      <c r="BC483" s="257">
        <v>52250</v>
      </c>
      <c r="BD483" s="326">
        <v>0.95</v>
      </c>
      <c r="BE483" s="326">
        <v>1</v>
      </c>
      <c r="BF483" s="350">
        <v>52250</v>
      </c>
      <c r="BG483" s="350">
        <v>52250</v>
      </c>
      <c r="BH483" s="326">
        <v>0.95</v>
      </c>
      <c r="BI483" s="326">
        <v>1</v>
      </c>
      <c r="BJ483" s="402">
        <f t="shared" si="410"/>
        <v>52250</v>
      </c>
      <c r="BK483" s="402">
        <v>52250</v>
      </c>
      <c r="BL483" s="326">
        <f t="shared" si="411"/>
        <v>0.95</v>
      </c>
      <c r="BM483" s="326">
        <f t="shared" si="425"/>
        <v>1</v>
      </c>
      <c r="BN483" s="205">
        <f t="shared" si="407"/>
        <v>52250</v>
      </c>
      <c r="BO483" s="205"/>
      <c r="BP483" s="227"/>
      <c r="BQ483" s="327">
        <f t="shared" si="412"/>
        <v>0</v>
      </c>
      <c r="BR483" s="227">
        <f>55000*0.95</f>
        <v>52250</v>
      </c>
      <c r="BS483" s="327">
        <f t="shared" si="413"/>
        <v>0.95</v>
      </c>
      <c r="BT483" s="227">
        <v>52250</v>
      </c>
      <c r="BU483" s="224">
        <f t="shared" si="414"/>
        <v>0.95</v>
      </c>
      <c r="BV483" s="227">
        <v>52250</v>
      </c>
      <c r="BW483" s="327">
        <f t="shared" si="415"/>
        <v>0.95</v>
      </c>
      <c r="BX483" s="227">
        <v>52250</v>
      </c>
      <c r="BY483" s="327">
        <f t="shared" si="416"/>
        <v>0.95</v>
      </c>
      <c r="BZ483" s="227">
        <v>52250</v>
      </c>
      <c r="CA483" s="327">
        <f t="shared" si="417"/>
        <v>0.95</v>
      </c>
      <c r="CB483" s="227">
        <v>52250</v>
      </c>
      <c r="CC483" s="327">
        <f t="shared" si="431"/>
        <v>0.95</v>
      </c>
      <c r="CD483" s="227">
        <v>52250</v>
      </c>
      <c r="CE483" s="327">
        <f t="shared" si="432"/>
        <v>0.95</v>
      </c>
      <c r="CF483" s="227">
        <v>52250</v>
      </c>
      <c r="CG483" s="327">
        <f t="shared" si="433"/>
        <v>0.95</v>
      </c>
      <c r="CH483" s="227">
        <v>52250</v>
      </c>
      <c r="CI483" s="327">
        <f t="shared" si="434"/>
        <v>0.95</v>
      </c>
      <c r="CJ483" s="227">
        <v>52250</v>
      </c>
      <c r="CK483" s="327">
        <f t="shared" si="418"/>
        <v>0.95</v>
      </c>
      <c r="CL483" s="227">
        <v>52250</v>
      </c>
      <c r="CM483" s="327">
        <f t="shared" si="419"/>
        <v>0.95</v>
      </c>
      <c r="CN483" s="227">
        <v>52250</v>
      </c>
      <c r="CO483" s="327">
        <f t="shared" si="420"/>
        <v>0.95</v>
      </c>
      <c r="CP483" s="213" t="str">
        <f t="shared" si="422"/>
        <v>Đạt</v>
      </c>
      <c r="CQ483" s="213" t="str">
        <f t="shared" si="423"/>
        <v>Đạt</v>
      </c>
      <c r="CR483" s="192"/>
      <c r="CS483" s="192"/>
      <c r="CT483" s="223"/>
      <c r="CU483" s="163"/>
      <c r="CW483" s="195"/>
      <c r="CX483" s="196"/>
      <c r="CY483" s="196"/>
      <c r="CZ483" s="197"/>
      <c r="DA483" s="196"/>
      <c r="DB483" s="196"/>
      <c r="DC483" s="196"/>
      <c r="DE483" s="199"/>
      <c r="DF483" s="200"/>
      <c r="DG483" s="181"/>
    </row>
    <row r="484" spans="1:111" ht="67.900000000000006" customHeight="1" outlineLevel="1" x14ac:dyDescent="0.25">
      <c r="A484" s="192"/>
      <c r="B484" s="269" t="s">
        <v>475</v>
      </c>
      <c r="C484" s="269"/>
      <c r="D484" s="214">
        <f>E484+F484</f>
        <v>7000</v>
      </c>
      <c r="E484" s="215"/>
      <c r="F484" s="214">
        <f>G484+H484+K484+M484</f>
        <v>7000</v>
      </c>
      <c r="G484" s="223"/>
      <c r="H484" s="257">
        <v>7000</v>
      </c>
      <c r="I484" s="235"/>
      <c r="J484" s="235"/>
      <c r="K484" s="223"/>
      <c r="L484" s="235"/>
      <c r="M484" s="223"/>
      <c r="N484" s="223"/>
      <c r="O484" s="257">
        <f t="shared" si="427"/>
        <v>0</v>
      </c>
      <c r="P484" s="257">
        <v>0</v>
      </c>
      <c r="Q484" s="224">
        <f t="shared" si="421"/>
        <v>0</v>
      </c>
      <c r="R484" s="257"/>
      <c r="S484" s="326">
        <v>0</v>
      </c>
      <c r="T484" s="326">
        <v>0</v>
      </c>
      <c r="U484" s="257"/>
      <c r="V484" s="326">
        <v>0</v>
      </c>
      <c r="W484" s="326">
        <v>0</v>
      </c>
      <c r="X484" s="257"/>
      <c r="Y484" s="326">
        <v>0</v>
      </c>
      <c r="Z484" s="326">
        <v>0</v>
      </c>
      <c r="AA484" s="257"/>
      <c r="AB484" s="326">
        <v>0</v>
      </c>
      <c r="AC484" s="326">
        <v>0</v>
      </c>
      <c r="AD484" s="257"/>
      <c r="AE484" s="326">
        <v>0</v>
      </c>
      <c r="AF484" s="326">
        <v>0</v>
      </c>
      <c r="AG484" s="257"/>
      <c r="AH484" s="326">
        <v>0</v>
      </c>
      <c r="AI484" s="326">
        <v>0</v>
      </c>
      <c r="AJ484" s="307"/>
      <c r="AK484" s="326">
        <v>0</v>
      </c>
      <c r="AL484" s="326">
        <v>0</v>
      </c>
      <c r="AM484" s="257"/>
      <c r="AN484" s="326">
        <v>0</v>
      </c>
      <c r="AO484" s="326">
        <v>0</v>
      </c>
      <c r="AP484" s="326"/>
      <c r="AQ484" s="257"/>
      <c r="AR484" s="326">
        <v>0</v>
      </c>
      <c r="AS484" s="326">
        <v>0</v>
      </c>
      <c r="AT484" s="257"/>
      <c r="AU484" s="326">
        <v>0</v>
      </c>
      <c r="AV484" s="326">
        <v>0</v>
      </c>
      <c r="AW484" s="326"/>
      <c r="AX484" s="326"/>
      <c r="AY484" s="326"/>
      <c r="AZ484" s="326"/>
      <c r="BA484" s="326"/>
      <c r="BB484" s="326"/>
      <c r="BC484" s="257"/>
      <c r="BD484" s="326">
        <v>0</v>
      </c>
      <c r="BE484" s="326">
        <v>0</v>
      </c>
      <c r="BF484" s="350"/>
      <c r="BG484" s="350">
        <v>0</v>
      </c>
      <c r="BH484" s="326">
        <v>0</v>
      </c>
      <c r="BI484" s="326">
        <v>0</v>
      </c>
      <c r="BJ484" s="402">
        <f t="shared" si="410"/>
        <v>6650</v>
      </c>
      <c r="BK484" s="402">
        <v>0</v>
      </c>
      <c r="BL484" s="326">
        <f t="shared" si="411"/>
        <v>0</v>
      </c>
      <c r="BM484" s="326">
        <f t="shared" si="425"/>
        <v>0</v>
      </c>
      <c r="BN484" s="205">
        <f t="shared" si="407"/>
        <v>0</v>
      </c>
      <c r="BO484" s="205"/>
      <c r="BP484" s="227"/>
      <c r="BQ484" s="327">
        <f t="shared" si="412"/>
        <v>0</v>
      </c>
      <c r="BR484" s="227"/>
      <c r="BS484" s="327">
        <f t="shared" si="413"/>
        <v>0</v>
      </c>
      <c r="BT484" s="227"/>
      <c r="BU484" s="224">
        <f t="shared" si="414"/>
        <v>0</v>
      </c>
      <c r="BV484" s="227"/>
      <c r="BW484" s="327">
        <f t="shared" si="415"/>
        <v>0</v>
      </c>
      <c r="BX484" s="227">
        <v>1000</v>
      </c>
      <c r="BY484" s="327">
        <f t="shared" si="416"/>
        <v>0.14285714285714285</v>
      </c>
      <c r="BZ484" s="227">
        <v>2570</v>
      </c>
      <c r="CA484" s="327">
        <f t="shared" si="417"/>
        <v>0.36714285714285716</v>
      </c>
      <c r="CB484" s="227">
        <v>4500</v>
      </c>
      <c r="CC484" s="327">
        <f t="shared" si="431"/>
        <v>0.6428571428571429</v>
      </c>
      <c r="CD484" s="227">
        <v>5400</v>
      </c>
      <c r="CE484" s="327">
        <f t="shared" si="432"/>
        <v>0.77142857142857146</v>
      </c>
      <c r="CF484" s="227">
        <v>5850</v>
      </c>
      <c r="CG484" s="327">
        <f>CF484/$D484</f>
        <v>0.83571428571428574</v>
      </c>
      <c r="CH484" s="227">
        <v>6650</v>
      </c>
      <c r="CI484" s="327">
        <f>CH484/$D484</f>
        <v>0.95</v>
      </c>
      <c r="CJ484" s="227">
        <v>6650</v>
      </c>
      <c r="CK484" s="327">
        <f t="shared" si="418"/>
        <v>0.95</v>
      </c>
      <c r="CL484" s="227">
        <v>6650</v>
      </c>
      <c r="CM484" s="327">
        <f t="shared" si="419"/>
        <v>0.95</v>
      </c>
      <c r="CN484" s="227">
        <v>6650</v>
      </c>
      <c r="CO484" s="327">
        <f t="shared" si="420"/>
        <v>0.95</v>
      </c>
      <c r="CP484" s="213" t="str">
        <f t="shared" si="422"/>
        <v>Không đạt</v>
      </c>
      <c r="CQ484" s="213" t="str">
        <f t="shared" si="423"/>
        <v>Không đạt</v>
      </c>
      <c r="CR484" s="192"/>
      <c r="CS484" s="192"/>
      <c r="CT484" s="223"/>
      <c r="CU484" s="163"/>
      <c r="CW484" s="195"/>
      <c r="CX484" s="196"/>
      <c r="CY484" s="196"/>
      <c r="CZ484" s="197"/>
      <c r="DA484" s="196"/>
      <c r="DB484" s="196"/>
      <c r="DC484" s="196"/>
      <c r="DE484" s="199"/>
      <c r="DF484" s="200"/>
      <c r="DG484" s="181"/>
    </row>
    <row r="485" spans="1:111" s="324" customFormat="1" outlineLevel="1" collapsed="1" x14ac:dyDescent="0.25">
      <c r="A485" s="305" t="s">
        <v>34</v>
      </c>
      <c r="B485" s="318" t="s">
        <v>376</v>
      </c>
      <c r="C485" s="306"/>
      <c r="D485" s="307">
        <f>E485+F485</f>
        <v>3000</v>
      </c>
      <c r="E485" s="307"/>
      <c r="F485" s="307">
        <f>G485+H485+K485+M485</f>
        <v>3000</v>
      </c>
      <c r="G485" s="303">
        <v>3000</v>
      </c>
      <c r="H485" s="303"/>
      <c r="I485" s="235"/>
      <c r="J485" s="235"/>
      <c r="K485" s="303"/>
      <c r="L485" s="235"/>
      <c r="M485" s="223"/>
      <c r="N485" s="223"/>
      <c r="O485" s="303">
        <f t="shared" si="427"/>
        <v>3000</v>
      </c>
      <c r="P485" s="303">
        <v>0</v>
      </c>
      <c r="Q485" s="308">
        <f t="shared" si="421"/>
        <v>0</v>
      </c>
      <c r="R485" s="303"/>
      <c r="S485" s="313">
        <v>0</v>
      </c>
      <c r="T485" s="313">
        <v>0</v>
      </c>
      <c r="U485" s="303">
        <v>1131.7998460000001</v>
      </c>
      <c r="V485" s="313">
        <v>0.37726661533333339</v>
      </c>
      <c r="W485" s="313">
        <v>0.3971227529824562</v>
      </c>
      <c r="X485" s="303">
        <v>1131.7998460000001</v>
      </c>
      <c r="Y485" s="313">
        <v>0.37726661533333339</v>
      </c>
      <c r="Z485" s="313">
        <v>0.3971227529824562</v>
      </c>
      <c r="AA485" s="303">
        <v>1131.7998460000001</v>
      </c>
      <c r="AB485" s="313">
        <v>0.37726661533333339</v>
      </c>
      <c r="AC485" s="313">
        <v>0.3971227529824562</v>
      </c>
      <c r="AD485" s="303">
        <v>1648</v>
      </c>
      <c r="AE485" s="313">
        <v>0.54933333333333334</v>
      </c>
      <c r="AF485" s="313">
        <v>0.57824561403508767</v>
      </c>
      <c r="AG485" s="307">
        <v>1648</v>
      </c>
      <c r="AH485" s="313">
        <v>0.54933333333333334</v>
      </c>
      <c r="AI485" s="313">
        <v>0.57824561403508767</v>
      </c>
      <c r="AJ485" s="303">
        <v>1648</v>
      </c>
      <c r="AK485" s="313">
        <v>0.54933333333333334</v>
      </c>
      <c r="AL485" s="313">
        <v>0.57824561403508767</v>
      </c>
      <c r="AM485" s="307">
        <v>1648</v>
      </c>
      <c r="AN485" s="313">
        <v>0.54933333333333334</v>
      </c>
      <c r="AO485" s="313">
        <v>0.57824561403508767</v>
      </c>
      <c r="AP485" s="313"/>
      <c r="AQ485" s="307">
        <v>1703</v>
      </c>
      <c r="AR485" s="313">
        <v>0.56766666666666665</v>
      </c>
      <c r="AS485" s="313">
        <v>0.59754385964912282</v>
      </c>
      <c r="AT485" s="307">
        <v>1703</v>
      </c>
      <c r="AU485" s="313">
        <v>0.56766666666666665</v>
      </c>
      <c r="AV485" s="313">
        <v>0.59754385964912282</v>
      </c>
      <c r="AW485" s="313"/>
      <c r="AX485" s="313"/>
      <c r="AY485" s="313"/>
      <c r="AZ485" s="313"/>
      <c r="BA485" s="313"/>
      <c r="BB485" s="313"/>
      <c r="BC485" s="307">
        <v>1703</v>
      </c>
      <c r="BD485" s="313">
        <v>0.56766666666666665</v>
      </c>
      <c r="BE485" s="313">
        <v>0.59754385964912282</v>
      </c>
      <c r="BF485" s="351"/>
      <c r="BG485" s="351">
        <v>2794</v>
      </c>
      <c r="BH485" s="313">
        <v>0.93133333333333335</v>
      </c>
      <c r="BI485" s="313">
        <v>0.98035087719298242</v>
      </c>
      <c r="BJ485" s="349">
        <f t="shared" si="410"/>
        <v>2850</v>
      </c>
      <c r="BK485" s="349">
        <v>2794</v>
      </c>
      <c r="BL485" s="313">
        <f t="shared" si="411"/>
        <v>0.93133333333333335</v>
      </c>
      <c r="BM485" s="313">
        <f t="shared" si="425"/>
        <v>0.98035087719298242</v>
      </c>
      <c r="BN485" s="205">
        <f t="shared" si="407"/>
        <v>1146</v>
      </c>
      <c r="BO485" s="205"/>
      <c r="BP485" s="310"/>
      <c r="BQ485" s="311">
        <f t="shared" si="412"/>
        <v>0</v>
      </c>
      <c r="BR485" s="310"/>
      <c r="BS485" s="311">
        <f t="shared" si="413"/>
        <v>0</v>
      </c>
      <c r="BT485" s="310"/>
      <c r="BU485" s="308">
        <f t="shared" si="414"/>
        <v>0</v>
      </c>
      <c r="BV485" s="310">
        <v>1000</v>
      </c>
      <c r="BW485" s="311">
        <f t="shared" si="415"/>
        <v>0.33333333333333331</v>
      </c>
      <c r="BX485" s="310">
        <v>1000</v>
      </c>
      <c r="BY485" s="311">
        <f t="shared" si="416"/>
        <v>0.33333333333333331</v>
      </c>
      <c r="BZ485" s="310">
        <v>2000</v>
      </c>
      <c r="CA485" s="311">
        <f t="shared" si="417"/>
        <v>0.66666666666666663</v>
      </c>
      <c r="CB485" s="310">
        <v>2000</v>
      </c>
      <c r="CC485" s="311">
        <f t="shared" si="431"/>
        <v>0.66666666666666663</v>
      </c>
      <c r="CD485" s="310">
        <v>2000</v>
      </c>
      <c r="CE485" s="311">
        <f t="shared" si="432"/>
        <v>0.66666666666666663</v>
      </c>
      <c r="CF485" s="310">
        <v>2850</v>
      </c>
      <c r="CG485" s="311">
        <f t="shared" si="433"/>
        <v>0.95</v>
      </c>
      <c r="CH485" s="310">
        <v>2850</v>
      </c>
      <c r="CI485" s="311">
        <f t="shared" si="434"/>
        <v>0.95</v>
      </c>
      <c r="CJ485" s="310">
        <v>2850</v>
      </c>
      <c r="CK485" s="311">
        <f t="shared" si="418"/>
        <v>0.95</v>
      </c>
      <c r="CL485" s="310">
        <v>2850</v>
      </c>
      <c r="CM485" s="311">
        <f t="shared" si="419"/>
        <v>0.95</v>
      </c>
      <c r="CN485" s="310">
        <v>2850</v>
      </c>
      <c r="CO485" s="311">
        <f t="shared" si="420"/>
        <v>0.95</v>
      </c>
      <c r="CP485" s="213" t="str">
        <f t="shared" si="422"/>
        <v>Đạt</v>
      </c>
      <c r="CQ485" s="213" t="str">
        <f t="shared" si="423"/>
        <v>Đạt</v>
      </c>
      <c r="CR485" s="312"/>
      <c r="CS485" s="312"/>
      <c r="CT485" s="235"/>
      <c r="CU485" s="163"/>
      <c r="CV485" s="323"/>
      <c r="CW485" s="195"/>
      <c r="CX485" s="196"/>
      <c r="CY485" s="196"/>
      <c r="CZ485" s="197"/>
      <c r="DA485" s="196"/>
      <c r="DB485" s="196"/>
      <c r="DC485" s="196"/>
      <c r="DE485" s="199"/>
      <c r="DF485" s="200"/>
      <c r="DG485" s="181"/>
    </row>
    <row r="486" spans="1:111" ht="25.5" outlineLevel="1" x14ac:dyDescent="0.25">
      <c r="A486" s="305" t="s">
        <v>34</v>
      </c>
      <c r="B486" s="306" t="s">
        <v>377</v>
      </c>
      <c r="C486" s="306"/>
      <c r="D486" s="307">
        <f>E486+F486</f>
        <v>12750</v>
      </c>
      <c r="E486" s="307"/>
      <c r="F486" s="307">
        <f>G486+H486+K486+M486</f>
        <v>12750</v>
      </c>
      <c r="G486" s="307"/>
      <c r="H486" s="307">
        <v>12750</v>
      </c>
      <c r="I486" s="235"/>
      <c r="J486" s="235"/>
      <c r="K486" s="303"/>
      <c r="L486" s="235"/>
      <c r="M486" s="223"/>
      <c r="N486" s="223"/>
      <c r="O486" s="303"/>
      <c r="P486" s="303">
        <v>0</v>
      </c>
      <c r="Q486" s="308">
        <f t="shared" si="421"/>
        <v>0</v>
      </c>
      <c r="R486" s="303"/>
      <c r="S486" s="313">
        <v>0</v>
      </c>
      <c r="T486" s="313">
        <v>0</v>
      </c>
      <c r="U486" s="303"/>
      <c r="V486" s="313">
        <v>0</v>
      </c>
      <c r="W486" s="313">
        <v>0</v>
      </c>
      <c r="X486" s="303"/>
      <c r="Y486" s="313">
        <v>0</v>
      </c>
      <c r="Z486" s="313">
        <v>0</v>
      </c>
      <c r="AA486" s="303"/>
      <c r="AB486" s="313">
        <v>0</v>
      </c>
      <c r="AC486" s="313">
        <v>0</v>
      </c>
      <c r="AD486" s="303"/>
      <c r="AE486" s="313">
        <v>0</v>
      </c>
      <c r="AF486" s="313">
        <v>0</v>
      </c>
      <c r="AG486" s="303"/>
      <c r="AH486" s="313">
        <v>0</v>
      </c>
      <c r="AI486" s="313">
        <v>0</v>
      </c>
      <c r="AJ486" s="189"/>
      <c r="AK486" s="313">
        <v>0</v>
      </c>
      <c r="AL486" s="313">
        <v>0</v>
      </c>
      <c r="AM486" s="303"/>
      <c r="AN486" s="313">
        <v>0</v>
      </c>
      <c r="AO486" s="313">
        <v>0</v>
      </c>
      <c r="AP486" s="313"/>
      <c r="AQ486" s="303"/>
      <c r="AR486" s="313">
        <v>0</v>
      </c>
      <c r="AS486" s="313">
        <v>0</v>
      </c>
      <c r="AT486" s="303"/>
      <c r="AU486" s="313">
        <v>0</v>
      </c>
      <c r="AV486" s="313">
        <v>0</v>
      </c>
      <c r="AW486" s="313"/>
      <c r="AX486" s="313"/>
      <c r="AY486" s="313"/>
      <c r="AZ486" s="313"/>
      <c r="BA486" s="313"/>
      <c r="BB486" s="313"/>
      <c r="BC486" s="303"/>
      <c r="BD486" s="313">
        <v>0</v>
      </c>
      <c r="BE486" s="313">
        <v>0</v>
      </c>
      <c r="BF486" s="351"/>
      <c r="BG486" s="351">
        <v>909</v>
      </c>
      <c r="BH486" s="313">
        <v>7.1294117647058827E-2</v>
      </c>
      <c r="BI486" s="313">
        <v>7.5046439628482967E-2</v>
      </c>
      <c r="BJ486" s="349">
        <f t="shared" si="410"/>
        <v>12112.5</v>
      </c>
      <c r="BK486" s="349">
        <v>909</v>
      </c>
      <c r="BL486" s="313">
        <f t="shared" si="411"/>
        <v>7.1294117647058827E-2</v>
      </c>
      <c r="BM486" s="313">
        <f t="shared" si="425"/>
        <v>7.5046439628482967E-2</v>
      </c>
      <c r="BN486" s="205">
        <f t="shared" si="407"/>
        <v>909</v>
      </c>
      <c r="BO486" s="205"/>
      <c r="BP486" s="310"/>
      <c r="BQ486" s="311">
        <f t="shared" si="412"/>
        <v>0</v>
      </c>
      <c r="BR486" s="310"/>
      <c r="BS486" s="311">
        <f t="shared" si="413"/>
        <v>0</v>
      </c>
      <c r="BT486" s="310"/>
      <c r="BU486" s="308">
        <f t="shared" si="414"/>
        <v>0</v>
      </c>
      <c r="BV486" s="310"/>
      <c r="BW486" s="311">
        <f t="shared" si="415"/>
        <v>0</v>
      </c>
      <c r="BX486" s="310"/>
      <c r="BY486" s="311">
        <f t="shared" si="416"/>
        <v>0</v>
      </c>
      <c r="BZ486" s="310">
        <v>1000</v>
      </c>
      <c r="CA486" s="311">
        <f t="shared" si="417"/>
        <v>7.8431372549019607E-2</v>
      </c>
      <c r="CB486" s="310">
        <v>1000</v>
      </c>
      <c r="CC486" s="311">
        <f t="shared" si="431"/>
        <v>7.8431372549019607E-2</v>
      </c>
      <c r="CD486" s="310">
        <v>1000</v>
      </c>
      <c r="CE486" s="311">
        <f t="shared" si="432"/>
        <v>7.8431372549019607E-2</v>
      </c>
      <c r="CF486" s="310">
        <v>2000</v>
      </c>
      <c r="CG486" s="311">
        <f t="shared" si="433"/>
        <v>0.15686274509803921</v>
      </c>
      <c r="CH486" s="310">
        <v>2000</v>
      </c>
      <c r="CI486" s="311">
        <f t="shared" si="434"/>
        <v>0.15686274509803921</v>
      </c>
      <c r="CJ486" s="310">
        <f>12750*0.95</f>
        <v>12112.5</v>
      </c>
      <c r="CK486" s="311">
        <f t="shared" si="418"/>
        <v>0.95</v>
      </c>
      <c r="CL486" s="310">
        <f>12750*0.95</f>
        <v>12112.5</v>
      </c>
      <c r="CM486" s="311">
        <f t="shared" si="419"/>
        <v>0.95</v>
      </c>
      <c r="CN486" s="310">
        <f>12750*0.95</f>
        <v>12112.5</v>
      </c>
      <c r="CO486" s="311">
        <f t="shared" si="420"/>
        <v>0.95</v>
      </c>
      <c r="CP486" s="213" t="str">
        <f t="shared" si="422"/>
        <v>Không đạt</v>
      </c>
      <c r="CQ486" s="213" t="str">
        <f t="shared" si="423"/>
        <v>Không đạt</v>
      </c>
      <c r="CR486" s="312"/>
      <c r="CS486" s="312"/>
      <c r="CT486" s="235"/>
      <c r="CU486" s="163"/>
      <c r="CW486" s="195"/>
      <c r="CX486" s="196"/>
      <c r="CY486" s="196"/>
      <c r="CZ486" s="197"/>
      <c r="DA486" s="196"/>
      <c r="DB486" s="196"/>
      <c r="DC486" s="196"/>
      <c r="DE486" s="199"/>
      <c r="DF486" s="200"/>
      <c r="DG486" s="181"/>
    </row>
    <row r="487" spans="1:111" ht="18" customHeight="1" x14ac:dyDescent="0.25">
      <c r="A487" s="213">
        <f>MAX(A$243:A485)+1</f>
        <v>69</v>
      </c>
      <c r="B487" s="240" t="s">
        <v>476</v>
      </c>
      <c r="C487" s="240"/>
      <c r="D487" s="188">
        <f t="shared" ref="D487:I487" si="437">D488+D490+D491</f>
        <v>25550</v>
      </c>
      <c r="E487" s="188">
        <f t="shared" si="437"/>
        <v>0</v>
      </c>
      <c r="F487" s="188">
        <f t="shared" si="437"/>
        <v>25550</v>
      </c>
      <c r="G487" s="188">
        <f t="shared" si="437"/>
        <v>3000</v>
      </c>
      <c r="H487" s="188">
        <f t="shared" si="437"/>
        <v>22550</v>
      </c>
      <c r="I487" s="188">
        <f t="shared" si="437"/>
        <v>19000</v>
      </c>
      <c r="J487" s="188"/>
      <c r="K487" s="188">
        <f t="shared" ref="K487:P487" si="438">K488+K490+K491</f>
        <v>0</v>
      </c>
      <c r="L487" s="188">
        <f t="shared" si="438"/>
        <v>0</v>
      </c>
      <c r="M487" s="188">
        <f t="shared" si="438"/>
        <v>0</v>
      </c>
      <c r="N487" s="188">
        <f t="shared" si="438"/>
        <v>0</v>
      </c>
      <c r="O487" s="188">
        <f t="shared" si="438"/>
        <v>22000</v>
      </c>
      <c r="P487" s="189">
        <f t="shared" si="438"/>
        <v>0</v>
      </c>
      <c r="Q487" s="186">
        <f t="shared" si="421"/>
        <v>0</v>
      </c>
      <c r="R487" s="189">
        <v>400</v>
      </c>
      <c r="S487" s="185">
        <v>1.5655577299412915E-2</v>
      </c>
      <c r="T487" s="185">
        <v>1.6479555052013595E-2</v>
      </c>
      <c r="U487" s="189">
        <v>4554.8379999999997</v>
      </c>
      <c r="V487" s="185">
        <v>0.17827154598825831</v>
      </c>
      <c r="W487" s="185">
        <v>0.18765425893500876</v>
      </c>
      <c r="X487" s="189">
        <v>4554.8379999999997</v>
      </c>
      <c r="Y487" s="185">
        <v>0.17827154598825831</v>
      </c>
      <c r="Z487" s="185">
        <v>0.18765425893500876</v>
      </c>
      <c r="AA487" s="189">
        <v>4554.8379999999997</v>
      </c>
      <c r="AB487" s="185">
        <v>0.17827154598825831</v>
      </c>
      <c r="AC487" s="185">
        <v>0.18765425893500876</v>
      </c>
      <c r="AD487" s="189">
        <v>19493.257999999998</v>
      </c>
      <c r="AE487" s="185">
        <v>0.76294551859099802</v>
      </c>
      <c r="AF487" s="185">
        <v>0.80310054588526103</v>
      </c>
      <c r="AG487" s="189">
        <v>19493.257999999998</v>
      </c>
      <c r="AH487" s="185">
        <v>0.76294551859099802</v>
      </c>
      <c r="AI487" s="185">
        <v>0.80310054588526103</v>
      </c>
      <c r="AJ487" s="317">
        <v>19493.257999999998</v>
      </c>
      <c r="AK487" s="185">
        <v>0.76294551859099802</v>
      </c>
      <c r="AL487" s="185">
        <v>0.80310054588526103</v>
      </c>
      <c r="AM487" s="189">
        <v>19493.257999999998</v>
      </c>
      <c r="AN487" s="185">
        <v>0.76294551859099802</v>
      </c>
      <c r="AO487" s="185">
        <v>0.80310054588526103</v>
      </c>
      <c r="AP487" s="185"/>
      <c r="AQ487" s="189">
        <v>21625.846999999998</v>
      </c>
      <c r="AR487" s="185">
        <v>0.84641279843444217</v>
      </c>
      <c r="AS487" s="185">
        <v>0.89096084045730761</v>
      </c>
      <c r="AT487" s="189">
        <v>21625.846999999998</v>
      </c>
      <c r="AU487" s="185">
        <v>0.84641279843444217</v>
      </c>
      <c r="AV487" s="185">
        <v>0.89096084045730761</v>
      </c>
      <c r="AW487" s="185"/>
      <c r="AX487" s="185"/>
      <c r="AY487" s="185"/>
      <c r="AZ487" s="185"/>
      <c r="BA487" s="185"/>
      <c r="BB487" s="185"/>
      <c r="BC487" s="189">
        <v>21625.846999999998</v>
      </c>
      <c r="BD487" s="185">
        <v>0.84641279843444217</v>
      </c>
      <c r="BE487" s="185">
        <v>0.89096084045730761</v>
      </c>
      <c r="BF487" s="352"/>
      <c r="BG487" s="352">
        <v>23046.42</v>
      </c>
      <c r="BH487" s="185">
        <v>0.90201252446183944</v>
      </c>
      <c r="BI487" s="185">
        <v>0.94948686785456782</v>
      </c>
      <c r="BJ487" s="374">
        <f t="shared" si="410"/>
        <v>24272.5</v>
      </c>
      <c r="BK487" s="374">
        <v>23289.327000000001</v>
      </c>
      <c r="BL487" s="185">
        <f t="shared" si="411"/>
        <v>0.91151964774951078</v>
      </c>
      <c r="BM487" s="185">
        <f t="shared" si="425"/>
        <v>0.95949436605211669</v>
      </c>
      <c r="BN487" s="205">
        <f t="shared" si="407"/>
        <v>3796.0690000000031</v>
      </c>
      <c r="BO487" s="205"/>
      <c r="BP487" s="189">
        <f>BP488+BP490+BP491</f>
        <v>3500</v>
      </c>
      <c r="BQ487" s="186">
        <f t="shared" si="412"/>
        <v>0.13698630136986301</v>
      </c>
      <c r="BR487" s="189">
        <f>BR488+BR490+BR491</f>
        <v>7000</v>
      </c>
      <c r="BS487" s="186">
        <f t="shared" si="413"/>
        <v>0.27397260273972601</v>
      </c>
      <c r="BT487" s="189">
        <f>BT488+BT490+BT491</f>
        <v>11490</v>
      </c>
      <c r="BU487" s="186">
        <f t="shared" si="414"/>
        <v>0.44970645792563602</v>
      </c>
      <c r="BV487" s="189">
        <f>BV488+BV490+BV491</f>
        <v>14990</v>
      </c>
      <c r="BW487" s="186">
        <f t="shared" si="415"/>
        <v>0.58669275929549902</v>
      </c>
      <c r="BX487" s="189">
        <f>BX488+BX490+BX491</f>
        <v>17323</v>
      </c>
      <c r="BY487" s="186">
        <f t="shared" si="416"/>
        <v>0.67800391389432491</v>
      </c>
      <c r="BZ487" s="189">
        <f>BZ488+BZ490+BZ491</f>
        <v>20402</v>
      </c>
      <c r="CA487" s="186">
        <f t="shared" si="417"/>
        <v>0.79851272015655572</v>
      </c>
      <c r="CB487" s="189">
        <f>CB488+CB490+CB491</f>
        <v>22095</v>
      </c>
      <c r="CC487" s="186">
        <f t="shared" si="431"/>
        <v>0.86477495107632096</v>
      </c>
      <c r="CD487" s="189">
        <f>CD488+CD490+CD491</f>
        <v>22932</v>
      </c>
      <c r="CE487" s="186">
        <f t="shared" si="432"/>
        <v>0.89753424657534242</v>
      </c>
      <c r="CF487" s="189">
        <f>CF488+CF490+CF491</f>
        <v>23307</v>
      </c>
      <c r="CG487" s="186">
        <f t="shared" si="433"/>
        <v>0.91221135029354206</v>
      </c>
      <c r="CH487" s="189">
        <f>CH488+CH490+CH491</f>
        <v>23585</v>
      </c>
      <c r="CI487" s="186">
        <f t="shared" si="434"/>
        <v>0.92309197651663411</v>
      </c>
      <c r="CJ487" s="189">
        <f>CJ488+CJ490+CJ491</f>
        <v>23916</v>
      </c>
      <c r="CK487" s="186">
        <f t="shared" si="418"/>
        <v>0.93604696673189824</v>
      </c>
      <c r="CL487" s="189">
        <f>CL488+CL490+CL491</f>
        <v>24150</v>
      </c>
      <c r="CM487" s="186">
        <f t="shared" si="419"/>
        <v>0.9452054794520548</v>
      </c>
      <c r="CN487" s="189">
        <f>CN488+CN490+CN491</f>
        <v>24272</v>
      </c>
      <c r="CO487" s="186">
        <f t="shared" si="420"/>
        <v>0.94998043052837577</v>
      </c>
      <c r="CP487" s="213" t="str">
        <f t="shared" si="422"/>
        <v>Đạt</v>
      </c>
      <c r="CQ487" s="213" t="str">
        <f t="shared" si="423"/>
        <v>Đạt</v>
      </c>
      <c r="CR487" s="213"/>
      <c r="CS487" s="213"/>
      <c r="CT487" s="231"/>
      <c r="CU487" s="163"/>
      <c r="CW487" s="195"/>
      <c r="CX487" s="196"/>
      <c r="CY487" s="196"/>
      <c r="CZ487" s="197"/>
      <c r="DA487" s="196"/>
      <c r="DB487" s="196"/>
      <c r="DC487" s="196"/>
      <c r="DE487" s="199"/>
      <c r="DF487" s="200"/>
      <c r="DG487" s="181"/>
    </row>
    <row r="488" spans="1:111" s="361" customFormat="1" outlineLevel="1" x14ac:dyDescent="0.25">
      <c r="A488" s="305" t="s">
        <v>34</v>
      </c>
      <c r="B488" s="318" t="s">
        <v>381</v>
      </c>
      <c r="C488" s="306"/>
      <c r="D488" s="317">
        <f t="shared" ref="D488:I488" si="439">D489</f>
        <v>20000</v>
      </c>
      <c r="E488" s="317">
        <f t="shared" si="439"/>
        <v>0</v>
      </c>
      <c r="F488" s="317">
        <f t="shared" si="439"/>
        <v>20000</v>
      </c>
      <c r="G488" s="317">
        <f t="shared" si="439"/>
        <v>0</v>
      </c>
      <c r="H488" s="317">
        <f t="shared" si="439"/>
        <v>20000</v>
      </c>
      <c r="I488" s="214">
        <f t="shared" si="439"/>
        <v>19000</v>
      </c>
      <c r="J488" s="214"/>
      <c r="K488" s="317">
        <f>K489</f>
        <v>0</v>
      </c>
      <c r="L488" s="214">
        <f>L489</f>
        <v>0</v>
      </c>
      <c r="M488" s="223"/>
      <c r="N488" s="223"/>
      <c r="O488" s="317">
        <f t="shared" si="427"/>
        <v>19000</v>
      </c>
      <c r="P488" s="317">
        <v>0</v>
      </c>
      <c r="Q488" s="319">
        <f t="shared" si="421"/>
        <v>0</v>
      </c>
      <c r="R488" s="317">
        <v>400</v>
      </c>
      <c r="S488" s="187">
        <v>0.02</v>
      </c>
      <c r="T488" s="187">
        <v>2.1052631578947368E-2</v>
      </c>
      <c r="U488" s="317">
        <v>4000</v>
      </c>
      <c r="V488" s="187">
        <v>0.2</v>
      </c>
      <c r="W488" s="187">
        <v>0.21052631578947367</v>
      </c>
      <c r="X488" s="317">
        <v>4000</v>
      </c>
      <c r="Y488" s="187">
        <v>0.2</v>
      </c>
      <c r="Z488" s="187">
        <v>0.21052631578947367</v>
      </c>
      <c r="AA488" s="317">
        <v>4000</v>
      </c>
      <c r="AB488" s="187">
        <v>0.2</v>
      </c>
      <c r="AC488" s="187">
        <v>0.21052631578947367</v>
      </c>
      <c r="AD488" s="317">
        <v>18938.419999999998</v>
      </c>
      <c r="AE488" s="187">
        <v>0.9469209999999999</v>
      </c>
      <c r="AF488" s="187">
        <v>0.99675894736842097</v>
      </c>
      <c r="AG488" s="317">
        <v>18938.419999999998</v>
      </c>
      <c r="AH488" s="187">
        <v>0.9469209999999999</v>
      </c>
      <c r="AI488" s="187">
        <v>0.99675894736842097</v>
      </c>
      <c r="AJ488" s="214">
        <v>18938.419999999998</v>
      </c>
      <c r="AK488" s="187">
        <v>0.9469209999999999</v>
      </c>
      <c r="AL488" s="187">
        <v>0.99675894736842097</v>
      </c>
      <c r="AM488" s="317">
        <v>18938.419999999998</v>
      </c>
      <c r="AN488" s="187">
        <v>0.9469209999999999</v>
      </c>
      <c r="AO488" s="187">
        <v>0.99675894736842097</v>
      </c>
      <c r="AP488" s="187"/>
      <c r="AQ488" s="317">
        <v>18938.419999999998</v>
      </c>
      <c r="AR488" s="187">
        <v>0.9469209999999999</v>
      </c>
      <c r="AS488" s="187">
        <v>0.99675894736842097</v>
      </c>
      <c r="AT488" s="317">
        <v>18938.419999999998</v>
      </c>
      <c r="AU488" s="187">
        <v>0.9469209999999999</v>
      </c>
      <c r="AV488" s="187">
        <v>0.99675894736842097</v>
      </c>
      <c r="AW488" s="187"/>
      <c r="AX488" s="187"/>
      <c r="AY488" s="187"/>
      <c r="AZ488" s="187"/>
      <c r="BA488" s="187"/>
      <c r="BB488" s="187"/>
      <c r="BC488" s="317">
        <v>18938.419999999998</v>
      </c>
      <c r="BD488" s="187">
        <v>0.9469209999999999</v>
      </c>
      <c r="BE488" s="187">
        <v>0.99675894736842097</v>
      </c>
      <c r="BF488" s="349"/>
      <c r="BG488" s="349">
        <v>18938.419999999998</v>
      </c>
      <c r="BH488" s="187">
        <v>0.9469209999999999</v>
      </c>
      <c r="BI488" s="187">
        <v>0.99675894736842097</v>
      </c>
      <c r="BJ488" s="349">
        <f t="shared" si="410"/>
        <v>19000</v>
      </c>
      <c r="BK488" s="349">
        <v>18938.419999999998</v>
      </c>
      <c r="BL488" s="187">
        <f t="shared" si="411"/>
        <v>0.9469209999999999</v>
      </c>
      <c r="BM488" s="187">
        <f t="shared" si="425"/>
        <v>0.99675894736842097</v>
      </c>
      <c r="BN488" s="205">
        <f t="shared" si="407"/>
        <v>0</v>
      </c>
      <c r="BO488" s="205"/>
      <c r="BP488" s="307">
        <f>BP489</f>
        <v>3500</v>
      </c>
      <c r="BQ488" s="319">
        <f t="shared" si="412"/>
        <v>0.17499999999999999</v>
      </c>
      <c r="BR488" s="307">
        <f>BR489</f>
        <v>7000</v>
      </c>
      <c r="BS488" s="319">
        <f t="shared" si="413"/>
        <v>0.35</v>
      </c>
      <c r="BT488" s="307">
        <f>BT489</f>
        <v>10500</v>
      </c>
      <c r="BU488" s="319">
        <f t="shared" si="414"/>
        <v>0.52500000000000002</v>
      </c>
      <c r="BV488" s="307">
        <f>BV489</f>
        <v>14000</v>
      </c>
      <c r="BW488" s="319">
        <f t="shared" si="415"/>
        <v>0.7</v>
      </c>
      <c r="BX488" s="307">
        <f>BX489</f>
        <v>16000</v>
      </c>
      <c r="BY488" s="319">
        <f t="shared" si="416"/>
        <v>0.8</v>
      </c>
      <c r="BZ488" s="307">
        <f>BZ489</f>
        <v>18000</v>
      </c>
      <c r="CA488" s="319">
        <f t="shared" si="417"/>
        <v>0.9</v>
      </c>
      <c r="CB488" s="307">
        <f>CB489</f>
        <v>19000</v>
      </c>
      <c r="CC488" s="319">
        <f t="shared" si="431"/>
        <v>0.95</v>
      </c>
      <c r="CD488" s="307">
        <f>CD489</f>
        <v>19000</v>
      </c>
      <c r="CE488" s="319">
        <f t="shared" si="432"/>
        <v>0.95</v>
      </c>
      <c r="CF488" s="307">
        <f>CF489</f>
        <v>19000</v>
      </c>
      <c r="CG488" s="319">
        <f t="shared" si="433"/>
        <v>0.95</v>
      </c>
      <c r="CH488" s="307">
        <f>CH489</f>
        <v>19000</v>
      </c>
      <c r="CI488" s="319">
        <f t="shared" si="434"/>
        <v>0.95</v>
      </c>
      <c r="CJ488" s="307">
        <f>CJ489</f>
        <v>19000</v>
      </c>
      <c r="CK488" s="319">
        <f t="shared" si="418"/>
        <v>0.95</v>
      </c>
      <c r="CL488" s="307">
        <f>CL489</f>
        <v>19000</v>
      </c>
      <c r="CM488" s="319">
        <f t="shared" si="419"/>
        <v>0.95</v>
      </c>
      <c r="CN488" s="307">
        <f>CN489</f>
        <v>19000</v>
      </c>
      <c r="CO488" s="319">
        <f t="shared" si="420"/>
        <v>0.95</v>
      </c>
      <c r="CP488" s="213" t="str">
        <f t="shared" si="422"/>
        <v>Đạt</v>
      </c>
      <c r="CQ488" s="213" t="str">
        <f t="shared" si="423"/>
        <v>Đạt</v>
      </c>
      <c r="CR488" s="312"/>
      <c r="CS488" s="312"/>
      <c r="CT488" s="235"/>
      <c r="CU488" s="163"/>
      <c r="CV488" s="358"/>
      <c r="CW488" s="359"/>
      <c r="CX488" s="360"/>
      <c r="CY488" s="196"/>
      <c r="CZ488" s="197"/>
      <c r="DA488" s="196"/>
      <c r="DB488" s="196"/>
      <c r="DC488" s="196"/>
      <c r="DE488" s="199"/>
      <c r="DF488" s="200"/>
      <c r="DG488" s="181"/>
    </row>
    <row r="489" spans="1:111" s="363" customFormat="1" ht="68.25" customHeight="1" outlineLevel="1" x14ac:dyDescent="0.25">
      <c r="A489" s="192"/>
      <c r="B489" s="325" t="s">
        <v>477</v>
      </c>
      <c r="C489" s="325">
        <v>7883253</v>
      </c>
      <c r="D489" s="214">
        <f>E489+F489</f>
        <v>20000</v>
      </c>
      <c r="E489" s="215"/>
      <c r="F489" s="214">
        <f>G489+H489+K489+M489</f>
        <v>20000</v>
      </c>
      <c r="G489" s="223"/>
      <c r="H489" s="257">
        <v>20000</v>
      </c>
      <c r="I489" s="235">
        <v>19000</v>
      </c>
      <c r="J489" s="214">
        <v>18938.419999999998</v>
      </c>
      <c r="K489" s="223"/>
      <c r="L489" s="235"/>
      <c r="M489" s="223"/>
      <c r="N489" s="223"/>
      <c r="O489" s="257">
        <f t="shared" si="427"/>
        <v>19000</v>
      </c>
      <c r="P489" s="257">
        <v>0</v>
      </c>
      <c r="Q489" s="224">
        <f t="shared" si="421"/>
        <v>0</v>
      </c>
      <c r="R489" s="257">
        <v>400</v>
      </c>
      <c r="S489" s="326">
        <v>0.02</v>
      </c>
      <c r="T489" s="326">
        <v>2.1052631578947368E-2</v>
      </c>
      <c r="U489" s="257">
        <v>4000</v>
      </c>
      <c r="V489" s="326">
        <v>0.2</v>
      </c>
      <c r="W489" s="326">
        <v>0.21052631578947367</v>
      </c>
      <c r="X489" s="257">
        <v>4000</v>
      </c>
      <c r="Y489" s="326">
        <v>0.2</v>
      </c>
      <c r="Z489" s="326">
        <v>0.21052631578947367</v>
      </c>
      <c r="AA489" s="257">
        <v>4000</v>
      </c>
      <c r="AB489" s="326">
        <v>0.2</v>
      </c>
      <c r="AC489" s="326">
        <v>0.21052631578947367</v>
      </c>
      <c r="AD489" s="257">
        <v>18938.419999999998</v>
      </c>
      <c r="AE489" s="326">
        <v>0.9469209999999999</v>
      </c>
      <c r="AF489" s="326">
        <v>0.99675894736842097</v>
      </c>
      <c r="AG489" s="214">
        <v>18938.419999999998</v>
      </c>
      <c r="AH489" s="326">
        <v>0.9469209999999999</v>
      </c>
      <c r="AI489" s="326">
        <v>0.99675894736842097</v>
      </c>
      <c r="AJ489" s="303">
        <v>18938.419999999998</v>
      </c>
      <c r="AK489" s="326">
        <v>0.9469209999999999</v>
      </c>
      <c r="AL489" s="326">
        <v>0.99675894736842097</v>
      </c>
      <c r="AM489" s="214">
        <v>18938.419999999998</v>
      </c>
      <c r="AN489" s="326">
        <v>0.9469209999999999</v>
      </c>
      <c r="AO489" s="326">
        <v>0.99675894736842097</v>
      </c>
      <c r="AP489" s="326"/>
      <c r="AQ489" s="214">
        <v>18938.419999999998</v>
      </c>
      <c r="AR489" s="326">
        <v>0.9469209999999999</v>
      </c>
      <c r="AS489" s="326">
        <v>0.99675894736842097</v>
      </c>
      <c r="AT489" s="214">
        <v>18938.419999999998</v>
      </c>
      <c r="AU489" s="326">
        <v>0.9469209999999999</v>
      </c>
      <c r="AV489" s="326">
        <v>0.99675894736842097</v>
      </c>
      <c r="AW489" s="326"/>
      <c r="AX489" s="326"/>
      <c r="AY489" s="326"/>
      <c r="AZ489" s="326"/>
      <c r="BA489" s="326"/>
      <c r="BB489" s="326"/>
      <c r="BC489" s="214">
        <v>18938.419999999998</v>
      </c>
      <c r="BD489" s="326">
        <v>0.9469209999999999</v>
      </c>
      <c r="BE489" s="326">
        <v>0.99675894736842097</v>
      </c>
      <c r="BF489" s="350">
        <v>18938.419999999998</v>
      </c>
      <c r="BG489" s="350">
        <v>18938.419999999998</v>
      </c>
      <c r="BH489" s="326">
        <v>0.9469209999999999</v>
      </c>
      <c r="BI489" s="326">
        <v>0.99675894736842097</v>
      </c>
      <c r="BJ489" s="402">
        <f t="shared" si="410"/>
        <v>19000</v>
      </c>
      <c r="BK489" s="402">
        <v>18938.419999999998</v>
      </c>
      <c r="BL489" s="326">
        <f t="shared" si="411"/>
        <v>0.9469209999999999</v>
      </c>
      <c r="BM489" s="326">
        <f t="shared" si="425"/>
        <v>0.99675894736842097</v>
      </c>
      <c r="BN489" s="205">
        <f t="shared" si="407"/>
        <v>0</v>
      </c>
      <c r="BO489" s="205"/>
      <c r="BP489" s="227">
        <v>3500</v>
      </c>
      <c r="BQ489" s="327">
        <f t="shared" si="412"/>
        <v>0.17499999999999999</v>
      </c>
      <c r="BR489" s="227">
        <v>7000</v>
      </c>
      <c r="BS489" s="327">
        <f t="shared" si="413"/>
        <v>0.35</v>
      </c>
      <c r="BT489" s="227">
        <v>10500</v>
      </c>
      <c r="BU489" s="224">
        <f t="shared" si="414"/>
        <v>0.52500000000000002</v>
      </c>
      <c r="BV489" s="227">
        <v>14000</v>
      </c>
      <c r="BW489" s="327">
        <f t="shared" si="415"/>
        <v>0.7</v>
      </c>
      <c r="BX489" s="227">
        <v>16000</v>
      </c>
      <c r="BY489" s="327">
        <f t="shared" si="416"/>
        <v>0.8</v>
      </c>
      <c r="BZ489" s="227">
        <v>18000</v>
      </c>
      <c r="CA489" s="327">
        <f t="shared" si="417"/>
        <v>0.9</v>
      </c>
      <c r="CB489" s="227">
        <v>19000</v>
      </c>
      <c r="CC489" s="327">
        <f t="shared" si="431"/>
        <v>0.95</v>
      </c>
      <c r="CD489" s="227">
        <v>19000</v>
      </c>
      <c r="CE489" s="327">
        <f t="shared" si="432"/>
        <v>0.95</v>
      </c>
      <c r="CF489" s="227">
        <v>19000</v>
      </c>
      <c r="CG489" s="327">
        <f t="shared" si="433"/>
        <v>0.95</v>
      </c>
      <c r="CH489" s="227">
        <v>19000</v>
      </c>
      <c r="CI489" s="327">
        <f t="shared" si="434"/>
        <v>0.95</v>
      </c>
      <c r="CJ489" s="227">
        <v>19000</v>
      </c>
      <c r="CK489" s="327">
        <f t="shared" si="418"/>
        <v>0.95</v>
      </c>
      <c r="CL489" s="227">
        <v>19000</v>
      </c>
      <c r="CM489" s="327">
        <f t="shared" si="419"/>
        <v>0.95</v>
      </c>
      <c r="CN489" s="227">
        <v>19000</v>
      </c>
      <c r="CO489" s="327">
        <f t="shared" si="420"/>
        <v>0.95</v>
      </c>
      <c r="CP489" s="213" t="str">
        <f t="shared" si="422"/>
        <v>Đạt</v>
      </c>
      <c r="CQ489" s="213" t="str">
        <f t="shared" si="423"/>
        <v>Đạt</v>
      </c>
      <c r="CR489" s="192"/>
      <c r="CS489" s="192"/>
      <c r="CT489" s="223"/>
      <c r="CU489" s="216"/>
      <c r="CV489" s="362"/>
      <c r="CW489" s="359"/>
      <c r="CX489" s="360"/>
      <c r="CY489" s="196"/>
      <c r="CZ489" s="197"/>
      <c r="DA489" s="196"/>
      <c r="DB489" s="196"/>
      <c r="DC489" s="196"/>
      <c r="DE489" s="199"/>
      <c r="DF489" s="200"/>
      <c r="DG489" s="181"/>
    </row>
    <row r="490" spans="1:111" s="361" customFormat="1" ht="18.75" customHeight="1" outlineLevel="1" x14ac:dyDescent="0.25">
      <c r="A490" s="305" t="s">
        <v>34</v>
      </c>
      <c r="B490" s="318" t="s">
        <v>376</v>
      </c>
      <c r="C490" s="306"/>
      <c r="D490" s="307">
        <f>E490+F490</f>
        <v>3000</v>
      </c>
      <c r="E490" s="307"/>
      <c r="F490" s="307">
        <f>G490+H490+K490+M490</f>
        <v>3000</v>
      </c>
      <c r="G490" s="303">
        <v>3000</v>
      </c>
      <c r="H490" s="303"/>
      <c r="I490" s="235"/>
      <c r="J490" s="235"/>
      <c r="K490" s="303"/>
      <c r="L490" s="235"/>
      <c r="M490" s="223"/>
      <c r="N490" s="223"/>
      <c r="O490" s="303">
        <f t="shared" si="427"/>
        <v>3000</v>
      </c>
      <c r="P490" s="303">
        <v>0</v>
      </c>
      <c r="Q490" s="308">
        <f t="shared" si="421"/>
        <v>0</v>
      </c>
      <c r="R490" s="303"/>
      <c r="S490" s="313">
        <v>0</v>
      </c>
      <c r="T490" s="313">
        <v>0</v>
      </c>
      <c r="U490" s="303">
        <v>554.83799999999997</v>
      </c>
      <c r="V490" s="313">
        <v>0.184946</v>
      </c>
      <c r="W490" s="313">
        <v>0.19467999999999999</v>
      </c>
      <c r="X490" s="303">
        <v>554.83799999999997</v>
      </c>
      <c r="Y490" s="313">
        <v>0.184946</v>
      </c>
      <c r="Z490" s="313">
        <v>0.19467999999999999</v>
      </c>
      <c r="AA490" s="303">
        <v>554.83799999999997</v>
      </c>
      <c r="AB490" s="313">
        <v>0.184946</v>
      </c>
      <c r="AC490" s="313">
        <v>0.19467999999999999</v>
      </c>
      <c r="AD490" s="303">
        <v>554.83799999999997</v>
      </c>
      <c r="AE490" s="313">
        <v>0.184946</v>
      </c>
      <c r="AF490" s="313">
        <v>0.19467999999999999</v>
      </c>
      <c r="AG490" s="303">
        <v>554.83799999999997</v>
      </c>
      <c r="AH490" s="313">
        <v>0.184946</v>
      </c>
      <c r="AI490" s="313">
        <v>0.19467999999999999</v>
      </c>
      <c r="AJ490" s="303">
        <v>554.83799999999997</v>
      </c>
      <c r="AK490" s="313">
        <v>0.184946</v>
      </c>
      <c r="AL490" s="313">
        <v>0.19467999999999999</v>
      </c>
      <c r="AM490" s="303">
        <v>554.83799999999997</v>
      </c>
      <c r="AN490" s="313">
        <v>0.184946</v>
      </c>
      <c r="AO490" s="313">
        <v>0.19467999999999999</v>
      </c>
      <c r="AP490" s="313"/>
      <c r="AQ490" s="303">
        <v>1935.4569999999999</v>
      </c>
      <c r="AR490" s="313">
        <v>0.64515233333333333</v>
      </c>
      <c r="AS490" s="313">
        <v>0.67910771929824554</v>
      </c>
      <c r="AT490" s="303">
        <v>1935.4569999999999</v>
      </c>
      <c r="AU490" s="313">
        <v>0.64515233333333333</v>
      </c>
      <c r="AV490" s="313">
        <v>0.67910771929824554</v>
      </c>
      <c r="AW490" s="313"/>
      <c r="AX490" s="313"/>
      <c r="AY490" s="313"/>
      <c r="AZ490" s="313"/>
      <c r="BA490" s="313"/>
      <c r="BB490" s="313"/>
      <c r="BC490" s="303">
        <v>1935.4569999999999</v>
      </c>
      <c r="BD490" s="313">
        <v>0.64515233333333333</v>
      </c>
      <c r="BE490" s="313">
        <v>0.67910771929824554</v>
      </c>
      <c r="BF490" s="351"/>
      <c r="BG490" s="351">
        <v>2521</v>
      </c>
      <c r="BH490" s="313">
        <v>0.84033333333333338</v>
      </c>
      <c r="BI490" s="313">
        <v>0.88456140350877188</v>
      </c>
      <c r="BJ490" s="349">
        <f t="shared" si="410"/>
        <v>2850</v>
      </c>
      <c r="BK490" s="349">
        <v>2525.1669999999999</v>
      </c>
      <c r="BL490" s="313">
        <f t="shared" si="411"/>
        <v>0.84172233333333335</v>
      </c>
      <c r="BM490" s="313">
        <f t="shared" si="425"/>
        <v>0.88602350877192981</v>
      </c>
      <c r="BN490" s="205">
        <f t="shared" si="407"/>
        <v>1970.329</v>
      </c>
      <c r="BO490" s="205"/>
      <c r="BP490" s="310"/>
      <c r="BQ490" s="311">
        <f t="shared" si="412"/>
        <v>0</v>
      </c>
      <c r="BR490" s="310"/>
      <c r="BS490" s="311">
        <f t="shared" si="413"/>
        <v>0</v>
      </c>
      <c r="BT490" s="310">
        <v>990</v>
      </c>
      <c r="BU490" s="308">
        <f t="shared" si="414"/>
        <v>0.33</v>
      </c>
      <c r="BV490" s="310">
        <v>990</v>
      </c>
      <c r="BW490" s="311">
        <f t="shared" si="415"/>
        <v>0.33</v>
      </c>
      <c r="BX490" s="310">
        <v>1323</v>
      </c>
      <c r="BY490" s="311">
        <f t="shared" si="416"/>
        <v>0.441</v>
      </c>
      <c r="BZ490" s="310">
        <v>1502</v>
      </c>
      <c r="CA490" s="311">
        <f t="shared" si="417"/>
        <v>0.5006666666666667</v>
      </c>
      <c r="CB490" s="310">
        <v>1995</v>
      </c>
      <c r="CC490" s="311">
        <f t="shared" si="431"/>
        <v>0.66500000000000004</v>
      </c>
      <c r="CD490" s="310">
        <v>2412</v>
      </c>
      <c r="CE490" s="311">
        <f t="shared" si="432"/>
        <v>0.80400000000000005</v>
      </c>
      <c r="CF490" s="310">
        <v>2566</v>
      </c>
      <c r="CG490" s="311">
        <f t="shared" si="433"/>
        <v>0.85533333333333328</v>
      </c>
      <c r="CH490" s="310">
        <v>2670</v>
      </c>
      <c r="CI490" s="311">
        <f t="shared" si="434"/>
        <v>0.89</v>
      </c>
      <c r="CJ490" s="310">
        <v>2775</v>
      </c>
      <c r="CK490" s="311">
        <f t="shared" si="418"/>
        <v>0.92500000000000004</v>
      </c>
      <c r="CL490" s="310">
        <v>2850</v>
      </c>
      <c r="CM490" s="311">
        <f t="shared" si="419"/>
        <v>0.95</v>
      </c>
      <c r="CN490" s="310">
        <v>2850</v>
      </c>
      <c r="CO490" s="311">
        <f t="shared" si="420"/>
        <v>0.95</v>
      </c>
      <c r="CP490" s="213" t="str">
        <f t="shared" si="422"/>
        <v>Đạt</v>
      </c>
      <c r="CQ490" s="213" t="str">
        <f t="shared" si="423"/>
        <v>Đạt</v>
      </c>
      <c r="CR490" s="312"/>
      <c r="CS490" s="312"/>
      <c r="CT490" s="235"/>
      <c r="CU490" s="163"/>
      <c r="CV490" s="358"/>
      <c r="CW490" s="359"/>
      <c r="CX490" s="360"/>
      <c r="CY490" s="196"/>
      <c r="CZ490" s="197"/>
      <c r="DA490" s="196"/>
      <c r="DB490" s="196"/>
      <c r="DC490" s="196"/>
      <c r="DE490" s="199"/>
      <c r="DF490" s="200"/>
      <c r="DG490" s="181"/>
    </row>
    <row r="491" spans="1:111" s="363" customFormat="1" ht="42" customHeight="1" outlineLevel="1" x14ac:dyDescent="0.25">
      <c r="A491" s="305" t="s">
        <v>34</v>
      </c>
      <c r="B491" s="306" t="s">
        <v>377</v>
      </c>
      <c r="C491" s="306"/>
      <c r="D491" s="307">
        <f>E491+F491</f>
        <v>2550</v>
      </c>
      <c r="E491" s="307"/>
      <c r="F491" s="307">
        <f>G491+H491+K491+M491</f>
        <v>2550</v>
      </c>
      <c r="G491" s="307"/>
      <c r="H491" s="307">
        <v>2550</v>
      </c>
      <c r="I491" s="235"/>
      <c r="J491" s="235"/>
      <c r="K491" s="303"/>
      <c r="L491" s="235"/>
      <c r="M491" s="223"/>
      <c r="N491" s="223"/>
      <c r="O491" s="303"/>
      <c r="P491" s="303">
        <v>0</v>
      </c>
      <c r="Q491" s="308">
        <f t="shared" si="421"/>
        <v>0</v>
      </c>
      <c r="R491" s="303"/>
      <c r="S491" s="313">
        <v>0</v>
      </c>
      <c r="T491" s="313">
        <v>0</v>
      </c>
      <c r="U491" s="303"/>
      <c r="V491" s="313">
        <v>0</v>
      </c>
      <c r="W491" s="313">
        <v>0</v>
      </c>
      <c r="X491" s="303"/>
      <c r="Y491" s="313">
        <v>0</v>
      </c>
      <c r="Z491" s="313">
        <v>0</v>
      </c>
      <c r="AA491" s="303"/>
      <c r="AB491" s="313">
        <v>0</v>
      </c>
      <c r="AC491" s="313">
        <v>0</v>
      </c>
      <c r="AD491" s="303"/>
      <c r="AE491" s="313">
        <v>0</v>
      </c>
      <c r="AF491" s="313">
        <v>0</v>
      </c>
      <c r="AG491" s="303"/>
      <c r="AH491" s="313">
        <v>0</v>
      </c>
      <c r="AI491" s="313">
        <v>0</v>
      </c>
      <c r="AJ491" s="188"/>
      <c r="AK491" s="313">
        <v>0</v>
      </c>
      <c r="AL491" s="313">
        <v>0</v>
      </c>
      <c r="AM491" s="303"/>
      <c r="AN491" s="313">
        <v>0</v>
      </c>
      <c r="AO491" s="313">
        <v>0</v>
      </c>
      <c r="AP491" s="313"/>
      <c r="AQ491" s="303">
        <v>751.97</v>
      </c>
      <c r="AR491" s="313">
        <v>0.29489019607843137</v>
      </c>
      <c r="AS491" s="313">
        <v>0.31041073271413827</v>
      </c>
      <c r="AT491" s="303">
        <v>751.97</v>
      </c>
      <c r="AU491" s="313">
        <v>0.29489019607843137</v>
      </c>
      <c r="AV491" s="313">
        <v>0.31041073271413827</v>
      </c>
      <c r="AW491" s="313"/>
      <c r="AX491" s="313"/>
      <c r="AY491" s="313"/>
      <c r="AZ491" s="313"/>
      <c r="BA491" s="313"/>
      <c r="BB491" s="313"/>
      <c r="BC491" s="303">
        <v>751.97</v>
      </c>
      <c r="BD491" s="313">
        <v>0.29489019607843137</v>
      </c>
      <c r="BE491" s="313">
        <v>0.31041073271413827</v>
      </c>
      <c r="BF491" s="351"/>
      <c r="BG491" s="351">
        <v>1587</v>
      </c>
      <c r="BH491" s="313">
        <v>0.62235294117647055</v>
      </c>
      <c r="BI491" s="313">
        <v>0.65510835913312693</v>
      </c>
      <c r="BJ491" s="349">
        <f t="shared" si="410"/>
        <v>2422.5</v>
      </c>
      <c r="BK491" s="349">
        <v>1825.74</v>
      </c>
      <c r="BL491" s="313">
        <f t="shared" si="411"/>
        <v>0.71597647058823533</v>
      </c>
      <c r="BM491" s="313">
        <f t="shared" si="425"/>
        <v>0.75365944272445817</v>
      </c>
      <c r="BN491" s="205">
        <f t="shared" si="407"/>
        <v>1825.74</v>
      </c>
      <c r="BO491" s="205"/>
      <c r="BP491" s="310"/>
      <c r="BQ491" s="311">
        <f t="shared" si="412"/>
        <v>0</v>
      </c>
      <c r="BR491" s="310"/>
      <c r="BS491" s="311">
        <f t="shared" si="413"/>
        <v>0</v>
      </c>
      <c r="BT491" s="310"/>
      <c r="BU491" s="308">
        <f t="shared" si="414"/>
        <v>0</v>
      </c>
      <c r="BV491" s="310"/>
      <c r="BW491" s="311">
        <f t="shared" si="415"/>
        <v>0</v>
      </c>
      <c r="BX491" s="310"/>
      <c r="BY491" s="311">
        <f t="shared" si="416"/>
        <v>0</v>
      </c>
      <c r="BZ491" s="310">
        <v>900</v>
      </c>
      <c r="CA491" s="311">
        <f t="shared" si="417"/>
        <v>0.35294117647058826</v>
      </c>
      <c r="CB491" s="310">
        <v>1100</v>
      </c>
      <c r="CC491" s="311">
        <f t="shared" si="431"/>
        <v>0.43137254901960786</v>
      </c>
      <c r="CD491" s="310">
        <v>1520</v>
      </c>
      <c r="CE491" s="311">
        <f t="shared" si="432"/>
        <v>0.59607843137254901</v>
      </c>
      <c r="CF491" s="310">
        <v>1741</v>
      </c>
      <c r="CG491" s="311">
        <f t="shared" si="433"/>
        <v>0.68274509803921568</v>
      </c>
      <c r="CH491" s="310">
        <v>1915</v>
      </c>
      <c r="CI491" s="311">
        <f t="shared" si="434"/>
        <v>0.75098039215686274</v>
      </c>
      <c r="CJ491" s="310">
        <v>2141</v>
      </c>
      <c r="CK491" s="311">
        <f t="shared" si="418"/>
        <v>0.83960784313725489</v>
      </c>
      <c r="CL491" s="310">
        <v>2300</v>
      </c>
      <c r="CM491" s="311">
        <f t="shared" si="419"/>
        <v>0.90196078431372551</v>
      </c>
      <c r="CN491" s="310">
        <v>2422</v>
      </c>
      <c r="CO491" s="311">
        <f t="shared" si="420"/>
        <v>0.94980392156862747</v>
      </c>
      <c r="CP491" s="213" t="str">
        <f t="shared" si="422"/>
        <v>Đạt</v>
      </c>
      <c r="CQ491" s="213" t="str">
        <f t="shared" si="423"/>
        <v>Đạt</v>
      </c>
      <c r="CR491" s="312"/>
      <c r="CS491" s="312"/>
      <c r="CT491" s="235"/>
      <c r="CU491" s="163"/>
      <c r="CV491" s="362"/>
      <c r="CW491" s="359"/>
      <c r="CX491" s="360"/>
      <c r="CY491" s="196"/>
      <c r="CZ491" s="197"/>
      <c r="DA491" s="196"/>
      <c r="DB491" s="196"/>
      <c r="DC491" s="196"/>
      <c r="DE491" s="199"/>
      <c r="DF491" s="200"/>
      <c r="DG491" s="181"/>
    </row>
    <row r="492" spans="1:111" ht="18" customHeight="1" x14ac:dyDescent="0.25">
      <c r="A492" s="213">
        <f>MAX(A$243:A490)+1</f>
        <v>70</v>
      </c>
      <c r="B492" s="240" t="s">
        <v>478</v>
      </c>
      <c r="C492" s="240"/>
      <c r="D492" s="188">
        <f t="shared" ref="D492:I492" si="440">D493+D494</f>
        <v>4700</v>
      </c>
      <c r="E492" s="188">
        <f t="shared" si="440"/>
        <v>0</v>
      </c>
      <c r="F492" s="188">
        <f t="shared" si="440"/>
        <v>4700</v>
      </c>
      <c r="G492" s="188">
        <f t="shared" si="440"/>
        <v>3000</v>
      </c>
      <c r="H492" s="188">
        <f t="shared" si="440"/>
        <v>1700</v>
      </c>
      <c r="I492" s="188">
        <f t="shared" si="440"/>
        <v>0</v>
      </c>
      <c r="J492" s="188"/>
      <c r="K492" s="188">
        <f>K493+K494</f>
        <v>0</v>
      </c>
      <c r="L492" s="188">
        <f>L493+L494</f>
        <v>0</v>
      </c>
      <c r="M492" s="188">
        <f>M493+M494</f>
        <v>0</v>
      </c>
      <c r="N492" s="188">
        <f>N493+N494</f>
        <v>0</v>
      </c>
      <c r="O492" s="188">
        <f>O493+O494</f>
        <v>3000</v>
      </c>
      <c r="P492" s="188">
        <v>0</v>
      </c>
      <c r="Q492" s="186">
        <f t="shared" si="421"/>
        <v>0</v>
      </c>
      <c r="R492" s="188">
        <v>0</v>
      </c>
      <c r="S492" s="185">
        <v>0</v>
      </c>
      <c r="T492" s="185">
        <v>0</v>
      </c>
      <c r="U492" s="188">
        <v>0</v>
      </c>
      <c r="V492" s="185">
        <v>0</v>
      </c>
      <c r="W492" s="185">
        <v>0</v>
      </c>
      <c r="X492" s="188">
        <v>0</v>
      </c>
      <c r="Y492" s="185">
        <v>0</v>
      </c>
      <c r="Z492" s="185">
        <v>0</v>
      </c>
      <c r="AA492" s="188">
        <v>0</v>
      </c>
      <c r="AB492" s="185">
        <v>0</v>
      </c>
      <c r="AC492" s="185">
        <v>0</v>
      </c>
      <c r="AD492" s="188">
        <v>323.27699999999999</v>
      </c>
      <c r="AE492" s="185">
        <v>6.8782340425531913E-2</v>
      </c>
      <c r="AF492" s="185">
        <v>7.2402463605823059E-2</v>
      </c>
      <c r="AG492" s="188">
        <v>323.27699999999999</v>
      </c>
      <c r="AH492" s="185">
        <v>6.8782340425531913E-2</v>
      </c>
      <c r="AI492" s="185">
        <v>7.2402463605823059E-2</v>
      </c>
      <c r="AJ492" s="307">
        <v>323.27699999999999</v>
      </c>
      <c r="AK492" s="185">
        <v>6.8782340425531913E-2</v>
      </c>
      <c r="AL492" s="185">
        <v>7.2402463605823059E-2</v>
      </c>
      <c r="AM492" s="188">
        <v>323.27699999999999</v>
      </c>
      <c r="AN492" s="185">
        <v>6.8782340425531913E-2</v>
      </c>
      <c r="AO492" s="185">
        <v>7.2402463605823059E-2</v>
      </c>
      <c r="AP492" s="185"/>
      <c r="AQ492" s="188">
        <v>1369.3629000000001</v>
      </c>
      <c r="AR492" s="185">
        <v>0.2913538085106383</v>
      </c>
      <c r="AS492" s="185">
        <v>0.30668821948488245</v>
      </c>
      <c r="AT492" s="188">
        <v>1369.3629000000001</v>
      </c>
      <c r="AU492" s="185">
        <v>0.2913538085106383</v>
      </c>
      <c r="AV492" s="185">
        <v>0.30668821948488245</v>
      </c>
      <c r="AW492" s="185"/>
      <c r="AX492" s="185"/>
      <c r="AY492" s="185"/>
      <c r="AZ492" s="185"/>
      <c r="BA492" s="185"/>
      <c r="BB492" s="185"/>
      <c r="BC492" s="188">
        <v>1369.3629000000001</v>
      </c>
      <c r="BD492" s="185">
        <v>0.2913538085106383</v>
      </c>
      <c r="BE492" s="185">
        <v>0.30668821948488245</v>
      </c>
      <c r="BF492" s="352"/>
      <c r="BG492" s="352">
        <v>1369.3629000000001</v>
      </c>
      <c r="BH492" s="185">
        <v>0.2913538085106383</v>
      </c>
      <c r="BI492" s="185">
        <v>0.30668821948488245</v>
      </c>
      <c r="BJ492" s="374">
        <f t="shared" si="410"/>
        <v>4465</v>
      </c>
      <c r="BK492" s="374">
        <v>1369.3629000000001</v>
      </c>
      <c r="BL492" s="185">
        <f t="shared" si="411"/>
        <v>0.2913538085106383</v>
      </c>
      <c r="BM492" s="185">
        <f t="shared" si="425"/>
        <v>0.30668821948488245</v>
      </c>
      <c r="BN492" s="205">
        <f t="shared" si="407"/>
        <v>1046.0859</v>
      </c>
      <c r="BO492" s="205"/>
      <c r="BP492" s="189">
        <f>BP493+BP494</f>
        <v>0</v>
      </c>
      <c r="BQ492" s="186">
        <f t="shared" si="412"/>
        <v>0</v>
      </c>
      <c r="BR492" s="189">
        <f>BR493+BR494</f>
        <v>0</v>
      </c>
      <c r="BS492" s="186">
        <f t="shared" si="413"/>
        <v>0</v>
      </c>
      <c r="BT492" s="189">
        <f>BT493+BT494</f>
        <v>0</v>
      </c>
      <c r="BU492" s="186">
        <f t="shared" si="414"/>
        <v>0</v>
      </c>
      <c r="BV492" s="189">
        <f>BV493+BV494</f>
        <v>0</v>
      </c>
      <c r="BW492" s="186">
        <f t="shared" si="415"/>
        <v>0</v>
      </c>
      <c r="BX492" s="189">
        <f>BX493+BX494</f>
        <v>0</v>
      </c>
      <c r="BY492" s="186">
        <f t="shared" si="416"/>
        <v>0</v>
      </c>
      <c r="BZ492" s="189">
        <f>BZ493+BZ494</f>
        <v>3050</v>
      </c>
      <c r="CA492" s="186">
        <f t="shared" si="417"/>
        <v>0.64893617021276595</v>
      </c>
      <c r="CB492" s="189">
        <f>CB493+CB494</f>
        <v>3270</v>
      </c>
      <c r="CC492" s="186">
        <f t="shared" si="431"/>
        <v>0.69574468085106378</v>
      </c>
      <c r="CD492" s="189">
        <f>CD493+CD494</f>
        <v>3540</v>
      </c>
      <c r="CE492" s="186">
        <f t="shared" si="432"/>
        <v>0.7531914893617021</v>
      </c>
      <c r="CF492" s="189">
        <f>CF493+CF494</f>
        <v>3660</v>
      </c>
      <c r="CG492" s="186">
        <f t="shared" si="433"/>
        <v>0.77872340425531916</v>
      </c>
      <c r="CH492" s="189">
        <f>CH493+CH494</f>
        <v>3780</v>
      </c>
      <c r="CI492" s="186">
        <f t="shared" si="434"/>
        <v>0.80425531914893622</v>
      </c>
      <c r="CJ492" s="189">
        <f>CJ493+CJ494</f>
        <v>4091</v>
      </c>
      <c r="CK492" s="186">
        <f t="shared" si="418"/>
        <v>0.87042553191489358</v>
      </c>
      <c r="CL492" s="189">
        <f>CL493+CL494</f>
        <v>4361</v>
      </c>
      <c r="CM492" s="186">
        <f t="shared" si="419"/>
        <v>0.92787234042553191</v>
      </c>
      <c r="CN492" s="189">
        <f>CN493+CN494</f>
        <v>4465</v>
      </c>
      <c r="CO492" s="186">
        <f t="shared" si="420"/>
        <v>0.95</v>
      </c>
      <c r="CP492" s="213" t="str">
        <f t="shared" si="422"/>
        <v>Không đạt</v>
      </c>
      <c r="CQ492" s="213" t="str">
        <f t="shared" si="423"/>
        <v>Không đạt</v>
      </c>
      <c r="CR492" s="213"/>
      <c r="CS492" s="213"/>
      <c r="CT492" s="231"/>
      <c r="CU492" s="163"/>
      <c r="CW492" s="195"/>
      <c r="CX492" s="196"/>
      <c r="CY492" s="196"/>
      <c r="CZ492" s="197"/>
      <c r="DA492" s="196"/>
      <c r="DB492" s="196"/>
      <c r="DC492" s="196"/>
      <c r="DE492" s="199"/>
      <c r="DF492" s="200"/>
      <c r="DG492" s="181"/>
    </row>
    <row r="493" spans="1:111" s="324" customFormat="1" ht="21.75" customHeight="1" outlineLevel="1" x14ac:dyDescent="0.25">
      <c r="A493" s="305" t="s">
        <v>34</v>
      </c>
      <c r="B493" s="306" t="s">
        <v>376</v>
      </c>
      <c r="C493" s="306"/>
      <c r="D493" s="307">
        <f>E493+F493</f>
        <v>3000</v>
      </c>
      <c r="E493" s="307"/>
      <c r="F493" s="307">
        <f>G493+H493+K493+M493</f>
        <v>3000</v>
      </c>
      <c r="G493" s="303">
        <v>3000</v>
      </c>
      <c r="H493" s="303"/>
      <c r="I493" s="235"/>
      <c r="J493" s="235"/>
      <c r="K493" s="303"/>
      <c r="L493" s="235"/>
      <c r="M493" s="223"/>
      <c r="N493" s="223"/>
      <c r="O493" s="303">
        <f t="shared" si="427"/>
        <v>3000</v>
      </c>
      <c r="P493" s="303">
        <v>0</v>
      </c>
      <c r="Q493" s="308">
        <f t="shared" si="421"/>
        <v>0</v>
      </c>
      <c r="R493" s="303"/>
      <c r="S493" s="313">
        <v>0</v>
      </c>
      <c r="T493" s="313">
        <v>0</v>
      </c>
      <c r="U493" s="303"/>
      <c r="V493" s="313">
        <v>0</v>
      </c>
      <c r="W493" s="313">
        <v>0</v>
      </c>
      <c r="X493" s="303"/>
      <c r="Y493" s="313">
        <v>0</v>
      </c>
      <c r="Z493" s="313">
        <v>0</v>
      </c>
      <c r="AA493" s="303"/>
      <c r="AB493" s="313">
        <v>0</v>
      </c>
      <c r="AC493" s="313">
        <v>0</v>
      </c>
      <c r="AD493" s="303">
        <v>323.27699999999999</v>
      </c>
      <c r="AE493" s="313">
        <v>0.10775899999999999</v>
      </c>
      <c r="AF493" s="313">
        <v>0.11343052631578947</v>
      </c>
      <c r="AG493" s="307">
        <v>323.27699999999999</v>
      </c>
      <c r="AH493" s="313">
        <v>0.10775899999999999</v>
      </c>
      <c r="AI493" s="313">
        <v>0.11343052631578947</v>
      </c>
      <c r="AJ493" s="364">
        <v>323.27699999999999</v>
      </c>
      <c r="AK493" s="313">
        <v>0.10775899999999999</v>
      </c>
      <c r="AL493" s="313">
        <v>0.11343052631578947</v>
      </c>
      <c r="AM493" s="307">
        <v>323.27699999999999</v>
      </c>
      <c r="AN493" s="313">
        <v>0.10775899999999999</v>
      </c>
      <c r="AO493" s="313">
        <v>0.11343052631578947</v>
      </c>
      <c r="AP493" s="313"/>
      <c r="AQ493" s="307">
        <v>1369.3629000000001</v>
      </c>
      <c r="AR493" s="313">
        <v>0.45645430000000004</v>
      </c>
      <c r="AS493" s="313">
        <v>0.48047821052631584</v>
      </c>
      <c r="AT493" s="307">
        <v>1369.3629000000001</v>
      </c>
      <c r="AU493" s="313">
        <v>0.45645430000000004</v>
      </c>
      <c r="AV493" s="313">
        <v>0.48047821052631584</v>
      </c>
      <c r="AW493" s="313"/>
      <c r="AX493" s="313"/>
      <c r="AY493" s="313"/>
      <c r="AZ493" s="313"/>
      <c r="BA493" s="313"/>
      <c r="BB493" s="313"/>
      <c r="BC493" s="307">
        <v>1369.3629000000001</v>
      </c>
      <c r="BD493" s="313">
        <v>0.45645430000000004</v>
      </c>
      <c r="BE493" s="313">
        <v>0.48047821052631584</v>
      </c>
      <c r="BF493" s="351"/>
      <c r="BG493" s="351">
        <v>1369.3629000000001</v>
      </c>
      <c r="BH493" s="313">
        <v>0.45645430000000004</v>
      </c>
      <c r="BI493" s="313">
        <v>0.48047821052631584</v>
      </c>
      <c r="BJ493" s="349">
        <f t="shared" si="410"/>
        <v>2850</v>
      </c>
      <c r="BK493" s="349">
        <v>1369.3629000000001</v>
      </c>
      <c r="BL493" s="313">
        <f t="shared" si="411"/>
        <v>0.45645430000000004</v>
      </c>
      <c r="BM493" s="313">
        <f t="shared" si="425"/>
        <v>0.48047821052631584</v>
      </c>
      <c r="BN493" s="205">
        <f t="shared" si="407"/>
        <v>1046.0859</v>
      </c>
      <c r="BO493" s="205"/>
      <c r="BP493" s="310"/>
      <c r="BQ493" s="311">
        <f t="shared" si="412"/>
        <v>0</v>
      </c>
      <c r="BR493" s="310"/>
      <c r="BS493" s="311">
        <f t="shared" si="413"/>
        <v>0</v>
      </c>
      <c r="BT493" s="310"/>
      <c r="BU493" s="308">
        <f t="shared" si="414"/>
        <v>0</v>
      </c>
      <c r="BV493" s="310"/>
      <c r="BW493" s="311">
        <f t="shared" si="415"/>
        <v>0</v>
      </c>
      <c r="BX493" s="310"/>
      <c r="BY493" s="311">
        <f t="shared" si="416"/>
        <v>0</v>
      </c>
      <c r="BZ493" s="310">
        <f>2850</f>
        <v>2850</v>
      </c>
      <c r="CA493" s="311">
        <f t="shared" si="417"/>
        <v>0.95</v>
      </c>
      <c r="CB493" s="310">
        <v>2850</v>
      </c>
      <c r="CC493" s="311">
        <f t="shared" si="431"/>
        <v>0.95</v>
      </c>
      <c r="CD493" s="310">
        <v>2850</v>
      </c>
      <c r="CE493" s="311">
        <f t="shared" si="432"/>
        <v>0.95</v>
      </c>
      <c r="CF493" s="310">
        <v>2850</v>
      </c>
      <c r="CG493" s="311">
        <f t="shared" si="433"/>
        <v>0.95</v>
      </c>
      <c r="CH493" s="310">
        <v>2850</v>
      </c>
      <c r="CI493" s="311">
        <f t="shared" si="434"/>
        <v>0.95</v>
      </c>
      <c r="CJ493" s="310">
        <v>2850</v>
      </c>
      <c r="CK493" s="311">
        <f t="shared" si="418"/>
        <v>0.95</v>
      </c>
      <c r="CL493" s="310">
        <v>2850</v>
      </c>
      <c r="CM493" s="311">
        <f t="shared" si="419"/>
        <v>0.95</v>
      </c>
      <c r="CN493" s="310">
        <v>2850</v>
      </c>
      <c r="CO493" s="311">
        <f t="shared" si="420"/>
        <v>0.95</v>
      </c>
      <c r="CP493" s="213" t="str">
        <f t="shared" si="422"/>
        <v>Đạt</v>
      </c>
      <c r="CQ493" s="213" t="str">
        <f t="shared" si="423"/>
        <v>Đạt</v>
      </c>
      <c r="CR493" s="312"/>
      <c r="CS493" s="312"/>
      <c r="CT493" s="235"/>
      <c r="CU493" s="163"/>
      <c r="CV493" s="323"/>
      <c r="CW493" s="195"/>
      <c r="CX493" s="196"/>
      <c r="CY493" s="196"/>
      <c r="CZ493" s="197"/>
      <c r="DA493" s="196"/>
      <c r="DB493" s="196"/>
      <c r="DC493" s="196"/>
      <c r="DE493" s="199"/>
      <c r="DF493" s="200"/>
      <c r="DG493" s="181"/>
    </row>
    <row r="494" spans="1:111" s="372" customFormat="1" ht="50.25" customHeight="1" outlineLevel="1" x14ac:dyDescent="0.25">
      <c r="A494" s="305" t="s">
        <v>34</v>
      </c>
      <c r="B494" s="365" t="s">
        <v>377</v>
      </c>
      <c r="C494" s="365"/>
      <c r="D494" s="366">
        <f>E494+F494</f>
        <v>1700</v>
      </c>
      <c r="E494" s="366"/>
      <c r="F494" s="366">
        <f>G494+H494+K494+M494</f>
        <v>1700</v>
      </c>
      <c r="G494" s="366"/>
      <c r="H494" s="366">
        <v>1700</v>
      </c>
      <c r="I494" s="367"/>
      <c r="J494" s="367"/>
      <c r="K494" s="364"/>
      <c r="L494" s="367"/>
      <c r="M494" s="368"/>
      <c r="N494" s="368"/>
      <c r="O494" s="364"/>
      <c r="P494" s="364">
        <v>0</v>
      </c>
      <c r="Q494" s="308">
        <f t="shared" si="421"/>
        <v>0</v>
      </c>
      <c r="R494" s="364"/>
      <c r="S494" s="313">
        <v>0</v>
      </c>
      <c r="T494" s="313">
        <v>0</v>
      </c>
      <c r="U494" s="364"/>
      <c r="V494" s="313">
        <v>0</v>
      </c>
      <c r="W494" s="313">
        <v>0</v>
      </c>
      <c r="X494" s="364"/>
      <c r="Y494" s="313">
        <v>0</v>
      </c>
      <c r="Z494" s="313">
        <v>0</v>
      </c>
      <c r="AA494" s="364"/>
      <c r="AB494" s="313">
        <v>0</v>
      </c>
      <c r="AC494" s="313">
        <v>0</v>
      </c>
      <c r="AD494" s="364"/>
      <c r="AE494" s="313">
        <v>0</v>
      </c>
      <c r="AF494" s="313">
        <v>0</v>
      </c>
      <c r="AG494" s="364"/>
      <c r="AH494" s="313">
        <v>0</v>
      </c>
      <c r="AI494" s="313">
        <v>0</v>
      </c>
      <c r="AJ494" s="188"/>
      <c r="AK494" s="313">
        <v>0</v>
      </c>
      <c r="AL494" s="313">
        <v>0</v>
      </c>
      <c r="AM494" s="364"/>
      <c r="AN494" s="313">
        <v>0</v>
      </c>
      <c r="AO494" s="313">
        <v>0</v>
      </c>
      <c r="AP494" s="313"/>
      <c r="AQ494" s="364"/>
      <c r="AR494" s="313">
        <v>0</v>
      </c>
      <c r="AS494" s="313">
        <v>0</v>
      </c>
      <c r="AT494" s="364"/>
      <c r="AU494" s="313">
        <v>0</v>
      </c>
      <c r="AV494" s="313">
        <v>0</v>
      </c>
      <c r="AW494" s="313"/>
      <c r="AX494" s="313"/>
      <c r="AY494" s="313"/>
      <c r="AZ494" s="313"/>
      <c r="BA494" s="313"/>
      <c r="BB494" s="313"/>
      <c r="BC494" s="364"/>
      <c r="BD494" s="313">
        <v>0</v>
      </c>
      <c r="BE494" s="313">
        <v>0</v>
      </c>
      <c r="BF494" s="351"/>
      <c r="BG494" s="351">
        <v>0</v>
      </c>
      <c r="BH494" s="313">
        <v>0</v>
      </c>
      <c r="BI494" s="313">
        <v>0</v>
      </c>
      <c r="BJ494" s="349">
        <f t="shared" si="410"/>
        <v>1615</v>
      </c>
      <c r="BK494" s="349">
        <v>0</v>
      </c>
      <c r="BL494" s="313">
        <f t="shared" si="411"/>
        <v>0</v>
      </c>
      <c r="BM494" s="313">
        <f t="shared" si="425"/>
        <v>0</v>
      </c>
      <c r="BN494" s="205">
        <f t="shared" si="407"/>
        <v>0</v>
      </c>
      <c r="BO494" s="205"/>
      <c r="BP494" s="310"/>
      <c r="BQ494" s="311">
        <f t="shared" si="412"/>
        <v>0</v>
      </c>
      <c r="BR494" s="310"/>
      <c r="BS494" s="311">
        <f t="shared" si="413"/>
        <v>0</v>
      </c>
      <c r="BT494" s="310"/>
      <c r="BU494" s="308">
        <f t="shared" si="414"/>
        <v>0</v>
      </c>
      <c r="BV494" s="310"/>
      <c r="BW494" s="311">
        <f t="shared" si="415"/>
        <v>0</v>
      </c>
      <c r="BX494" s="310"/>
      <c r="BY494" s="311">
        <f t="shared" si="416"/>
        <v>0</v>
      </c>
      <c r="BZ494" s="310">
        <v>200</v>
      </c>
      <c r="CA494" s="311">
        <f t="shared" si="417"/>
        <v>0.11764705882352941</v>
      </c>
      <c r="CB494" s="310">
        <v>420</v>
      </c>
      <c r="CC494" s="311">
        <f t="shared" si="431"/>
        <v>0.24705882352941178</v>
      </c>
      <c r="CD494" s="310">
        <v>690</v>
      </c>
      <c r="CE494" s="311">
        <f t="shared" si="432"/>
        <v>0.40588235294117647</v>
      </c>
      <c r="CF494" s="310">
        <v>810</v>
      </c>
      <c r="CG494" s="311">
        <f t="shared" si="433"/>
        <v>0.47647058823529409</v>
      </c>
      <c r="CH494" s="310">
        <v>930</v>
      </c>
      <c r="CI494" s="311">
        <f t="shared" si="434"/>
        <v>0.54705882352941182</v>
      </c>
      <c r="CJ494" s="310">
        <v>1241</v>
      </c>
      <c r="CK494" s="311">
        <f t="shared" si="418"/>
        <v>0.73</v>
      </c>
      <c r="CL494" s="310">
        <v>1511</v>
      </c>
      <c r="CM494" s="311">
        <f t="shared" si="419"/>
        <v>0.88882352941176468</v>
      </c>
      <c r="CN494" s="310">
        <f>1700*0.95</f>
        <v>1615</v>
      </c>
      <c r="CO494" s="311">
        <f t="shared" si="420"/>
        <v>0.95</v>
      </c>
      <c r="CP494" s="213" t="str">
        <f t="shared" si="422"/>
        <v>Không đạt</v>
      </c>
      <c r="CQ494" s="213" t="str">
        <f t="shared" si="423"/>
        <v>Không đạt</v>
      </c>
      <c r="CR494" s="312"/>
      <c r="CS494" s="312"/>
      <c r="CT494" s="367"/>
      <c r="CU494" s="163"/>
      <c r="CV494" s="369"/>
      <c r="CW494" s="370"/>
      <c r="CX494" s="371"/>
      <c r="CY494" s="196"/>
      <c r="CZ494" s="197"/>
      <c r="DA494" s="196"/>
      <c r="DB494" s="196"/>
      <c r="DC494" s="196"/>
      <c r="DE494" s="199"/>
      <c r="DF494" s="200"/>
      <c r="DG494" s="181"/>
    </row>
    <row r="495" spans="1:111" ht="18" customHeight="1" x14ac:dyDescent="0.25">
      <c r="A495" s="213">
        <f>MAX(A$243:A492)+1</f>
        <v>71</v>
      </c>
      <c r="B495" s="240" t="s">
        <v>479</v>
      </c>
      <c r="C495" s="240"/>
      <c r="D495" s="188">
        <f t="shared" ref="D495:I495" si="441">D496+D497</f>
        <v>3850</v>
      </c>
      <c r="E495" s="188">
        <f t="shared" si="441"/>
        <v>0</v>
      </c>
      <c r="F495" s="188">
        <f t="shared" si="441"/>
        <v>3850</v>
      </c>
      <c r="G495" s="188">
        <f t="shared" si="441"/>
        <v>3000</v>
      </c>
      <c r="H495" s="188">
        <f t="shared" si="441"/>
        <v>850</v>
      </c>
      <c r="I495" s="188">
        <f t="shared" si="441"/>
        <v>0</v>
      </c>
      <c r="J495" s="188"/>
      <c r="K495" s="188">
        <f>K496+K497</f>
        <v>0</v>
      </c>
      <c r="L495" s="188">
        <f>L496+L497</f>
        <v>0</v>
      </c>
      <c r="M495" s="188">
        <f>M496+M497</f>
        <v>0</v>
      </c>
      <c r="N495" s="188">
        <f>N496+N497</f>
        <v>0</v>
      </c>
      <c r="O495" s="188">
        <f>O496+O497</f>
        <v>3000</v>
      </c>
      <c r="P495" s="188">
        <v>0</v>
      </c>
      <c r="Q495" s="186">
        <f t="shared" si="421"/>
        <v>0</v>
      </c>
      <c r="R495" s="188">
        <v>0</v>
      </c>
      <c r="S495" s="185">
        <v>0</v>
      </c>
      <c r="T495" s="185">
        <v>0</v>
      </c>
      <c r="U495" s="188">
        <v>0</v>
      </c>
      <c r="V495" s="185">
        <v>0</v>
      </c>
      <c r="W495" s="185">
        <v>0</v>
      </c>
      <c r="X495" s="188">
        <v>0</v>
      </c>
      <c r="Y495" s="185">
        <v>0</v>
      </c>
      <c r="Z495" s="185">
        <v>0</v>
      </c>
      <c r="AA495" s="188">
        <v>0</v>
      </c>
      <c r="AB495" s="185">
        <v>0</v>
      </c>
      <c r="AC495" s="185">
        <v>0</v>
      </c>
      <c r="AD495" s="188">
        <v>0</v>
      </c>
      <c r="AE495" s="185">
        <v>0</v>
      </c>
      <c r="AF495" s="185">
        <v>0</v>
      </c>
      <c r="AG495" s="188">
        <v>0</v>
      </c>
      <c r="AH495" s="185">
        <v>0</v>
      </c>
      <c r="AI495" s="185">
        <v>0</v>
      </c>
      <c r="AJ495" s="307">
        <v>0</v>
      </c>
      <c r="AK495" s="185">
        <v>0</v>
      </c>
      <c r="AL495" s="185">
        <v>0</v>
      </c>
      <c r="AM495" s="188">
        <v>0</v>
      </c>
      <c r="AN495" s="185">
        <v>0</v>
      </c>
      <c r="AO495" s="185">
        <v>0</v>
      </c>
      <c r="AP495" s="185"/>
      <c r="AQ495" s="188">
        <v>1201.6199999999999</v>
      </c>
      <c r="AR495" s="185">
        <v>0.31210909090909089</v>
      </c>
      <c r="AS495" s="185">
        <v>0.32853588516746407</v>
      </c>
      <c r="AT495" s="188">
        <v>1201.6199999999999</v>
      </c>
      <c r="AU495" s="185">
        <v>0.31210909090909089</v>
      </c>
      <c r="AV495" s="185">
        <v>0.32853588516746407</v>
      </c>
      <c r="AW495" s="185"/>
      <c r="AX495" s="185"/>
      <c r="AY495" s="185"/>
      <c r="AZ495" s="185"/>
      <c r="BA495" s="185"/>
      <c r="BB495" s="185"/>
      <c r="BC495" s="188">
        <v>1201.6199999999999</v>
      </c>
      <c r="BD495" s="185">
        <v>0.31210909090909089</v>
      </c>
      <c r="BE495" s="185">
        <v>0.32853588516746407</v>
      </c>
      <c r="BF495" s="352"/>
      <c r="BG495" s="352">
        <v>1410.17</v>
      </c>
      <c r="BH495" s="185">
        <v>0.36627792207792209</v>
      </c>
      <c r="BI495" s="185">
        <v>0.38555570745044432</v>
      </c>
      <c r="BJ495" s="374">
        <f t="shared" si="410"/>
        <v>3657.5</v>
      </c>
      <c r="BK495" s="374">
        <v>2429.11</v>
      </c>
      <c r="BL495" s="185">
        <f t="shared" si="411"/>
        <v>0.63093766233766235</v>
      </c>
      <c r="BM495" s="185">
        <f t="shared" si="425"/>
        <v>0.66414490772385515</v>
      </c>
      <c r="BN495" s="205">
        <f t="shared" si="407"/>
        <v>2429.11</v>
      </c>
      <c r="BO495" s="205"/>
      <c r="BP495" s="189">
        <f>BP496+BP497</f>
        <v>0</v>
      </c>
      <c r="BQ495" s="186">
        <f t="shared" si="412"/>
        <v>0</v>
      </c>
      <c r="BR495" s="189">
        <f>BR496+BR497</f>
        <v>200</v>
      </c>
      <c r="BS495" s="186">
        <f t="shared" si="413"/>
        <v>5.1948051948051951E-2</v>
      </c>
      <c r="BT495" s="189">
        <f>BT496+BT497</f>
        <v>370</v>
      </c>
      <c r="BU495" s="186">
        <f t="shared" si="414"/>
        <v>9.6103896103896108E-2</v>
      </c>
      <c r="BV495" s="189">
        <f>BV496+BV497</f>
        <v>500</v>
      </c>
      <c r="BW495" s="186">
        <f t="shared" si="415"/>
        <v>0.12987012987012986</v>
      </c>
      <c r="BX495" s="189">
        <f>BX496+BX497</f>
        <v>780</v>
      </c>
      <c r="BY495" s="186">
        <f t="shared" si="416"/>
        <v>0.20259740259740261</v>
      </c>
      <c r="BZ495" s="189">
        <f>BZ496+BZ497</f>
        <v>1200</v>
      </c>
      <c r="CA495" s="186">
        <f t="shared" si="417"/>
        <v>0.31168831168831168</v>
      </c>
      <c r="CB495" s="189">
        <f>CB496+CB497</f>
        <v>2000</v>
      </c>
      <c r="CC495" s="186">
        <f t="shared" si="431"/>
        <v>0.51948051948051943</v>
      </c>
      <c r="CD495" s="189">
        <f>CD496+CD497</f>
        <v>2850</v>
      </c>
      <c r="CE495" s="186">
        <f t="shared" si="432"/>
        <v>0.74025974025974028</v>
      </c>
      <c r="CF495" s="189">
        <f>CF496+CF497</f>
        <v>2850</v>
      </c>
      <c r="CG495" s="186">
        <f t="shared" si="433"/>
        <v>0.74025974025974028</v>
      </c>
      <c r="CH495" s="189">
        <f>CH496+CH497</f>
        <v>2850</v>
      </c>
      <c r="CI495" s="186">
        <f t="shared" si="434"/>
        <v>0.74025974025974028</v>
      </c>
      <c r="CJ495" s="189">
        <f>CJ496+CJ497</f>
        <v>2850</v>
      </c>
      <c r="CK495" s="186">
        <f t="shared" si="418"/>
        <v>0.74025974025974028</v>
      </c>
      <c r="CL495" s="189">
        <f>CL496+CL497</f>
        <v>2850</v>
      </c>
      <c r="CM495" s="186">
        <f t="shared" si="419"/>
        <v>0.74025974025974028</v>
      </c>
      <c r="CN495" s="189">
        <f>CN496+CN497</f>
        <v>3657.5</v>
      </c>
      <c r="CO495" s="186">
        <f t="shared" si="420"/>
        <v>0.95</v>
      </c>
      <c r="CP495" s="213" t="str">
        <f t="shared" si="422"/>
        <v>Đạt</v>
      </c>
      <c r="CQ495" s="213" t="str">
        <f t="shared" si="423"/>
        <v>Đạt</v>
      </c>
      <c r="CR495" s="213"/>
      <c r="CS495" s="213"/>
      <c r="CT495" s="231"/>
      <c r="CU495" s="163"/>
      <c r="CW495" s="195"/>
      <c r="CX495" s="196"/>
      <c r="CY495" s="196"/>
      <c r="CZ495" s="197"/>
      <c r="DA495" s="196"/>
      <c r="DB495" s="196"/>
      <c r="DC495" s="196"/>
      <c r="DE495" s="199"/>
      <c r="DF495" s="200"/>
      <c r="DG495" s="181"/>
    </row>
    <row r="496" spans="1:111" s="324" customFormat="1" outlineLevel="1" x14ac:dyDescent="0.25">
      <c r="A496" s="305" t="s">
        <v>34</v>
      </c>
      <c r="B496" s="306" t="s">
        <v>376</v>
      </c>
      <c r="C496" s="306"/>
      <c r="D496" s="307">
        <f>E496+F496</f>
        <v>3000</v>
      </c>
      <c r="E496" s="307"/>
      <c r="F496" s="307">
        <f>G496+H496+K496+M496</f>
        <v>3000</v>
      </c>
      <c r="G496" s="303">
        <v>3000</v>
      </c>
      <c r="H496" s="303"/>
      <c r="I496" s="235"/>
      <c r="J496" s="235"/>
      <c r="K496" s="303"/>
      <c r="L496" s="235"/>
      <c r="M496" s="223"/>
      <c r="N496" s="223"/>
      <c r="O496" s="303">
        <f t="shared" si="427"/>
        <v>3000</v>
      </c>
      <c r="P496" s="303">
        <v>0</v>
      </c>
      <c r="Q496" s="308">
        <f t="shared" si="421"/>
        <v>0</v>
      </c>
      <c r="R496" s="303"/>
      <c r="S496" s="313">
        <v>0</v>
      </c>
      <c r="T496" s="313">
        <v>0</v>
      </c>
      <c r="U496" s="303"/>
      <c r="V496" s="313">
        <v>0</v>
      </c>
      <c r="W496" s="313">
        <v>0</v>
      </c>
      <c r="X496" s="303"/>
      <c r="Y496" s="313">
        <v>0</v>
      </c>
      <c r="Z496" s="313">
        <v>0</v>
      </c>
      <c r="AA496" s="303"/>
      <c r="AB496" s="313">
        <v>0</v>
      </c>
      <c r="AC496" s="313">
        <v>0</v>
      </c>
      <c r="AD496" s="303"/>
      <c r="AE496" s="313">
        <v>0</v>
      </c>
      <c r="AF496" s="313">
        <v>0</v>
      </c>
      <c r="AG496" s="307"/>
      <c r="AH496" s="313">
        <v>0</v>
      </c>
      <c r="AI496" s="313">
        <v>0</v>
      </c>
      <c r="AJ496" s="303"/>
      <c r="AK496" s="313">
        <v>0</v>
      </c>
      <c r="AL496" s="313">
        <v>0</v>
      </c>
      <c r="AM496" s="307"/>
      <c r="AN496" s="313">
        <v>0</v>
      </c>
      <c r="AO496" s="313">
        <v>0</v>
      </c>
      <c r="AP496" s="313"/>
      <c r="AQ496" s="307">
        <v>1201.6199999999999</v>
      </c>
      <c r="AR496" s="313">
        <v>0.40053999999999995</v>
      </c>
      <c r="AS496" s="313">
        <v>0.4216210526315789</v>
      </c>
      <c r="AT496" s="307">
        <v>1201.6199999999999</v>
      </c>
      <c r="AU496" s="313">
        <v>0.40053999999999995</v>
      </c>
      <c r="AV496" s="313">
        <v>0.4216210526315789</v>
      </c>
      <c r="AW496" s="313"/>
      <c r="AX496" s="313"/>
      <c r="AY496" s="313"/>
      <c r="AZ496" s="313"/>
      <c r="BA496" s="313"/>
      <c r="BB496" s="313"/>
      <c r="BC496" s="307">
        <v>1201.6199999999999</v>
      </c>
      <c r="BD496" s="313">
        <v>0.40053999999999995</v>
      </c>
      <c r="BE496" s="313">
        <v>0.4216210526315789</v>
      </c>
      <c r="BF496" s="351"/>
      <c r="BG496" s="351">
        <v>1410.17</v>
      </c>
      <c r="BH496" s="313">
        <v>0.47005666666666668</v>
      </c>
      <c r="BI496" s="313">
        <v>0.49479649122807018</v>
      </c>
      <c r="BJ496" s="349">
        <f t="shared" si="410"/>
        <v>2850</v>
      </c>
      <c r="BK496" s="349">
        <v>2116.8000000000002</v>
      </c>
      <c r="BL496" s="313">
        <f t="shared" si="411"/>
        <v>0.70560000000000012</v>
      </c>
      <c r="BM496" s="313">
        <f t="shared" si="425"/>
        <v>0.74273684210526325</v>
      </c>
      <c r="BN496" s="205">
        <f t="shared" si="407"/>
        <v>2116.8000000000002</v>
      </c>
      <c r="BO496" s="205"/>
      <c r="BP496" s="310"/>
      <c r="BQ496" s="311">
        <f t="shared" si="412"/>
        <v>0</v>
      </c>
      <c r="BR496" s="310">
        <v>200</v>
      </c>
      <c r="BS496" s="311">
        <f t="shared" si="413"/>
        <v>6.6666666666666666E-2</v>
      </c>
      <c r="BT496" s="310">
        <v>370</v>
      </c>
      <c r="BU496" s="308">
        <f t="shared" si="414"/>
        <v>0.12333333333333334</v>
      </c>
      <c r="BV496" s="310">
        <v>500</v>
      </c>
      <c r="BW496" s="311">
        <f t="shared" si="415"/>
        <v>0.16666666666666666</v>
      </c>
      <c r="BX496" s="310">
        <v>780</v>
      </c>
      <c r="BY496" s="311">
        <f t="shared" si="416"/>
        <v>0.26</v>
      </c>
      <c r="BZ496" s="310">
        <v>1200</v>
      </c>
      <c r="CA496" s="311">
        <f t="shared" si="417"/>
        <v>0.4</v>
      </c>
      <c r="CB496" s="310">
        <v>2000</v>
      </c>
      <c r="CC496" s="311">
        <f t="shared" si="431"/>
        <v>0.66666666666666663</v>
      </c>
      <c r="CD496" s="310">
        <v>2850</v>
      </c>
      <c r="CE496" s="311">
        <f t="shared" si="432"/>
        <v>0.95</v>
      </c>
      <c r="CF496" s="310">
        <v>2850</v>
      </c>
      <c r="CG496" s="311">
        <f t="shared" si="433"/>
        <v>0.95</v>
      </c>
      <c r="CH496" s="310">
        <v>2850</v>
      </c>
      <c r="CI496" s="311">
        <f t="shared" si="434"/>
        <v>0.95</v>
      </c>
      <c r="CJ496" s="310">
        <v>2850</v>
      </c>
      <c r="CK496" s="311">
        <f t="shared" si="418"/>
        <v>0.95</v>
      </c>
      <c r="CL496" s="310">
        <v>2850</v>
      </c>
      <c r="CM496" s="311">
        <f t="shared" si="419"/>
        <v>0.95</v>
      </c>
      <c r="CN496" s="310">
        <v>2850</v>
      </c>
      <c r="CO496" s="311">
        <f t="shared" si="420"/>
        <v>0.95</v>
      </c>
      <c r="CP496" s="213" t="str">
        <f t="shared" si="422"/>
        <v>Đạt</v>
      </c>
      <c r="CQ496" s="213" t="str">
        <f t="shared" si="423"/>
        <v>Đạt</v>
      </c>
      <c r="CR496" s="312"/>
      <c r="CS496" s="312"/>
      <c r="CT496" s="235"/>
      <c r="CU496" s="163"/>
      <c r="CV496" s="323"/>
      <c r="CW496" s="195"/>
      <c r="CX496" s="196"/>
      <c r="CY496" s="196"/>
      <c r="CZ496" s="197"/>
      <c r="DA496" s="196"/>
      <c r="DB496" s="196"/>
      <c r="DC496" s="196"/>
      <c r="DE496" s="199"/>
      <c r="DF496" s="200"/>
      <c r="DG496" s="181"/>
    </row>
    <row r="497" spans="1:111" ht="25.5" outlineLevel="1" x14ac:dyDescent="0.25">
      <c r="A497" s="305" t="s">
        <v>34</v>
      </c>
      <c r="B497" s="306" t="s">
        <v>377</v>
      </c>
      <c r="C497" s="306"/>
      <c r="D497" s="307">
        <f>E497+F497</f>
        <v>850</v>
      </c>
      <c r="E497" s="307"/>
      <c r="F497" s="307">
        <f>G497+H497+K497+M497</f>
        <v>850</v>
      </c>
      <c r="G497" s="307"/>
      <c r="H497" s="307">
        <v>850</v>
      </c>
      <c r="I497" s="235"/>
      <c r="J497" s="235"/>
      <c r="K497" s="303"/>
      <c r="L497" s="235"/>
      <c r="M497" s="223"/>
      <c r="N497" s="223"/>
      <c r="O497" s="303"/>
      <c r="P497" s="303">
        <v>0</v>
      </c>
      <c r="Q497" s="308">
        <f t="shared" si="421"/>
        <v>0</v>
      </c>
      <c r="R497" s="303"/>
      <c r="S497" s="313">
        <v>0</v>
      </c>
      <c r="T497" s="313">
        <v>0</v>
      </c>
      <c r="U497" s="303"/>
      <c r="V497" s="313">
        <v>0</v>
      </c>
      <c r="W497" s="313">
        <v>0</v>
      </c>
      <c r="X497" s="303"/>
      <c r="Y497" s="313">
        <v>0</v>
      </c>
      <c r="Z497" s="313">
        <v>0</v>
      </c>
      <c r="AA497" s="303"/>
      <c r="AB497" s="313">
        <v>0</v>
      </c>
      <c r="AC497" s="313">
        <v>0</v>
      </c>
      <c r="AD497" s="303"/>
      <c r="AE497" s="313">
        <v>0</v>
      </c>
      <c r="AF497" s="313">
        <v>0</v>
      </c>
      <c r="AG497" s="303"/>
      <c r="AH497" s="313">
        <v>0</v>
      </c>
      <c r="AI497" s="313">
        <v>0</v>
      </c>
      <c r="AJ497" s="188"/>
      <c r="AK497" s="313">
        <v>0</v>
      </c>
      <c r="AL497" s="313">
        <v>0</v>
      </c>
      <c r="AM497" s="303"/>
      <c r="AN497" s="313">
        <v>0</v>
      </c>
      <c r="AO497" s="313">
        <v>0</v>
      </c>
      <c r="AP497" s="313"/>
      <c r="AQ497" s="303"/>
      <c r="AR497" s="313">
        <v>0</v>
      </c>
      <c r="AS497" s="313">
        <v>0</v>
      </c>
      <c r="AT497" s="303"/>
      <c r="AU497" s="313">
        <v>0</v>
      </c>
      <c r="AV497" s="313">
        <v>0</v>
      </c>
      <c r="AW497" s="313"/>
      <c r="AX497" s="313"/>
      <c r="AY497" s="313"/>
      <c r="AZ497" s="313"/>
      <c r="BA497" s="313"/>
      <c r="BB497" s="313"/>
      <c r="BC497" s="303"/>
      <c r="BD497" s="313">
        <v>0</v>
      </c>
      <c r="BE497" s="313">
        <v>0</v>
      </c>
      <c r="BF497" s="351"/>
      <c r="BG497" s="351">
        <v>0</v>
      </c>
      <c r="BH497" s="313">
        <v>0</v>
      </c>
      <c r="BI497" s="313">
        <v>0</v>
      </c>
      <c r="BJ497" s="349">
        <f t="shared" si="410"/>
        <v>807.5</v>
      </c>
      <c r="BK497" s="349">
        <v>0</v>
      </c>
      <c r="BL497" s="313">
        <f t="shared" si="411"/>
        <v>0</v>
      </c>
      <c r="BM497" s="313">
        <f t="shared" si="425"/>
        <v>0</v>
      </c>
      <c r="BN497" s="205">
        <f t="shared" si="407"/>
        <v>0</v>
      </c>
      <c r="BO497" s="205"/>
      <c r="BP497" s="310"/>
      <c r="BQ497" s="311">
        <f t="shared" si="412"/>
        <v>0</v>
      </c>
      <c r="BR497" s="310"/>
      <c r="BS497" s="311">
        <f t="shared" si="413"/>
        <v>0</v>
      </c>
      <c r="BT497" s="310"/>
      <c r="BU497" s="308">
        <f t="shared" si="414"/>
        <v>0</v>
      </c>
      <c r="BV497" s="310"/>
      <c r="BW497" s="311">
        <f t="shared" si="415"/>
        <v>0</v>
      </c>
      <c r="BX497" s="310"/>
      <c r="BY497" s="311">
        <f t="shared" si="416"/>
        <v>0</v>
      </c>
      <c r="BZ497" s="310"/>
      <c r="CA497" s="311">
        <f t="shared" si="417"/>
        <v>0</v>
      </c>
      <c r="CB497" s="310"/>
      <c r="CC497" s="311">
        <f t="shared" si="431"/>
        <v>0</v>
      </c>
      <c r="CD497" s="310"/>
      <c r="CE497" s="311">
        <f t="shared" si="432"/>
        <v>0</v>
      </c>
      <c r="CF497" s="310"/>
      <c r="CG497" s="311">
        <f t="shared" si="433"/>
        <v>0</v>
      </c>
      <c r="CH497" s="310"/>
      <c r="CI497" s="311">
        <f t="shared" si="434"/>
        <v>0</v>
      </c>
      <c r="CJ497" s="310"/>
      <c r="CK497" s="311">
        <f t="shared" si="418"/>
        <v>0</v>
      </c>
      <c r="CL497" s="310"/>
      <c r="CM497" s="311">
        <f t="shared" si="419"/>
        <v>0</v>
      </c>
      <c r="CN497" s="310">
        <v>807.5</v>
      </c>
      <c r="CO497" s="311">
        <f t="shared" si="420"/>
        <v>0.95</v>
      </c>
      <c r="CP497" s="213" t="str">
        <f t="shared" si="422"/>
        <v>Không đạt</v>
      </c>
      <c r="CQ497" s="213" t="str">
        <f t="shared" si="423"/>
        <v>Không đạt</v>
      </c>
      <c r="CR497" s="312"/>
      <c r="CS497" s="312"/>
      <c r="CT497" s="235"/>
      <c r="CU497" s="163"/>
      <c r="CW497" s="195"/>
      <c r="CX497" s="196"/>
      <c r="CY497" s="196"/>
      <c r="CZ497" s="197"/>
      <c r="DA497" s="196"/>
      <c r="DB497" s="196"/>
      <c r="DC497" s="196"/>
      <c r="DE497" s="199"/>
      <c r="DF497" s="200"/>
      <c r="DG497" s="181"/>
    </row>
    <row r="498" spans="1:111" ht="18" customHeight="1" x14ac:dyDescent="0.25">
      <c r="A498" s="213">
        <f>MAX(A$243:A495)+1</f>
        <v>72</v>
      </c>
      <c r="B498" s="240" t="s">
        <v>480</v>
      </c>
      <c r="C498" s="240"/>
      <c r="D498" s="188">
        <f t="shared" ref="D498:I498" si="442">D499+D500</f>
        <v>3127</v>
      </c>
      <c r="E498" s="188">
        <f t="shared" si="442"/>
        <v>0</v>
      </c>
      <c r="F498" s="188">
        <f t="shared" si="442"/>
        <v>3127</v>
      </c>
      <c r="G498" s="188">
        <f t="shared" si="442"/>
        <v>3000</v>
      </c>
      <c r="H498" s="188">
        <f t="shared" si="442"/>
        <v>127</v>
      </c>
      <c r="I498" s="188">
        <f t="shared" si="442"/>
        <v>0</v>
      </c>
      <c r="J498" s="188"/>
      <c r="K498" s="188">
        <f>K499+K500</f>
        <v>0</v>
      </c>
      <c r="L498" s="188">
        <f>L499+L500</f>
        <v>0</v>
      </c>
      <c r="M498" s="188">
        <f>M499+M500</f>
        <v>0</v>
      </c>
      <c r="N498" s="188">
        <f>N499+N500</f>
        <v>0</v>
      </c>
      <c r="O498" s="188">
        <f>O499+O500</f>
        <v>3000</v>
      </c>
      <c r="P498" s="188">
        <v>0</v>
      </c>
      <c r="Q498" s="186">
        <f t="shared" si="421"/>
        <v>0</v>
      </c>
      <c r="R498" s="188">
        <v>0</v>
      </c>
      <c r="S498" s="185">
        <v>0</v>
      </c>
      <c r="T498" s="185">
        <v>0</v>
      </c>
      <c r="U498" s="188">
        <v>0</v>
      </c>
      <c r="V498" s="185">
        <v>0</v>
      </c>
      <c r="W498" s="185">
        <v>0</v>
      </c>
      <c r="X498" s="188">
        <v>0</v>
      </c>
      <c r="Y498" s="185">
        <v>0</v>
      </c>
      <c r="Z498" s="185">
        <v>0</v>
      </c>
      <c r="AA498" s="188">
        <v>0</v>
      </c>
      <c r="AB498" s="185">
        <v>0</v>
      </c>
      <c r="AC498" s="185">
        <v>0</v>
      </c>
      <c r="AD498" s="188">
        <v>909.61500000000001</v>
      </c>
      <c r="AE498" s="185">
        <v>0.29089062999680204</v>
      </c>
      <c r="AF498" s="185">
        <v>0.30620066315452849</v>
      </c>
      <c r="AG498" s="188">
        <v>909.61500000000001</v>
      </c>
      <c r="AH498" s="185">
        <v>0.29089062999680204</v>
      </c>
      <c r="AI498" s="185">
        <v>0.30620066315452849</v>
      </c>
      <c r="AJ498" s="307">
        <v>909.61500000000001</v>
      </c>
      <c r="AK498" s="185">
        <v>0.29089062999680204</v>
      </c>
      <c r="AL498" s="185">
        <v>0.30620066315452849</v>
      </c>
      <c r="AM498" s="188">
        <v>909.61500000000001</v>
      </c>
      <c r="AN498" s="185">
        <v>0.29089062999680204</v>
      </c>
      <c r="AO498" s="185">
        <v>0.30620066315452849</v>
      </c>
      <c r="AP498" s="185"/>
      <c r="AQ498" s="188">
        <v>909.61500000000001</v>
      </c>
      <c r="AR498" s="185">
        <v>0.29089062999680204</v>
      </c>
      <c r="AS498" s="185">
        <v>0.30620066315452849</v>
      </c>
      <c r="AT498" s="188">
        <v>909.61500000000001</v>
      </c>
      <c r="AU498" s="185">
        <v>0.29089062999680204</v>
      </c>
      <c r="AV498" s="185">
        <v>0.30620066315452849</v>
      </c>
      <c r="AW498" s="185"/>
      <c r="AX498" s="185"/>
      <c r="AY498" s="185"/>
      <c r="AZ498" s="185"/>
      <c r="BA498" s="185"/>
      <c r="BB498" s="185"/>
      <c r="BC498" s="188">
        <v>909.61500000000001</v>
      </c>
      <c r="BD498" s="185">
        <v>0.29089062999680204</v>
      </c>
      <c r="BE498" s="185">
        <v>0.30620066315452849</v>
      </c>
      <c r="BF498" s="352"/>
      <c r="BG498" s="352">
        <v>1444.26</v>
      </c>
      <c r="BH498" s="185">
        <v>0.46186760473297089</v>
      </c>
      <c r="BI498" s="185">
        <v>0.48617642603470629</v>
      </c>
      <c r="BJ498" s="374">
        <f t="shared" si="410"/>
        <v>2970.6499999999996</v>
      </c>
      <c r="BK498" s="374">
        <v>2142.123</v>
      </c>
      <c r="BL498" s="185">
        <f t="shared" si="411"/>
        <v>0.68504093380236653</v>
      </c>
      <c r="BM498" s="185">
        <f t="shared" si="425"/>
        <v>0.72109571979196485</v>
      </c>
      <c r="BN498" s="205">
        <f t="shared" si="407"/>
        <v>1232.508</v>
      </c>
      <c r="BO498" s="205"/>
      <c r="BP498" s="189">
        <f>BP499+BP500</f>
        <v>0</v>
      </c>
      <c r="BQ498" s="186">
        <f t="shared" si="412"/>
        <v>0</v>
      </c>
      <c r="BR498" s="189">
        <f>BR499+BR500</f>
        <v>0</v>
      </c>
      <c r="BS498" s="186">
        <f t="shared" si="413"/>
        <v>0</v>
      </c>
      <c r="BT498" s="189">
        <f>BT499+BT500</f>
        <v>312.7</v>
      </c>
      <c r="BU498" s="186">
        <f t="shared" si="414"/>
        <v>9.9999999999999992E-2</v>
      </c>
      <c r="BV498" s="189">
        <f>BV499+BV500</f>
        <v>625.4</v>
      </c>
      <c r="BW498" s="186">
        <f t="shared" si="415"/>
        <v>0.19999999999999998</v>
      </c>
      <c r="BX498" s="189">
        <f>BX499+BX500</f>
        <v>938.1</v>
      </c>
      <c r="BY498" s="186">
        <f t="shared" si="416"/>
        <v>0.3</v>
      </c>
      <c r="BZ498" s="189">
        <f>BZ499+BZ500</f>
        <v>1250.8</v>
      </c>
      <c r="CA498" s="186">
        <f t="shared" si="417"/>
        <v>0.39999999999999997</v>
      </c>
      <c r="CB498" s="189">
        <f>CB499+CB500</f>
        <v>1563.5</v>
      </c>
      <c r="CC498" s="186">
        <f t="shared" si="431"/>
        <v>0.5</v>
      </c>
      <c r="CD498" s="189">
        <f>CD499+CD500</f>
        <v>1719.8500000000001</v>
      </c>
      <c r="CE498" s="186">
        <f t="shared" si="432"/>
        <v>0.55000000000000004</v>
      </c>
      <c r="CF498" s="189">
        <f>CF499+CF500</f>
        <v>1876.2</v>
      </c>
      <c r="CG498" s="186">
        <f t="shared" si="433"/>
        <v>0.6</v>
      </c>
      <c r="CH498" s="189">
        <f>CH499+CH500</f>
        <v>2188.9</v>
      </c>
      <c r="CI498" s="186">
        <f t="shared" si="434"/>
        <v>0.70000000000000007</v>
      </c>
      <c r="CJ498" s="189">
        <f>CJ499+CJ500</f>
        <v>2345.25</v>
      </c>
      <c r="CK498" s="186">
        <f t="shared" si="418"/>
        <v>0.75</v>
      </c>
      <c r="CL498" s="189">
        <f>CL499+CL500</f>
        <v>2345.25</v>
      </c>
      <c r="CM498" s="186">
        <f t="shared" si="419"/>
        <v>0.75</v>
      </c>
      <c r="CN498" s="189">
        <f>CN499+CN500</f>
        <v>2970.65</v>
      </c>
      <c r="CO498" s="186">
        <f t="shared" si="420"/>
        <v>0.95000000000000007</v>
      </c>
      <c r="CP498" s="213" t="str">
        <f t="shared" si="422"/>
        <v>Đạt</v>
      </c>
      <c r="CQ498" s="213" t="str">
        <f t="shared" si="423"/>
        <v>Đạt</v>
      </c>
      <c r="CR498" s="213"/>
      <c r="CS498" s="213"/>
      <c r="CT498" s="231"/>
      <c r="CU498" s="163"/>
      <c r="CW498" s="195"/>
      <c r="CX498" s="196"/>
      <c r="CY498" s="196"/>
      <c r="CZ498" s="197"/>
      <c r="DA498" s="196"/>
      <c r="DB498" s="196"/>
      <c r="DC498" s="196"/>
      <c r="DE498" s="199"/>
      <c r="DF498" s="200"/>
      <c r="DG498" s="181"/>
    </row>
    <row r="499" spans="1:111" s="324" customFormat="1" outlineLevel="1" x14ac:dyDescent="0.25">
      <c r="A499" s="305" t="s">
        <v>34</v>
      </c>
      <c r="B499" s="306" t="s">
        <v>376</v>
      </c>
      <c r="C499" s="306"/>
      <c r="D499" s="307">
        <f>E499+F499</f>
        <v>3000</v>
      </c>
      <c r="E499" s="307"/>
      <c r="F499" s="307">
        <f>G499+H499+K499+M499</f>
        <v>3000</v>
      </c>
      <c r="G499" s="303">
        <v>3000</v>
      </c>
      <c r="H499" s="303"/>
      <c r="I499" s="235"/>
      <c r="J499" s="235"/>
      <c r="K499" s="303"/>
      <c r="L499" s="235"/>
      <c r="M499" s="223"/>
      <c r="N499" s="223"/>
      <c r="O499" s="303">
        <f t="shared" si="427"/>
        <v>3000</v>
      </c>
      <c r="P499" s="303">
        <v>0</v>
      </c>
      <c r="Q499" s="308">
        <f t="shared" si="421"/>
        <v>0</v>
      </c>
      <c r="R499" s="303"/>
      <c r="S499" s="309">
        <v>0</v>
      </c>
      <c r="T499" s="309">
        <v>0</v>
      </c>
      <c r="U499" s="303"/>
      <c r="V499" s="309">
        <v>0</v>
      </c>
      <c r="W499" s="309">
        <v>0</v>
      </c>
      <c r="X499" s="303"/>
      <c r="Y499" s="309">
        <v>0</v>
      </c>
      <c r="Z499" s="309">
        <v>0</v>
      </c>
      <c r="AA499" s="303"/>
      <c r="AB499" s="309">
        <v>0</v>
      </c>
      <c r="AC499" s="309">
        <v>0</v>
      </c>
      <c r="AD499" s="303">
        <v>909.61500000000001</v>
      </c>
      <c r="AE499" s="309">
        <v>0.303205</v>
      </c>
      <c r="AF499" s="309">
        <v>0.31916315789473687</v>
      </c>
      <c r="AG499" s="307">
        <v>909.61500000000001</v>
      </c>
      <c r="AH499" s="309">
        <v>0.303205</v>
      </c>
      <c r="AI499" s="309">
        <v>0.31916315789473687</v>
      </c>
      <c r="AJ499" s="303">
        <v>909.61500000000001</v>
      </c>
      <c r="AK499" s="309">
        <v>0.303205</v>
      </c>
      <c r="AL499" s="309">
        <v>0.31916315789473687</v>
      </c>
      <c r="AM499" s="307">
        <v>909.61500000000001</v>
      </c>
      <c r="AN499" s="309">
        <v>0.303205</v>
      </c>
      <c r="AO499" s="309">
        <v>0.31916315789473687</v>
      </c>
      <c r="AP499" s="309"/>
      <c r="AQ499" s="307">
        <v>909.61500000000001</v>
      </c>
      <c r="AR499" s="309">
        <v>0.303205</v>
      </c>
      <c r="AS499" s="309">
        <v>0.31916315789473687</v>
      </c>
      <c r="AT499" s="307">
        <v>909.61500000000001</v>
      </c>
      <c r="AU499" s="309">
        <v>0.303205</v>
      </c>
      <c r="AV499" s="309">
        <v>0.31916315789473687</v>
      </c>
      <c r="AW499" s="309"/>
      <c r="AX499" s="309"/>
      <c r="AY499" s="309"/>
      <c r="AZ499" s="309"/>
      <c r="BA499" s="309"/>
      <c r="BB499" s="309"/>
      <c r="BC499" s="307">
        <v>909.61500000000001</v>
      </c>
      <c r="BD499" s="309">
        <v>0.303205</v>
      </c>
      <c r="BE499" s="309">
        <v>0.31916315789473687</v>
      </c>
      <c r="BF499" s="351"/>
      <c r="BG499" s="351">
        <v>1444.26</v>
      </c>
      <c r="BH499" s="309">
        <v>0.48142000000000001</v>
      </c>
      <c r="BI499" s="309">
        <v>0.50675789473684207</v>
      </c>
      <c r="BJ499" s="349">
        <f t="shared" si="410"/>
        <v>2850</v>
      </c>
      <c r="BK499" s="349">
        <v>1444.26</v>
      </c>
      <c r="BL499" s="309">
        <f t="shared" si="411"/>
        <v>0.48142000000000001</v>
      </c>
      <c r="BM499" s="309">
        <f t="shared" si="425"/>
        <v>0.50675789473684207</v>
      </c>
      <c r="BN499" s="205">
        <f t="shared" si="407"/>
        <v>534.64499999999998</v>
      </c>
      <c r="BO499" s="205"/>
      <c r="BP499" s="310"/>
      <c r="BQ499" s="308">
        <f t="shared" si="412"/>
        <v>0</v>
      </c>
      <c r="BR499" s="310"/>
      <c r="BS499" s="308">
        <f t="shared" si="413"/>
        <v>0</v>
      </c>
      <c r="BT499" s="310">
        <f>$F499*0.1</f>
        <v>300</v>
      </c>
      <c r="BU499" s="308">
        <f t="shared" si="414"/>
        <v>0.1</v>
      </c>
      <c r="BV499" s="310">
        <f>$F499*0.2</f>
        <v>600</v>
      </c>
      <c r="BW499" s="308">
        <f t="shared" si="415"/>
        <v>0.2</v>
      </c>
      <c r="BX499" s="310">
        <f>$F499*0.3</f>
        <v>900</v>
      </c>
      <c r="BY499" s="308">
        <f t="shared" si="416"/>
        <v>0.3</v>
      </c>
      <c r="BZ499" s="310">
        <f>$F499*0.4</f>
        <v>1200</v>
      </c>
      <c r="CA499" s="308">
        <f t="shared" si="417"/>
        <v>0.4</v>
      </c>
      <c r="CB499" s="310">
        <f>$F499*0.5</f>
        <v>1500</v>
      </c>
      <c r="CC499" s="308">
        <f t="shared" si="431"/>
        <v>0.5</v>
      </c>
      <c r="CD499" s="310">
        <f>$F499*0.55</f>
        <v>1650.0000000000002</v>
      </c>
      <c r="CE499" s="308">
        <f t="shared" si="432"/>
        <v>0.55000000000000004</v>
      </c>
      <c r="CF499" s="310">
        <f>$F499*0.6</f>
        <v>1800</v>
      </c>
      <c r="CG499" s="308">
        <f t="shared" si="433"/>
        <v>0.6</v>
      </c>
      <c r="CH499" s="310">
        <f>$F499*0.7</f>
        <v>2100</v>
      </c>
      <c r="CI499" s="308">
        <f t="shared" si="434"/>
        <v>0.7</v>
      </c>
      <c r="CJ499" s="310">
        <f>$F499*0.75</f>
        <v>2250</v>
      </c>
      <c r="CK499" s="308">
        <f t="shared" si="418"/>
        <v>0.75</v>
      </c>
      <c r="CL499" s="310">
        <f>$F499*0.75</f>
        <v>2250</v>
      </c>
      <c r="CM499" s="308">
        <f t="shared" si="419"/>
        <v>0.75</v>
      </c>
      <c r="CN499" s="310">
        <f>$F499*0.95</f>
        <v>2850</v>
      </c>
      <c r="CO499" s="308">
        <f t="shared" si="420"/>
        <v>0.95</v>
      </c>
      <c r="CP499" s="213" t="str">
        <f t="shared" si="422"/>
        <v>Đạt</v>
      </c>
      <c r="CQ499" s="213" t="str">
        <f t="shared" si="423"/>
        <v>Đạt</v>
      </c>
      <c r="CR499" s="312"/>
      <c r="CS499" s="312"/>
      <c r="CT499" s="235"/>
      <c r="CU499" s="163"/>
      <c r="CV499" s="323"/>
      <c r="CW499" s="195"/>
      <c r="CX499" s="196"/>
      <c r="CY499" s="196"/>
      <c r="CZ499" s="197"/>
      <c r="DA499" s="196"/>
      <c r="DB499" s="196"/>
      <c r="DC499" s="196"/>
      <c r="DE499" s="199"/>
      <c r="DF499" s="200"/>
      <c r="DG499" s="181"/>
    </row>
    <row r="500" spans="1:111" ht="25.5" outlineLevel="1" x14ac:dyDescent="0.25">
      <c r="A500" s="305" t="s">
        <v>34</v>
      </c>
      <c r="B500" s="306" t="s">
        <v>377</v>
      </c>
      <c r="C500" s="306"/>
      <c r="D500" s="307">
        <f>E500+F500</f>
        <v>127</v>
      </c>
      <c r="E500" s="307"/>
      <c r="F500" s="307">
        <f>G500+H500+K500+M500</f>
        <v>127</v>
      </c>
      <c r="G500" s="307"/>
      <c r="H500" s="307">
        <v>127</v>
      </c>
      <c r="I500" s="235"/>
      <c r="J500" s="235"/>
      <c r="K500" s="303"/>
      <c r="L500" s="235"/>
      <c r="M500" s="223"/>
      <c r="N500" s="223"/>
      <c r="O500" s="303"/>
      <c r="P500" s="303">
        <v>0</v>
      </c>
      <c r="Q500" s="308">
        <f t="shared" si="421"/>
        <v>0</v>
      </c>
      <c r="R500" s="303"/>
      <c r="S500" s="309">
        <v>0</v>
      </c>
      <c r="T500" s="309">
        <v>0</v>
      </c>
      <c r="U500" s="303"/>
      <c r="V500" s="309">
        <v>0</v>
      </c>
      <c r="W500" s="309">
        <v>0</v>
      </c>
      <c r="X500" s="303"/>
      <c r="Y500" s="309">
        <v>0</v>
      </c>
      <c r="Z500" s="309">
        <v>0</v>
      </c>
      <c r="AA500" s="303"/>
      <c r="AB500" s="309">
        <v>0</v>
      </c>
      <c r="AC500" s="309">
        <v>0</v>
      </c>
      <c r="AD500" s="303"/>
      <c r="AE500" s="309">
        <v>0</v>
      </c>
      <c r="AF500" s="309">
        <v>0</v>
      </c>
      <c r="AG500" s="303"/>
      <c r="AH500" s="309">
        <v>0</v>
      </c>
      <c r="AI500" s="309">
        <v>0</v>
      </c>
      <c r="AJ500" s="188"/>
      <c r="AK500" s="309">
        <v>0</v>
      </c>
      <c r="AL500" s="309">
        <v>0</v>
      </c>
      <c r="AM500" s="303"/>
      <c r="AN500" s="309">
        <v>0</v>
      </c>
      <c r="AO500" s="309">
        <v>0</v>
      </c>
      <c r="AP500" s="309"/>
      <c r="AQ500" s="303"/>
      <c r="AR500" s="309">
        <v>0</v>
      </c>
      <c r="AS500" s="309">
        <v>0</v>
      </c>
      <c r="AT500" s="303"/>
      <c r="AU500" s="309">
        <v>0</v>
      </c>
      <c r="AV500" s="309">
        <v>0</v>
      </c>
      <c r="AW500" s="309"/>
      <c r="AX500" s="309"/>
      <c r="AY500" s="309"/>
      <c r="AZ500" s="309"/>
      <c r="BA500" s="309"/>
      <c r="BB500" s="309"/>
      <c r="BC500" s="303"/>
      <c r="BD500" s="309">
        <v>0</v>
      </c>
      <c r="BE500" s="309">
        <v>0</v>
      </c>
      <c r="BF500" s="351"/>
      <c r="BG500" s="351">
        <v>0</v>
      </c>
      <c r="BH500" s="309">
        <v>0</v>
      </c>
      <c r="BI500" s="309">
        <v>0</v>
      </c>
      <c r="BJ500" s="349">
        <f t="shared" si="410"/>
        <v>120.64999999999999</v>
      </c>
      <c r="BK500" s="349">
        <v>0</v>
      </c>
      <c r="BL500" s="309">
        <f t="shared" si="411"/>
        <v>0</v>
      </c>
      <c r="BM500" s="309">
        <f t="shared" si="425"/>
        <v>0</v>
      </c>
      <c r="BN500" s="205">
        <f t="shared" si="407"/>
        <v>0</v>
      </c>
      <c r="BO500" s="205"/>
      <c r="BP500" s="310"/>
      <c r="BQ500" s="308">
        <f t="shared" si="412"/>
        <v>0</v>
      </c>
      <c r="BR500" s="310"/>
      <c r="BS500" s="308">
        <f t="shared" si="413"/>
        <v>0</v>
      </c>
      <c r="BT500" s="310">
        <f>$F500*0.1</f>
        <v>12.700000000000001</v>
      </c>
      <c r="BU500" s="308">
        <f t="shared" si="414"/>
        <v>0.1</v>
      </c>
      <c r="BV500" s="310">
        <f>$F500*0.2</f>
        <v>25.400000000000002</v>
      </c>
      <c r="BW500" s="308">
        <f t="shared" si="415"/>
        <v>0.2</v>
      </c>
      <c r="BX500" s="310">
        <f>$F500*0.3</f>
        <v>38.1</v>
      </c>
      <c r="BY500" s="308">
        <f t="shared" si="416"/>
        <v>0.3</v>
      </c>
      <c r="BZ500" s="310">
        <f>$F500*0.4</f>
        <v>50.800000000000004</v>
      </c>
      <c r="CA500" s="308">
        <f t="shared" si="417"/>
        <v>0.4</v>
      </c>
      <c r="CB500" s="310">
        <f>$F500*0.5</f>
        <v>63.5</v>
      </c>
      <c r="CC500" s="308">
        <f t="shared" si="431"/>
        <v>0.5</v>
      </c>
      <c r="CD500" s="310">
        <f>$F500*0.55</f>
        <v>69.850000000000009</v>
      </c>
      <c r="CE500" s="308">
        <f t="shared" si="432"/>
        <v>0.55000000000000004</v>
      </c>
      <c r="CF500" s="310">
        <f>$F500*0.6</f>
        <v>76.2</v>
      </c>
      <c r="CG500" s="308">
        <f t="shared" si="433"/>
        <v>0.6</v>
      </c>
      <c r="CH500" s="310">
        <f>$F500*0.7</f>
        <v>88.899999999999991</v>
      </c>
      <c r="CI500" s="308">
        <f t="shared" si="434"/>
        <v>0.7</v>
      </c>
      <c r="CJ500" s="310">
        <f>$F500*0.75</f>
        <v>95.25</v>
      </c>
      <c r="CK500" s="308">
        <f t="shared" si="418"/>
        <v>0.75</v>
      </c>
      <c r="CL500" s="310">
        <f>$F500*0.75</f>
        <v>95.25</v>
      </c>
      <c r="CM500" s="308">
        <f t="shared" si="419"/>
        <v>0.75</v>
      </c>
      <c r="CN500" s="310">
        <f>$F500*0.95</f>
        <v>120.64999999999999</v>
      </c>
      <c r="CO500" s="308">
        <f t="shared" si="420"/>
        <v>0.95</v>
      </c>
      <c r="CP500" s="213" t="str">
        <f t="shared" si="422"/>
        <v>Không đạt</v>
      </c>
      <c r="CQ500" s="213" t="str">
        <f t="shared" si="423"/>
        <v>Không đạt</v>
      </c>
      <c r="CR500" s="312"/>
      <c r="CS500" s="312"/>
      <c r="CT500" s="235"/>
      <c r="CU500" s="163"/>
      <c r="CW500" s="195"/>
      <c r="CX500" s="196"/>
      <c r="CY500" s="196"/>
      <c r="CZ500" s="197"/>
      <c r="DA500" s="196"/>
      <c r="DB500" s="196"/>
      <c r="DC500" s="196"/>
      <c r="DE500" s="199"/>
      <c r="DF500" s="200"/>
      <c r="DG500" s="181"/>
    </row>
    <row r="501" spans="1:111" ht="18" customHeight="1" x14ac:dyDescent="0.25">
      <c r="A501" s="213">
        <f>MAX(A$243:A498)+1</f>
        <v>73</v>
      </c>
      <c r="B501" s="240" t="s">
        <v>481</v>
      </c>
      <c r="C501" s="240"/>
      <c r="D501" s="188">
        <f t="shared" ref="D501:I501" si="443">D502+D504+D505</f>
        <v>38425</v>
      </c>
      <c r="E501" s="188">
        <f t="shared" si="443"/>
        <v>0</v>
      </c>
      <c r="F501" s="188">
        <f t="shared" si="443"/>
        <v>38425</v>
      </c>
      <c r="G501" s="188">
        <f t="shared" si="443"/>
        <v>13000</v>
      </c>
      <c r="H501" s="188">
        <f t="shared" si="443"/>
        <v>25425</v>
      </c>
      <c r="I501" s="188">
        <f t="shared" si="443"/>
        <v>0</v>
      </c>
      <c r="J501" s="188"/>
      <c r="K501" s="188">
        <f>K502+K504+K505</f>
        <v>0</v>
      </c>
      <c r="L501" s="188">
        <f>L502+L504+L505</f>
        <v>0</v>
      </c>
      <c r="M501" s="188">
        <f>M502+M504+M505</f>
        <v>0</v>
      </c>
      <c r="N501" s="188">
        <f>N502+N504+N505</f>
        <v>0</v>
      </c>
      <c r="O501" s="188">
        <f>O502+O504+O505</f>
        <v>13000</v>
      </c>
      <c r="P501" s="188">
        <v>0</v>
      </c>
      <c r="Q501" s="186">
        <f t="shared" si="421"/>
        <v>0</v>
      </c>
      <c r="R501" s="188">
        <v>0</v>
      </c>
      <c r="S501" s="185">
        <v>0</v>
      </c>
      <c r="T501" s="185">
        <v>0</v>
      </c>
      <c r="U501" s="188">
        <v>501.61723599999999</v>
      </c>
      <c r="V501" s="185">
        <v>1.3054449863370201E-2</v>
      </c>
      <c r="W501" s="185">
        <v>1.3741526171968632E-2</v>
      </c>
      <c r="X501" s="188">
        <v>501.61723599999999</v>
      </c>
      <c r="Y501" s="185">
        <v>1.3054449863370201E-2</v>
      </c>
      <c r="Z501" s="185">
        <v>1.3741526171968632E-2</v>
      </c>
      <c r="AA501" s="188">
        <v>501.61723599999999</v>
      </c>
      <c r="AB501" s="185">
        <v>1.3054449863370201E-2</v>
      </c>
      <c r="AC501" s="185">
        <v>1.3741526171968632E-2</v>
      </c>
      <c r="AD501" s="188">
        <v>2020.509648</v>
      </c>
      <c r="AE501" s="185">
        <v>5.2583204892648013E-2</v>
      </c>
      <c r="AF501" s="185">
        <v>5.5350741992261067E-2</v>
      </c>
      <c r="AG501" s="188">
        <v>2020.509648</v>
      </c>
      <c r="AH501" s="185">
        <v>5.2583204892648013E-2</v>
      </c>
      <c r="AI501" s="185">
        <v>5.5350741992261067E-2</v>
      </c>
      <c r="AJ501" s="317">
        <v>2020.509648</v>
      </c>
      <c r="AK501" s="185">
        <v>5.2583204892648013E-2</v>
      </c>
      <c r="AL501" s="185">
        <v>5.5350741992261067E-2</v>
      </c>
      <c r="AM501" s="188">
        <v>2020.509648</v>
      </c>
      <c r="AN501" s="185">
        <v>5.2583204892648013E-2</v>
      </c>
      <c r="AO501" s="185">
        <v>5.5350741992261067E-2</v>
      </c>
      <c r="AP501" s="185"/>
      <c r="AQ501" s="188">
        <v>7299.8275509999994</v>
      </c>
      <c r="AR501" s="185">
        <v>0.18997599351984384</v>
      </c>
      <c r="AS501" s="185">
        <v>0.19997473002088825</v>
      </c>
      <c r="AT501" s="188">
        <v>7299.8275509999994</v>
      </c>
      <c r="AU501" s="185">
        <v>0.18997599351984384</v>
      </c>
      <c r="AV501" s="185">
        <v>0.19997473002088825</v>
      </c>
      <c r="AW501" s="185"/>
      <c r="AX501" s="185"/>
      <c r="AY501" s="185"/>
      <c r="AZ501" s="185"/>
      <c r="BA501" s="185"/>
      <c r="BB501" s="185"/>
      <c r="BC501" s="188">
        <v>7299.8275509999994</v>
      </c>
      <c r="BD501" s="185">
        <v>0.18997599351984384</v>
      </c>
      <c r="BE501" s="185">
        <v>0.19997473002088825</v>
      </c>
      <c r="BF501" s="352"/>
      <c r="BG501" s="352">
        <v>11335.739648000001</v>
      </c>
      <c r="BH501" s="185">
        <v>0.29500948986337022</v>
      </c>
      <c r="BI501" s="185">
        <v>0.31053630511933705</v>
      </c>
      <c r="BJ501" s="374">
        <f t="shared" si="410"/>
        <v>36503.75</v>
      </c>
      <c r="BK501" s="374">
        <v>11622.739647999999</v>
      </c>
      <c r="BL501" s="185">
        <f t="shared" si="411"/>
        <v>0.30247858550422901</v>
      </c>
      <c r="BM501" s="185">
        <f t="shared" si="425"/>
        <v>0.31839851105708317</v>
      </c>
      <c r="BN501" s="205">
        <f t="shared" si="407"/>
        <v>9602.23</v>
      </c>
      <c r="BO501" s="205"/>
      <c r="BP501" s="189">
        <f>BP502+BP504+BP505</f>
        <v>0</v>
      </c>
      <c r="BQ501" s="186">
        <f t="shared" si="412"/>
        <v>0</v>
      </c>
      <c r="BR501" s="189">
        <f>BR502+BR504+BR505</f>
        <v>0</v>
      </c>
      <c r="BS501" s="186">
        <f t="shared" si="413"/>
        <v>0</v>
      </c>
      <c r="BT501" s="189">
        <f>BT502+BT504+BT505</f>
        <v>3842.5</v>
      </c>
      <c r="BU501" s="186">
        <f t="shared" si="414"/>
        <v>0.1</v>
      </c>
      <c r="BV501" s="189">
        <f>BV502+BV504+BV505</f>
        <v>7685</v>
      </c>
      <c r="BW501" s="186">
        <f t="shared" si="415"/>
        <v>0.2</v>
      </c>
      <c r="BX501" s="189">
        <f>BX502+BX504+BX505</f>
        <v>11527.5</v>
      </c>
      <c r="BY501" s="186">
        <f t="shared" si="416"/>
        <v>0.3</v>
      </c>
      <c r="BZ501" s="189">
        <f>BZ502+BZ504+BZ505</f>
        <v>15370</v>
      </c>
      <c r="CA501" s="186">
        <f t="shared" si="417"/>
        <v>0.4</v>
      </c>
      <c r="CB501" s="189">
        <f>CB502+CB504+CB505</f>
        <v>19212.5</v>
      </c>
      <c r="CC501" s="186">
        <f t="shared" si="431"/>
        <v>0.5</v>
      </c>
      <c r="CD501" s="189">
        <f>CD502+CD504+CD505</f>
        <v>21133.75</v>
      </c>
      <c r="CE501" s="186">
        <f t="shared" si="432"/>
        <v>0.55000000000000004</v>
      </c>
      <c r="CF501" s="189">
        <f>CF502+CF504+CF505</f>
        <v>26897.5</v>
      </c>
      <c r="CG501" s="186">
        <f t="shared" si="433"/>
        <v>0.7</v>
      </c>
      <c r="CH501" s="189">
        <f>CH502+CH504+CH505</f>
        <v>26897.5</v>
      </c>
      <c r="CI501" s="186">
        <f t="shared" si="434"/>
        <v>0.7</v>
      </c>
      <c r="CJ501" s="189">
        <f>CJ502+CJ504+CJ505</f>
        <v>28818.75</v>
      </c>
      <c r="CK501" s="186">
        <f t="shared" si="418"/>
        <v>0.75</v>
      </c>
      <c r="CL501" s="189">
        <f>CL502+CL504+CL505</f>
        <v>30740</v>
      </c>
      <c r="CM501" s="186">
        <f t="shared" si="419"/>
        <v>0.8</v>
      </c>
      <c r="CN501" s="189">
        <f>CN502+CN504+CN505</f>
        <v>36503.75</v>
      </c>
      <c r="CO501" s="186">
        <f t="shared" si="420"/>
        <v>0.95</v>
      </c>
      <c r="CP501" s="213" t="str">
        <f t="shared" si="422"/>
        <v>Không đạt</v>
      </c>
      <c r="CQ501" s="213" t="str">
        <f t="shared" si="423"/>
        <v>Không đạt</v>
      </c>
      <c r="CR501" s="213"/>
      <c r="CS501" s="213"/>
      <c r="CT501" s="231"/>
      <c r="CU501" s="163"/>
      <c r="CW501" s="195"/>
      <c r="CX501" s="196"/>
      <c r="CY501" s="196"/>
      <c r="CZ501" s="197"/>
      <c r="DA501" s="196"/>
      <c r="DB501" s="196"/>
      <c r="DC501" s="196"/>
      <c r="DE501" s="199"/>
      <c r="DF501" s="200"/>
      <c r="DG501" s="181"/>
    </row>
    <row r="502" spans="1:111" s="324" customFormat="1" outlineLevel="1" x14ac:dyDescent="0.25">
      <c r="A502" s="305" t="s">
        <v>34</v>
      </c>
      <c r="B502" s="318" t="s">
        <v>381</v>
      </c>
      <c r="C502" s="306"/>
      <c r="D502" s="317">
        <f t="shared" ref="D502:I502" si="444">D503</f>
        <v>35000</v>
      </c>
      <c r="E502" s="317">
        <f t="shared" si="444"/>
        <v>0</v>
      </c>
      <c r="F502" s="317">
        <f t="shared" si="444"/>
        <v>35000</v>
      </c>
      <c r="G502" s="317">
        <f t="shared" si="444"/>
        <v>10000</v>
      </c>
      <c r="H502" s="317">
        <f t="shared" si="444"/>
        <v>25000</v>
      </c>
      <c r="I502" s="214">
        <f t="shared" si="444"/>
        <v>0</v>
      </c>
      <c r="J502" s="214"/>
      <c r="K502" s="317">
        <f>K503</f>
        <v>0</v>
      </c>
      <c r="L502" s="214">
        <f>L503</f>
        <v>0</v>
      </c>
      <c r="M502" s="223"/>
      <c r="N502" s="223"/>
      <c r="O502" s="317">
        <f t="shared" si="427"/>
        <v>10000</v>
      </c>
      <c r="P502" s="317">
        <v>0</v>
      </c>
      <c r="Q502" s="319">
        <f t="shared" si="421"/>
        <v>0</v>
      </c>
      <c r="R502" s="317">
        <v>0</v>
      </c>
      <c r="S502" s="187">
        <v>0</v>
      </c>
      <c r="T502" s="187">
        <v>0</v>
      </c>
      <c r="U502" s="317">
        <v>0</v>
      </c>
      <c r="V502" s="187">
        <v>0</v>
      </c>
      <c r="W502" s="187">
        <v>0</v>
      </c>
      <c r="X502" s="317">
        <v>0</v>
      </c>
      <c r="Y502" s="187">
        <v>0</v>
      </c>
      <c r="Z502" s="187">
        <v>0</v>
      </c>
      <c r="AA502" s="317">
        <v>0</v>
      </c>
      <c r="AB502" s="187">
        <v>0</v>
      </c>
      <c r="AC502" s="187">
        <v>0</v>
      </c>
      <c r="AD502" s="317">
        <v>920</v>
      </c>
      <c r="AE502" s="187">
        <v>2.6285714285714287E-2</v>
      </c>
      <c r="AF502" s="187">
        <v>2.7669172932330826E-2</v>
      </c>
      <c r="AG502" s="317">
        <v>920</v>
      </c>
      <c r="AH502" s="187">
        <v>2.6285714285714287E-2</v>
      </c>
      <c r="AI502" s="187">
        <v>2.7669172932330826E-2</v>
      </c>
      <c r="AJ502" s="214">
        <v>920</v>
      </c>
      <c r="AK502" s="187">
        <v>2.6285714285714287E-2</v>
      </c>
      <c r="AL502" s="187">
        <v>2.7669172932330826E-2</v>
      </c>
      <c r="AM502" s="317">
        <v>920</v>
      </c>
      <c r="AN502" s="187">
        <v>2.6285714285714287E-2</v>
      </c>
      <c r="AO502" s="187">
        <v>2.7669172932330826E-2</v>
      </c>
      <c r="AP502" s="187"/>
      <c r="AQ502" s="317">
        <v>5820.3419999999996</v>
      </c>
      <c r="AR502" s="187">
        <v>0.16629548571428571</v>
      </c>
      <c r="AS502" s="187">
        <v>0.17504787969924812</v>
      </c>
      <c r="AT502" s="317">
        <v>5820.3419999999996</v>
      </c>
      <c r="AU502" s="187">
        <v>0.16629548571428571</v>
      </c>
      <c r="AV502" s="187">
        <v>0.17504787969924812</v>
      </c>
      <c r="AW502" s="187"/>
      <c r="AX502" s="187"/>
      <c r="AY502" s="187"/>
      <c r="AZ502" s="187"/>
      <c r="BA502" s="187"/>
      <c r="BB502" s="187"/>
      <c r="BC502" s="317">
        <v>5820.3419999999996</v>
      </c>
      <c r="BD502" s="187">
        <v>0.16629548571428571</v>
      </c>
      <c r="BE502" s="187">
        <v>0.17504787969924812</v>
      </c>
      <c r="BF502" s="349"/>
      <c r="BG502" s="349">
        <v>9500</v>
      </c>
      <c r="BH502" s="187">
        <v>0.27142857142857141</v>
      </c>
      <c r="BI502" s="187">
        <v>0.2857142857142857</v>
      </c>
      <c r="BJ502" s="349">
        <f t="shared" si="410"/>
        <v>33250</v>
      </c>
      <c r="BK502" s="349">
        <v>9500</v>
      </c>
      <c r="BL502" s="187">
        <f t="shared" si="411"/>
        <v>0.27142857142857141</v>
      </c>
      <c r="BM502" s="187">
        <f t="shared" si="425"/>
        <v>0.2857142857142857</v>
      </c>
      <c r="BN502" s="205">
        <f t="shared" si="407"/>
        <v>8580</v>
      </c>
      <c r="BO502" s="205"/>
      <c r="BP502" s="307">
        <f>BP503</f>
        <v>0</v>
      </c>
      <c r="BQ502" s="319">
        <f t="shared" si="412"/>
        <v>0</v>
      </c>
      <c r="BR502" s="307">
        <f>BR503</f>
        <v>0</v>
      </c>
      <c r="BS502" s="319">
        <f t="shared" si="413"/>
        <v>0</v>
      </c>
      <c r="BT502" s="307">
        <f>BT503</f>
        <v>3500</v>
      </c>
      <c r="BU502" s="319">
        <f t="shared" si="414"/>
        <v>0.1</v>
      </c>
      <c r="BV502" s="307">
        <f>BV503</f>
        <v>7000</v>
      </c>
      <c r="BW502" s="319">
        <f t="shared" si="415"/>
        <v>0.2</v>
      </c>
      <c r="BX502" s="307">
        <f>BX503</f>
        <v>10500</v>
      </c>
      <c r="BY502" s="319">
        <f t="shared" si="416"/>
        <v>0.3</v>
      </c>
      <c r="BZ502" s="307">
        <f>BZ503</f>
        <v>14000</v>
      </c>
      <c r="CA502" s="319">
        <f t="shared" si="417"/>
        <v>0.4</v>
      </c>
      <c r="CB502" s="307">
        <f>CB503</f>
        <v>17500</v>
      </c>
      <c r="CC502" s="319">
        <f t="shared" si="431"/>
        <v>0.5</v>
      </c>
      <c r="CD502" s="307">
        <f>CD503</f>
        <v>19250</v>
      </c>
      <c r="CE502" s="319">
        <f t="shared" si="432"/>
        <v>0.55000000000000004</v>
      </c>
      <c r="CF502" s="307">
        <v>24500</v>
      </c>
      <c r="CG502" s="319">
        <f t="shared" si="433"/>
        <v>0.7</v>
      </c>
      <c r="CH502" s="307">
        <f>CH503</f>
        <v>24500</v>
      </c>
      <c r="CI502" s="319">
        <f t="shared" si="434"/>
        <v>0.7</v>
      </c>
      <c r="CJ502" s="307">
        <f>CJ503</f>
        <v>26250</v>
      </c>
      <c r="CK502" s="319">
        <f t="shared" si="418"/>
        <v>0.75</v>
      </c>
      <c r="CL502" s="307">
        <f>CL503</f>
        <v>28000</v>
      </c>
      <c r="CM502" s="319">
        <f t="shared" si="419"/>
        <v>0.8</v>
      </c>
      <c r="CN502" s="307">
        <f>CN503</f>
        <v>33250</v>
      </c>
      <c r="CO502" s="319">
        <f t="shared" si="420"/>
        <v>0.95</v>
      </c>
      <c r="CP502" s="213" t="str">
        <f t="shared" si="422"/>
        <v>Không đạt</v>
      </c>
      <c r="CQ502" s="213" t="str">
        <f t="shared" si="423"/>
        <v>Không đạt</v>
      </c>
      <c r="CR502" s="312"/>
      <c r="CS502" s="312"/>
      <c r="CT502" s="235"/>
      <c r="CU502" s="163"/>
      <c r="CV502" s="323"/>
      <c r="CW502" s="195"/>
      <c r="CX502" s="196"/>
      <c r="CY502" s="196"/>
      <c r="CZ502" s="197"/>
      <c r="DA502" s="196"/>
      <c r="DB502" s="196"/>
      <c r="DC502" s="196"/>
      <c r="DE502" s="199"/>
      <c r="DF502" s="200"/>
      <c r="DG502" s="181"/>
    </row>
    <row r="503" spans="1:111" ht="25.5" outlineLevel="1" x14ac:dyDescent="0.25">
      <c r="A503" s="192"/>
      <c r="B503" s="325" t="s">
        <v>482</v>
      </c>
      <c r="C503" s="325">
        <v>7853979</v>
      </c>
      <c r="D503" s="214">
        <f>E503+F503</f>
        <v>35000</v>
      </c>
      <c r="E503" s="215"/>
      <c r="F503" s="214">
        <f>G503+H503+K503+M503</f>
        <v>35000</v>
      </c>
      <c r="G503" s="214">
        <v>10000</v>
      </c>
      <c r="H503" s="214">
        <v>25000</v>
      </c>
      <c r="I503" s="214"/>
      <c r="J503" s="214"/>
      <c r="K503" s="214"/>
      <c r="L503" s="235"/>
      <c r="M503" s="223"/>
      <c r="N503" s="223"/>
      <c r="O503" s="214">
        <f t="shared" si="427"/>
        <v>10000</v>
      </c>
      <c r="P503" s="214">
        <v>0</v>
      </c>
      <c r="Q503" s="224">
        <f t="shared" si="421"/>
        <v>0</v>
      </c>
      <c r="R503" s="214"/>
      <c r="S503" s="225">
        <v>0</v>
      </c>
      <c r="T503" s="225">
        <v>0</v>
      </c>
      <c r="U503" s="214"/>
      <c r="V503" s="225">
        <v>0</v>
      </c>
      <c r="W503" s="225">
        <v>0</v>
      </c>
      <c r="X503" s="214"/>
      <c r="Y503" s="225">
        <v>0</v>
      </c>
      <c r="Z503" s="225">
        <v>0</v>
      </c>
      <c r="AA503" s="214"/>
      <c r="AB503" s="225">
        <v>0</v>
      </c>
      <c r="AC503" s="225">
        <v>0</v>
      </c>
      <c r="AD503" s="214">
        <v>920</v>
      </c>
      <c r="AE503" s="225">
        <v>2.6285714285714287E-2</v>
      </c>
      <c r="AF503" s="225">
        <v>2.7669172932330826E-2</v>
      </c>
      <c r="AG503" s="214">
        <v>920</v>
      </c>
      <c r="AH503" s="225">
        <v>2.6285714285714287E-2</v>
      </c>
      <c r="AI503" s="225">
        <v>2.7669172932330826E-2</v>
      </c>
      <c r="AJ503" s="307">
        <v>920</v>
      </c>
      <c r="AK503" s="225">
        <v>2.6285714285714287E-2</v>
      </c>
      <c r="AL503" s="225">
        <v>2.7669172932330826E-2</v>
      </c>
      <c r="AM503" s="214">
        <v>920</v>
      </c>
      <c r="AN503" s="225">
        <v>2.6285714285714287E-2</v>
      </c>
      <c r="AO503" s="225">
        <v>2.7669172932330826E-2</v>
      </c>
      <c r="AP503" s="225"/>
      <c r="AQ503" s="214">
        <v>5820.3419999999996</v>
      </c>
      <c r="AR503" s="225">
        <v>0.16629548571428571</v>
      </c>
      <c r="AS503" s="225">
        <v>0.17504787969924812</v>
      </c>
      <c r="AT503" s="214">
        <v>5820.3419999999996</v>
      </c>
      <c r="AU503" s="225">
        <v>0.16629548571428571</v>
      </c>
      <c r="AV503" s="225">
        <v>0.17504787969924812</v>
      </c>
      <c r="AW503" s="225"/>
      <c r="AX503" s="225"/>
      <c r="AY503" s="225"/>
      <c r="AZ503" s="225"/>
      <c r="BA503" s="225"/>
      <c r="BB503" s="225"/>
      <c r="BC503" s="214">
        <v>5820.3419999999996</v>
      </c>
      <c r="BD503" s="225">
        <v>0.16629548571428571</v>
      </c>
      <c r="BE503" s="225">
        <v>0.17504787969924812</v>
      </c>
      <c r="BF503" s="350"/>
      <c r="BG503" s="350">
        <v>9500</v>
      </c>
      <c r="BH503" s="225">
        <v>0.27142857142857141</v>
      </c>
      <c r="BI503" s="225">
        <v>0.2857142857142857</v>
      </c>
      <c r="BJ503" s="402">
        <f t="shared" si="410"/>
        <v>33250</v>
      </c>
      <c r="BK503" s="402">
        <v>9500</v>
      </c>
      <c r="BL503" s="225">
        <f t="shared" si="411"/>
        <v>0.27142857142857141</v>
      </c>
      <c r="BM503" s="225">
        <f t="shared" si="425"/>
        <v>0.2857142857142857</v>
      </c>
      <c r="BN503" s="205">
        <f t="shared" si="407"/>
        <v>8580</v>
      </c>
      <c r="BO503" s="205"/>
      <c r="BP503" s="227"/>
      <c r="BQ503" s="224">
        <f t="shared" si="412"/>
        <v>0</v>
      </c>
      <c r="BR503" s="227"/>
      <c r="BS503" s="224">
        <f t="shared" si="413"/>
        <v>0</v>
      </c>
      <c r="BT503" s="227">
        <f>$F503*0.1</f>
        <v>3500</v>
      </c>
      <c r="BU503" s="224">
        <f t="shared" si="414"/>
        <v>0.1</v>
      </c>
      <c r="BV503" s="227">
        <f>$F503*0.2</f>
        <v>7000</v>
      </c>
      <c r="BW503" s="224">
        <f t="shared" si="415"/>
        <v>0.2</v>
      </c>
      <c r="BX503" s="227">
        <f>$F503*0.3</f>
        <v>10500</v>
      </c>
      <c r="BY503" s="224">
        <f t="shared" si="416"/>
        <v>0.3</v>
      </c>
      <c r="BZ503" s="227">
        <f>$F503*0.4</f>
        <v>14000</v>
      </c>
      <c r="CA503" s="224">
        <f t="shared" si="417"/>
        <v>0.4</v>
      </c>
      <c r="CB503" s="227">
        <f>$F503*0.5</f>
        <v>17500</v>
      </c>
      <c r="CC503" s="224">
        <f t="shared" si="431"/>
        <v>0.5</v>
      </c>
      <c r="CD503" s="227">
        <f>$F503*0.55</f>
        <v>19250</v>
      </c>
      <c r="CE503" s="224">
        <f t="shared" si="432"/>
        <v>0.55000000000000004</v>
      </c>
      <c r="CF503" s="227">
        <v>24500</v>
      </c>
      <c r="CG503" s="224">
        <f t="shared" si="433"/>
        <v>0.7</v>
      </c>
      <c r="CH503" s="227">
        <f>$F503*0.7</f>
        <v>24500</v>
      </c>
      <c r="CI503" s="224">
        <f t="shared" si="434"/>
        <v>0.7</v>
      </c>
      <c r="CJ503" s="227">
        <f>$F503*0.75</f>
        <v>26250</v>
      </c>
      <c r="CK503" s="224">
        <f t="shared" si="418"/>
        <v>0.75</v>
      </c>
      <c r="CL503" s="227">
        <f>$F503*0.8</f>
        <v>28000</v>
      </c>
      <c r="CM503" s="224">
        <f t="shared" si="419"/>
        <v>0.8</v>
      </c>
      <c r="CN503" s="227">
        <f>$F503*0.95</f>
        <v>33250</v>
      </c>
      <c r="CO503" s="224">
        <f t="shared" si="420"/>
        <v>0.95</v>
      </c>
      <c r="CP503" s="213" t="str">
        <f t="shared" si="422"/>
        <v>Không đạt</v>
      </c>
      <c r="CQ503" s="213" t="str">
        <f t="shared" si="423"/>
        <v>Không đạt</v>
      </c>
      <c r="CR503" s="192"/>
      <c r="CS503" s="192"/>
      <c r="CT503" s="223"/>
      <c r="CU503" s="163"/>
      <c r="CW503" s="195"/>
      <c r="CX503" s="196"/>
      <c r="CY503" s="196"/>
      <c r="CZ503" s="197"/>
      <c r="DA503" s="196"/>
      <c r="DB503" s="196"/>
      <c r="DC503" s="196"/>
      <c r="DE503" s="199"/>
      <c r="DF503" s="200"/>
      <c r="DG503" s="181"/>
    </row>
    <row r="504" spans="1:111" s="324" customFormat="1" outlineLevel="1" x14ac:dyDescent="0.25">
      <c r="A504" s="305" t="s">
        <v>34</v>
      </c>
      <c r="B504" s="318" t="s">
        <v>376</v>
      </c>
      <c r="C504" s="306"/>
      <c r="D504" s="307">
        <f>E504+F504</f>
        <v>3000</v>
      </c>
      <c r="E504" s="307"/>
      <c r="F504" s="307">
        <f>G504+H504+K504+M504</f>
        <v>3000</v>
      </c>
      <c r="G504" s="303">
        <v>3000</v>
      </c>
      <c r="H504" s="303"/>
      <c r="I504" s="235"/>
      <c r="J504" s="235"/>
      <c r="K504" s="303"/>
      <c r="L504" s="235"/>
      <c r="M504" s="223"/>
      <c r="N504" s="223"/>
      <c r="O504" s="303">
        <f t="shared" si="427"/>
        <v>3000</v>
      </c>
      <c r="P504" s="303">
        <v>0</v>
      </c>
      <c r="Q504" s="308">
        <f t="shared" si="421"/>
        <v>0</v>
      </c>
      <c r="R504" s="303"/>
      <c r="S504" s="309">
        <v>0</v>
      </c>
      <c r="T504" s="309">
        <v>0</v>
      </c>
      <c r="U504" s="303">
        <v>501.61723599999999</v>
      </c>
      <c r="V504" s="309">
        <v>0.16720574533333332</v>
      </c>
      <c r="W504" s="309">
        <v>0.17600604771929823</v>
      </c>
      <c r="X504" s="303">
        <v>501.61723599999999</v>
      </c>
      <c r="Y504" s="309">
        <v>0.16720574533333332</v>
      </c>
      <c r="Z504" s="309">
        <v>0.17600604771929823</v>
      </c>
      <c r="AA504" s="303">
        <v>501.61723599999999</v>
      </c>
      <c r="AB504" s="309">
        <v>0.16720574533333332</v>
      </c>
      <c r="AC504" s="309">
        <v>0.17600604771929823</v>
      </c>
      <c r="AD504" s="303">
        <v>1100.509648</v>
      </c>
      <c r="AE504" s="309">
        <v>0.36683654933333332</v>
      </c>
      <c r="AF504" s="309">
        <v>0.38614373614035086</v>
      </c>
      <c r="AG504" s="307">
        <v>1100.509648</v>
      </c>
      <c r="AH504" s="309">
        <v>0.36683654933333332</v>
      </c>
      <c r="AI504" s="309">
        <v>0.38614373614035086</v>
      </c>
      <c r="AJ504" s="303">
        <v>1100.509648</v>
      </c>
      <c r="AK504" s="309">
        <v>0.36683654933333332</v>
      </c>
      <c r="AL504" s="309">
        <v>0.38614373614035086</v>
      </c>
      <c r="AM504" s="307">
        <v>1100.509648</v>
      </c>
      <c r="AN504" s="309">
        <v>0.36683654933333332</v>
      </c>
      <c r="AO504" s="309">
        <v>0.38614373614035086</v>
      </c>
      <c r="AP504" s="309"/>
      <c r="AQ504" s="307">
        <v>1479.4855509999998</v>
      </c>
      <c r="AR504" s="309">
        <v>0.49316185033333326</v>
      </c>
      <c r="AS504" s="309">
        <v>0.51911773719298238</v>
      </c>
      <c r="AT504" s="307">
        <v>1479.4855509999998</v>
      </c>
      <c r="AU504" s="309">
        <v>0.49316185033333326</v>
      </c>
      <c r="AV504" s="309">
        <v>0.51911773719298238</v>
      </c>
      <c r="AW504" s="309"/>
      <c r="AX504" s="309"/>
      <c r="AY504" s="309"/>
      <c r="AZ504" s="309"/>
      <c r="BA504" s="309"/>
      <c r="BB504" s="309"/>
      <c r="BC504" s="307">
        <v>1479.4855509999998</v>
      </c>
      <c r="BD504" s="309">
        <v>0.49316185033333326</v>
      </c>
      <c r="BE504" s="309">
        <v>0.51911773719298238</v>
      </c>
      <c r="BF504" s="351"/>
      <c r="BG504" s="351">
        <v>1835.739648</v>
      </c>
      <c r="BH504" s="309">
        <v>0.61191321600000004</v>
      </c>
      <c r="BI504" s="309">
        <v>0.6441191747368421</v>
      </c>
      <c r="BJ504" s="349">
        <f t="shared" si="410"/>
        <v>2850</v>
      </c>
      <c r="BK504" s="349">
        <v>1835.739648</v>
      </c>
      <c r="BL504" s="309">
        <f t="shared" si="411"/>
        <v>0.61191321600000004</v>
      </c>
      <c r="BM504" s="309">
        <f t="shared" si="425"/>
        <v>0.6441191747368421</v>
      </c>
      <c r="BN504" s="205">
        <f t="shared" si="407"/>
        <v>735.23</v>
      </c>
      <c r="BO504" s="205"/>
      <c r="BP504" s="310"/>
      <c r="BQ504" s="308">
        <f t="shared" si="412"/>
        <v>0</v>
      </c>
      <c r="BR504" s="310"/>
      <c r="BS504" s="308">
        <f t="shared" si="413"/>
        <v>0</v>
      </c>
      <c r="BT504" s="310">
        <f>$F504*0.1</f>
        <v>300</v>
      </c>
      <c r="BU504" s="308">
        <f t="shared" si="414"/>
        <v>0.1</v>
      </c>
      <c r="BV504" s="310">
        <f>$F504*0.2</f>
        <v>600</v>
      </c>
      <c r="BW504" s="308">
        <f t="shared" si="415"/>
        <v>0.2</v>
      </c>
      <c r="BX504" s="310">
        <f>$F504*0.3</f>
        <v>900</v>
      </c>
      <c r="BY504" s="308">
        <f t="shared" si="416"/>
        <v>0.3</v>
      </c>
      <c r="BZ504" s="310">
        <f>$F504*0.4</f>
        <v>1200</v>
      </c>
      <c r="CA504" s="308">
        <f t="shared" si="417"/>
        <v>0.4</v>
      </c>
      <c r="CB504" s="310">
        <f>$F504*0.5</f>
        <v>1500</v>
      </c>
      <c r="CC504" s="308">
        <f t="shared" si="431"/>
        <v>0.5</v>
      </c>
      <c r="CD504" s="310">
        <f>$F504*0.55</f>
        <v>1650.0000000000002</v>
      </c>
      <c r="CE504" s="308">
        <f t="shared" si="432"/>
        <v>0.55000000000000004</v>
      </c>
      <c r="CF504" s="310">
        <v>2100</v>
      </c>
      <c r="CG504" s="308">
        <f t="shared" si="433"/>
        <v>0.7</v>
      </c>
      <c r="CH504" s="310">
        <f>$F504*0.7</f>
        <v>2100</v>
      </c>
      <c r="CI504" s="308">
        <f t="shared" si="434"/>
        <v>0.7</v>
      </c>
      <c r="CJ504" s="310">
        <f>$F504*0.75</f>
        <v>2250</v>
      </c>
      <c r="CK504" s="308">
        <f t="shared" si="418"/>
        <v>0.75</v>
      </c>
      <c r="CL504" s="310">
        <f>$F504*0.8</f>
        <v>2400</v>
      </c>
      <c r="CM504" s="308">
        <f t="shared" si="419"/>
        <v>0.8</v>
      </c>
      <c r="CN504" s="310">
        <f>$F504*0.95</f>
        <v>2850</v>
      </c>
      <c r="CO504" s="308">
        <f t="shared" si="420"/>
        <v>0.95</v>
      </c>
      <c r="CP504" s="213" t="str">
        <f t="shared" si="422"/>
        <v>Đạt</v>
      </c>
      <c r="CQ504" s="213" t="str">
        <f t="shared" si="423"/>
        <v>Đạt</v>
      </c>
      <c r="CR504" s="312"/>
      <c r="CS504" s="312"/>
      <c r="CT504" s="235"/>
      <c r="CU504" s="163"/>
      <c r="CV504" s="323"/>
      <c r="CW504" s="195"/>
      <c r="CX504" s="196"/>
      <c r="CY504" s="196"/>
      <c r="CZ504" s="197"/>
      <c r="DA504" s="196"/>
      <c r="DB504" s="196"/>
      <c r="DC504" s="196"/>
      <c r="DE504" s="199"/>
      <c r="DF504" s="200"/>
      <c r="DG504" s="181"/>
    </row>
    <row r="505" spans="1:111" ht="25.5" outlineLevel="1" x14ac:dyDescent="0.25">
      <c r="A505" s="305" t="s">
        <v>34</v>
      </c>
      <c r="B505" s="306" t="s">
        <v>377</v>
      </c>
      <c r="C505" s="306"/>
      <c r="D505" s="307">
        <f>E505+F505</f>
        <v>425</v>
      </c>
      <c r="E505" s="307"/>
      <c r="F505" s="307">
        <f>G505+H505+K505+M505</f>
        <v>425</v>
      </c>
      <c r="G505" s="307"/>
      <c r="H505" s="307">
        <v>425</v>
      </c>
      <c r="I505" s="235"/>
      <c r="J505" s="235"/>
      <c r="K505" s="303"/>
      <c r="L505" s="235"/>
      <c r="M505" s="223"/>
      <c r="N505" s="223"/>
      <c r="O505" s="303"/>
      <c r="P505" s="303">
        <v>0</v>
      </c>
      <c r="Q505" s="308">
        <f t="shared" si="421"/>
        <v>0</v>
      </c>
      <c r="R505" s="303"/>
      <c r="S505" s="309">
        <v>0</v>
      </c>
      <c r="T505" s="309">
        <v>0</v>
      </c>
      <c r="U505" s="303"/>
      <c r="V505" s="309">
        <v>0</v>
      </c>
      <c r="W505" s="309">
        <v>0</v>
      </c>
      <c r="X505" s="303"/>
      <c r="Y505" s="309">
        <v>0</v>
      </c>
      <c r="Z505" s="309">
        <v>0</v>
      </c>
      <c r="AA505" s="303"/>
      <c r="AB505" s="309">
        <v>0</v>
      </c>
      <c r="AC505" s="309">
        <v>0</v>
      </c>
      <c r="AD505" s="303"/>
      <c r="AE505" s="309">
        <v>0</v>
      </c>
      <c r="AF505" s="309">
        <v>0</v>
      </c>
      <c r="AG505" s="303"/>
      <c r="AH505" s="309">
        <v>0</v>
      </c>
      <c r="AI505" s="309">
        <v>0</v>
      </c>
      <c r="AJ505" s="189"/>
      <c r="AK505" s="309">
        <v>0</v>
      </c>
      <c r="AL505" s="309">
        <v>0</v>
      </c>
      <c r="AM505" s="303"/>
      <c r="AN505" s="309">
        <v>0</v>
      </c>
      <c r="AO505" s="309">
        <v>0</v>
      </c>
      <c r="AP505" s="309"/>
      <c r="AQ505" s="303"/>
      <c r="AR505" s="309">
        <v>0</v>
      </c>
      <c r="AS505" s="309">
        <v>0</v>
      </c>
      <c r="AT505" s="303"/>
      <c r="AU505" s="309">
        <v>0</v>
      </c>
      <c r="AV505" s="309">
        <v>0</v>
      </c>
      <c r="AW505" s="309"/>
      <c r="AX505" s="309"/>
      <c r="AY505" s="309"/>
      <c r="AZ505" s="309"/>
      <c r="BA505" s="309"/>
      <c r="BB505" s="309"/>
      <c r="BC505" s="303"/>
      <c r="BD505" s="309">
        <v>0</v>
      </c>
      <c r="BE505" s="309">
        <v>0</v>
      </c>
      <c r="BF505" s="351"/>
      <c r="BG505" s="351">
        <v>0</v>
      </c>
      <c r="BH505" s="309">
        <v>0</v>
      </c>
      <c r="BI505" s="309">
        <v>0</v>
      </c>
      <c r="BJ505" s="349">
        <f t="shared" si="410"/>
        <v>403.75</v>
      </c>
      <c r="BK505" s="349">
        <v>0</v>
      </c>
      <c r="BL505" s="309">
        <f t="shared" si="411"/>
        <v>0</v>
      </c>
      <c r="BM505" s="309">
        <f t="shared" si="425"/>
        <v>0</v>
      </c>
      <c r="BN505" s="205">
        <f t="shared" si="407"/>
        <v>0</v>
      </c>
      <c r="BO505" s="205"/>
      <c r="BP505" s="310"/>
      <c r="BQ505" s="308">
        <f t="shared" si="412"/>
        <v>0</v>
      </c>
      <c r="BR505" s="310"/>
      <c r="BS505" s="308">
        <f t="shared" si="413"/>
        <v>0</v>
      </c>
      <c r="BT505" s="310">
        <f>$F505*0.1</f>
        <v>42.5</v>
      </c>
      <c r="BU505" s="308">
        <f t="shared" si="414"/>
        <v>0.1</v>
      </c>
      <c r="BV505" s="310">
        <f>$F505*0.2</f>
        <v>85</v>
      </c>
      <c r="BW505" s="308">
        <f t="shared" si="415"/>
        <v>0.2</v>
      </c>
      <c r="BX505" s="310">
        <f>$F505*0.3</f>
        <v>127.5</v>
      </c>
      <c r="BY505" s="308">
        <f t="shared" si="416"/>
        <v>0.3</v>
      </c>
      <c r="BZ505" s="310">
        <f>$F505*0.4</f>
        <v>170</v>
      </c>
      <c r="CA505" s="308">
        <f t="shared" si="417"/>
        <v>0.4</v>
      </c>
      <c r="CB505" s="310">
        <f>$F505*0.5</f>
        <v>212.5</v>
      </c>
      <c r="CC505" s="308">
        <f t="shared" si="431"/>
        <v>0.5</v>
      </c>
      <c r="CD505" s="310">
        <f>$F505*0.55</f>
        <v>233.75000000000003</v>
      </c>
      <c r="CE505" s="308">
        <f t="shared" si="432"/>
        <v>0.55000000000000004</v>
      </c>
      <c r="CF505" s="310">
        <v>297.5</v>
      </c>
      <c r="CG505" s="308">
        <f t="shared" si="433"/>
        <v>0.7</v>
      </c>
      <c r="CH505" s="310">
        <f>$F505*0.7</f>
        <v>297.5</v>
      </c>
      <c r="CI505" s="308">
        <f t="shared" si="434"/>
        <v>0.7</v>
      </c>
      <c r="CJ505" s="310">
        <f>$F505*0.75</f>
        <v>318.75</v>
      </c>
      <c r="CK505" s="308">
        <f t="shared" si="418"/>
        <v>0.75</v>
      </c>
      <c r="CL505" s="310">
        <f>$F505*0.8</f>
        <v>340</v>
      </c>
      <c r="CM505" s="308">
        <f t="shared" si="419"/>
        <v>0.8</v>
      </c>
      <c r="CN505" s="310">
        <f>$F505*0.95</f>
        <v>403.75</v>
      </c>
      <c r="CO505" s="308">
        <f t="shared" si="420"/>
        <v>0.95</v>
      </c>
      <c r="CP505" s="213" t="str">
        <f t="shared" si="422"/>
        <v>Không đạt</v>
      </c>
      <c r="CQ505" s="213" t="str">
        <f t="shared" si="423"/>
        <v>Không đạt</v>
      </c>
      <c r="CR505" s="312"/>
      <c r="CS505" s="312"/>
      <c r="CT505" s="235"/>
      <c r="CU505" s="163"/>
      <c r="CW505" s="195"/>
      <c r="CX505" s="196"/>
      <c r="CY505" s="196"/>
      <c r="CZ505" s="197"/>
      <c r="DA505" s="196"/>
      <c r="DB505" s="196"/>
      <c r="DC505" s="196"/>
      <c r="DE505" s="199"/>
      <c r="DF505" s="200"/>
      <c r="DG505" s="181"/>
    </row>
    <row r="506" spans="1:111" ht="18" customHeight="1" x14ac:dyDescent="0.25">
      <c r="A506" s="213">
        <f>MAX(A$243:A503)+1</f>
        <v>74</v>
      </c>
      <c r="B506" s="240" t="s">
        <v>483</v>
      </c>
      <c r="C506" s="240"/>
      <c r="D506" s="188">
        <f t="shared" ref="D506:I506" si="445">D507+D509</f>
        <v>54700</v>
      </c>
      <c r="E506" s="188">
        <f t="shared" si="445"/>
        <v>50000</v>
      </c>
      <c r="F506" s="188">
        <f t="shared" si="445"/>
        <v>4700</v>
      </c>
      <c r="G506" s="188">
        <f t="shared" si="445"/>
        <v>3000</v>
      </c>
      <c r="H506" s="188">
        <f t="shared" si="445"/>
        <v>1700</v>
      </c>
      <c r="I506" s="188">
        <f t="shared" si="445"/>
        <v>0</v>
      </c>
      <c r="J506" s="188"/>
      <c r="K506" s="188">
        <f>K507+K509</f>
        <v>0</v>
      </c>
      <c r="L506" s="188">
        <f>L507+L509</f>
        <v>0</v>
      </c>
      <c r="M506" s="188">
        <f>M507+M509</f>
        <v>0</v>
      </c>
      <c r="N506" s="188">
        <f>N507+N509</f>
        <v>0</v>
      </c>
      <c r="O506" s="188">
        <f>O507+O509</f>
        <v>3000</v>
      </c>
      <c r="P506" s="188">
        <v>215</v>
      </c>
      <c r="Q506" s="186">
        <f t="shared" si="421"/>
        <v>3.9305301645338213E-3</v>
      </c>
      <c r="R506" s="189">
        <v>370.13300000000004</v>
      </c>
      <c r="S506" s="185">
        <v>6.7665996343692879E-3</v>
      </c>
      <c r="T506" s="185">
        <v>6.7957954649775091E-3</v>
      </c>
      <c r="U506" s="189">
        <v>10395.552453999999</v>
      </c>
      <c r="V506" s="185">
        <v>0.1900466627787934</v>
      </c>
      <c r="W506" s="185">
        <v>0.19086665664188007</v>
      </c>
      <c r="X506" s="189">
        <v>10395.552453999999</v>
      </c>
      <c r="Y506" s="185">
        <v>0.1900466627787934</v>
      </c>
      <c r="Z506" s="185">
        <v>0.19086665664188007</v>
      </c>
      <c r="AA506" s="189">
        <v>10395.552453999999</v>
      </c>
      <c r="AB506" s="185">
        <v>0.1900466627787934</v>
      </c>
      <c r="AC506" s="185">
        <v>0.19086665664188007</v>
      </c>
      <c r="AD506" s="189">
        <v>10959</v>
      </c>
      <c r="AE506" s="185">
        <v>0.20034734917733091</v>
      </c>
      <c r="AF506" s="185">
        <v>0.20121178738639492</v>
      </c>
      <c r="AG506" s="189">
        <v>11144</v>
      </c>
      <c r="AH506" s="185">
        <v>0.20372943327239487</v>
      </c>
      <c r="AI506" s="185">
        <v>0.20460846415128983</v>
      </c>
      <c r="AJ506" s="188">
        <v>11144</v>
      </c>
      <c r="AK506" s="185">
        <v>0.20372943327239487</v>
      </c>
      <c r="AL506" s="185">
        <v>0.20460846415128983</v>
      </c>
      <c r="AM506" s="189">
        <v>11144</v>
      </c>
      <c r="AN506" s="185">
        <v>0.20372943327239487</v>
      </c>
      <c r="AO506" s="185">
        <v>0.20460846415128983</v>
      </c>
      <c r="AP506" s="185"/>
      <c r="AQ506" s="189">
        <v>14444</v>
      </c>
      <c r="AR506" s="185">
        <v>0.26405850091407679</v>
      </c>
      <c r="AS506" s="185">
        <v>0.26519783347103643</v>
      </c>
      <c r="AT506" s="189">
        <v>14444</v>
      </c>
      <c r="AU506" s="185">
        <v>0.26405850091407679</v>
      </c>
      <c r="AV506" s="185">
        <v>0.26519783347103643</v>
      </c>
      <c r="AW506" s="185"/>
      <c r="AX506" s="185"/>
      <c r="AY506" s="185"/>
      <c r="AZ506" s="185"/>
      <c r="BA506" s="185"/>
      <c r="BB506" s="185"/>
      <c r="BC506" s="189">
        <v>14444</v>
      </c>
      <c r="BD506" s="185">
        <v>0.26405850091407679</v>
      </c>
      <c r="BE506" s="185">
        <v>0.26519783347103643</v>
      </c>
      <c r="BF506" s="352"/>
      <c r="BG506" s="352">
        <v>16688.655409999999</v>
      </c>
      <c r="BH506" s="185">
        <v>0.30509424881170016</v>
      </c>
      <c r="BI506" s="185">
        <v>0.3064106382080235</v>
      </c>
      <c r="BJ506" s="374">
        <f t="shared" si="410"/>
        <v>54465</v>
      </c>
      <c r="BK506" s="374">
        <v>22955.228465</v>
      </c>
      <c r="BL506" s="185">
        <f t="shared" si="411"/>
        <v>0.41965682751371114</v>
      </c>
      <c r="BM506" s="185">
        <f t="shared" si="425"/>
        <v>0.42146751978334712</v>
      </c>
      <c r="BN506" s="205">
        <f t="shared" si="407"/>
        <v>11996.228465</v>
      </c>
      <c r="BO506" s="205"/>
      <c r="BP506" s="189">
        <f>BP507+BP509</f>
        <v>166</v>
      </c>
      <c r="BQ506" s="186">
        <f t="shared" si="412"/>
        <v>3.0347349177330895E-3</v>
      </c>
      <c r="BR506" s="189">
        <f>BR507+BR509</f>
        <v>6541</v>
      </c>
      <c r="BS506" s="186">
        <f t="shared" si="413"/>
        <v>0.11957952468007313</v>
      </c>
      <c r="BT506" s="189">
        <f>BT507+BT509</f>
        <v>11757</v>
      </c>
      <c r="BU506" s="186">
        <f t="shared" si="414"/>
        <v>0.21493601462522852</v>
      </c>
      <c r="BV506" s="189">
        <f>BV507+BV509</f>
        <v>20816</v>
      </c>
      <c r="BW506" s="186">
        <f t="shared" si="415"/>
        <v>0.38054844606946986</v>
      </c>
      <c r="BX506" s="189">
        <f>BX507+BX509</f>
        <v>26031</v>
      </c>
      <c r="BY506" s="186">
        <f t="shared" si="416"/>
        <v>0.47588665447897621</v>
      </c>
      <c r="BZ506" s="189">
        <f>BZ507+BZ509</f>
        <v>29736.5</v>
      </c>
      <c r="CA506" s="186">
        <f t="shared" si="417"/>
        <v>0.54362888482632543</v>
      </c>
      <c r="CB506" s="189">
        <f>CB507+CB509</f>
        <v>32634.5</v>
      </c>
      <c r="CC506" s="186">
        <f t="shared" si="431"/>
        <v>0.59660877513711152</v>
      </c>
      <c r="CD506" s="189">
        <f>CD507+CD509</f>
        <v>35531.5</v>
      </c>
      <c r="CE506" s="186">
        <f t="shared" si="432"/>
        <v>0.64957038391224864</v>
      </c>
      <c r="CF506" s="189">
        <f>CF507+CF509</f>
        <v>38429.5</v>
      </c>
      <c r="CG506" s="186">
        <f t="shared" si="433"/>
        <v>0.70255027422303473</v>
      </c>
      <c r="CH506" s="189">
        <f>CH507+CH509</f>
        <v>42135</v>
      </c>
      <c r="CI506" s="186">
        <f t="shared" si="434"/>
        <v>0.7702925045703839</v>
      </c>
      <c r="CJ506" s="189">
        <f>CJ507+CJ509</f>
        <v>45032</v>
      </c>
      <c r="CK506" s="186">
        <f t="shared" si="418"/>
        <v>0.82325411334552101</v>
      </c>
      <c r="CL506" s="189">
        <f>CL507+CL509</f>
        <v>51407</v>
      </c>
      <c r="CM506" s="186">
        <f t="shared" si="419"/>
        <v>0.93979890310786107</v>
      </c>
      <c r="CN506" s="189">
        <f>CN507+CN509</f>
        <v>54465</v>
      </c>
      <c r="CO506" s="186">
        <f t="shared" si="420"/>
        <v>0.99570383912248628</v>
      </c>
      <c r="CP506" s="213" t="str">
        <f t="shared" si="422"/>
        <v>Đạt</v>
      </c>
      <c r="CQ506" s="213" t="str">
        <f t="shared" si="423"/>
        <v>Không đạt</v>
      </c>
      <c r="CR506" s="213"/>
      <c r="CS506" s="213"/>
      <c r="CT506" s="231"/>
      <c r="CU506" s="163"/>
      <c r="CW506" s="195"/>
      <c r="CX506" s="196"/>
      <c r="CY506" s="196"/>
      <c r="CZ506" s="197"/>
      <c r="DA506" s="196"/>
      <c r="DB506" s="196"/>
      <c r="DC506" s="196"/>
      <c r="DE506" s="199"/>
      <c r="DF506" s="200"/>
      <c r="DG506" s="181"/>
    </row>
    <row r="507" spans="1:111" s="160" customFormat="1" ht="12.75" outlineLevel="1" x14ac:dyDescent="0.25">
      <c r="A507" s="221" t="s">
        <v>29</v>
      </c>
      <c r="B507" s="222" t="s">
        <v>155</v>
      </c>
      <c r="C507" s="222"/>
      <c r="D507" s="214">
        <f t="shared" ref="D507:I507" si="446">D508</f>
        <v>50000</v>
      </c>
      <c r="E507" s="214">
        <f t="shared" si="446"/>
        <v>50000</v>
      </c>
      <c r="F507" s="214">
        <f t="shared" si="446"/>
        <v>0</v>
      </c>
      <c r="G507" s="214">
        <f t="shared" si="446"/>
        <v>0</v>
      </c>
      <c r="H507" s="214">
        <f t="shared" si="446"/>
        <v>0</v>
      </c>
      <c r="I507" s="188">
        <f t="shared" si="446"/>
        <v>0</v>
      </c>
      <c r="J507" s="188"/>
      <c r="K507" s="214">
        <f t="shared" ref="K507:P507" si="447">K508</f>
        <v>0</v>
      </c>
      <c r="L507" s="188">
        <f t="shared" si="447"/>
        <v>0</v>
      </c>
      <c r="M507" s="188">
        <f t="shared" si="447"/>
        <v>0</v>
      </c>
      <c r="N507" s="188">
        <f t="shared" si="447"/>
        <v>0</v>
      </c>
      <c r="O507" s="188">
        <f t="shared" si="447"/>
        <v>0</v>
      </c>
      <c r="P507" s="188">
        <f t="shared" si="447"/>
        <v>64</v>
      </c>
      <c r="Q507" s="258">
        <f t="shared" si="421"/>
        <v>1.2800000000000001E-3</v>
      </c>
      <c r="R507" s="188">
        <v>218.983</v>
      </c>
      <c r="S507" s="373">
        <v>4.3796600000000005E-3</v>
      </c>
      <c r="T507" s="373">
        <v>4.3796600000000005E-3</v>
      </c>
      <c r="U507" s="188">
        <v>10244.402453999999</v>
      </c>
      <c r="V507" s="373">
        <v>0.20488804908</v>
      </c>
      <c r="W507" s="373">
        <v>0.20488804908</v>
      </c>
      <c r="X507" s="188">
        <v>10244.402453999999</v>
      </c>
      <c r="Y507" s="373">
        <v>0.20488804908</v>
      </c>
      <c r="Z507" s="373">
        <v>0.20488804908</v>
      </c>
      <c r="AA507" s="188">
        <v>10244.402453999999</v>
      </c>
      <c r="AB507" s="373">
        <v>0.20488804908</v>
      </c>
      <c r="AC507" s="373">
        <v>0.20488804908</v>
      </c>
      <c r="AD507" s="188">
        <v>10244.402453999999</v>
      </c>
      <c r="AE507" s="373">
        <v>0.20488804908</v>
      </c>
      <c r="AF507" s="373">
        <v>0.20488804908</v>
      </c>
      <c r="AG507" s="188">
        <v>10429.402453999999</v>
      </c>
      <c r="AH507" s="373">
        <v>0.20858804907999998</v>
      </c>
      <c r="AI507" s="373">
        <v>0.20858804907999998</v>
      </c>
      <c r="AJ507" s="214">
        <v>10429.402453999999</v>
      </c>
      <c r="AK507" s="373">
        <v>0.20858804907999998</v>
      </c>
      <c r="AL507" s="373">
        <v>0.20858804907999998</v>
      </c>
      <c r="AM507" s="188">
        <v>10429.402453999999</v>
      </c>
      <c r="AN507" s="373">
        <v>0.20858804907999998</v>
      </c>
      <c r="AO507" s="373">
        <v>0.20858804907999998</v>
      </c>
      <c r="AP507" s="373"/>
      <c r="AQ507" s="188">
        <v>13729.402453999999</v>
      </c>
      <c r="AR507" s="373">
        <v>0.27458804908000001</v>
      </c>
      <c r="AS507" s="373">
        <v>0.27458804908000001</v>
      </c>
      <c r="AT507" s="188">
        <v>13729.402453999999</v>
      </c>
      <c r="AU507" s="373">
        <v>0.27458804908000001</v>
      </c>
      <c r="AV507" s="373">
        <v>0.27458804908000001</v>
      </c>
      <c r="AW507" s="373"/>
      <c r="AX507" s="373"/>
      <c r="AY507" s="373"/>
      <c r="AZ507" s="373"/>
      <c r="BA507" s="373"/>
      <c r="BB507" s="373"/>
      <c r="BC507" s="188">
        <v>13729.402453999999</v>
      </c>
      <c r="BD507" s="373">
        <v>0.27458804908000001</v>
      </c>
      <c r="BE507" s="373">
        <v>0.27458804908000001</v>
      </c>
      <c r="BF507" s="374"/>
      <c r="BG507" s="374">
        <v>13871.317864000001</v>
      </c>
      <c r="BH507" s="373">
        <v>0.27742635728000004</v>
      </c>
      <c r="BI507" s="373">
        <v>0.27742635728000004</v>
      </c>
      <c r="BJ507" s="374">
        <f t="shared" si="410"/>
        <v>50000</v>
      </c>
      <c r="BK507" s="374">
        <v>20137.890919000001</v>
      </c>
      <c r="BL507" s="373">
        <f t="shared" si="411"/>
        <v>0.40275781838000002</v>
      </c>
      <c r="BM507" s="373">
        <f t="shared" si="425"/>
        <v>0.40275781838000002</v>
      </c>
      <c r="BN507" s="205">
        <f t="shared" si="407"/>
        <v>9893.4884650000022</v>
      </c>
      <c r="BO507" s="205"/>
      <c r="BP507" s="245">
        <f>BP508</f>
        <v>0</v>
      </c>
      <c r="BQ507" s="375">
        <f t="shared" si="412"/>
        <v>0</v>
      </c>
      <c r="BR507" s="245">
        <f>BR508</f>
        <v>6375</v>
      </c>
      <c r="BS507" s="375">
        <f t="shared" si="413"/>
        <v>0.1275</v>
      </c>
      <c r="BT507" s="245">
        <f>BT508</f>
        <v>11591</v>
      </c>
      <c r="BU507" s="258">
        <f t="shared" si="414"/>
        <v>0.23182</v>
      </c>
      <c r="BV507" s="245">
        <f>BV508</f>
        <v>17966</v>
      </c>
      <c r="BW507" s="375">
        <f t="shared" si="415"/>
        <v>0.35931999999999997</v>
      </c>
      <c r="BX507" s="245">
        <f>BX508</f>
        <v>23181</v>
      </c>
      <c r="BY507" s="375">
        <f t="shared" si="416"/>
        <v>0.46361999999999998</v>
      </c>
      <c r="BZ507" s="245">
        <f>BZ508</f>
        <v>26079</v>
      </c>
      <c r="CA507" s="375">
        <f t="shared" si="417"/>
        <v>0.52158000000000004</v>
      </c>
      <c r="CB507" s="245">
        <f>CB508</f>
        <v>28977</v>
      </c>
      <c r="CC507" s="375">
        <f t="shared" si="431"/>
        <v>0.57954000000000006</v>
      </c>
      <c r="CD507" s="245">
        <f>CD508</f>
        <v>31874</v>
      </c>
      <c r="CE507" s="375">
        <f t="shared" si="432"/>
        <v>0.63748000000000005</v>
      </c>
      <c r="CF507" s="245">
        <f>CF508</f>
        <v>34772</v>
      </c>
      <c r="CG507" s="375">
        <f t="shared" si="433"/>
        <v>0.69543999999999995</v>
      </c>
      <c r="CH507" s="245">
        <f>CH508</f>
        <v>37670</v>
      </c>
      <c r="CI507" s="375">
        <f t="shared" si="434"/>
        <v>0.75339999999999996</v>
      </c>
      <c r="CJ507" s="245">
        <f>CJ508</f>
        <v>40567</v>
      </c>
      <c r="CK507" s="375">
        <f t="shared" si="418"/>
        <v>0.81133999999999995</v>
      </c>
      <c r="CL507" s="245">
        <f>CL508</f>
        <v>46942</v>
      </c>
      <c r="CM507" s="375">
        <f t="shared" si="419"/>
        <v>0.93884000000000001</v>
      </c>
      <c r="CN507" s="245">
        <f>CN508</f>
        <v>50000</v>
      </c>
      <c r="CO507" s="375">
        <f t="shared" si="420"/>
        <v>1</v>
      </c>
      <c r="CP507" s="213" t="str">
        <f t="shared" si="422"/>
        <v>Đạt</v>
      </c>
      <c r="CQ507" s="213" t="str">
        <f t="shared" si="423"/>
        <v>Không đạt</v>
      </c>
      <c r="CR507" s="192"/>
      <c r="CS507" s="192"/>
      <c r="CT507" s="223"/>
      <c r="CU507" s="163"/>
      <c r="CV507" s="291"/>
      <c r="CW507" s="218"/>
      <c r="CX507" s="196"/>
      <c r="CY507" s="196"/>
      <c r="CZ507" s="197"/>
      <c r="DA507" s="196"/>
      <c r="DB507" s="196"/>
      <c r="DC507" s="196"/>
      <c r="DE507" s="199"/>
      <c r="DF507" s="200"/>
      <c r="DG507" s="181"/>
    </row>
    <row r="508" spans="1:111" outlineLevel="1" x14ac:dyDescent="0.25">
      <c r="A508" s="192"/>
      <c r="B508" s="269" t="s">
        <v>484</v>
      </c>
      <c r="C508" s="269">
        <v>7910755</v>
      </c>
      <c r="D508" s="245">
        <f>E508+F508</f>
        <v>50000</v>
      </c>
      <c r="E508" s="214">
        <v>50000</v>
      </c>
      <c r="F508" s="214"/>
      <c r="G508" s="214"/>
      <c r="H508" s="214"/>
      <c r="I508" s="214"/>
      <c r="J508" s="214"/>
      <c r="K508" s="214"/>
      <c r="L508" s="214"/>
      <c r="M508" s="223"/>
      <c r="N508" s="223"/>
      <c r="O508" s="214"/>
      <c r="P508" s="214">
        <v>64</v>
      </c>
      <c r="Q508" s="258">
        <f t="shared" si="421"/>
        <v>1.2800000000000001E-3</v>
      </c>
      <c r="R508" s="214">
        <v>218.983</v>
      </c>
      <c r="S508" s="373">
        <v>4.3796600000000005E-3</v>
      </c>
      <c r="T508" s="373">
        <v>4.3796600000000005E-3</v>
      </c>
      <c r="U508" s="214">
        <v>10244.402453999999</v>
      </c>
      <c r="V508" s="373">
        <v>0.20488804908</v>
      </c>
      <c r="W508" s="373">
        <v>0.20488804908</v>
      </c>
      <c r="X508" s="214">
        <v>10244.402453999999</v>
      </c>
      <c r="Y508" s="373">
        <v>0.20488804908</v>
      </c>
      <c r="Z508" s="373">
        <v>0.20488804908</v>
      </c>
      <c r="AA508" s="214">
        <v>10244.402453999999</v>
      </c>
      <c r="AB508" s="373">
        <v>0.20488804908</v>
      </c>
      <c r="AC508" s="373">
        <v>0.20488804908</v>
      </c>
      <c r="AD508" s="214">
        <v>10244.402453999999</v>
      </c>
      <c r="AE508" s="373">
        <v>0.20488804908</v>
      </c>
      <c r="AF508" s="373">
        <v>0.20488804908</v>
      </c>
      <c r="AG508" s="214">
        <v>10429.402453999999</v>
      </c>
      <c r="AH508" s="373">
        <v>0.20858804907999998</v>
      </c>
      <c r="AI508" s="373">
        <v>0.20858804907999998</v>
      </c>
      <c r="AJ508" s="315">
        <v>10429.402453999999</v>
      </c>
      <c r="AK508" s="373">
        <v>0.20858804907999998</v>
      </c>
      <c r="AL508" s="373">
        <v>0.20858804907999998</v>
      </c>
      <c r="AM508" s="214">
        <v>10429.402453999999</v>
      </c>
      <c r="AN508" s="373">
        <v>0.20858804907999998</v>
      </c>
      <c r="AO508" s="373">
        <v>0.20858804907999998</v>
      </c>
      <c r="AP508" s="373"/>
      <c r="AQ508" s="214">
        <v>13729.402453999999</v>
      </c>
      <c r="AR508" s="373">
        <v>0.27458804908000001</v>
      </c>
      <c r="AS508" s="373">
        <v>0.27458804908000001</v>
      </c>
      <c r="AT508" s="214">
        <v>13729.402453999999</v>
      </c>
      <c r="AU508" s="373">
        <v>0.27458804908000001</v>
      </c>
      <c r="AV508" s="373">
        <v>0.27458804908000001</v>
      </c>
      <c r="AW508" s="373"/>
      <c r="AX508" s="373"/>
      <c r="AY508" s="373"/>
      <c r="AZ508" s="373"/>
      <c r="BA508" s="373"/>
      <c r="BB508" s="373"/>
      <c r="BC508" s="214">
        <v>13729.402453999999</v>
      </c>
      <c r="BD508" s="373">
        <v>0.27458804908000001</v>
      </c>
      <c r="BE508" s="373">
        <v>0.27458804908000001</v>
      </c>
      <c r="BF508" s="350"/>
      <c r="BG508" s="350">
        <v>13871.317864000001</v>
      </c>
      <c r="BH508" s="373">
        <v>0.27742635728000004</v>
      </c>
      <c r="BI508" s="373">
        <v>0.27742635728000004</v>
      </c>
      <c r="BJ508" s="402">
        <f t="shared" si="410"/>
        <v>50000</v>
      </c>
      <c r="BK508" s="402">
        <v>20137.890919000001</v>
      </c>
      <c r="BL508" s="373">
        <f t="shared" si="411"/>
        <v>0.40275781838000002</v>
      </c>
      <c r="BM508" s="373">
        <f t="shared" si="425"/>
        <v>0.40275781838000002</v>
      </c>
      <c r="BN508" s="205">
        <f t="shared" si="407"/>
        <v>9893.4884650000022</v>
      </c>
      <c r="BO508" s="205"/>
      <c r="BP508" s="245">
        <v>0</v>
      </c>
      <c r="BQ508" s="375">
        <f t="shared" si="412"/>
        <v>0</v>
      </c>
      <c r="BR508" s="245">
        <v>6375</v>
      </c>
      <c r="BS508" s="375">
        <f t="shared" si="413"/>
        <v>0.1275</v>
      </c>
      <c r="BT508" s="245">
        <v>11591</v>
      </c>
      <c r="BU508" s="258">
        <f t="shared" si="414"/>
        <v>0.23182</v>
      </c>
      <c r="BV508" s="245">
        <v>17966</v>
      </c>
      <c r="BW508" s="375">
        <f t="shared" si="415"/>
        <v>0.35931999999999997</v>
      </c>
      <c r="BX508" s="245">
        <v>23181</v>
      </c>
      <c r="BY508" s="375">
        <f t="shared" si="416"/>
        <v>0.46361999999999998</v>
      </c>
      <c r="BZ508" s="245">
        <v>26079</v>
      </c>
      <c r="CA508" s="375">
        <f t="shared" si="417"/>
        <v>0.52158000000000004</v>
      </c>
      <c r="CB508" s="245">
        <v>28977</v>
      </c>
      <c r="CC508" s="375">
        <f t="shared" si="431"/>
        <v>0.57954000000000006</v>
      </c>
      <c r="CD508" s="245">
        <v>31874</v>
      </c>
      <c r="CE508" s="375">
        <f t="shared" si="432"/>
        <v>0.63748000000000005</v>
      </c>
      <c r="CF508" s="245">
        <v>34772</v>
      </c>
      <c r="CG508" s="375">
        <f t="shared" si="433"/>
        <v>0.69543999999999995</v>
      </c>
      <c r="CH508" s="245">
        <v>37670</v>
      </c>
      <c r="CI508" s="375">
        <f t="shared" si="434"/>
        <v>0.75339999999999996</v>
      </c>
      <c r="CJ508" s="245">
        <v>40567</v>
      </c>
      <c r="CK508" s="375">
        <f t="shared" si="418"/>
        <v>0.81133999999999995</v>
      </c>
      <c r="CL508" s="245">
        <v>46942</v>
      </c>
      <c r="CM508" s="375">
        <f t="shared" si="419"/>
        <v>0.93884000000000001</v>
      </c>
      <c r="CN508" s="245">
        <v>50000</v>
      </c>
      <c r="CO508" s="375">
        <f t="shared" si="420"/>
        <v>1</v>
      </c>
      <c r="CP508" s="213" t="str">
        <f t="shared" si="422"/>
        <v>Đạt</v>
      </c>
      <c r="CQ508" s="213" t="str">
        <f t="shared" si="423"/>
        <v>Không đạt</v>
      </c>
      <c r="CR508" s="192"/>
      <c r="CS508" s="192"/>
      <c r="CT508" s="223"/>
      <c r="CU508" s="216"/>
      <c r="CW508" s="195"/>
      <c r="CX508" s="196"/>
      <c r="CY508" s="196"/>
      <c r="CZ508" s="197"/>
      <c r="DA508" s="196"/>
      <c r="DB508" s="196"/>
      <c r="DC508" s="196"/>
      <c r="DE508" s="376"/>
      <c r="DF508" s="377"/>
      <c r="DG508" s="378"/>
    </row>
    <row r="509" spans="1:111" s="160" customFormat="1" ht="12.75" outlineLevel="1" x14ac:dyDescent="0.25">
      <c r="A509" s="191" t="s">
        <v>29</v>
      </c>
      <c r="B509" s="210" t="s">
        <v>485</v>
      </c>
      <c r="C509" s="210"/>
      <c r="D509" s="188">
        <f t="shared" ref="D509:I509" si="448">D510+D511</f>
        <v>4700</v>
      </c>
      <c r="E509" s="188">
        <f t="shared" si="448"/>
        <v>0</v>
      </c>
      <c r="F509" s="188">
        <f t="shared" si="448"/>
        <v>4700</v>
      </c>
      <c r="G509" s="188">
        <f t="shared" si="448"/>
        <v>3000</v>
      </c>
      <c r="H509" s="188">
        <f t="shared" si="448"/>
        <v>1700</v>
      </c>
      <c r="I509" s="188">
        <f t="shared" si="448"/>
        <v>0</v>
      </c>
      <c r="J509" s="188"/>
      <c r="K509" s="188">
        <f>K510+K511</f>
        <v>0</v>
      </c>
      <c r="L509" s="188">
        <f>L510+L511</f>
        <v>0</v>
      </c>
      <c r="M509" s="188">
        <f>M510+M511</f>
        <v>0</v>
      </c>
      <c r="N509" s="188">
        <f>N510+N511</f>
        <v>0</v>
      </c>
      <c r="O509" s="188">
        <f>O510+O511</f>
        <v>3000</v>
      </c>
      <c r="P509" s="188">
        <v>151</v>
      </c>
      <c r="Q509" s="186">
        <f t="shared" si="421"/>
        <v>3.2127659574468087E-2</v>
      </c>
      <c r="R509" s="188">
        <v>151.15</v>
      </c>
      <c r="S509" s="328">
        <v>3.2159574468085109E-2</v>
      </c>
      <c r="T509" s="328">
        <v>3.3852183650615902E-2</v>
      </c>
      <c r="U509" s="315">
        <v>151.15</v>
      </c>
      <c r="V509" s="328">
        <v>3.2159574468085109E-2</v>
      </c>
      <c r="W509" s="328">
        <v>3.3852183650615902E-2</v>
      </c>
      <c r="X509" s="315">
        <v>151.15</v>
      </c>
      <c r="Y509" s="328">
        <v>3.2159574468085109E-2</v>
      </c>
      <c r="Z509" s="328">
        <v>3.3852183650615902E-2</v>
      </c>
      <c r="AA509" s="315">
        <v>151.15</v>
      </c>
      <c r="AB509" s="328">
        <v>3.2159574468085109E-2</v>
      </c>
      <c r="AC509" s="328">
        <v>3.3852183650615902E-2</v>
      </c>
      <c r="AD509" s="315">
        <v>714.59754600000088</v>
      </c>
      <c r="AE509" s="328">
        <v>0.15204203106382996</v>
      </c>
      <c r="AF509" s="328">
        <v>0.16004424322508418</v>
      </c>
      <c r="AG509" s="315">
        <v>714.59754600000088</v>
      </c>
      <c r="AH509" s="328">
        <v>0.15204203106382996</v>
      </c>
      <c r="AI509" s="328">
        <v>0.16004424322508418</v>
      </c>
      <c r="AJ509" s="307">
        <v>714.59754600000088</v>
      </c>
      <c r="AK509" s="328">
        <v>0.15204203106382996</v>
      </c>
      <c r="AL509" s="328">
        <v>0.16004424322508418</v>
      </c>
      <c r="AM509" s="315">
        <v>714.59754600000088</v>
      </c>
      <c r="AN509" s="328">
        <v>0.15204203106382996</v>
      </c>
      <c r="AO509" s="328">
        <v>0.16004424322508418</v>
      </c>
      <c r="AP509" s="328"/>
      <c r="AQ509" s="315">
        <v>714.59754600000088</v>
      </c>
      <c r="AR509" s="328">
        <v>0.15204203106382996</v>
      </c>
      <c r="AS509" s="328">
        <v>0.16004424322508418</v>
      </c>
      <c r="AT509" s="315">
        <v>714.59754600000088</v>
      </c>
      <c r="AU509" s="328">
        <v>0.15204203106382996</v>
      </c>
      <c r="AV509" s="328">
        <v>0.16004424322508418</v>
      </c>
      <c r="AW509" s="328"/>
      <c r="AX509" s="328"/>
      <c r="AY509" s="328"/>
      <c r="AZ509" s="328"/>
      <c r="BA509" s="328"/>
      <c r="BB509" s="328"/>
      <c r="BC509" s="315">
        <v>714.59754600000088</v>
      </c>
      <c r="BD509" s="328">
        <v>0.15204203106382996</v>
      </c>
      <c r="BE509" s="328">
        <v>0.16004424322508418</v>
      </c>
      <c r="BF509" s="374"/>
      <c r="BG509" s="374">
        <v>2817.3375460000007</v>
      </c>
      <c r="BH509" s="328">
        <v>0.59943352042553211</v>
      </c>
      <c r="BI509" s="328">
        <v>0.63098265307950741</v>
      </c>
      <c r="BJ509" s="374">
        <f t="shared" si="410"/>
        <v>4465</v>
      </c>
      <c r="BK509" s="374">
        <v>2817.3375460000007</v>
      </c>
      <c r="BL509" s="328">
        <f t="shared" si="411"/>
        <v>0.59943352042553211</v>
      </c>
      <c r="BM509" s="328">
        <f t="shared" si="425"/>
        <v>0.63098265307950741</v>
      </c>
      <c r="BN509" s="205">
        <f t="shared" si="407"/>
        <v>2102.7399999999998</v>
      </c>
      <c r="BO509" s="205"/>
      <c r="BP509" s="189">
        <f>BP510+BP511</f>
        <v>166</v>
      </c>
      <c r="BQ509" s="329">
        <f t="shared" si="412"/>
        <v>3.5319148936170212E-2</v>
      </c>
      <c r="BR509" s="189">
        <f>BR510+BR511</f>
        <v>166</v>
      </c>
      <c r="BS509" s="329">
        <f t="shared" si="413"/>
        <v>3.5319148936170212E-2</v>
      </c>
      <c r="BT509" s="189">
        <f>BT510+BT511</f>
        <v>166</v>
      </c>
      <c r="BU509" s="186">
        <f t="shared" si="414"/>
        <v>3.5319148936170212E-2</v>
      </c>
      <c r="BV509" s="189">
        <f>BV510+BV511</f>
        <v>2850</v>
      </c>
      <c r="BW509" s="329">
        <f t="shared" si="415"/>
        <v>0.6063829787234043</v>
      </c>
      <c r="BX509" s="189">
        <f>BX510+BX511</f>
        <v>2850</v>
      </c>
      <c r="BY509" s="329">
        <f t="shared" si="416"/>
        <v>0.6063829787234043</v>
      </c>
      <c r="BZ509" s="189">
        <f>BZ510+BZ511</f>
        <v>3657.5</v>
      </c>
      <c r="CA509" s="329">
        <f t="shared" si="417"/>
        <v>0.77819148936170213</v>
      </c>
      <c r="CB509" s="189">
        <f>CB510+CB511</f>
        <v>3657.5</v>
      </c>
      <c r="CC509" s="329">
        <f t="shared" si="431"/>
        <v>0.77819148936170213</v>
      </c>
      <c r="CD509" s="189">
        <f>CD510+CD511</f>
        <v>3657.5</v>
      </c>
      <c r="CE509" s="329">
        <f t="shared" si="432"/>
        <v>0.77819148936170213</v>
      </c>
      <c r="CF509" s="189">
        <f>CF510+CF511</f>
        <v>3657.5</v>
      </c>
      <c r="CG509" s="329">
        <f t="shared" si="433"/>
        <v>0.77819148936170213</v>
      </c>
      <c r="CH509" s="189">
        <f>CH510+CH511</f>
        <v>4465</v>
      </c>
      <c r="CI509" s="329">
        <f t="shared" si="434"/>
        <v>0.95</v>
      </c>
      <c r="CJ509" s="189">
        <f>CJ510+CJ511</f>
        <v>4465</v>
      </c>
      <c r="CK509" s="329">
        <f t="shared" si="418"/>
        <v>0.95</v>
      </c>
      <c r="CL509" s="189">
        <f>CL510+CL511</f>
        <v>4465</v>
      </c>
      <c r="CM509" s="329">
        <f t="shared" si="419"/>
        <v>0.95</v>
      </c>
      <c r="CN509" s="189">
        <f>CN510+CN511</f>
        <v>4465</v>
      </c>
      <c r="CO509" s="329">
        <f t="shared" si="420"/>
        <v>0.95</v>
      </c>
      <c r="CP509" s="213" t="str">
        <f t="shared" si="422"/>
        <v>Đạt</v>
      </c>
      <c r="CQ509" s="213" t="str">
        <f t="shared" si="423"/>
        <v>Đạt</v>
      </c>
      <c r="CR509" s="213"/>
      <c r="CS509" s="213"/>
      <c r="CT509" s="231"/>
      <c r="CU509" s="163"/>
      <c r="CV509" s="291"/>
      <c r="CW509" s="218"/>
      <c r="CX509" s="196"/>
      <c r="CY509" s="196"/>
      <c r="CZ509" s="197"/>
      <c r="DA509" s="196"/>
      <c r="DB509" s="196"/>
      <c r="DC509" s="196"/>
      <c r="DE509" s="199"/>
      <c r="DF509" s="200"/>
      <c r="DG509" s="181"/>
    </row>
    <row r="510" spans="1:111" s="324" customFormat="1" outlineLevel="1" x14ac:dyDescent="0.2">
      <c r="A510" s="305" t="s">
        <v>34</v>
      </c>
      <c r="B510" s="306" t="s">
        <v>376</v>
      </c>
      <c r="C510" s="306"/>
      <c r="D510" s="307">
        <f>E510+F510</f>
        <v>3000</v>
      </c>
      <c r="E510" s="307"/>
      <c r="F510" s="307">
        <f>G510+H510+K510+M510</f>
        <v>3000</v>
      </c>
      <c r="G510" s="303">
        <v>3000</v>
      </c>
      <c r="H510" s="303"/>
      <c r="I510" s="235"/>
      <c r="J510" s="235"/>
      <c r="K510" s="303"/>
      <c r="L510" s="235"/>
      <c r="M510" s="223"/>
      <c r="N510" s="223"/>
      <c r="O510" s="303">
        <f t="shared" si="427"/>
        <v>3000</v>
      </c>
      <c r="P510" s="303">
        <v>0</v>
      </c>
      <c r="Q510" s="308">
        <f t="shared" si="421"/>
        <v>0</v>
      </c>
      <c r="R510" s="303">
        <v>151.15</v>
      </c>
      <c r="S510" s="313">
        <v>5.0383333333333336E-2</v>
      </c>
      <c r="T510" s="313">
        <v>5.3035087719298248E-2</v>
      </c>
      <c r="U510" s="303">
        <v>151.15</v>
      </c>
      <c r="V510" s="313">
        <v>5.0383333333333336E-2</v>
      </c>
      <c r="W510" s="313">
        <v>5.3035087719298248E-2</v>
      </c>
      <c r="X510" s="303">
        <v>151.15</v>
      </c>
      <c r="Y510" s="313">
        <v>5.0383333333333336E-2</v>
      </c>
      <c r="Z510" s="313">
        <v>5.3035087719298248E-2</v>
      </c>
      <c r="AA510" s="303">
        <v>151.15</v>
      </c>
      <c r="AB510" s="313">
        <v>5.0383333333333336E-2</v>
      </c>
      <c r="AC510" s="313">
        <v>5.3035087719298248E-2</v>
      </c>
      <c r="AD510" s="303">
        <v>714.59754600000088</v>
      </c>
      <c r="AE510" s="313">
        <v>0.23819918200000029</v>
      </c>
      <c r="AF510" s="313">
        <v>0.2507359810526319</v>
      </c>
      <c r="AG510" s="307">
        <v>714.59754600000088</v>
      </c>
      <c r="AH510" s="313">
        <v>0.23819918200000029</v>
      </c>
      <c r="AI510" s="313">
        <v>0.2507359810526319</v>
      </c>
      <c r="AJ510" s="303">
        <v>714.59754600000088</v>
      </c>
      <c r="AK510" s="313">
        <v>0.23819918200000029</v>
      </c>
      <c r="AL510" s="313">
        <v>0.2507359810526319</v>
      </c>
      <c r="AM510" s="307">
        <v>714.59754600000088</v>
      </c>
      <c r="AN510" s="313">
        <v>0.23819918200000029</v>
      </c>
      <c r="AO510" s="313">
        <v>0.2507359810526319</v>
      </c>
      <c r="AP510" s="313"/>
      <c r="AQ510" s="307">
        <v>714.59754600000088</v>
      </c>
      <c r="AR510" s="313">
        <v>0.23819918200000029</v>
      </c>
      <c r="AS510" s="313">
        <v>0.2507359810526319</v>
      </c>
      <c r="AT510" s="307">
        <v>714.59754600000088</v>
      </c>
      <c r="AU510" s="313">
        <v>0.23819918200000029</v>
      </c>
      <c r="AV510" s="313">
        <v>0.2507359810526319</v>
      </c>
      <c r="AW510" s="313"/>
      <c r="AX510" s="313"/>
      <c r="AY510" s="313"/>
      <c r="AZ510" s="313"/>
      <c r="BA510" s="313"/>
      <c r="BB510" s="313"/>
      <c r="BC510" s="307">
        <v>714.59754600000088</v>
      </c>
      <c r="BD510" s="313">
        <v>0.23819918200000029</v>
      </c>
      <c r="BE510" s="313">
        <v>0.2507359810526319</v>
      </c>
      <c r="BF510" s="351"/>
      <c r="BG510" s="351">
        <v>2817.3375460000007</v>
      </c>
      <c r="BH510" s="313">
        <v>0.93911251533333351</v>
      </c>
      <c r="BI510" s="313">
        <v>0.98853948982456163</v>
      </c>
      <c r="BJ510" s="349">
        <f t="shared" si="410"/>
        <v>2850</v>
      </c>
      <c r="BK510" s="349">
        <v>2817.3375460000007</v>
      </c>
      <c r="BL510" s="313">
        <f t="shared" si="411"/>
        <v>0.93911251533333351</v>
      </c>
      <c r="BM510" s="313">
        <f t="shared" si="425"/>
        <v>0.98853948982456163</v>
      </c>
      <c r="BN510" s="205">
        <f t="shared" si="407"/>
        <v>2102.7399999999998</v>
      </c>
      <c r="BO510" s="205"/>
      <c r="BP510" s="310">
        <v>166</v>
      </c>
      <c r="BQ510" s="311">
        <f t="shared" si="412"/>
        <v>5.5333333333333332E-2</v>
      </c>
      <c r="BR510" s="310">
        <v>166</v>
      </c>
      <c r="BS510" s="311">
        <f t="shared" si="413"/>
        <v>5.5333333333333332E-2</v>
      </c>
      <c r="BT510" s="310">
        <v>166</v>
      </c>
      <c r="BU510" s="308">
        <f t="shared" si="414"/>
        <v>5.5333333333333332E-2</v>
      </c>
      <c r="BV510" s="310">
        <v>2850</v>
      </c>
      <c r="BW510" s="311">
        <f t="shared" si="415"/>
        <v>0.95</v>
      </c>
      <c r="BX510" s="310">
        <v>2850</v>
      </c>
      <c r="BY510" s="311">
        <f t="shared" si="416"/>
        <v>0.95</v>
      </c>
      <c r="BZ510" s="310">
        <v>2850</v>
      </c>
      <c r="CA510" s="311">
        <f t="shared" si="417"/>
        <v>0.95</v>
      </c>
      <c r="CB510" s="310">
        <v>2850</v>
      </c>
      <c r="CC510" s="311">
        <f t="shared" si="431"/>
        <v>0.95</v>
      </c>
      <c r="CD510" s="310">
        <v>2850</v>
      </c>
      <c r="CE510" s="311">
        <f t="shared" si="432"/>
        <v>0.95</v>
      </c>
      <c r="CF510" s="310">
        <v>2850</v>
      </c>
      <c r="CG510" s="311">
        <f t="shared" si="433"/>
        <v>0.95</v>
      </c>
      <c r="CH510" s="310">
        <v>2850</v>
      </c>
      <c r="CI510" s="311">
        <f t="shared" si="434"/>
        <v>0.95</v>
      </c>
      <c r="CJ510" s="310">
        <v>2850</v>
      </c>
      <c r="CK510" s="311">
        <f t="shared" si="418"/>
        <v>0.95</v>
      </c>
      <c r="CL510" s="310">
        <v>2850</v>
      </c>
      <c r="CM510" s="311">
        <f t="shared" si="419"/>
        <v>0.95</v>
      </c>
      <c r="CN510" s="310">
        <v>2850</v>
      </c>
      <c r="CO510" s="311">
        <f t="shared" si="420"/>
        <v>0.95</v>
      </c>
      <c r="CP510" s="213" t="str">
        <f t="shared" si="422"/>
        <v>Đạt</v>
      </c>
      <c r="CQ510" s="213" t="str">
        <f t="shared" si="423"/>
        <v>Đạt</v>
      </c>
      <c r="CR510" s="312"/>
      <c r="CS510" s="312"/>
      <c r="CT510" s="235"/>
      <c r="CU510" s="163"/>
      <c r="CV510" s="379"/>
      <c r="CW510" s="195"/>
      <c r="CX510" s="196"/>
      <c r="CY510" s="196"/>
      <c r="CZ510" s="197"/>
      <c r="DA510" s="196"/>
      <c r="DB510" s="196"/>
      <c r="DC510" s="196"/>
      <c r="DE510" s="199"/>
      <c r="DF510" s="200"/>
      <c r="DG510" s="181"/>
    </row>
    <row r="511" spans="1:111" ht="25.5" outlineLevel="1" x14ac:dyDescent="0.2">
      <c r="A511" s="305" t="s">
        <v>34</v>
      </c>
      <c r="B511" s="306" t="s">
        <v>377</v>
      </c>
      <c r="C511" s="306"/>
      <c r="D511" s="307">
        <f>E511+F511</f>
        <v>1700</v>
      </c>
      <c r="E511" s="307"/>
      <c r="F511" s="307">
        <f>G511+H511+K511+M511</f>
        <v>1700</v>
      </c>
      <c r="G511" s="307"/>
      <c r="H511" s="307">
        <v>1700</v>
      </c>
      <c r="I511" s="235"/>
      <c r="J511" s="235"/>
      <c r="K511" s="303"/>
      <c r="L511" s="235"/>
      <c r="M511" s="223"/>
      <c r="N511" s="223"/>
      <c r="O511" s="303"/>
      <c r="P511" s="303">
        <v>0</v>
      </c>
      <c r="Q511" s="308">
        <f t="shared" si="421"/>
        <v>0</v>
      </c>
      <c r="R511" s="303">
        <v>0</v>
      </c>
      <c r="S511" s="313">
        <v>0</v>
      </c>
      <c r="T511" s="313">
        <v>0</v>
      </c>
      <c r="U511" s="303">
        <v>0</v>
      </c>
      <c r="V511" s="313">
        <v>0</v>
      </c>
      <c r="W511" s="313">
        <v>0</v>
      </c>
      <c r="X511" s="303">
        <v>0</v>
      </c>
      <c r="Y511" s="313">
        <v>0</v>
      </c>
      <c r="Z511" s="313">
        <v>0</v>
      </c>
      <c r="AA511" s="303">
        <v>0</v>
      </c>
      <c r="AB511" s="313">
        <v>0</v>
      </c>
      <c r="AC511" s="313">
        <v>0</v>
      </c>
      <c r="AD511" s="303">
        <v>0</v>
      </c>
      <c r="AE511" s="313">
        <v>0</v>
      </c>
      <c r="AF511" s="313">
        <v>0</v>
      </c>
      <c r="AG511" s="303">
        <v>0</v>
      </c>
      <c r="AH511" s="313">
        <v>0</v>
      </c>
      <c r="AI511" s="313">
        <v>0</v>
      </c>
      <c r="AJ511" s="188">
        <v>0</v>
      </c>
      <c r="AK511" s="313">
        <v>0</v>
      </c>
      <c r="AL511" s="313">
        <v>0</v>
      </c>
      <c r="AM511" s="303">
        <v>0</v>
      </c>
      <c r="AN511" s="313">
        <v>0</v>
      </c>
      <c r="AO511" s="313">
        <v>0</v>
      </c>
      <c r="AP511" s="313"/>
      <c r="AQ511" s="303">
        <v>0</v>
      </c>
      <c r="AR511" s="313">
        <v>0</v>
      </c>
      <c r="AS511" s="313">
        <v>0</v>
      </c>
      <c r="AT511" s="303">
        <v>0</v>
      </c>
      <c r="AU511" s="313">
        <v>0</v>
      </c>
      <c r="AV511" s="313">
        <v>0</v>
      </c>
      <c r="AW511" s="313"/>
      <c r="AX511" s="313"/>
      <c r="AY511" s="313"/>
      <c r="AZ511" s="313"/>
      <c r="BA511" s="313"/>
      <c r="BB511" s="313"/>
      <c r="BC511" s="303">
        <v>0</v>
      </c>
      <c r="BD511" s="313">
        <v>0</v>
      </c>
      <c r="BE511" s="313">
        <v>0</v>
      </c>
      <c r="BF511" s="351"/>
      <c r="BG511" s="351">
        <v>0</v>
      </c>
      <c r="BH511" s="313">
        <v>0</v>
      </c>
      <c r="BI511" s="313">
        <v>0</v>
      </c>
      <c r="BJ511" s="349">
        <f t="shared" si="410"/>
        <v>1615</v>
      </c>
      <c r="BK511" s="349">
        <v>0</v>
      </c>
      <c r="BL511" s="313">
        <f t="shared" si="411"/>
        <v>0</v>
      </c>
      <c r="BM511" s="313">
        <f t="shared" si="425"/>
        <v>0</v>
      </c>
      <c r="BN511" s="205">
        <f t="shared" si="407"/>
        <v>0</v>
      </c>
      <c r="BO511" s="205"/>
      <c r="BP511" s="310">
        <v>0</v>
      </c>
      <c r="BQ511" s="311">
        <f t="shared" si="412"/>
        <v>0</v>
      </c>
      <c r="BR511" s="310">
        <v>0</v>
      </c>
      <c r="BS511" s="311">
        <f t="shared" si="413"/>
        <v>0</v>
      </c>
      <c r="BT511" s="310">
        <v>0</v>
      </c>
      <c r="BU511" s="308">
        <f t="shared" si="414"/>
        <v>0</v>
      </c>
      <c r="BV511" s="310">
        <v>0</v>
      </c>
      <c r="BW511" s="311">
        <f t="shared" si="415"/>
        <v>0</v>
      </c>
      <c r="BX511" s="310">
        <v>0</v>
      </c>
      <c r="BY511" s="311">
        <f t="shared" si="416"/>
        <v>0</v>
      </c>
      <c r="BZ511" s="310">
        <v>807.5</v>
      </c>
      <c r="CA511" s="311">
        <f t="shared" si="417"/>
        <v>0.47499999999999998</v>
      </c>
      <c r="CB511" s="310">
        <v>807.5</v>
      </c>
      <c r="CC511" s="311">
        <f t="shared" si="431"/>
        <v>0.47499999999999998</v>
      </c>
      <c r="CD511" s="310">
        <v>807.5</v>
      </c>
      <c r="CE511" s="311">
        <f t="shared" si="432"/>
        <v>0.47499999999999998</v>
      </c>
      <c r="CF511" s="310">
        <v>807.5</v>
      </c>
      <c r="CG511" s="311">
        <f t="shared" si="433"/>
        <v>0.47499999999999998</v>
      </c>
      <c r="CH511" s="310">
        <v>1615</v>
      </c>
      <c r="CI511" s="311">
        <f t="shared" si="434"/>
        <v>0.95</v>
      </c>
      <c r="CJ511" s="310">
        <v>1615</v>
      </c>
      <c r="CK511" s="311">
        <f t="shared" si="418"/>
        <v>0.95</v>
      </c>
      <c r="CL511" s="310">
        <v>1615</v>
      </c>
      <c r="CM511" s="311">
        <f t="shared" si="419"/>
        <v>0.95</v>
      </c>
      <c r="CN511" s="310">
        <v>1615</v>
      </c>
      <c r="CO511" s="311">
        <f t="shared" si="420"/>
        <v>0.95</v>
      </c>
      <c r="CP511" s="213" t="str">
        <f t="shared" si="422"/>
        <v>Không đạt</v>
      </c>
      <c r="CQ511" s="213" t="str">
        <f t="shared" si="423"/>
        <v>Không đạt</v>
      </c>
      <c r="CR511" s="312"/>
      <c r="CS511" s="312"/>
      <c r="CT511" s="235"/>
      <c r="CU511" s="163"/>
      <c r="CV511" s="379"/>
      <c r="CW511" s="195"/>
      <c r="CX511" s="196"/>
      <c r="CY511" s="196"/>
      <c r="CZ511" s="197"/>
      <c r="DA511" s="196"/>
      <c r="DB511" s="196"/>
      <c r="DC511" s="196"/>
      <c r="DE511" s="199"/>
      <c r="DF511" s="200"/>
      <c r="DG511" s="181"/>
    </row>
    <row r="512" spans="1:111" ht="18" customHeight="1" x14ac:dyDescent="0.25">
      <c r="A512" s="213">
        <f>MAX(A$243:A506)+1</f>
        <v>75</v>
      </c>
      <c r="B512" s="240" t="s">
        <v>486</v>
      </c>
      <c r="C512" s="240"/>
      <c r="D512" s="188">
        <f t="shared" ref="D512:I512" si="449">D513</f>
        <v>3000</v>
      </c>
      <c r="E512" s="188">
        <f t="shared" si="449"/>
        <v>0</v>
      </c>
      <c r="F512" s="188">
        <f t="shared" si="449"/>
        <v>3000</v>
      </c>
      <c r="G512" s="188">
        <f t="shared" si="449"/>
        <v>3000</v>
      </c>
      <c r="H512" s="188">
        <f t="shared" si="449"/>
        <v>0</v>
      </c>
      <c r="I512" s="188">
        <f t="shared" si="449"/>
        <v>0</v>
      </c>
      <c r="J512" s="188"/>
      <c r="K512" s="188">
        <f>K513</f>
        <v>0</v>
      </c>
      <c r="L512" s="188">
        <f>L513</f>
        <v>0</v>
      </c>
      <c r="M512" s="231"/>
      <c r="N512" s="231"/>
      <c r="O512" s="188">
        <f t="shared" si="427"/>
        <v>3000</v>
      </c>
      <c r="P512" s="188">
        <v>0</v>
      </c>
      <c r="Q512" s="186">
        <f t="shared" si="421"/>
        <v>0</v>
      </c>
      <c r="R512" s="188">
        <v>0</v>
      </c>
      <c r="S512" s="185">
        <v>0</v>
      </c>
      <c r="T512" s="185">
        <v>0</v>
      </c>
      <c r="U512" s="188">
        <v>29.387</v>
      </c>
      <c r="V512" s="185">
        <v>9.7956666666666661E-3</v>
      </c>
      <c r="W512" s="185">
        <v>1.0311228070175439E-2</v>
      </c>
      <c r="X512" s="188">
        <v>29.387</v>
      </c>
      <c r="Y512" s="185">
        <v>9.7956666666666661E-3</v>
      </c>
      <c r="Z512" s="185">
        <v>1.0311228070175439E-2</v>
      </c>
      <c r="AA512" s="188">
        <v>29.387</v>
      </c>
      <c r="AB512" s="185">
        <v>9.7956666666666661E-3</v>
      </c>
      <c r="AC512" s="185">
        <v>1.0311228070175439E-2</v>
      </c>
      <c r="AD512" s="188">
        <v>1156.492</v>
      </c>
      <c r="AE512" s="185">
        <v>0.3854973333333333</v>
      </c>
      <c r="AF512" s="185">
        <v>0.40578666666666663</v>
      </c>
      <c r="AG512" s="188">
        <v>1156.492</v>
      </c>
      <c r="AH512" s="185">
        <v>0.3854973333333333</v>
      </c>
      <c r="AI512" s="185">
        <v>0.40578666666666663</v>
      </c>
      <c r="AJ512" s="307">
        <v>1156.492</v>
      </c>
      <c r="AK512" s="185">
        <v>0.3854973333333333</v>
      </c>
      <c r="AL512" s="185">
        <v>0.40578666666666663</v>
      </c>
      <c r="AM512" s="188">
        <v>1156.492</v>
      </c>
      <c r="AN512" s="185">
        <v>0.3854973333333333</v>
      </c>
      <c r="AO512" s="185">
        <v>0.40578666666666663</v>
      </c>
      <c r="AP512" s="185"/>
      <c r="AQ512" s="188">
        <v>1281.7329999999999</v>
      </c>
      <c r="AR512" s="185">
        <v>0.42724433333333334</v>
      </c>
      <c r="AS512" s="185">
        <v>0.44973087719298244</v>
      </c>
      <c r="AT512" s="188">
        <v>1281.7329999999999</v>
      </c>
      <c r="AU512" s="185">
        <v>0.42724433333333334</v>
      </c>
      <c r="AV512" s="185">
        <v>0.44973087719298244</v>
      </c>
      <c r="AW512" s="185"/>
      <c r="AX512" s="185"/>
      <c r="AY512" s="185"/>
      <c r="AZ512" s="185"/>
      <c r="BA512" s="185"/>
      <c r="BB512" s="185"/>
      <c r="BC512" s="188">
        <v>1281.7329999999999</v>
      </c>
      <c r="BD512" s="185">
        <v>0.42724433333333334</v>
      </c>
      <c r="BE512" s="185">
        <v>0.44973087719298244</v>
      </c>
      <c r="BF512" s="352"/>
      <c r="BG512" s="352">
        <v>1742.1120000000001</v>
      </c>
      <c r="BH512" s="185">
        <v>0.580704</v>
      </c>
      <c r="BI512" s="185">
        <v>0.61126736842105267</v>
      </c>
      <c r="BJ512" s="374">
        <f t="shared" si="410"/>
        <v>2850</v>
      </c>
      <c r="BK512" s="374">
        <v>1742.1120000000001</v>
      </c>
      <c r="BL512" s="185">
        <f t="shared" si="411"/>
        <v>0.580704</v>
      </c>
      <c r="BM512" s="185">
        <f t="shared" si="425"/>
        <v>0.61126736842105267</v>
      </c>
      <c r="BN512" s="205">
        <f t="shared" si="407"/>
        <v>585.62000000000012</v>
      </c>
      <c r="BO512" s="205"/>
      <c r="BP512" s="189">
        <f>BP513</f>
        <v>0</v>
      </c>
      <c r="BQ512" s="186">
        <f t="shared" si="412"/>
        <v>0</v>
      </c>
      <c r="BR512" s="189">
        <f>BR513</f>
        <v>0</v>
      </c>
      <c r="BS512" s="186">
        <f t="shared" si="413"/>
        <v>0</v>
      </c>
      <c r="BT512" s="189">
        <f>BT513</f>
        <v>300</v>
      </c>
      <c r="BU512" s="186">
        <f t="shared" si="414"/>
        <v>0.1</v>
      </c>
      <c r="BV512" s="189">
        <f>BV513</f>
        <v>600</v>
      </c>
      <c r="BW512" s="186">
        <f t="shared" si="415"/>
        <v>0.2</v>
      </c>
      <c r="BX512" s="189">
        <f>BX513</f>
        <v>900</v>
      </c>
      <c r="BY512" s="186">
        <f t="shared" si="416"/>
        <v>0.3</v>
      </c>
      <c r="BZ512" s="189">
        <f>BZ513</f>
        <v>1200</v>
      </c>
      <c r="CA512" s="186">
        <f t="shared" si="417"/>
        <v>0.4</v>
      </c>
      <c r="CB512" s="189">
        <f>CB513</f>
        <v>1500</v>
      </c>
      <c r="CC512" s="186">
        <f t="shared" si="431"/>
        <v>0.5</v>
      </c>
      <c r="CD512" s="189">
        <f>CD513</f>
        <v>1650.0000000000002</v>
      </c>
      <c r="CE512" s="186">
        <f t="shared" si="432"/>
        <v>0.55000000000000004</v>
      </c>
      <c r="CF512" s="189">
        <f>CF513</f>
        <v>2100</v>
      </c>
      <c r="CG512" s="186">
        <f t="shared" si="433"/>
        <v>0.7</v>
      </c>
      <c r="CH512" s="189">
        <f>CH513</f>
        <v>2100</v>
      </c>
      <c r="CI512" s="186">
        <f t="shared" si="434"/>
        <v>0.7</v>
      </c>
      <c r="CJ512" s="189">
        <f>CJ513</f>
        <v>2250</v>
      </c>
      <c r="CK512" s="186">
        <f t="shared" si="418"/>
        <v>0.75</v>
      </c>
      <c r="CL512" s="189">
        <f>CL513</f>
        <v>2400</v>
      </c>
      <c r="CM512" s="186">
        <f t="shared" si="419"/>
        <v>0.8</v>
      </c>
      <c r="CN512" s="189">
        <f>CN513</f>
        <v>2850</v>
      </c>
      <c r="CO512" s="186">
        <f t="shared" si="420"/>
        <v>0.95</v>
      </c>
      <c r="CP512" s="213" t="str">
        <f t="shared" si="422"/>
        <v>Đạt</v>
      </c>
      <c r="CQ512" s="213" t="str">
        <f t="shared" si="423"/>
        <v>Đạt</v>
      </c>
      <c r="CR512" s="213"/>
      <c r="CS512" s="213"/>
      <c r="CT512" s="231"/>
      <c r="CU512" s="163"/>
      <c r="CW512" s="195"/>
      <c r="CX512" s="196"/>
      <c r="CY512" s="196"/>
      <c r="CZ512" s="197"/>
      <c r="DA512" s="196"/>
      <c r="DB512" s="196"/>
      <c r="DC512" s="196"/>
      <c r="DE512" s="199"/>
      <c r="DF512" s="200"/>
      <c r="DG512" s="181"/>
    </row>
    <row r="513" spans="1:111" s="324" customFormat="1" outlineLevel="1" x14ac:dyDescent="0.25">
      <c r="A513" s="305" t="s">
        <v>34</v>
      </c>
      <c r="B513" s="306" t="s">
        <v>376</v>
      </c>
      <c r="C513" s="306"/>
      <c r="D513" s="307">
        <f>E513+F513</f>
        <v>3000</v>
      </c>
      <c r="E513" s="307"/>
      <c r="F513" s="307">
        <f>G513+H513+K513+M513</f>
        <v>3000</v>
      </c>
      <c r="G513" s="303">
        <v>3000</v>
      </c>
      <c r="H513" s="303"/>
      <c r="I513" s="235"/>
      <c r="J513" s="235"/>
      <c r="K513" s="303"/>
      <c r="L513" s="235"/>
      <c r="M513" s="223"/>
      <c r="N513" s="223"/>
      <c r="O513" s="303">
        <f t="shared" si="427"/>
        <v>3000</v>
      </c>
      <c r="P513" s="303">
        <v>0</v>
      </c>
      <c r="Q513" s="308">
        <f t="shared" si="421"/>
        <v>0</v>
      </c>
      <c r="R513" s="303"/>
      <c r="S513" s="309">
        <v>0</v>
      </c>
      <c r="T513" s="309">
        <v>0</v>
      </c>
      <c r="U513" s="303">
        <v>29.387</v>
      </c>
      <c r="V513" s="309">
        <v>9.7956666666666661E-3</v>
      </c>
      <c r="W513" s="309">
        <v>1.0311228070175439E-2</v>
      </c>
      <c r="X513" s="303">
        <v>29.387</v>
      </c>
      <c r="Y513" s="309">
        <v>9.7956666666666661E-3</v>
      </c>
      <c r="Z513" s="309">
        <v>1.0311228070175439E-2</v>
      </c>
      <c r="AA513" s="303">
        <v>29.387</v>
      </c>
      <c r="AB513" s="309">
        <v>9.7956666666666661E-3</v>
      </c>
      <c r="AC513" s="309">
        <v>1.0311228070175439E-2</v>
      </c>
      <c r="AD513" s="303">
        <v>1156.492</v>
      </c>
      <c r="AE513" s="309">
        <v>0.3854973333333333</v>
      </c>
      <c r="AF513" s="309">
        <v>0.40578666666666663</v>
      </c>
      <c r="AG513" s="307">
        <v>1156.492</v>
      </c>
      <c r="AH513" s="309">
        <v>0.3854973333333333</v>
      </c>
      <c r="AI513" s="309">
        <v>0.40578666666666663</v>
      </c>
      <c r="AJ513" s="189">
        <v>1156.492</v>
      </c>
      <c r="AK513" s="309">
        <v>0.3854973333333333</v>
      </c>
      <c r="AL513" s="309">
        <v>0.40578666666666663</v>
      </c>
      <c r="AM513" s="307">
        <v>1156.492</v>
      </c>
      <c r="AN513" s="309">
        <v>0.3854973333333333</v>
      </c>
      <c r="AO513" s="309">
        <v>0.40578666666666663</v>
      </c>
      <c r="AP513" s="309"/>
      <c r="AQ513" s="307">
        <v>1281.7329999999999</v>
      </c>
      <c r="AR513" s="309">
        <v>0.42724433333333334</v>
      </c>
      <c r="AS513" s="309">
        <v>0.44973087719298244</v>
      </c>
      <c r="AT513" s="307">
        <v>1281.7329999999999</v>
      </c>
      <c r="AU513" s="309">
        <v>0.42724433333333334</v>
      </c>
      <c r="AV513" s="309">
        <v>0.44973087719298244</v>
      </c>
      <c r="AW513" s="309"/>
      <c r="AX513" s="309"/>
      <c r="AY513" s="309"/>
      <c r="AZ513" s="309"/>
      <c r="BA513" s="309"/>
      <c r="BB513" s="309"/>
      <c r="BC513" s="307">
        <v>1281.7329999999999</v>
      </c>
      <c r="BD513" s="309">
        <v>0.42724433333333334</v>
      </c>
      <c r="BE513" s="309">
        <v>0.44973087719298244</v>
      </c>
      <c r="BF513" s="351"/>
      <c r="BG513" s="351">
        <v>1742.1120000000001</v>
      </c>
      <c r="BH513" s="309">
        <v>0.580704</v>
      </c>
      <c r="BI513" s="309">
        <v>0.61126736842105267</v>
      </c>
      <c r="BJ513" s="349">
        <f t="shared" si="410"/>
        <v>2850</v>
      </c>
      <c r="BK513" s="349">
        <v>1742.1120000000001</v>
      </c>
      <c r="BL513" s="309">
        <f t="shared" si="411"/>
        <v>0.580704</v>
      </c>
      <c r="BM513" s="309">
        <f t="shared" si="425"/>
        <v>0.61126736842105267</v>
      </c>
      <c r="BN513" s="205">
        <f t="shared" si="407"/>
        <v>585.62000000000012</v>
      </c>
      <c r="BO513" s="205"/>
      <c r="BP513" s="310"/>
      <c r="BQ513" s="308">
        <f t="shared" si="412"/>
        <v>0</v>
      </c>
      <c r="BR513" s="310"/>
      <c r="BS513" s="308">
        <f t="shared" si="413"/>
        <v>0</v>
      </c>
      <c r="BT513" s="310">
        <f>$F513*0.1</f>
        <v>300</v>
      </c>
      <c r="BU513" s="308">
        <f t="shared" si="414"/>
        <v>0.1</v>
      </c>
      <c r="BV513" s="310">
        <f>$F513*0.2</f>
        <v>600</v>
      </c>
      <c r="BW513" s="308">
        <f t="shared" si="415"/>
        <v>0.2</v>
      </c>
      <c r="BX513" s="310">
        <f>$F513*0.3</f>
        <v>900</v>
      </c>
      <c r="BY513" s="308">
        <f t="shared" si="416"/>
        <v>0.3</v>
      </c>
      <c r="BZ513" s="310">
        <f>$F513*0.4</f>
        <v>1200</v>
      </c>
      <c r="CA513" s="308">
        <f t="shared" si="417"/>
        <v>0.4</v>
      </c>
      <c r="CB513" s="310">
        <f>$F513*0.5</f>
        <v>1500</v>
      </c>
      <c r="CC513" s="308">
        <f t="shared" si="431"/>
        <v>0.5</v>
      </c>
      <c r="CD513" s="310">
        <f>$F513*0.55</f>
        <v>1650.0000000000002</v>
      </c>
      <c r="CE513" s="308">
        <f t="shared" si="432"/>
        <v>0.55000000000000004</v>
      </c>
      <c r="CF513" s="310">
        <v>2100</v>
      </c>
      <c r="CG513" s="308">
        <f t="shared" si="433"/>
        <v>0.7</v>
      </c>
      <c r="CH513" s="310">
        <f>$F513*0.7</f>
        <v>2100</v>
      </c>
      <c r="CI513" s="308">
        <f t="shared" si="434"/>
        <v>0.7</v>
      </c>
      <c r="CJ513" s="310">
        <f>$F513*0.75</f>
        <v>2250</v>
      </c>
      <c r="CK513" s="308">
        <f t="shared" si="418"/>
        <v>0.75</v>
      </c>
      <c r="CL513" s="310">
        <f>$F513*0.8</f>
        <v>2400</v>
      </c>
      <c r="CM513" s="308">
        <f t="shared" si="419"/>
        <v>0.8</v>
      </c>
      <c r="CN513" s="310">
        <f>$F513*0.95</f>
        <v>2850</v>
      </c>
      <c r="CO513" s="308">
        <f t="shared" si="420"/>
        <v>0.95</v>
      </c>
      <c r="CP513" s="213" t="str">
        <f t="shared" si="422"/>
        <v>Đạt</v>
      </c>
      <c r="CQ513" s="213" t="str">
        <f t="shared" si="423"/>
        <v>Đạt</v>
      </c>
      <c r="CR513" s="312"/>
      <c r="CS513" s="312"/>
      <c r="CT513" s="235"/>
      <c r="CU513" s="163"/>
      <c r="CV513" s="323"/>
      <c r="CW513" s="195"/>
      <c r="CX513" s="196"/>
      <c r="CY513" s="196"/>
      <c r="CZ513" s="197"/>
      <c r="DA513" s="196"/>
      <c r="DB513" s="196"/>
      <c r="DC513" s="196"/>
      <c r="DE513" s="199"/>
      <c r="DF513" s="200"/>
      <c r="DG513" s="181"/>
    </row>
    <row r="514" spans="1:111" ht="18" customHeight="1" x14ac:dyDescent="0.25">
      <c r="A514" s="213">
        <f>MAX(A$243:A512)+1</f>
        <v>76</v>
      </c>
      <c r="B514" s="240" t="s">
        <v>487</v>
      </c>
      <c r="C514" s="240"/>
      <c r="D514" s="188">
        <f t="shared" ref="D514:I514" si="450">D515+D517</f>
        <v>97034</v>
      </c>
      <c r="E514" s="188">
        <f t="shared" si="450"/>
        <v>94000</v>
      </c>
      <c r="F514" s="188">
        <f t="shared" si="450"/>
        <v>3034</v>
      </c>
      <c r="G514" s="188">
        <f t="shared" si="450"/>
        <v>3000</v>
      </c>
      <c r="H514" s="188">
        <f t="shared" si="450"/>
        <v>34</v>
      </c>
      <c r="I514" s="188">
        <f t="shared" si="450"/>
        <v>0</v>
      </c>
      <c r="J514" s="188"/>
      <c r="K514" s="188">
        <f>K515+K517</f>
        <v>0</v>
      </c>
      <c r="L514" s="188">
        <f>L515+L517</f>
        <v>0</v>
      </c>
      <c r="M514" s="188">
        <f>M515+M517</f>
        <v>0</v>
      </c>
      <c r="N514" s="188">
        <f>N515+N517</f>
        <v>0</v>
      </c>
      <c r="O514" s="188">
        <f>O515+O517</f>
        <v>3000</v>
      </c>
      <c r="P514" s="188">
        <v>311.01900000000001</v>
      </c>
      <c r="Q514" s="186">
        <f t="shared" si="421"/>
        <v>3.2052579508213617E-3</v>
      </c>
      <c r="R514" s="189">
        <v>311.01900000000001</v>
      </c>
      <c r="S514" s="185">
        <v>3.2052579508213617E-3</v>
      </c>
      <c r="T514" s="185">
        <v>3.2102767997869578E-3</v>
      </c>
      <c r="U514" s="189">
        <v>5849.2040260000003</v>
      </c>
      <c r="V514" s="185">
        <v>6.0279943380670699E-2</v>
      </c>
      <c r="W514" s="185">
        <v>6.0374330770429689E-2</v>
      </c>
      <c r="X514" s="189">
        <v>5849.2040260000003</v>
      </c>
      <c r="Y514" s="185">
        <v>6.0279943380670699E-2</v>
      </c>
      <c r="Z514" s="185">
        <v>6.0374330770429689E-2</v>
      </c>
      <c r="AA514" s="189">
        <v>5849.2040260000003</v>
      </c>
      <c r="AB514" s="185">
        <v>6.0279943380670699E-2</v>
      </c>
      <c r="AC514" s="185">
        <v>6.0374330770429689E-2</v>
      </c>
      <c r="AD514" s="189">
        <v>6156.2858109999997</v>
      </c>
      <c r="AE514" s="185">
        <v>6.3444625708514543E-2</v>
      </c>
      <c r="AF514" s="185">
        <v>6.3543968413218924E-2</v>
      </c>
      <c r="AG514" s="189">
        <v>6156.2858109999997</v>
      </c>
      <c r="AH514" s="185">
        <v>6.3444625708514543E-2</v>
      </c>
      <c r="AI514" s="185">
        <v>6.3543968413218924E-2</v>
      </c>
      <c r="AJ514" s="188">
        <v>6156.2858109999997</v>
      </c>
      <c r="AK514" s="185">
        <v>6.3444625708514543E-2</v>
      </c>
      <c r="AL514" s="185">
        <v>6.3543968413218924E-2</v>
      </c>
      <c r="AM514" s="189">
        <v>6156.2858109999997</v>
      </c>
      <c r="AN514" s="185">
        <v>6.3444625708514543E-2</v>
      </c>
      <c r="AO514" s="185">
        <v>6.3543968413218924E-2</v>
      </c>
      <c r="AP514" s="185"/>
      <c r="AQ514" s="189">
        <v>7421.4766479999998</v>
      </c>
      <c r="AR514" s="185">
        <v>7.6483259970731909E-2</v>
      </c>
      <c r="AS514" s="185">
        <v>7.6603018797035155E-2</v>
      </c>
      <c r="AT514" s="189">
        <v>7421.4766479999998</v>
      </c>
      <c r="AU514" s="185">
        <v>7.6483259970731909E-2</v>
      </c>
      <c r="AV514" s="185">
        <v>7.6603018797035155E-2</v>
      </c>
      <c r="AW514" s="185"/>
      <c r="AX514" s="185"/>
      <c r="AY514" s="185"/>
      <c r="AZ514" s="185"/>
      <c r="BA514" s="185"/>
      <c r="BB514" s="185"/>
      <c r="BC514" s="189">
        <v>7421.4766479999998</v>
      </c>
      <c r="BD514" s="185">
        <v>7.6483259970731909E-2</v>
      </c>
      <c r="BE514" s="185">
        <v>7.6603018797035155E-2</v>
      </c>
      <c r="BF514" s="352"/>
      <c r="BG514" s="352">
        <v>14336.176648000001</v>
      </c>
      <c r="BH514" s="185">
        <v>0.14774384904260363</v>
      </c>
      <c r="BI514" s="185">
        <v>0.14797518894576203</v>
      </c>
      <c r="BJ514" s="374">
        <f t="shared" si="410"/>
        <v>96882.3</v>
      </c>
      <c r="BK514" s="374">
        <v>14336.176648000001</v>
      </c>
      <c r="BL514" s="185">
        <f t="shared" si="411"/>
        <v>0.14774384904260363</v>
      </c>
      <c r="BM514" s="185">
        <f t="shared" si="425"/>
        <v>0.14797518894576203</v>
      </c>
      <c r="BN514" s="205">
        <f t="shared" si="407"/>
        <v>8179.8908370000008</v>
      </c>
      <c r="BO514" s="205"/>
      <c r="BP514" s="189">
        <f>BP515+BP517</f>
        <v>0</v>
      </c>
      <c r="BQ514" s="186">
        <f t="shared" si="412"/>
        <v>0</v>
      </c>
      <c r="BR514" s="189">
        <f>BR515+BR517</f>
        <v>2182.3000000000002</v>
      </c>
      <c r="BS514" s="186">
        <f t="shared" si="413"/>
        <v>2.2490055032256737E-2</v>
      </c>
      <c r="BT514" s="189">
        <f>BT515+BT517</f>
        <v>3932.3</v>
      </c>
      <c r="BU514" s="186">
        <f t="shared" si="414"/>
        <v>4.0524970628851742E-2</v>
      </c>
      <c r="BV514" s="189">
        <f>BV515+BV517</f>
        <v>5997.3</v>
      </c>
      <c r="BW514" s="186">
        <f t="shared" si="415"/>
        <v>6.1806171032833854E-2</v>
      </c>
      <c r="BX514" s="189">
        <f>BX515+BX517</f>
        <v>31047.3</v>
      </c>
      <c r="BY514" s="186">
        <f t="shared" si="416"/>
        <v>0.31996310571552239</v>
      </c>
      <c r="BZ514" s="189">
        <f>BZ515+BZ517</f>
        <v>41547.300000000003</v>
      </c>
      <c r="CA514" s="186">
        <f t="shared" si="417"/>
        <v>0.42817259929509249</v>
      </c>
      <c r="CB514" s="189">
        <f>CB515+CB517</f>
        <v>57897.3</v>
      </c>
      <c r="CC514" s="186">
        <f t="shared" si="431"/>
        <v>0.5966702392975658</v>
      </c>
      <c r="CD514" s="189">
        <f>CD515+CD517</f>
        <v>62397.3</v>
      </c>
      <c r="CE514" s="186">
        <f t="shared" si="432"/>
        <v>0.64304573654595298</v>
      </c>
      <c r="CF514" s="189">
        <f>CF515+CF517</f>
        <v>67882.3</v>
      </c>
      <c r="CG514" s="186">
        <f t="shared" si="433"/>
        <v>0.6995723148587093</v>
      </c>
      <c r="CH514" s="189">
        <f>CH515+CH517</f>
        <v>77882.3</v>
      </c>
      <c r="CI514" s="186">
        <f t="shared" si="434"/>
        <v>0.80262897541068079</v>
      </c>
      <c r="CJ514" s="189">
        <f>CJ515+CJ517</f>
        <v>82882.3</v>
      </c>
      <c r="CK514" s="186">
        <f t="shared" si="418"/>
        <v>0.85415730568666659</v>
      </c>
      <c r="CL514" s="189">
        <f>CL515+CL517</f>
        <v>87882.3</v>
      </c>
      <c r="CM514" s="186">
        <f t="shared" si="419"/>
        <v>0.90568563596265228</v>
      </c>
      <c r="CN514" s="189">
        <f>CN515+CN517</f>
        <v>96882.3</v>
      </c>
      <c r="CO514" s="186">
        <f t="shared" si="420"/>
        <v>0.99843663045942666</v>
      </c>
      <c r="CP514" s="213" t="str">
        <f t="shared" si="422"/>
        <v>Không đạt</v>
      </c>
      <c r="CQ514" s="213" t="str">
        <f t="shared" si="423"/>
        <v>Không đạt</v>
      </c>
      <c r="CR514" s="213"/>
      <c r="CS514" s="213"/>
      <c r="CT514" s="231"/>
      <c r="CU514" s="163"/>
      <c r="CW514" s="195"/>
      <c r="CX514" s="196"/>
      <c r="CY514" s="196"/>
      <c r="CZ514" s="197"/>
      <c r="DA514" s="196"/>
      <c r="DB514" s="196"/>
      <c r="DC514" s="196"/>
      <c r="DE514" s="199"/>
      <c r="DF514" s="200"/>
      <c r="DG514" s="181"/>
    </row>
    <row r="515" spans="1:111" s="160" customFormat="1" ht="15" customHeight="1" outlineLevel="1" x14ac:dyDescent="0.25">
      <c r="A515" s="191" t="s">
        <v>29</v>
      </c>
      <c r="B515" s="210" t="s">
        <v>155</v>
      </c>
      <c r="C515" s="210"/>
      <c r="D515" s="188">
        <f t="shared" ref="D515:I515" si="451">D516</f>
        <v>94000</v>
      </c>
      <c r="E515" s="188">
        <f t="shared" si="451"/>
        <v>94000</v>
      </c>
      <c r="F515" s="188">
        <f t="shared" si="451"/>
        <v>0</v>
      </c>
      <c r="G515" s="188">
        <f t="shared" si="451"/>
        <v>0</v>
      </c>
      <c r="H515" s="188">
        <f t="shared" si="451"/>
        <v>0</v>
      </c>
      <c r="I515" s="188">
        <f t="shared" si="451"/>
        <v>0</v>
      </c>
      <c r="J515" s="188"/>
      <c r="K515" s="188">
        <f t="shared" ref="K515:P515" si="452">K516</f>
        <v>0</v>
      </c>
      <c r="L515" s="188">
        <f t="shared" si="452"/>
        <v>0</v>
      </c>
      <c r="M515" s="188">
        <f t="shared" si="452"/>
        <v>0</v>
      </c>
      <c r="N515" s="188">
        <f t="shared" si="452"/>
        <v>0</v>
      </c>
      <c r="O515" s="188">
        <f t="shared" si="452"/>
        <v>0</v>
      </c>
      <c r="P515" s="188">
        <f t="shared" si="452"/>
        <v>311.01900000000001</v>
      </c>
      <c r="Q515" s="186">
        <f t="shared" si="421"/>
        <v>3.3087127659574469E-3</v>
      </c>
      <c r="R515" s="188">
        <v>311.01900000000001</v>
      </c>
      <c r="S515" s="185">
        <v>3.3087127659574469E-3</v>
      </c>
      <c r="T515" s="185">
        <v>3.3087127659574469E-3</v>
      </c>
      <c r="U515" s="188">
        <v>5849.2040260000003</v>
      </c>
      <c r="V515" s="185">
        <v>6.2225574744680857E-2</v>
      </c>
      <c r="W515" s="185">
        <v>6.2225574744680857E-2</v>
      </c>
      <c r="X515" s="188">
        <v>5849.2040260000003</v>
      </c>
      <c r="Y515" s="185">
        <v>6.2225574744680857E-2</v>
      </c>
      <c r="Z515" s="185">
        <v>6.2225574744680857E-2</v>
      </c>
      <c r="AA515" s="188">
        <v>5849.2040260000003</v>
      </c>
      <c r="AB515" s="185">
        <v>6.2225574744680857E-2</v>
      </c>
      <c r="AC515" s="185">
        <v>6.2225574744680857E-2</v>
      </c>
      <c r="AD515" s="188">
        <v>6156.2858109999997</v>
      </c>
      <c r="AE515" s="185">
        <v>6.549240224468085E-2</v>
      </c>
      <c r="AF515" s="185">
        <v>6.549240224468085E-2</v>
      </c>
      <c r="AG515" s="188">
        <v>6156.2858109999997</v>
      </c>
      <c r="AH515" s="185">
        <v>6.549240224468085E-2</v>
      </c>
      <c r="AI515" s="185">
        <v>6.549240224468085E-2</v>
      </c>
      <c r="AJ515" s="214">
        <v>6156.2858109999997</v>
      </c>
      <c r="AK515" s="185">
        <v>6.549240224468085E-2</v>
      </c>
      <c r="AL515" s="185">
        <v>6.549240224468085E-2</v>
      </c>
      <c r="AM515" s="188">
        <v>6156.2858109999997</v>
      </c>
      <c r="AN515" s="185">
        <v>6.549240224468085E-2</v>
      </c>
      <c r="AO515" s="185">
        <v>6.549240224468085E-2</v>
      </c>
      <c r="AP515" s="185"/>
      <c r="AQ515" s="188">
        <v>6558</v>
      </c>
      <c r="AR515" s="185">
        <v>6.976595744680851E-2</v>
      </c>
      <c r="AS515" s="185">
        <v>6.976595744680851E-2</v>
      </c>
      <c r="AT515" s="188">
        <v>6558</v>
      </c>
      <c r="AU515" s="185">
        <v>6.976595744680851E-2</v>
      </c>
      <c r="AV515" s="185">
        <v>6.976595744680851E-2</v>
      </c>
      <c r="AW515" s="185"/>
      <c r="AX515" s="185"/>
      <c r="AY515" s="185"/>
      <c r="AZ515" s="185"/>
      <c r="BA515" s="185"/>
      <c r="BB515" s="185"/>
      <c r="BC515" s="188">
        <v>6558</v>
      </c>
      <c r="BD515" s="185">
        <v>6.976595744680851E-2</v>
      </c>
      <c r="BE515" s="185">
        <v>6.976595744680851E-2</v>
      </c>
      <c r="BF515" s="374"/>
      <c r="BG515" s="374">
        <v>13472.7</v>
      </c>
      <c r="BH515" s="185">
        <v>0.14332659574468085</v>
      </c>
      <c r="BI515" s="185">
        <v>0.14332659574468085</v>
      </c>
      <c r="BJ515" s="374">
        <f t="shared" si="410"/>
        <v>94000</v>
      </c>
      <c r="BK515" s="374">
        <v>13472.7</v>
      </c>
      <c r="BL515" s="185">
        <f t="shared" si="411"/>
        <v>0.14332659574468085</v>
      </c>
      <c r="BM515" s="185">
        <f t="shared" si="425"/>
        <v>0.14332659574468085</v>
      </c>
      <c r="BN515" s="205">
        <f t="shared" si="407"/>
        <v>7316.414189000001</v>
      </c>
      <c r="BO515" s="205"/>
      <c r="BP515" s="189">
        <f>BP516</f>
        <v>0</v>
      </c>
      <c r="BQ515" s="186">
        <f t="shared" si="412"/>
        <v>0</v>
      </c>
      <c r="BR515" s="189">
        <f>BR516</f>
        <v>2000</v>
      </c>
      <c r="BS515" s="186">
        <f t="shared" si="413"/>
        <v>2.1276595744680851E-2</v>
      </c>
      <c r="BT515" s="189">
        <f>BT516</f>
        <v>3000</v>
      </c>
      <c r="BU515" s="186">
        <f t="shared" si="414"/>
        <v>3.1914893617021274E-2</v>
      </c>
      <c r="BV515" s="189">
        <f>BV516</f>
        <v>5000</v>
      </c>
      <c r="BW515" s="186">
        <f t="shared" si="415"/>
        <v>5.3191489361702128E-2</v>
      </c>
      <c r="BX515" s="189">
        <f>BX516</f>
        <v>30000</v>
      </c>
      <c r="BY515" s="186">
        <f t="shared" si="416"/>
        <v>0.31914893617021278</v>
      </c>
      <c r="BZ515" s="189">
        <f>BZ516</f>
        <v>40000</v>
      </c>
      <c r="CA515" s="186">
        <f t="shared" si="417"/>
        <v>0.42553191489361702</v>
      </c>
      <c r="CB515" s="189">
        <f>CB516</f>
        <v>56000</v>
      </c>
      <c r="CC515" s="186">
        <f t="shared" si="431"/>
        <v>0.5957446808510638</v>
      </c>
      <c r="CD515" s="189">
        <f>CD516</f>
        <v>60000</v>
      </c>
      <c r="CE515" s="186">
        <f t="shared" si="432"/>
        <v>0.63829787234042556</v>
      </c>
      <c r="CF515" s="189">
        <f>CF516</f>
        <v>65000</v>
      </c>
      <c r="CG515" s="186">
        <f t="shared" si="433"/>
        <v>0.69148936170212771</v>
      </c>
      <c r="CH515" s="189">
        <f>CH516</f>
        <v>75000</v>
      </c>
      <c r="CI515" s="186">
        <f t="shared" si="434"/>
        <v>0.7978723404255319</v>
      </c>
      <c r="CJ515" s="189">
        <f>CJ516</f>
        <v>80000</v>
      </c>
      <c r="CK515" s="186">
        <f t="shared" si="418"/>
        <v>0.85106382978723405</v>
      </c>
      <c r="CL515" s="189">
        <f>CL516</f>
        <v>85000</v>
      </c>
      <c r="CM515" s="186">
        <f t="shared" si="419"/>
        <v>0.9042553191489362</v>
      </c>
      <c r="CN515" s="189">
        <f>CN516</f>
        <v>94000</v>
      </c>
      <c r="CO515" s="186">
        <f t="shared" si="420"/>
        <v>1</v>
      </c>
      <c r="CP515" s="213" t="str">
        <f t="shared" si="422"/>
        <v>Không đạt</v>
      </c>
      <c r="CQ515" s="213" t="str">
        <f t="shared" si="423"/>
        <v>Không đạt</v>
      </c>
      <c r="CR515" s="213"/>
      <c r="CS515" s="213"/>
      <c r="CT515" s="231"/>
      <c r="CU515" s="163"/>
      <c r="CV515" s="291"/>
      <c r="CW515" s="218"/>
      <c r="CX515" s="196"/>
      <c r="CY515" s="196"/>
      <c r="CZ515" s="197"/>
      <c r="DA515" s="196"/>
      <c r="DB515" s="196"/>
      <c r="DC515" s="196"/>
      <c r="DE515" s="199"/>
      <c r="DF515" s="200"/>
      <c r="DG515" s="181"/>
    </row>
    <row r="516" spans="1:111" ht="38.25" outlineLevel="1" x14ac:dyDescent="0.25">
      <c r="A516" s="213"/>
      <c r="B516" s="269" t="s">
        <v>488</v>
      </c>
      <c r="C516" s="269">
        <v>7930651</v>
      </c>
      <c r="D516" s="214">
        <f>E516+F516</f>
        <v>94000</v>
      </c>
      <c r="E516" s="214">
        <v>94000</v>
      </c>
      <c r="F516" s="188"/>
      <c r="G516" s="188"/>
      <c r="H516" s="188"/>
      <c r="I516" s="188"/>
      <c r="J516" s="188"/>
      <c r="K516" s="188"/>
      <c r="L516" s="188"/>
      <c r="M516" s="231"/>
      <c r="N516" s="231"/>
      <c r="O516" s="188"/>
      <c r="P516" s="188">
        <v>311.01900000000001</v>
      </c>
      <c r="Q516" s="224">
        <f t="shared" si="421"/>
        <v>3.3087127659574469E-3</v>
      </c>
      <c r="R516" s="188">
        <v>311.01900000000001</v>
      </c>
      <c r="S516" s="185">
        <v>3.3087127659574469E-3</v>
      </c>
      <c r="T516" s="185">
        <v>3.3087127659574469E-3</v>
      </c>
      <c r="U516" s="188">
        <v>5849.2040260000003</v>
      </c>
      <c r="V516" s="185">
        <v>6.2225574744680857E-2</v>
      </c>
      <c r="W516" s="185">
        <v>6.2225574744680857E-2</v>
      </c>
      <c r="X516" s="188">
        <v>5849.2040260000003</v>
      </c>
      <c r="Y516" s="185">
        <v>6.2225574744680857E-2</v>
      </c>
      <c r="Z516" s="185">
        <v>6.2225574744680857E-2</v>
      </c>
      <c r="AA516" s="188">
        <v>5849.2040260000003</v>
      </c>
      <c r="AB516" s="185">
        <v>6.2225574744680857E-2</v>
      </c>
      <c r="AC516" s="185">
        <v>6.2225574744680857E-2</v>
      </c>
      <c r="AD516" s="188">
        <v>6156.2858109999997</v>
      </c>
      <c r="AE516" s="185">
        <v>6.549240224468085E-2</v>
      </c>
      <c r="AF516" s="185">
        <v>6.549240224468085E-2</v>
      </c>
      <c r="AG516" s="214">
        <v>6156.2858109999997</v>
      </c>
      <c r="AH516" s="185">
        <v>6.549240224468085E-2</v>
      </c>
      <c r="AI516" s="185">
        <v>6.549240224468085E-2</v>
      </c>
      <c r="AJ516" s="188">
        <v>6156.2858109999997</v>
      </c>
      <c r="AK516" s="185">
        <v>6.549240224468085E-2</v>
      </c>
      <c r="AL516" s="185">
        <v>6.549240224468085E-2</v>
      </c>
      <c r="AM516" s="214">
        <v>6156.2858109999997</v>
      </c>
      <c r="AN516" s="185">
        <v>6.549240224468085E-2</v>
      </c>
      <c r="AO516" s="185">
        <v>6.549240224468085E-2</v>
      </c>
      <c r="AP516" s="185"/>
      <c r="AQ516" s="214">
        <v>6558</v>
      </c>
      <c r="AR516" s="185">
        <v>6.976595744680851E-2</v>
      </c>
      <c r="AS516" s="185">
        <v>6.976595744680851E-2</v>
      </c>
      <c r="AT516" s="214">
        <v>6558</v>
      </c>
      <c r="AU516" s="185">
        <v>6.976595744680851E-2</v>
      </c>
      <c r="AV516" s="185">
        <v>6.976595744680851E-2</v>
      </c>
      <c r="AW516" s="185"/>
      <c r="AX516" s="185"/>
      <c r="AY516" s="185"/>
      <c r="AZ516" s="185"/>
      <c r="BA516" s="185"/>
      <c r="BB516" s="185"/>
      <c r="BC516" s="214">
        <v>6558</v>
      </c>
      <c r="BD516" s="185">
        <v>6.976595744680851E-2</v>
      </c>
      <c r="BE516" s="185">
        <v>6.976595744680851E-2</v>
      </c>
      <c r="BF516" s="350"/>
      <c r="BG516" s="350">
        <v>13472.7</v>
      </c>
      <c r="BH516" s="185">
        <v>0.14332659574468085</v>
      </c>
      <c r="BI516" s="185">
        <v>0.14332659574468085</v>
      </c>
      <c r="BJ516" s="402">
        <f t="shared" si="410"/>
        <v>94000</v>
      </c>
      <c r="BK516" s="402">
        <v>13472.7</v>
      </c>
      <c r="BL516" s="185">
        <f t="shared" si="411"/>
        <v>0.14332659574468085</v>
      </c>
      <c r="BM516" s="185">
        <f t="shared" si="425"/>
        <v>0.14332659574468085</v>
      </c>
      <c r="BN516" s="205">
        <f t="shared" si="407"/>
        <v>7316.414189000001</v>
      </c>
      <c r="BO516" s="205"/>
      <c r="BP516" s="227"/>
      <c r="BQ516" s="186">
        <f t="shared" si="412"/>
        <v>0</v>
      </c>
      <c r="BR516" s="227">
        <v>2000</v>
      </c>
      <c r="BS516" s="311">
        <f t="shared" si="413"/>
        <v>2.1276595744680851E-2</v>
      </c>
      <c r="BT516" s="227">
        <v>3000</v>
      </c>
      <c r="BU516" s="224">
        <f t="shared" si="414"/>
        <v>3.1914893617021274E-2</v>
      </c>
      <c r="BV516" s="227">
        <v>5000</v>
      </c>
      <c r="BW516" s="311">
        <f>BV516/$D516</f>
        <v>5.3191489361702128E-2</v>
      </c>
      <c r="BX516" s="227">
        <v>30000</v>
      </c>
      <c r="BY516" s="311">
        <f>BX516/$D516</f>
        <v>0.31914893617021278</v>
      </c>
      <c r="BZ516" s="227">
        <v>40000</v>
      </c>
      <c r="CA516" s="311">
        <f>BZ516/$D516</f>
        <v>0.42553191489361702</v>
      </c>
      <c r="CB516" s="227">
        <v>56000</v>
      </c>
      <c r="CC516" s="311">
        <f t="shared" si="431"/>
        <v>0.5957446808510638</v>
      </c>
      <c r="CD516" s="227">
        <v>60000</v>
      </c>
      <c r="CE516" s="311">
        <f>CD516/$D516</f>
        <v>0.63829787234042556</v>
      </c>
      <c r="CF516" s="227">
        <v>65000</v>
      </c>
      <c r="CG516" s="311">
        <f>CF516/$D516</f>
        <v>0.69148936170212771</v>
      </c>
      <c r="CH516" s="227">
        <v>75000</v>
      </c>
      <c r="CI516" s="311">
        <f>CH516/$D516</f>
        <v>0.7978723404255319</v>
      </c>
      <c r="CJ516" s="227">
        <v>80000</v>
      </c>
      <c r="CK516" s="311">
        <f>CJ516/$D516</f>
        <v>0.85106382978723405</v>
      </c>
      <c r="CL516" s="227">
        <v>85000</v>
      </c>
      <c r="CM516" s="311">
        <f>CL516/$D516</f>
        <v>0.9042553191489362</v>
      </c>
      <c r="CN516" s="227">
        <v>94000</v>
      </c>
      <c r="CO516" s="311">
        <f>CN516/$D516</f>
        <v>1</v>
      </c>
      <c r="CP516" s="213" t="str">
        <f t="shared" si="422"/>
        <v>Không đạt</v>
      </c>
      <c r="CQ516" s="213" t="str">
        <f t="shared" si="423"/>
        <v>Không đạt</v>
      </c>
      <c r="CR516" s="213"/>
      <c r="CS516" s="213"/>
      <c r="CT516" s="231"/>
      <c r="CU516" s="163"/>
      <c r="CW516" s="195"/>
      <c r="CX516" s="196"/>
      <c r="CY516" s="196"/>
      <c r="CZ516" s="197"/>
      <c r="DA516" s="196"/>
      <c r="DB516" s="196"/>
      <c r="DC516" s="196"/>
      <c r="DE516" s="199"/>
      <c r="DF516" s="200"/>
      <c r="DG516" s="181"/>
    </row>
    <row r="517" spans="1:111" s="160" customFormat="1" ht="12.75" outlineLevel="1" x14ac:dyDescent="0.25">
      <c r="A517" s="191" t="s">
        <v>29</v>
      </c>
      <c r="B517" s="210" t="s">
        <v>485</v>
      </c>
      <c r="C517" s="210"/>
      <c r="D517" s="188">
        <f t="shared" ref="D517:I517" si="453">SUM(D518:D519)</f>
        <v>3034</v>
      </c>
      <c r="E517" s="188">
        <f t="shared" si="453"/>
        <v>0</v>
      </c>
      <c r="F517" s="188">
        <f t="shared" si="453"/>
        <v>3034</v>
      </c>
      <c r="G517" s="188">
        <f t="shared" si="453"/>
        <v>3000</v>
      </c>
      <c r="H517" s="188">
        <f t="shared" si="453"/>
        <v>34</v>
      </c>
      <c r="I517" s="188">
        <f t="shared" si="453"/>
        <v>0</v>
      </c>
      <c r="J517" s="188"/>
      <c r="K517" s="188">
        <f>SUM(K518:K519)</f>
        <v>0</v>
      </c>
      <c r="L517" s="188">
        <f>SUM(L518:L519)</f>
        <v>0</v>
      </c>
      <c r="M517" s="188">
        <f>SUM(M518:M519)</f>
        <v>0</v>
      </c>
      <c r="N517" s="188">
        <f>SUM(N518:N519)</f>
        <v>0</v>
      </c>
      <c r="O517" s="188">
        <f>SUM(O518:O519)</f>
        <v>3000</v>
      </c>
      <c r="P517" s="188">
        <v>151</v>
      </c>
      <c r="Q517" s="186">
        <f t="shared" si="421"/>
        <v>4.9769281476598551E-2</v>
      </c>
      <c r="R517" s="188">
        <v>0</v>
      </c>
      <c r="S517" s="185">
        <v>0</v>
      </c>
      <c r="T517" s="185">
        <v>0</v>
      </c>
      <c r="U517" s="188">
        <v>0</v>
      </c>
      <c r="V517" s="185">
        <v>0</v>
      </c>
      <c r="W517" s="185">
        <v>0</v>
      </c>
      <c r="X517" s="188">
        <v>0</v>
      </c>
      <c r="Y517" s="185">
        <v>0</v>
      </c>
      <c r="Z517" s="185">
        <v>0</v>
      </c>
      <c r="AA517" s="188">
        <v>0</v>
      </c>
      <c r="AB517" s="185">
        <v>0</v>
      </c>
      <c r="AC517" s="185">
        <v>0</v>
      </c>
      <c r="AD517" s="188">
        <v>0</v>
      </c>
      <c r="AE517" s="185">
        <v>0</v>
      </c>
      <c r="AF517" s="185">
        <v>0</v>
      </c>
      <c r="AG517" s="188">
        <v>0</v>
      </c>
      <c r="AH517" s="185">
        <v>0</v>
      </c>
      <c r="AI517" s="185">
        <v>0</v>
      </c>
      <c r="AJ517" s="303">
        <v>0</v>
      </c>
      <c r="AK517" s="185">
        <v>0</v>
      </c>
      <c r="AL517" s="185">
        <v>0</v>
      </c>
      <c r="AM517" s="188">
        <v>0</v>
      </c>
      <c r="AN517" s="185">
        <v>0</v>
      </c>
      <c r="AO517" s="185">
        <v>0</v>
      </c>
      <c r="AP517" s="185"/>
      <c r="AQ517" s="188">
        <v>863.47664799999995</v>
      </c>
      <c r="AR517" s="185">
        <v>0.28460008174027684</v>
      </c>
      <c r="AS517" s="185">
        <v>0.29957903341081776</v>
      </c>
      <c r="AT517" s="188">
        <v>863.47664799999995</v>
      </c>
      <c r="AU517" s="185">
        <v>0.28460008174027684</v>
      </c>
      <c r="AV517" s="185">
        <v>0.29957903341081776</v>
      </c>
      <c r="AW517" s="185"/>
      <c r="AX517" s="185"/>
      <c r="AY517" s="185"/>
      <c r="AZ517" s="185"/>
      <c r="BA517" s="185"/>
      <c r="BB517" s="185"/>
      <c r="BC517" s="188">
        <v>863.47664799999995</v>
      </c>
      <c r="BD517" s="185">
        <v>0.28460008174027684</v>
      </c>
      <c r="BE517" s="185">
        <v>0.29957903341081776</v>
      </c>
      <c r="BF517" s="374"/>
      <c r="BG517" s="374">
        <v>863.47664800000007</v>
      </c>
      <c r="BH517" s="185">
        <v>0.2846000817402769</v>
      </c>
      <c r="BI517" s="185">
        <v>0.29957903341081782</v>
      </c>
      <c r="BJ517" s="374">
        <f t="shared" si="410"/>
        <v>2882.2999999999997</v>
      </c>
      <c r="BK517" s="374">
        <v>863.47664800000007</v>
      </c>
      <c r="BL517" s="185">
        <f t="shared" si="411"/>
        <v>0.2846000817402769</v>
      </c>
      <c r="BM517" s="185">
        <f t="shared" si="425"/>
        <v>0.29957903341081782</v>
      </c>
      <c r="BN517" s="205">
        <f t="shared" si="407"/>
        <v>863.47664800000007</v>
      </c>
      <c r="BO517" s="205"/>
      <c r="BP517" s="189">
        <f>SUM(BP518:BP519)</f>
        <v>0</v>
      </c>
      <c r="BQ517" s="186">
        <f t="shared" si="412"/>
        <v>0</v>
      </c>
      <c r="BR517" s="189">
        <f>SUM(BR518:BR519)</f>
        <v>182.3</v>
      </c>
      <c r="BS517" s="186">
        <f t="shared" si="413"/>
        <v>6.0085695451549112E-2</v>
      </c>
      <c r="BT517" s="189">
        <f>SUM(BT518:BT519)</f>
        <v>932.3</v>
      </c>
      <c r="BU517" s="186">
        <f t="shared" si="414"/>
        <v>0.30728411338167433</v>
      </c>
      <c r="BV517" s="189">
        <f>SUM(BV518:BV519)</f>
        <v>997.3</v>
      </c>
      <c r="BW517" s="186">
        <f t="shared" ref="BW517:BW580" si="454">BV517/$D517</f>
        <v>0.32870797626895187</v>
      </c>
      <c r="BX517" s="189">
        <f>SUM(BX518:BX519)</f>
        <v>1047.3</v>
      </c>
      <c r="BY517" s="186">
        <f t="shared" ref="BY517:BY580" si="455">BX517/$D517</f>
        <v>0.34518787079762686</v>
      </c>
      <c r="BZ517" s="189">
        <f>SUM(BZ518:BZ519)</f>
        <v>1547.3</v>
      </c>
      <c r="CA517" s="186">
        <f t="shared" ref="CA517:CA580" si="456">BZ517/$D517</f>
        <v>0.50998681608437701</v>
      </c>
      <c r="CB517" s="189">
        <f>SUM(CB518:CB519)</f>
        <v>1897.3</v>
      </c>
      <c r="CC517" s="186">
        <f t="shared" si="431"/>
        <v>0.62534607778510221</v>
      </c>
      <c r="CD517" s="189">
        <f>SUM(CD518:CD519)</f>
        <v>2397.3000000000002</v>
      </c>
      <c r="CE517" s="186">
        <f t="shared" ref="CE517:CE580" si="457">CD517/$D517</f>
        <v>0.79014502307185241</v>
      </c>
      <c r="CF517" s="189">
        <f>SUM(CF518:CF519)</f>
        <v>2882.3</v>
      </c>
      <c r="CG517" s="186">
        <f t="shared" ref="CG517:CG580" si="458">CF517/$D517</f>
        <v>0.95000000000000007</v>
      </c>
      <c r="CH517" s="189">
        <f>SUM(CH518:CH519)</f>
        <v>2882.3</v>
      </c>
      <c r="CI517" s="186">
        <f t="shared" ref="CI517:CI580" si="459">CH517/$D517</f>
        <v>0.95000000000000007</v>
      </c>
      <c r="CJ517" s="189">
        <f>SUM(CJ518:CJ519)</f>
        <v>2882.3</v>
      </c>
      <c r="CK517" s="186">
        <f t="shared" ref="CK517:CK580" si="460">CJ517/$D517</f>
        <v>0.95000000000000007</v>
      </c>
      <c r="CL517" s="189">
        <f>SUM(CL518:CL519)</f>
        <v>2882.3</v>
      </c>
      <c r="CM517" s="186">
        <f t="shared" ref="CM517:CM580" si="461">CL517/$D517</f>
        <v>0.95000000000000007</v>
      </c>
      <c r="CN517" s="189">
        <f>SUM(CN518:CN519)</f>
        <v>2882.3</v>
      </c>
      <c r="CO517" s="186">
        <f t="shared" ref="CO517:CO580" si="462">CN517/$D517</f>
        <v>0.95000000000000007</v>
      </c>
      <c r="CP517" s="213" t="str">
        <f t="shared" si="422"/>
        <v>Không đạt</v>
      </c>
      <c r="CQ517" s="213" t="str">
        <f t="shared" si="423"/>
        <v>Không đạt</v>
      </c>
      <c r="CR517" s="213"/>
      <c r="CS517" s="213"/>
      <c r="CT517" s="231"/>
      <c r="CU517" s="163"/>
      <c r="CV517" s="291"/>
      <c r="CW517" s="218"/>
      <c r="CX517" s="196"/>
      <c r="CY517" s="196"/>
      <c r="CZ517" s="197"/>
      <c r="DA517" s="196"/>
      <c r="DB517" s="196"/>
      <c r="DC517" s="196"/>
      <c r="DE517" s="199"/>
      <c r="DF517" s="200"/>
      <c r="DG517" s="181"/>
    </row>
    <row r="518" spans="1:111" s="324" customFormat="1" outlineLevel="1" x14ac:dyDescent="0.25">
      <c r="A518" s="305" t="s">
        <v>34</v>
      </c>
      <c r="B518" s="306" t="s">
        <v>376</v>
      </c>
      <c r="C518" s="306"/>
      <c r="D518" s="307">
        <f>E518+F518</f>
        <v>3000</v>
      </c>
      <c r="E518" s="307"/>
      <c r="F518" s="307">
        <f>G518+H518+K518+M518</f>
        <v>3000</v>
      </c>
      <c r="G518" s="303">
        <v>3000</v>
      </c>
      <c r="H518" s="303"/>
      <c r="I518" s="235"/>
      <c r="J518" s="235"/>
      <c r="K518" s="303"/>
      <c r="L518" s="235"/>
      <c r="M518" s="223"/>
      <c r="N518" s="223"/>
      <c r="O518" s="303">
        <f>G518+I518+L518+N518</f>
        <v>3000</v>
      </c>
      <c r="P518" s="303">
        <v>0</v>
      </c>
      <c r="Q518" s="308">
        <f t="shared" si="421"/>
        <v>0</v>
      </c>
      <c r="R518" s="303"/>
      <c r="S518" s="313">
        <v>0</v>
      </c>
      <c r="T518" s="313">
        <v>0</v>
      </c>
      <c r="U518" s="303"/>
      <c r="V518" s="313">
        <v>0</v>
      </c>
      <c r="W518" s="313">
        <v>0</v>
      </c>
      <c r="X518" s="303"/>
      <c r="Y518" s="313">
        <v>0</v>
      </c>
      <c r="Z518" s="313">
        <v>0</v>
      </c>
      <c r="AA518" s="303"/>
      <c r="AB518" s="313">
        <v>0</v>
      </c>
      <c r="AC518" s="313">
        <v>0</v>
      </c>
      <c r="AD518" s="303"/>
      <c r="AE518" s="313">
        <v>0</v>
      </c>
      <c r="AF518" s="313">
        <v>0</v>
      </c>
      <c r="AG518" s="303"/>
      <c r="AH518" s="313">
        <v>0</v>
      </c>
      <c r="AI518" s="313">
        <v>0</v>
      </c>
      <c r="AJ518" s="303"/>
      <c r="AK518" s="313">
        <v>0</v>
      </c>
      <c r="AL518" s="313">
        <v>0</v>
      </c>
      <c r="AM518" s="303"/>
      <c r="AN518" s="313">
        <v>0</v>
      </c>
      <c r="AO518" s="313">
        <v>0</v>
      </c>
      <c r="AP518" s="313"/>
      <c r="AQ518" s="303">
        <v>863.47664799999995</v>
      </c>
      <c r="AR518" s="313">
        <v>0.28782554933333332</v>
      </c>
      <c r="AS518" s="313">
        <v>0.30297426245614034</v>
      </c>
      <c r="AT518" s="303">
        <v>863.47664799999995</v>
      </c>
      <c r="AU518" s="313">
        <v>0.28782554933333332</v>
      </c>
      <c r="AV518" s="313">
        <v>0.30297426245614034</v>
      </c>
      <c r="AW518" s="313"/>
      <c r="AX518" s="313"/>
      <c r="AY518" s="313"/>
      <c r="AZ518" s="313"/>
      <c r="BA518" s="313"/>
      <c r="BB518" s="313"/>
      <c r="BC518" s="303">
        <v>863.47664799999995</v>
      </c>
      <c r="BD518" s="313">
        <v>0.28782554933333332</v>
      </c>
      <c r="BE518" s="313">
        <v>0.30297426245614034</v>
      </c>
      <c r="BF518" s="351"/>
      <c r="BG518" s="351">
        <v>863.47664800000007</v>
      </c>
      <c r="BH518" s="313">
        <v>0.28782554933333337</v>
      </c>
      <c r="BI518" s="313">
        <v>0.3029742624561404</v>
      </c>
      <c r="BJ518" s="349">
        <f t="shared" si="410"/>
        <v>2850</v>
      </c>
      <c r="BK518" s="349">
        <v>863.47664800000007</v>
      </c>
      <c r="BL518" s="313">
        <f t="shared" si="411"/>
        <v>0.28782554933333337</v>
      </c>
      <c r="BM518" s="313">
        <f t="shared" si="425"/>
        <v>0.3029742624561404</v>
      </c>
      <c r="BN518" s="205">
        <f t="shared" si="407"/>
        <v>863.47664800000007</v>
      </c>
      <c r="BO518" s="205"/>
      <c r="BP518" s="310"/>
      <c r="BQ518" s="311">
        <f t="shared" si="412"/>
        <v>0</v>
      </c>
      <c r="BR518" s="310">
        <v>150</v>
      </c>
      <c r="BS518" s="311">
        <f t="shared" si="413"/>
        <v>0.05</v>
      </c>
      <c r="BT518" s="310">
        <v>900</v>
      </c>
      <c r="BU518" s="308">
        <f t="shared" si="414"/>
        <v>0.3</v>
      </c>
      <c r="BV518" s="310">
        <v>965</v>
      </c>
      <c r="BW518" s="311">
        <f t="shared" si="454"/>
        <v>0.32166666666666666</v>
      </c>
      <c r="BX518" s="310">
        <v>1015</v>
      </c>
      <c r="BY518" s="311">
        <f t="shared" si="455"/>
        <v>0.33833333333333332</v>
      </c>
      <c r="BZ518" s="310">
        <v>1515</v>
      </c>
      <c r="CA518" s="311">
        <f t="shared" si="456"/>
        <v>0.505</v>
      </c>
      <c r="CB518" s="310">
        <v>1865</v>
      </c>
      <c r="CC518" s="311">
        <f t="shared" si="431"/>
        <v>0.6216666666666667</v>
      </c>
      <c r="CD518" s="310">
        <v>2365</v>
      </c>
      <c r="CE518" s="311">
        <f t="shared" si="457"/>
        <v>0.78833333333333333</v>
      </c>
      <c r="CF518" s="310">
        <v>2850</v>
      </c>
      <c r="CG518" s="311">
        <f t="shared" si="458"/>
        <v>0.95</v>
      </c>
      <c r="CH518" s="310">
        <v>2850</v>
      </c>
      <c r="CI518" s="311">
        <f t="shared" si="459"/>
        <v>0.95</v>
      </c>
      <c r="CJ518" s="310">
        <v>2850</v>
      </c>
      <c r="CK518" s="311">
        <f t="shared" si="460"/>
        <v>0.95</v>
      </c>
      <c r="CL518" s="310">
        <v>2850</v>
      </c>
      <c r="CM518" s="311">
        <f t="shared" si="461"/>
        <v>0.95</v>
      </c>
      <c r="CN518" s="310">
        <v>2850</v>
      </c>
      <c r="CO518" s="311">
        <f t="shared" si="462"/>
        <v>0.95</v>
      </c>
      <c r="CP518" s="213" t="str">
        <f t="shared" si="422"/>
        <v>Không đạt</v>
      </c>
      <c r="CQ518" s="213" t="str">
        <f t="shared" si="423"/>
        <v>Không đạt</v>
      </c>
      <c r="CR518" s="312"/>
      <c r="CS518" s="312"/>
      <c r="CT518" s="235"/>
      <c r="CU518" s="163"/>
      <c r="CV518" s="323"/>
      <c r="CW518" s="195"/>
      <c r="CX518" s="196"/>
      <c r="CY518" s="196"/>
      <c r="CZ518" s="197"/>
      <c r="DA518" s="196"/>
      <c r="DB518" s="196"/>
      <c r="DC518" s="196"/>
      <c r="DE518" s="199"/>
      <c r="DF518" s="200"/>
      <c r="DG518" s="181"/>
    </row>
    <row r="519" spans="1:111" ht="25.5" outlineLevel="1" x14ac:dyDescent="0.25">
      <c r="A519" s="305" t="s">
        <v>34</v>
      </c>
      <c r="B519" s="306" t="s">
        <v>377</v>
      </c>
      <c r="C519" s="306"/>
      <c r="D519" s="307">
        <f>E519+F519</f>
        <v>34</v>
      </c>
      <c r="E519" s="307"/>
      <c r="F519" s="307">
        <f>G519+H519+K519+M519</f>
        <v>34</v>
      </c>
      <c r="G519" s="307"/>
      <c r="H519" s="307">
        <v>34</v>
      </c>
      <c r="I519" s="235"/>
      <c r="J519" s="235"/>
      <c r="K519" s="303"/>
      <c r="L519" s="235"/>
      <c r="M519" s="223"/>
      <c r="N519" s="223"/>
      <c r="O519" s="303"/>
      <c r="P519" s="303">
        <v>0</v>
      </c>
      <c r="Q519" s="224">
        <f t="shared" si="421"/>
        <v>0</v>
      </c>
      <c r="R519" s="303"/>
      <c r="S519" s="268">
        <v>0</v>
      </c>
      <c r="T519" s="268">
        <v>0</v>
      </c>
      <c r="U519" s="303"/>
      <c r="V519" s="268">
        <v>0</v>
      </c>
      <c r="W519" s="268">
        <v>0</v>
      </c>
      <c r="X519" s="303"/>
      <c r="Y519" s="268">
        <v>0</v>
      </c>
      <c r="Z519" s="268">
        <v>0</v>
      </c>
      <c r="AA519" s="303"/>
      <c r="AB519" s="268">
        <v>0</v>
      </c>
      <c r="AC519" s="268">
        <v>0</v>
      </c>
      <c r="AD519" s="303"/>
      <c r="AE519" s="268">
        <v>0</v>
      </c>
      <c r="AF519" s="268">
        <v>0</v>
      </c>
      <c r="AG519" s="303"/>
      <c r="AH519" s="268">
        <v>0</v>
      </c>
      <c r="AI519" s="268">
        <v>0</v>
      </c>
      <c r="AJ519" s="188"/>
      <c r="AK519" s="268">
        <v>0</v>
      </c>
      <c r="AL519" s="268">
        <v>0</v>
      </c>
      <c r="AM519" s="303"/>
      <c r="AN519" s="268">
        <v>0</v>
      </c>
      <c r="AO519" s="268">
        <v>0</v>
      </c>
      <c r="AP519" s="268"/>
      <c r="AQ519" s="303"/>
      <c r="AR519" s="268">
        <v>0</v>
      </c>
      <c r="AS519" s="268">
        <v>0</v>
      </c>
      <c r="AT519" s="303"/>
      <c r="AU519" s="268">
        <v>0</v>
      </c>
      <c r="AV519" s="268">
        <v>0</v>
      </c>
      <c r="AW519" s="268"/>
      <c r="AX519" s="268"/>
      <c r="AY519" s="268"/>
      <c r="AZ519" s="268"/>
      <c r="BA519" s="268"/>
      <c r="BB519" s="268"/>
      <c r="BC519" s="303"/>
      <c r="BD519" s="268">
        <v>0</v>
      </c>
      <c r="BE519" s="268">
        <v>0</v>
      </c>
      <c r="BF519" s="351"/>
      <c r="BG519" s="351">
        <v>0</v>
      </c>
      <c r="BH519" s="268">
        <v>0</v>
      </c>
      <c r="BI519" s="268">
        <v>0</v>
      </c>
      <c r="BJ519" s="349">
        <f t="shared" si="410"/>
        <v>32.299999999999997</v>
      </c>
      <c r="BK519" s="349">
        <v>0</v>
      </c>
      <c r="BL519" s="268">
        <f t="shared" si="411"/>
        <v>0</v>
      </c>
      <c r="BM519" s="268">
        <f t="shared" si="425"/>
        <v>0</v>
      </c>
      <c r="BN519" s="205">
        <f t="shared" si="407"/>
        <v>0</v>
      </c>
      <c r="BO519" s="205"/>
      <c r="BP519" s="227"/>
      <c r="BQ519" s="258">
        <f t="shared" si="412"/>
        <v>0</v>
      </c>
      <c r="BR519" s="227">
        <f>34*0.95</f>
        <v>32.299999999999997</v>
      </c>
      <c r="BS519" s="311">
        <f t="shared" si="413"/>
        <v>0.95</v>
      </c>
      <c r="BT519" s="227">
        <f>34*0.95</f>
        <v>32.299999999999997</v>
      </c>
      <c r="BU519" s="224">
        <f t="shared" si="414"/>
        <v>0.95</v>
      </c>
      <c r="BV519" s="227">
        <f>34*0.95</f>
        <v>32.299999999999997</v>
      </c>
      <c r="BW519" s="311">
        <f t="shared" si="454"/>
        <v>0.95</v>
      </c>
      <c r="BX519" s="227">
        <f>34*0.95</f>
        <v>32.299999999999997</v>
      </c>
      <c r="BY519" s="311">
        <f t="shared" si="455"/>
        <v>0.95</v>
      </c>
      <c r="BZ519" s="227">
        <f>34*0.95</f>
        <v>32.299999999999997</v>
      </c>
      <c r="CA519" s="311">
        <f t="shared" si="456"/>
        <v>0.95</v>
      </c>
      <c r="CB519" s="227">
        <f>34*0.95</f>
        <v>32.299999999999997</v>
      </c>
      <c r="CC519" s="311">
        <f t="shared" si="431"/>
        <v>0.95</v>
      </c>
      <c r="CD519" s="227">
        <f>34*0.95</f>
        <v>32.299999999999997</v>
      </c>
      <c r="CE519" s="311">
        <f t="shared" si="457"/>
        <v>0.95</v>
      </c>
      <c r="CF519" s="227">
        <f>34*0.95</f>
        <v>32.299999999999997</v>
      </c>
      <c r="CG519" s="311">
        <f t="shared" si="458"/>
        <v>0.95</v>
      </c>
      <c r="CH519" s="227">
        <f>34*0.95</f>
        <v>32.299999999999997</v>
      </c>
      <c r="CI519" s="311">
        <f t="shared" si="459"/>
        <v>0.95</v>
      </c>
      <c r="CJ519" s="227">
        <f>34*0.95</f>
        <v>32.299999999999997</v>
      </c>
      <c r="CK519" s="311">
        <f t="shared" si="460"/>
        <v>0.95</v>
      </c>
      <c r="CL519" s="227">
        <f>34*0.95</f>
        <v>32.299999999999997</v>
      </c>
      <c r="CM519" s="311">
        <f t="shared" si="461"/>
        <v>0.95</v>
      </c>
      <c r="CN519" s="227">
        <f>34*0.95</f>
        <v>32.299999999999997</v>
      </c>
      <c r="CO519" s="311">
        <f t="shared" si="462"/>
        <v>0.95</v>
      </c>
      <c r="CP519" s="213" t="str">
        <f t="shared" si="422"/>
        <v>Không đạt</v>
      </c>
      <c r="CQ519" s="213" t="str">
        <f t="shared" si="423"/>
        <v>Không đạt</v>
      </c>
      <c r="CR519" s="312"/>
      <c r="CS519" s="312"/>
      <c r="CT519" s="235"/>
      <c r="CU519" s="163"/>
      <c r="CW519" s="195"/>
      <c r="CX519" s="196"/>
      <c r="CY519" s="196"/>
      <c r="CZ519" s="197"/>
      <c r="DA519" s="196"/>
      <c r="DB519" s="196"/>
      <c r="DC519" s="196"/>
      <c r="DE519" s="199"/>
      <c r="DF519" s="200"/>
      <c r="DG519" s="181"/>
    </row>
    <row r="520" spans="1:111" ht="18" customHeight="1" x14ac:dyDescent="0.25">
      <c r="A520" s="213">
        <f>MAX(A$243:A514)+1</f>
        <v>77</v>
      </c>
      <c r="B520" s="240" t="s">
        <v>489</v>
      </c>
      <c r="C520" s="240"/>
      <c r="D520" s="188">
        <f t="shared" ref="D520:I520" si="463">D521+D522</f>
        <v>7250</v>
      </c>
      <c r="E520" s="188">
        <f t="shared" si="463"/>
        <v>0</v>
      </c>
      <c r="F520" s="188">
        <f t="shared" si="463"/>
        <v>7250</v>
      </c>
      <c r="G520" s="188">
        <f t="shared" si="463"/>
        <v>3000</v>
      </c>
      <c r="H520" s="188">
        <f t="shared" si="463"/>
        <v>4250</v>
      </c>
      <c r="I520" s="188">
        <f t="shared" si="463"/>
        <v>0</v>
      </c>
      <c r="J520" s="188"/>
      <c r="K520" s="188">
        <f>K521+K522</f>
        <v>0</v>
      </c>
      <c r="L520" s="188">
        <f>L521+L522</f>
        <v>0</v>
      </c>
      <c r="M520" s="188">
        <f>M521+M522</f>
        <v>0</v>
      </c>
      <c r="N520" s="188">
        <f>N521+N522</f>
        <v>0</v>
      </c>
      <c r="O520" s="188">
        <f>O521+O522</f>
        <v>3000</v>
      </c>
      <c r="P520" s="188">
        <v>0</v>
      </c>
      <c r="Q520" s="186">
        <f t="shared" si="421"/>
        <v>0</v>
      </c>
      <c r="R520" s="188">
        <v>0</v>
      </c>
      <c r="S520" s="185">
        <v>0</v>
      </c>
      <c r="T520" s="185">
        <v>0</v>
      </c>
      <c r="U520" s="188">
        <v>0</v>
      </c>
      <c r="V520" s="185">
        <v>0</v>
      </c>
      <c r="W520" s="185">
        <v>0</v>
      </c>
      <c r="X520" s="188">
        <v>0</v>
      </c>
      <c r="Y520" s="185">
        <v>0</v>
      </c>
      <c r="Z520" s="185">
        <v>0</v>
      </c>
      <c r="AA520" s="188">
        <v>0</v>
      </c>
      <c r="AB520" s="185">
        <v>0</v>
      </c>
      <c r="AC520" s="185">
        <v>0</v>
      </c>
      <c r="AD520" s="188">
        <v>0</v>
      </c>
      <c r="AE520" s="185">
        <v>0</v>
      </c>
      <c r="AF520" s="185">
        <v>0</v>
      </c>
      <c r="AG520" s="188">
        <v>0</v>
      </c>
      <c r="AH520" s="185">
        <v>0</v>
      </c>
      <c r="AI520" s="185">
        <v>0</v>
      </c>
      <c r="AJ520" s="303">
        <v>0</v>
      </c>
      <c r="AK520" s="185">
        <v>0</v>
      </c>
      <c r="AL520" s="185">
        <v>0</v>
      </c>
      <c r="AM520" s="188">
        <v>0</v>
      </c>
      <c r="AN520" s="185">
        <v>0</v>
      </c>
      <c r="AO520" s="185">
        <v>0</v>
      </c>
      <c r="AP520" s="185"/>
      <c r="AQ520" s="188">
        <v>384.464</v>
      </c>
      <c r="AR520" s="185">
        <v>5.3029517241379311E-2</v>
      </c>
      <c r="AS520" s="185">
        <v>5.5820544464609802E-2</v>
      </c>
      <c r="AT520" s="188">
        <v>384.464</v>
      </c>
      <c r="AU520" s="185">
        <v>5.3029517241379311E-2</v>
      </c>
      <c r="AV520" s="185">
        <v>5.5820544464609802E-2</v>
      </c>
      <c r="AW520" s="185"/>
      <c r="AX520" s="185"/>
      <c r="AY520" s="185"/>
      <c r="AZ520" s="185"/>
      <c r="BA520" s="185"/>
      <c r="BB520" s="185"/>
      <c r="BC520" s="188">
        <v>384.464</v>
      </c>
      <c r="BD520" s="185">
        <v>5.3029517241379311E-2</v>
      </c>
      <c r="BE520" s="185">
        <v>5.5820544464609802E-2</v>
      </c>
      <c r="BF520" s="352"/>
      <c r="BG520" s="352">
        <v>664</v>
      </c>
      <c r="BH520" s="185">
        <v>9.1586206896551725E-2</v>
      </c>
      <c r="BI520" s="185">
        <v>9.6406533575317602E-2</v>
      </c>
      <c r="BJ520" s="374">
        <f t="shared" si="410"/>
        <v>6887.5</v>
      </c>
      <c r="BK520" s="374">
        <v>2394.5</v>
      </c>
      <c r="BL520" s="185">
        <f t="shared" si="411"/>
        <v>0.33027586206896553</v>
      </c>
      <c r="BM520" s="185">
        <f t="shared" si="425"/>
        <v>0.34765880217785844</v>
      </c>
      <c r="BN520" s="205">
        <f t="shared" si="407"/>
        <v>2394.5</v>
      </c>
      <c r="BO520" s="205"/>
      <c r="BP520" s="189">
        <f>BP521+BP522</f>
        <v>0</v>
      </c>
      <c r="BQ520" s="186">
        <f t="shared" si="412"/>
        <v>0</v>
      </c>
      <c r="BR520" s="189">
        <f>BR521+BR522</f>
        <v>0</v>
      </c>
      <c r="BS520" s="186">
        <f t="shared" si="413"/>
        <v>0</v>
      </c>
      <c r="BT520" s="189">
        <f>BT521+BT522</f>
        <v>0</v>
      </c>
      <c r="BU520" s="186">
        <f t="shared" si="414"/>
        <v>0</v>
      </c>
      <c r="BV520" s="189">
        <f>BV521+BV522</f>
        <v>1000</v>
      </c>
      <c r="BW520" s="186">
        <f t="shared" si="454"/>
        <v>0.13793103448275862</v>
      </c>
      <c r="BX520" s="189">
        <f>BX521+BX522</f>
        <v>1200</v>
      </c>
      <c r="BY520" s="186">
        <f t="shared" si="455"/>
        <v>0.16551724137931034</v>
      </c>
      <c r="BZ520" s="189">
        <f>BZ521+BZ522</f>
        <v>2287</v>
      </c>
      <c r="CA520" s="186">
        <f t="shared" si="456"/>
        <v>0.31544827586206897</v>
      </c>
      <c r="CB520" s="189">
        <f>CB521+CB522</f>
        <v>2856</v>
      </c>
      <c r="CC520" s="186">
        <f t="shared" si="431"/>
        <v>0.39393103448275862</v>
      </c>
      <c r="CD520" s="189">
        <f>CD521+CD522</f>
        <v>3000</v>
      </c>
      <c r="CE520" s="186">
        <f t="shared" si="457"/>
        <v>0.41379310344827586</v>
      </c>
      <c r="CF520" s="189">
        <f>CF521+CF522</f>
        <v>4500</v>
      </c>
      <c r="CG520" s="186">
        <f t="shared" si="458"/>
        <v>0.62068965517241381</v>
      </c>
      <c r="CH520" s="189">
        <f>CH521+CH522</f>
        <v>5850</v>
      </c>
      <c r="CI520" s="186">
        <f t="shared" si="459"/>
        <v>0.80689655172413788</v>
      </c>
      <c r="CJ520" s="189">
        <f>CJ521+CJ522</f>
        <v>6050</v>
      </c>
      <c r="CK520" s="186">
        <f t="shared" si="460"/>
        <v>0.83448275862068966</v>
      </c>
      <c r="CL520" s="189">
        <f>CL521+CL522</f>
        <v>6887.5</v>
      </c>
      <c r="CM520" s="186">
        <f t="shared" si="461"/>
        <v>0.95</v>
      </c>
      <c r="CN520" s="189">
        <f>CN521+CN522</f>
        <v>6887.5</v>
      </c>
      <c r="CO520" s="186">
        <f t="shared" si="462"/>
        <v>0.95</v>
      </c>
      <c r="CP520" s="213" t="str">
        <f t="shared" si="422"/>
        <v>Đạt</v>
      </c>
      <c r="CQ520" s="213" t="str">
        <f t="shared" si="423"/>
        <v>Không đạt</v>
      </c>
      <c r="CR520" s="213"/>
      <c r="CS520" s="213"/>
      <c r="CT520" s="231"/>
      <c r="CU520" s="163"/>
      <c r="CW520" s="195"/>
      <c r="CX520" s="196"/>
      <c r="CY520" s="196"/>
      <c r="CZ520" s="197"/>
      <c r="DA520" s="196"/>
      <c r="DB520" s="196"/>
      <c r="DC520" s="196"/>
      <c r="DE520" s="199"/>
      <c r="DF520" s="200"/>
      <c r="DG520" s="181"/>
    </row>
    <row r="521" spans="1:111" s="324" customFormat="1" outlineLevel="1" x14ac:dyDescent="0.25">
      <c r="A521" s="305" t="s">
        <v>34</v>
      </c>
      <c r="B521" s="306" t="s">
        <v>376</v>
      </c>
      <c r="C521" s="306"/>
      <c r="D521" s="307">
        <f>E521+F521</f>
        <v>3000</v>
      </c>
      <c r="E521" s="307"/>
      <c r="F521" s="307">
        <f>G521+H521+K521+M521</f>
        <v>3000</v>
      </c>
      <c r="G521" s="303">
        <v>3000</v>
      </c>
      <c r="H521" s="303"/>
      <c r="I521" s="235"/>
      <c r="J521" s="235"/>
      <c r="K521" s="303"/>
      <c r="L521" s="235"/>
      <c r="M521" s="223"/>
      <c r="N521" s="223"/>
      <c r="O521" s="303">
        <f>G521+I521+L521+N521</f>
        <v>3000</v>
      </c>
      <c r="P521" s="303">
        <v>0</v>
      </c>
      <c r="Q521" s="308">
        <f t="shared" si="421"/>
        <v>0</v>
      </c>
      <c r="R521" s="303"/>
      <c r="S521" s="313">
        <v>0</v>
      </c>
      <c r="T521" s="313">
        <v>0</v>
      </c>
      <c r="U521" s="303"/>
      <c r="V521" s="313">
        <v>0</v>
      </c>
      <c r="W521" s="313">
        <v>0</v>
      </c>
      <c r="X521" s="303"/>
      <c r="Y521" s="313">
        <v>0</v>
      </c>
      <c r="Z521" s="313">
        <v>0</v>
      </c>
      <c r="AA521" s="303"/>
      <c r="AB521" s="313">
        <v>0</v>
      </c>
      <c r="AC521" s="313">
        <v>0</v>
      </c>
      <c r="AD521" s="303"/>
      <c r="AE521" s="313">
        <v>0</v>
      </c>
      <c r="AF521" s="313">
        <v>0</v>
      </c>
      <c r="AG521" s="303"/>
      <c r="AH521" s="313">
        <v>0</v>
      </c>
      <c r="AI521" s="313">
        <v>0</v>
      </c>
      <c r="AJ521" s="303"/>
      <c r="AK521" s="313">
        <v>0</v>
      </c>
      <c r="AL521" s="313">
        <v>0</v>
      </c>
      <c r="AM521" s="303"/>
      <c r="AN521" s="313">
        <v>0</v>
      </c>
      <c r="AO521" s="313">
        <v>0</v>
      </c>
      <c r="AP521" s="313"/>
      <c r="AQ521" s="303">
        <v>384.464</v>
      </c>
      <c r="AR521" s="313">
        <v>0.12815466666666667</v>
      </c>
      <c r="AS521" s="313">
        <v>0.13489964912280702</v>
      </c>
      <c r="AT521" s="303">
        <v>384.464</v>
      </c>
      <c r="AU521" s="313">
        <v>0.12815466666666667</v>
      </c>
      <c r="AV521" s="313">
        <v>0.13489964912280702</v>
      </c>
      <c r="AW521" s="313"/>
      <c r="AX521" s="313"/>
      <c r="AY521" s="313"/>
      <c r="AZ521" s="313"/>
      <c r="BA521" s="313"/>
      <c r="BB521" s="313"/>
      <c r="BC521" s="303">
        <v>384.464</v>
      </c>
      <c r="BD521" s="313">
        <v>0.12815466666666667</v>
      </c>
      <c r="BE521" s="313">
        <v>0.13489964912280702</v>
      </c>
      <c r="BF521" s="351"/>
      <c r="BG521" s="351">
        <v>664</v>
      </c>
      <c r="BH521" s="313">
        <v>0.22133333333333333</v>
      </c>
      <c r="BI521" s="313">
        <v>0.23298245614035087</v>
      </c>
      <c r="BJ521" s="349">
        <f t="shared" si="410"/>
        <v>2850</v>
      </c>
      <c r="BK521" s="349">
        <v>2226</v>
      </c>
      <c r="BL521" s="313">
        <f t="shared" si="411"/>
        <v>0.74199999999999999</v>
      </c>
      <c r="BM521" s="313">
        <f t="shared" si="425"/>
        <v>0.78105263157894733</v>
      </c>
      <c r="BN521" s="205">
        <f t="shared" si="407"/>
        <v>2226</v>
      </c>
      <c r="BO521" s="205"/>
      <c r="BP521" s="310"/>
      <c r="BQ521" s="311">
        <f t="shared" si="412"/>
        <v>0</v>
      </c>
      <c r="BR521" s="310"/>
      <c r="BS521" s="311">
        <f t="shared" si="413"/>
        <v>0</v>
      </c>
      <c r="BT521" s="310">
        <v>0</v>
      </c>
      <c r="BU521" s="308">
        <f t="shared" si="414"/>
        <v>0</v>
      </c>
      <c r="BV521" s="310">
        <v>1000</v>
      </c>
      <c r="BW521" s="311">
        <f t="shared" si="454"/>
        <v>0.33333333333333331</v>
      </c>
      <c r="BX521" s="310">
        <v>1200</v>
      </c>
      <c r="BY521" s="311">
        <f t="shared" si="455"/>
        <v>0.4</v>
      </c>
      <c r="BZ521" s="310">
        <v>1787</v>
      </c>
      <c r="CA521" s="311">
        <f t="shared" si="456"/>
        <v>0.59566666666666668</v>
      </c>
      <c r="CB521" s="310">
        <v>1856</v>
      </c>
      <c r="CC521" s="311">
        <f t="shared" si="431"/>
        <v>0.6186666666666667</v>
      </c>
      <c r="CD521" s="310">
        <v>2000</v>
      </c>
      <c r="CE521" s="311">
        <f t="shared" si="457"/>
        <v>0.66666666666666663</v>
      </c>
      <c r="CF521" s="310">
        <v>2500</v>
      </c>
      <c r="CG521" s="311">
        <f t="shared" si="458"/>
        <v>0.83333333333333337</v>
      </c>
      <c r="CH521" s="310">
        <v>2850</v>
      </c>
      <c r="CI521" s="311">
        <f t="shared" si="459"/>
        <v>0.95</v>
      </c>
      <c r="CJ521" s="310">
        <v>2850</v>
      </c>
      <c r="CK521" s="311">
        <f t="shared" si="460"/>
        <v>0.95</v>
      </c>
      <c r="CL521" s="310">
        <v>2850</v>
      </c>
      <c r="CM521" s="311">
        <f t="shared" si="461"/>
        <v>0.95</v>
      </c>
      <c r="CN521" s="310">
        <v>2850</v>
      </c>
      <c r="CO521" s="311">
        <f t="shared" si="462"/>
        <v>0.95</v>
      </c>
      <c r="CP521" s="213" t="str">
        <f t="shared" si="422"/>
        <v>Đạt</v>
      </c>
      <c r="CQ521" s="213" t="str">
        <f t="shared" si="423"/>
        <v>Đạt</v>
      </c>
      <c r="CR521" s="312"/>
      <c r="CS521" s="312"/>
      <c r="CT521" s="235"/>
      <c r="CU521" s="163"/>
      <c r="CV521" s="323"/>
      <c r="CW521" s="195"/>
      <c r="CX521" s="196"/>
      <c r="CY521" s="196"/>
      <c r="CZ521" s="197"/>
      <c r="DA521" s="196"/>
      <c r="DB521" s="196"/>
      <c r="DC521" s="196"/>
      <c r="DE521" s="199"/>
      <c r="DF521" s="200"/>
      <c r="DG521" s="181"/>
    </row>
    <row r="522" spans="1:111" ht="25.5" outlineLevel="1" x14ac:dyDescent="0.25">
      <c r="A522" s="305" t="s">
        <v>34</v>
      </c>
      <c r="B522" s="306" t="s">
        <v>377</v>
      </c>
      <c r="C522" s="306"/>
      <c r="D522" s="307">
        <f>E522+F522</f>
        <v>4250</v>
      </c>
      <c r="E522" s="307"/>
      <c r="F522" s="307">
        <f>G522+H522+K522+M522</f>
        <v>4250</v>
      </c>
      <c r="G522" s="307"/>
      <c r="H522" s="307">
        <v>4250</v>
      </c>
      <c r="I522" s="235"/>
      <c r="J522" s="235"/>
      <c r="K522" s="303"/>
      <c r="L522" s="235"/>
      <c r="M522" s="223"/>
      <c r="N522" s="223"/>
      <c r="O522" s="303"/>
      <c r="P522" s="303">
        <v>0</v>
      </c>
      <c r="Q522" s="308">
        <f t="shared" si="421"/>
        <v>0</v>
      </c>
      <c r="R522" s="303"/>
      <c r="S522" s="313">
        <v>0</v>
      </c>
      <c r="T522" s="313">
        <v>0</v>
      </c>
      <c r="U522" s="303"/>
      <c r="V522" s="313">
        <v>0</v>
      </c>
      <c r="W522" s="313">
        <v>0</v>
      </c>
      <c r="X522" s="303"/>
      <c r="Y522" s="313">
        <v>0</v>
      </c>
      <c r="Z522" s="313">
        <v>0</v>
      </c>
      <c r="AA522" s="303"/>
      <c r="AB522" s="313">
        <v>0</v>
      </c>
      <c r="AC522" s="313">
        <v>0</v>
      </c>
      <c r="AD522" s="303"/>
      <c r="AE522" s="313">
        <v>0</v>
      </c>
      <c r="AF522" s="313">
        <v>0</v>
      </c>
      <c r="AG522" s="303"/>
      <c r="AH522" s="313">
        <v>0</v>
      </c>
      <c r="AI522" s="313">
        <v>0</v>
      </c>
      <c r="AJ522" s="188"/>
      <c r="AK522" s="313">
        <v>0</v>
      </c>
      <c r="AL522" s="313">
        <v>0</v>
      </c>
      <c r="AM522" s="303"/>
      <c r="AN522" s="313">
        <v>0</v>
      </c>
      <c r="AO522" s="313">
        <v>0</v>
      </c>
      <c r="AP522" s="313"/>
      <c r="AQ522" s="303"/>
      <c r="AR522" s="313">
        <v>0</v>
      </c>
      <c r="AS522" s="313">
        <v>0</v>
      </c>
      <c r="AT522" s="303"/>
      <c r="AU522" s="313">
        <v>0</v>
      </c>
      <c r="AV522" s="313">
        <v>0</v>
      </c>
      <c r="AW522" s="313"/>
      <c r="AX522" s="313"/>
      <c r="AY522" s="313"/>
      <c r="AZ522" s="313"/>
      <c r="BA522" s="313"/>
      <c r="BB522" s="313"/>
      <c r="BC522" s="303"/>
      <c r="BD522" s="313">
        <v>0</v>
      </c>
      <c r="BE522" s="313">
        <v>0</v>
      </c>
      <c r="BF522" s="351"/>
      <c r="BG522" s="351">
        <v>0</v>
      </c>
      <c r="BH522" s="313">
        <v>0</v>
      </c>
      <c r="BI522" s="313">
        <v>0</v>
      </c>
      <c r="BJ522" s="349">
        <f t="shared" si="410"/>
        <v>4037.5</v>
      </c>
      <c r="BK522" s="349">
        <v>168.5</v>
      </c>
      <c r="BL522" s="313">
        <f t="shared" si="411"/>
        <v>3.964705882352941E-2</v>
      </c>
      <c r="BM522" s="313">
        <f t="shared" si="425"/>
        <v>4.173374613003096E-2</v>
      </c>
      <c r="BN522" s="205">
        <f t="shared" si="407"/>
        <v>168.5</v>
      </c>
      <c r="BO522" s="205"/>
      <c r="BP522" s="310"/>
      <c r="BQ522" s="311">
        <f t="shared" si="412"/>
        <v>0</v>
      </c>
      <c r="BR522" s="310"/>
      <c r="BS522" s="311">
        <f t="shared" si="413"/>
        <v>0</v>
      </c>
      <c r="BT522" s="310"/>
      <c r="BU522" s="308">
        <f t="shared" si="414"/>
        <v>0</v>
      </c>
      <c r="BV522" s="310"/>
      <c r="BW522" s="311">
        <f t="shared" si="454"/>
        <v>0</v>
      </c>
      <c r="BX522" s="310"/>
      <c r="BY522" s="311">
        <f t="shared" si="455"/>
        <v>0</v>
      </c>
      <c r="BZ522" s="310">
        <v>500</v>
      </c>
      <c r="CA522" s="311">
        <f t="shared" si="456"/>
        <v>0.11764705882352941</v>
      </c>
      <c r="CB522" s="310">
        <v>1000</v>
      </c>
      <c r="CC522" s="311">
        <f t="shared" si="431"/>
        <v>0.23529411764705882</v>
      </c>
      <c r="CD522" s="310">
        <v>1000</v>
      </c>
      <c r="CE522" s="311">
        <f t="shared" si="457"/>
        <v>0.23529411764705882</v>
      </c>
      <c r="CF522" s="310">
        <v>2000</v>
      </c>
      <c r="CG522" s="311">
        <f t="shared" si="458"/>
        <v>0.47058823529411764</v>
      </c>
      <c r="CH522" s="310">
        <v>3000</v>
      </c>
      <c r="CI522" s="311">
        <f t="shared" si="459"/>
        <v>0.70588235294117652</v>
      </c>
      <c r="CJ522" s="310">
        <v>3200</v>
      </c>
      <c r="CK522" s="311">
        <f t="shared" si="460"/>
        <v>0.75294117647058822</v>
      </c>
      <c r="CL522" s="310">
        <v>4037.5</v>
      </c>
      <c r="CM522" s="311">
        <f t="shared" si="461"/>
        <v>0.95</v>
      </c>
      <c r="CN522" s="310">
        <v>4037.5</v>
      </c>
      <c r="CO522" s="311">
        <f t="shared" si="462"/>
        <v>0.95</v>
      </c>
      <c r="CP522" s="213" t="str">
        <f t="shared" si="422"/>
        <v>Không đạt</v>
      </c>
      <c r="CQ522" s="213" t="str">
        <f t="shared" si="423"/>
        <v>Không đạt</v>
      </c>
      <c r="CR522" s="312"/>
      <c r="CS522" s="312"/>
      <c r="CT522" s="235"/>
      <c r="CU522" s="163"/>
      <c r="CW522" s="195"/>
      <c r="CX522" s="196"/>
      <c r="CY522" s="196"/>
      <c r="CZ522" s="197"/>
      <c r="DA522" s="196"/>
      <c r="DB522" s="196"/>
      <c r="DC522" s="196"/>
      <c r="DE522" s="199"/>
      <c r="DF522" s="200"/>
      <c r="DG522" s="181"/>
    </row>
    <row r="523" spans="1:111" ht="18" customHeight="1" x14ac:dyDescent="0.25">
      <c r="A523" s="213">
        <f>MAX(A$243:A520)+1</f>
        <v>78</v>
      </c>
      <c r="B523" s="240" t="s">
        <v>490</v>
      </c>
      <c r="C523" s="240"/>
      <c r="D523" s="188">
        <f t="shared" ref="D523:I523" si="464">D524+D525</f>
        <v>3170</v>
      </c>
      <c r="E523" s="188">
        <f t="shared" si="464"/>
        <v>0</v>
      </c>
      <c r="F523" s="188">
        <f t="shared" si="464"/>
        <v>3170</v>
      </c>
      <c r="G523" s="188">
        <f t="shared" si="464"/>
        <v>3000</v>
      </c>
      <c r="H523" s="188">
        <f t="shared" si="464"/>
        <v>170</v>
      </c>
      <c r="I523" s="188">
        <f t="shared" si="464"/>
        <v>0</v>
      </c>
      <c r="J523" s="188"/>
      <c r="K523" s="188">
        <f>K524+K525</f>
        <v>0</v>
      </c>
      <c r="L523" s="188">
        <f>L524+L525</f>
        <v>0</v>
      </c>
      <c r="M523" s="188">
        <f>M524+M525</f>
        <v>0</v>
      </c>
      <c r="N523" s="188">
        <f>N524+N525</f>
        <v>0</v>
      </c>
      <c r="O523" s="188">
        <f>O524+O525</f>
        <v>3000</v>
      </c>
      <c r="P523" s="188">
        <v>0</v>
      </c>
      <c r="Q523" s="186">
        <f t="shared" si="421"/>
        <v>0</v>
      </c>
      <c r="R523" s="188">
        <v>0</v>
      </c>
      <c r="S523" s="185">
        <v>0</v>
      </c>
      <c r="T523" s="185">
        <v>0</v>
      </c>
      <c r="U523" s="188">
        <v>0</v>
      </c>
      <c r="V523" s="185">
        <v>0</v>
      </c>
      <c r="W523" s="185">
        <v>0</v>
      </c>
      <c r="X523" s="188">
        <v>0</v>
      </c>
      <c r="Y523" s="185">
        <v>0</v>
      </c>
      <c r="Z523" s="185">
        <v>0</v>
      </c>
      <c r="AA523" s="188">
        <v>0</v>
      </c>
      <c r="AB523" s="185">
        <v>0</v>
      </c>
      <c r="AC523" s="185">
        <v>0</v>
      </c>
      <c r="AD523" s="188">
        <v>0</v>
      </c>
      <c r="AE523" s="185">
        <v>0</v>
      </c>
      <c r="AF523" s="185">
        <v>0</v>
      </c>
      <c r="AG523" s="188">
        <v>0</v>
      </c>
      <c r="AH523" s="185">
        <v>0</v>
      </c>
      <c r="AI523" s="185">
        <v>0</v>
      </c>
      <c r="AJ523" s="303">
        <v>0</v>
      </c>
      <c r="AK523" s="185">
        <v>0</v>
      </c>
      <c r="AL523" s="185">
        <v>0</v>
      </c>
      <c r="AM523" s="188">
        <v>0</v>
      </c>
      <c r="AN523" s="185">
        <v>0</v>
      </c>
      <c r="AO523" s="185">
        <v>0</v>
      </c>
      <c r="AP523" s="185"/>
      <c r="AQ523" s="188">
        <v>946.72699999999998</v>
      </c>
      <c r="AR523" s="185">
        <v>0.2986520504731861</v>
      </c>
      <c r="AS523" s="185">
        <v>0.31437057944545904</v>
      </c>
      <c r="AT523" s="188">
        <v>946.72699999999998</v>
      </c>
      <c r="AU523" s="185">
        <v>0.2986520504731861</v>
      </c>
      <c r="AV523" s="185">
        <v>0.31437057944545904</v>
      </c>
      <c r="AW523" s="185"/>
      <c r="AX523" s="185"/>
      <c r="AY523" s="185"/>
      <c r="AZ523" s="185"/>
      <c r="BA523" s="185"/>
      <c r="BB523" s="185"/>
      <c r="BC523" s="188">
        <v>946.72699999999998</v>
      </c>
      <c r="BD523" s="185">
        <v>0.2986520504731861</v>
      </c>
      <c r="BE523" s="185">
        <v>0.31437057944545904</v>
      </c>
      <c r="BF523" s="352"/>
      <c r="BG523" s="352">
        <v>946.72699999999998</v>
      </c>
      <c r="BH523" s="185">
        <v>0.2986520504731861</v>
      </c>
      <c r="BI523" s="185">
        <v>0.31437057944545904</v>
      </c>
      <c r="BJ523" s="374">
        <f t="shared" si="410"/>
        <v>3011.5</v>
      </c>
      <c r="BK523" s="374">
        <v>2822.491</v>
      </c>
      <c r="BL523" s="185">
        <f t="shared" si="411"/>
        <v>0.89037570977917979</v>
      </c>
      <c r="BM523" s="185">
        <f t="shared" si="425"/>
        <v>0.9372375892412419</v>
      </c>
      <c r="BN523" s="205">
        <f t="shared" si="407"/>
        <v>2822.491</v>
      </c>
      <c r="BO523" s="205"/>
      <c r="BP523" s="189">
        <f>BP524+BP525</f>
        <v>0</v>
      </c>
      <c r="BQ523" s="186">
        <f t="shared" si="412"/>
        <v>0</v>
      </c>
      <c r="BR523" s="189">
        <f>BR524+BR525</f>
        <v>0</v>
      </c>
      <c r="BS523" s="186">
        <f t="shared" si="413"/>
        <v>0</v>
      </c>
      <c r="BT523" s="189">
        <f>BT524+BT525</f>
        <v>317</v>
      </c>
      <c r="BU523" s="186">
        <f t="shared" si="414"/>
        <v>0.1</v>
      </c>
      <c r="BV523" s="189">
        <f>BV524+BV525</f>
        <v>634</v>
      </c>
      <c r="BW523" s="186">
        <f t="shared" si="454"/>
        <v>0.2</v>
      </c>
      <c r="BX523" s="189">
        <f>BX524+BX525</f>
        <v>951</v>
      </c>
      <c r="BY523" s="186">
        <f t="shared" si="455"/>
        <v>0.3</v>
      </c>
      <c r="BZ523" s="189">
        <f>BZ524+BZ525</f>
        <v>1268</v>
      </c>
      <c r="CA523" s="186">
        <f t="shared" si="456"/>
        <v>0.4</v>
      </c>
      <c r="CB523" s="189">
        <f>CB524+CB525</f>
        <v>1585</v>
      </c>
      <c r="CC523" s="186">
        <f t="shared" si="431"/>
        <v>0.5</v>
      </c>
      <c r="CD523" s="189">
        <f>CD524+CD525</f>
        <v>1743.5000000000002</v>
      </c>
      <c r="CE523" s="186">
        <f t="shared" si="457"/>
        <v>0.55000000000000004</v>
      </c>
      <c r="CF523" s="189">
        <f>CF524+CF525</f>
        <v>1919</v>
      </c>
      <c r="CG523" s="186">
        <f t="shared" si="458"/>
        <v>0.60536277602523658</v>
      </c>
      <c r="CH523" s="189">
        <f>CH524+CH525</f>
        <v>2219</v>
      </c>
      <c r="CI523" s="186">
        <f t="shared" si="459"/>
        <v>0.7</v>
      </c>
      <c r="CJ523" s="189">
        <f>CJ524+CJ525</f>
        <v>2377.5</v>
      </c>
      <c r="CK523" s="186">
        <f t="shared" si="460"/>
        <v>0.75</v>
      </c>
      <c r="CL523" s="189">
        <f>CL524+CL525</f>
        <v>2536</v>
      </c>
      <c r="CM523" s="186">
        <f t="shared" si="461"/>
        <v>0.8</v>
      </c>
      <c r="CN523" s="189">
        <f>CN524+CN525</f>
        <v>3011.5</v>
      </c>
      <c r="CO523" s="186">
        <f t="shared" si="462"/>
        <v>0.95</v>
      </c>
      <c r="CP523" s="213" t="str">
        <f t="shared" si="422"/>
        <v>Đạt</v>
      </c>
      <c r="CQ523" s="213" t="str">
        <f t="shared" si="423"/>
        <v>Đạt</v>
      </c>
      <c r="CR523" s="213"/>
      <c r="CS523" s="213"/>
      <c r="CT523" s="231"/>
      <c r="CU523" s="163"/>
      <c r="CW523" s="195"/>
      <c r="CX523" s="196"/>
      <c r="CY523" s="196"/>
      <c r="CZ523" s="197"/>
      <c r="DA523" s="196"/>
      <c r="DB523" s="196"/>
      <c r="DC523" s="196"/>
      <c r="DE523" s="199"/>
      <c r="DF523" s="200"/>
      <c r="DG523" s="181"/>
    </row>
    <row r="524" spans="1:111" s="324" customFormat="1" outlineLevel="1" x14ac:dyDescent="0.25">
      <c r="A524" s="305" t="s">
        <v>34</v>
      </c>
      <c r="B524" s="306" t="s">
        <v>376</v>
      </c>
      <c r="C524" s="306"/>
      <c r="D524" s="307">
        <f>E524+F524</f>
        <v>3000</v>
      </c>
      <c r="E524" s="307"/>
      <c r="F524" s="307">
        <f>G524+H524+K524+M524</f>
        <v>3000</v>
      </c>
      <c r="G524" s="303">
        <v>3000</v>
      </c>
      <c r="H524" s="303"/>
      <c r="I524" s="235"/>
      <c r="J524" s="235"/>
      <c r="K524" s="303"/>
      <c r="L524" s="235"/>
      <c r="M524" s="223"/>
      <c r="N524" s="223"/>
      <c r="O524" s="303">
        <f>G524+I524+L524+N524</f>
        <v>3000</v>
      </c>
      <c r="P524" s="303">
        <v>0</v>
      </c>
      <c r="Q524" s="308">
        <f t="shared" si="421"/>
        <v>0</v>
      </c>
      <c r="R524" s="303"/>
      <c r="S524" s="309">
        <v>0</v>
      </c>
      <c r="T524" s="309">
        <v>0</v>
      </c>
      <c r="U524" s="303"/>
      <c r="V524" s="309">
        <v>0</v>
      </c>
      <c r="W524" s="309">
        <v>0</v>
      </c>
      <c r="X524" s="303"/>
      <c r="Y524" s="309">
        <v>0</v>
      </c>
      <c r="Z524" s="309">
        <v>0</v>
      </c>
      <c r="AA524" s="303"/>
      <c r="AB524" s="309">
        <v>0</v>
      </c>
      <c r="AC524" s="309">
        <v>0</v>
      </c>
      <c r="AD524" s="303"/>
      <c r="AE524" s="309">
        <v>0</v>
      </c>
      <c r="AF524" s="309">
        <v>0</v>
      </c>
      <c r="AG524" s="303"/>
      <c r="AH524" s="309">
        <v>0</v>
      </c>
      <c r="AI524" s="309">
        <v>0</v>
      </c>
      <c r="AJ524" s="303"/>
      <c r="AK524" s="309">
        <v>0</v>
      </c>
      <c r="AL524" s="309">
        <v>0</v>
      </c>
      <c r="AM524" s="303"/>
      <c r="AN524" s="309">
        <v>0</v>
      </c>
      <c r="AO524" s="309">
        <v>0</v>
      </c>
      <c r="AP524" s="309"/>
      <c r="AQ524" s="303">
        <v>946.72699999999998</v>
      </c>
      <c r="AR524" s="309">
        <v>0.31557566666666664</v>
      </c>
      <c r="AS524" s="309">
        <v>0.33218491228070174</v>
      </c>
      <c r="AT524" s="303">
        <v>946.72699999999998</v>
      </c>
      <c r="AU524" s="309">
        <v>0.31557566666666664</v>
      </c>
      <c r="AV524" s="309">
        <v>0.33218491228070174</v>
      </c>
      <c r="AW524" s="309"/>
      <c r="AX524" s="309"/>
      <c r="AY524" s="309"/>
      <c r="AZ524" s="309"/>
      <c r="BA524" s="309"/>
      <c r="BB524" s="309"/>
      <c r="BC524" s="303">
        <v>946.72699999999998</v>
      </c>
      <c r="BD524" s="309">
        <v>0.31557566666666664</v>
      </c>
      <c r="BE524" s="309">
        <v>0.33218491228070174</v>
      </c>
      <c r="BF524" s="351"/>
      <c r="BG524" s="351">
        <v>946.72699999999998</v>
      </c>
      <c r="BH524" s="309">
        <v>0.31557566666666664</v>
      </c>
      <c r="BI524" s="309">
        <v>0.33218491228070174</v>
      </c>
      <c r="BJ524" s="349">
        <f t="shared" si="410"/>
        <v>2850</v>
      </c>
      <c r="BK524" s="349">
        <v>2822.491</v>
      </c>
      <c r="BL524" s="309">
        <f t="shared" si="411"/>
        <v>0.94083033333333332</v>
      </c>
      <c r="BM524" s="309">
        <f t="shared" si="425"/>
        <v>0.99034771929824561</v>
      </c>
      <c r="BN524" s="205">
        <f t="shared" si="407"/>
        <v>2822.491</v>
      </c>
      <c r="BO524" s="205"/>
      <c r="BP524" s="310"/>
      <c r="BQ524" s="308">
        <f t="shared" si="412"/>
        <v>0</v>
      </c>
      <c r="BR524" s="310"/>
      <c r="BS524" s="308">
        <f t="shared" si="413"/>
        <v>0</v>
      </c>
      <c r="BT524" s="310">
        <f>$F524*0.1</f>
        <v>300</v>
      </c>
      <c r="BU524" s="308">
        <f t="shared" si="414"/>
        <v>0.1</v>
      </c>
      <c r="BV524" s="310">
        <f>$F524*0.2</f>
        <v>600</v>
      </c>
      <c r="BW524" s="308">
        <f t="shared" si="454"/>
        <v>0.2</v>
      </c>
      <c r="BX524" s="310">
        <f>$F524*0.3</f>
        <v>900</v>
      </c>
      <c r="BY524" s="308">
        <f t="shared" si="455"/>
        <v>0.3</v>
      </c>
      <c r="BZ524" s="310">
        <f>$F524*0.4</f>
        <v>1200</v>
      </c>
      <c r="CA524" s="308">
        <f t="shared" si="456"/>
        <v>0.4</v>
      </c>
      <c r="CB524" s="310">
        <f>$F524*0.5</f>
        <v>1500</v>
      </c>
      <c r="CC524" s="308">
        <f t="shared" si="431"/>
        <v>0.5</v>
      </c>
      <c r="CD524" s="310">
        <f>$F524*0.55</f>
        <v>1650.0000000000002</v>
      </c>
      <c r="CE524" s="308">
        <f t="shared" si="457"/>
        <v>0.55000000000000004</v>
      </c>
      <c r="CF524" s="310">
        <f>$F524*0.6</f>
        <v>1800</v>
      </c>
      <c r="CG524" s="308">
        <f t="shared" si="458"/>
        <v>0.6</v>
      </c>
      <c r="CH524" s="310">
        <f>$F524*0.7</f>
        <v>2100</v>
      </c>
      <c r="CI524" s="308">
        <f t="shared" si="459"/>
        <v>0.7</v>
      </c>
      <c r="CJ524" s="310">
        <f>$F524*0.75</f>
        <v>2250</v>
      </c>
      <c r="CK524" s="308">
        <f t="shared" si="460"/>
        <v>0.75</v>
      </c>
      <c r="CL524" s="310">
        <f>$F524*0.8</f>
        <v>2400</v>
      </c>
      <c r="CM524" s="308">
        <f t="shared" si="461"/>
        <v>0.8</v>
      </c>
      <c r="CN524" s="310">
        <f>$F524*0.95</f>
        <v>2850</v>
      </c>
      <c r="CO524" s="308">
        <f t="shared" si="462"/>
        <v>0.95</v>
      </c>
      <c r="CP524" s="213" t="str">
        <f t="shared" si="422"/>
        <v>Đạt</v>
      </c>
      <c r="CQ524" s="213" t="str">
        <f t="shared" si="423"/>
        <v>Đạt</v>
      </c>
      <c r="CR524" s="312"/>
      <c r="CS524" s="312"/>
      <c r="CT524" s="235"/>
      <c r="CU524" s="163"/>
      <c r="CV524" s="323"/>
      <c r="CW524" s="195"/>
      <c r="CX524" s="196"/>
      <c r="CY524" s="196"/>
      <c r="CZ524" s="197"/>
      <c r="DA524" s="196"/>
      <c r="DB524" s="196"/>
      <c r="DC524" s="196"/>
      <c r="DE524" s="199"/>
      <c r="DF524" s="200"/>
      <c r="DG524" s="181"/>
    </row>
    <row r="525" spans="1:111" ht="25.5" outlineLevel="1" x14ac:dyDescent="0.25">
      <c r="A525" s="305" t="s">
        <v>34</v>
      </c>
      <c r="B525" s="306" t="s">
        <v>377</v>
      </c>
      <c r="C525" s="306"/>
      <c r="D525" s="307">
        <f>E525+F525</f>
        <v>170</v>
      </c>
      <c r="E525" s="307"/>
      <c r="F525" s="307">
        <f>G525+H525+K525+M525</f>
        <v>170</v>
      </c>
      <c r="G525" s="307"/>
      <c r="H525" s="307">
        <v>170</v>
      </c>
      <c r="I525" s="235"/>
      <c r="J525" s="235"/>
      <c r="K525" s="303"/>
      <c r="L525" s="235"/>
      <c r="M525" s="223"/>
      <c r="N525" s="223"/>
      <c r="O525" s="303"/>
      <c r="P525" s="303">
        <v>0</v>
      </c>
      <c r="Q525" s="308">
        <f t="shared" si="421"/>
        <v>0</v>
      </c>
      <c r="R525" s="303"/>
      <c r="S525" s="309">
        <v>0</v>
      </c>
      <c r="T525" s="309">
        <v>0</v>
      </c>
      <c r="U525" s="303"/>
      <c r="V525" s="309">
        <v>0</v>
      </c>
      <c r="W525" s="309">
        <v>0</v>
      </c>
      <c r="X525" s="303"/>
      <c r="Y525" s="309">
        <v>0</v>
      </c>
      <c r="Z525" s="309">
        <v>0</v>
      </c>
      <c r="AA525" s="303"/>
      <c r="AB525" s="309">
        <v>0</v>
      </c>
      <c r="AC525" s="309">
        <v>0</v>
      </c>
      <c r="AD525" s="303"/>
      <c r="AE525" s="309">
        <v>0</v>
      </c>
      <c r="AF525" s="309">
        <v>0</v>
      </c>
      <c r="AG525" s="303"/>
      <c r="AH525" s="309">
        <v>0</v>
      </c>
      <c r="AI525" s="309">
        <v>0</v>
      </c>
      <c r="AJ525" s="304"/>
      <c r="AK525" s="309">
        <v>0</v>
      </c>
      <c r="AL525" s="309">
        <v>0</v>
      </c>
      <c r="AM525" s="303"/>
      <c r="AN525" s="309">
        <v>0</v>
      </c>
      <c r="AO525" s="309">
        <v>0</v>
      </c>
      <c r="AP525" s="309"/>
      <c r="AQ525" s="303"/>
      <c r="AR525" s="309">
        <v>0</v>
      </c>
      <c r="AS525" s="309">
        <v>0</v>
      </c>
      <c r="AT525" s="303"/>
      <c r="AU525" s="309">
        <v>0</v>
      </c>
      <c r="AV525" s="309">
        <v>0</v>
      </c>
      <c r="AW525" s="309"/>
      <c r="AX525" s="309"/>
      <c r="AY525" s="309"/>
      <c r="AZ525" s="309"/>
      <c r="BA525" s="309"/>
      <c r="BB525" s="309"/>
      <c r="BC525" s="303"/>
      <c r="BD525" s="309">
        <v>0</v>
      </c>
      <c r="BE525" s="309">
        <v>0</v>
      </c>
      <c r="BF525" s="351"/>
      <c r="BG525" s="351">
        <v>0</v>
      </c>
      <c r="BH525" s="309">
        <v>0</v>
      </c>
      <c r="BI525" s="309">
        <v>0</v>
      </c>
      <c r="BJ525" s="349">
        <f t="shared" si="410"/>
        <v>161.5</v>
      </c>
      <c r="BK525" s="349">
        <v>0</v>
      </c>
      <c r="BL525" s="309">
        <f t="shared" si="411"/>
        <v>0</v>
      </c>
      <c r="BM525" s="309">
        <f t="shared" si="425"/>
        <v>0</v>
      </c>
      <c r="BN525" s="205">
        <f t="shared" ref="BN525:BN587" si="465">BK525-AD525</f>
        <v>0</v>
      </c>
      <c r="BO525" s="205"/>
      <c r="BP525" s="310"/>
      <c r="BQ525" s="308">
        <f t="shared" si="412"/>
        <v>0</v>
      </c>
      <c r="BR525" s="310"/>
      <c r="BS525" s="308">
        <f t="shared" si="413"/>
        <v>0</v>
      </c>
      <c r="BT525" s="310">
        <f>$F525*0.1</f>
        <v>17</v>
      </c>
      <c r="BU525" s="308">
        <f t="shared" si="414"/>
        <v>0.1</v>
      </c>
      <c r="BV525" s="310">
        <f>$F525*0.2</f>
        <v>34</v>
      </c>
      <c r="BW525" s="308">
        <f t="shared" si="454"/>
        <v>0.2</v>
      </c>
      <c r="BX525" s="310">
        <f>$F525*0.3</f>
        <v>51</v>
      </c>
      <c r="BY525" s="308">
        <f t="shared" si="455"/>
        <v>0.3</v>
      </c>
      <c r="BZ525" s="310">
        <f>$F525*0.4</f>
        <v>68</v>
      </c>
      <c r="CA525" s="308">
        <f t="shared" si="456"/>
        <v>0.4</v>
      </c>
      <c r="CB525" s="310">
        <f>$F525*0.5</f>
        <v>85</v>
      </c>
      <c r="CC525" s="308">
        <f t="shared" si="431"/>
        <v>0.5</v>
      </c>
      <c r="CD525" s="310">
        <f>$F525*0.55</f>
        <v>93.500000000000014</v>
      </c>
      <c r="CE525" s="308">
        <f t="shared" si="457"/>
        <v>0.55000000000000004</v>
      </c>
      <c r="CF525" s="310">
        <v>118.99999999999999</v>
      </c>
      <c r="CG525" s="308">
        <f t="shared" si="458"/>
        <v>0.7</v>
      </c>
      <c r="CH525" s="310">
        <f>$F525*0.7</f>
        <v>118.99999999999999</v>
      </c>
      <c r="CI525" s="308">
        <f t="shared" si="459"/>
        <v>0.7</v>
      </c>
      <c r="CJ525" s="310">
        <f>$F525*0.75</f>
        <v>127.5</v>
      </c>
      <c r="CK525" s="308">
        <f t="shared" si="460"/>
        <v>0.75</v>
      </c>
      <c r="CL525" s="310">
        <f>$F525*0.8</f>
        <v>136</v>
      </c>
      <c r="CM525" s="308">
        <f t="shared" si="461"/>
        <v>0.8</v>
      </c>
      <c r="CN525" s="310">
        <f>$F525*0.95</f>
        <v>161.5</v>
      </c>
      <c r="CO525" s="308">
        <f t="shared" si="462"/>
        <v>0.95</v>
      </c>
      <c r="CP525" s="213" t="str">
        <f t="shared" si="422"/>
        <v>Không đạt</v>
      </c>
      <c r="CQ525" s="213" t="str">
        <f t="shared" si="423"/>
        <v>Không đạt</v>
      </c>
      <c r="CR525" s="312"/>
      <c r="CS525" s="312"/>
      <c r="CT525" s="235"/>
      <c r="CU525" s="163"/>
      <c r="CW525" s="195"/>
      <c r="CX525" s="196"/>
      <c r="CY525" s="196"/>
      <c r="CZ525" s="197"/>
      <c r="DA525" s="196"/>
      <c r="DB525" s="196"/>
      <c r="DC525" s="196"/>
      <c r="DE525" s="199"/>
      <c r="DF525" s="200"/>
      <c r="DG525" s="181"/>
    </row>
    <row r="526" spans="1:111" ht="18" customHeight="1" x14ac:dyDescent="0.25">
      <c r="A526" s="213">
        <f>MAX(A$243:A523)+1</f>
        <v>79</v>
      </c>
      <c r="B526" s="240" t="s">
        <v>491</v>
      </c>
      <c r="C526" s="240"/>
      <c r="D526" s="188">
        <f t="shared" ref="D526:I526" si="466">D527+D528</f>
        <v>3043</v>
      </c>
      <c r="E526" s="188">
        <f t="shared" si="466"/>
        <v>0</v>
      </c>
      <c r="F526" s="188">
        <f t="shared" si="466"/>
        <v>3043</v>
      </c>
      <c r="G526" s="188">
        <f t="shared" si="466"/>
        <v>3000</v>
      </c>
      <c r="H526" s="188">
        <f t="shared" si="466"/>
        <v>43</v>
      </c>
      <c r="I526" s="188">
        <f t="shared" si="466"/>
        <v>0</v>
      </c>
      <c r="J526" s="188"/>
      <c r="K526" s="188">
        <f>K527+K528</f>
        <v>0</v>
      </c>
      <c r="L526" s="188">
        <f>L527+L528</f>
        <v>0</v>
      </c>
      <c r="M526" s="188">
        <f>M527+M528</f>
        <v>0</v>
      </c>
      <c r="N526" s="188">
        <f>N527+N528</f>
        <v>0</v>
      </c>
      <c r="O526" s="188">
        <f>O527+O528</f>
        <v>3000</v>
      </c>
      <c r="P526" s="188">
        <v>0</v>
      </c>
      <c r="Q526" s="186">
        <f t="shared" si="421"/>
        <v>0</v>
      </c>
      <c r="R526" s="189">
        <v>589.83000000000004</v>
      </c>
      <c r="S526" s="185">
        <v>0.1938317449884982</v>
      </c>
      <c r="T526" s="185">
        <v>0.20403341577736653</v>
      </c>
      <c r="U526" s="304">
        <v>589.83000000000004</v>
      </c>
      <c r="V526" s="185">
        <v>0.1938317449884982</v>
      </c>
      <c r="W526" s="185">
        <v>0.20403341577736653</v>
      </c>
      <c r="X526" s="304">
        <v>589.83000000000004</v>
      </c>
      <c r="Y526" s="185">
        <v>0.1938317449884982</v>
      </c>
      <c r="Z526" s="185">
        <v>0.20403341577736653</v>
      </c>
      <c r="AA526" s="304">
        <v>589.83000000000004</v>
      </c>
      <c r="AB526" s="185">
        <v>0.1938317449884982</v>
      </c>
      <c r="AC526" s="185">
        <v>0.20403341577736653</v>
      </c>
      <c r="AD526" s="304">
        <v>1840.24</v>
      </c>
      <c r="AE526" s="185">
        <v>0.60474531712126189</v>
      </c>
      <c r="AF526" s="185">
        <v>0.63657401802238101</v>
      </c>
      <c r="AG526" s="304">
        <v>1840.24</v>
      </c>
      <c r="AH526" s="185">
        <v>0.60474531712126189</v>
      </c>
      <c r="AI526" s="185">
        <v>0.63657401802238101</v>
      </c>
      <c r="AJ526" s="307">
        <v>1840.24</v>
      </c>
      <c r="AK526" s="185">
        <v>0.60474531712126189</v>
      </c>
      <c r="AL526" s="185">
        <v>0.63657401802238101</v>
      </c>
      <c r="AM526" s="304">
        <v>1840.24</v>
      </c>
      <c r="AN526" s="185">
        <v>0.60474531712126189</v>
      </c>
      <c r="AO526" s="185">
        <v>0.63657401802238101</v>
      </c>
      <c r="AP526" s="185"/>
      <c r="AQ526" s="189">
        <v>2793</v>
      </c>
      <c r="AR526" s="185">
        <v>0.91784423266513304</v>
      </c>
      <c r="AS526" s="185">
        <v>0.96615182385803489</v>
      </c>
      <c r="AT526" s="189">
        <v>2793</v>
      </c>
      <c r="AU526" s="185">
        <v>0.91784423266513304</v>
      </c>
      <c r="AV526" s="185">
        <v>0.96615182385803489</v>
      </c>
      <c r="AW526" s="185"/>
      <c r="AX526" s="185"/>
      <c r="AY526" s="185"/>
      <c r="AZ526" s="185"/>
      <c r="BA526" s="185"/>
      <c r="BB526" s="185"/>
      <c r="BC526" s="189">
        <v>2793</v>
      </c>
      <c r="BD526" s="185">
        <v>0.91784423266513304</v>
      </c>
      <c r="BE526" s="185">
        <v>0.96615182385803489</v>
      </c>
      <c r="BF526" s="352"/>
      <c r="BG526" s="352">
        <v>2793</v>
      </c>
      <c r="BH526" s="185">
        <v>0.91784423266513304</v>
      </c>
      <c r="BI526" s="185">
        <v>0.96615182385803489</v>
      </c>
      <c r="BJ526" s="374">
        <f t="shared" si="410"/>
        <v>2890.85</v>
      </c>
      <c r="BK526" s="374">
        <v>2833.85</v>
      </c>
      <c r="BL526" s="185">
        <f t="shared" si="411"/>
        <v>0.93126848504765036</v>
      </c>
      <c r="BM526" s="185">
        <f t="shared" si="425"/>
        <v>0.98028261583963194</v>
      </c>
      <c r="BN526" s="205">
        <f t="shared" si="465"/>
        <v>993.6099999999999</v>
      </c>
      <c r="BO526" s="205"/>
      <c r="BP526" s="189">
        <f>BP527+BP528</f>
        <v>0</v>
      </c>
      <c r="BQ526" s="186">
        <f t="shared" si="412"/>
        <v>0</v>
      </c>
      <c r="BR526" s="189">
        <f>BR527+BR528</f>
        <v>0</v>
      </c>
      <c r="BS526" s="186">
        <f t="shared" si="413"/>
        <v>0</v>
      </c>
      <c r="BT526" s="189">
        <f>BT527+BT528</f>
        <v>304.3</v>
      </c>
      <c r="BU526" s="186">
        <f t="shared" si="414"/>
        <v>0.1</v>
      </c>
      <c r="BV526" s="189">
        <f>BV527+BV528</f>
        <v>608.6</v>
      </c>
      <c r="BW526" s="186">
        <f t="shared" si="454"/>
        <v>0.2</v>
      </c>
      <c r="BX526" s="189">
        <f>BX527+BX528</f>
        <v>912.9</v>
      </c>
      <c r="BY526" s="186">
        <f t="shared" si="455"/>
        <v>0.3</v>
      </c>
      <c r="BZ526" s="189">
        <f>BZ527+BZ528</f>
        <v>1217.2</v>
      </c>
      <c r="CA526" s="186">
        <f t="shared" si="456"/>
        <v>0.4</v>
      </c>
      <c r="CB526" s="189">
        <f>CB527+CB528</f>
        <v>1521.5</v>
      </c>
      <c r="CC526" s="186">
        <f t="shared" si="431"/>
        <v>0.5</v>
      </c>
      <c r="CD526" s="189">
        <f>CD527+CD528</f>
        <v>1673.6500000000003</v>
      </c>
      <c r="CE526" s="186">
        <f t="shared" si="457"/>
        <v>0.55000000000000016</v>
      </c>
      <c r="CF526" s="189">
        <f>CF527+CF528</f>
        <v>2130.1</v>
      </c>
      <c r="CG526" s="186">
        <f t="shared" si="458"/>
        <v>0.7</v>
      </c>
      <c r="CH526" s="189">
        <f>CH527+CH528</f>
        <v>2130.1</v>
      </c>
      <c r="CI526" s="186">
        <f t="shared" si="459"/>
        <v>0.7</v>
      </c>
      <c r="CJ526" s="189">
        <f>CJ527+CJ528</f>
        <v>2282.25</v>
      </c>
      <c r="CK526" s="186">
        <f t="shared" si="460"/>
        <v>0.75</v>
      </c>
      <c r="CL526" s="189">
        <f>CL527+CL528</f>
        <v>2434.4</v>
      </c>
      <c r="CM526" s="186">
        <f t="shared" si="461"/>
        <v>0.8</v>
      </c>
      <c r="CN526" s="189">
        <f>CN527+CN528</f>
        <v>2890.85</v>
      </c>
      <c r="CO526" s="186">
        <f t="shared" si="462"/>
        <v>0.95</v>
      </c>
      <c r="CP526" s="213" t="str">
        <f t="shared" si="422"/>
        <v>Đạt</v>
      </c>
      <c r="CQ526" s="213" t="str">
        <f t="shared" si="423"/>
        <v>Đạt</v>
      </c>
      <c r="CR526" s="213"/>
      <c r="CS526" s="213"/>
      <c r="CT526" s="231"/>
      <c r="CU526" s="163"/>
      <c r="CW526" s="195"/>
      <c r="CX526" s="196"/>
      <c r="CY526" s="196"/>
      <c r="CZ526" s="197"/>
      <c r="DA526" s="196"/>
      <c r="DB526" s="196"/>
      <c r="DC526" s="196"/>
      <c r="DE526" s="199"/>
      <c r="DF526" s="200"/>
      <c r="DG526" s="181"/>
    </row>
    <row r="527" spans="1:111" s="324" customFormat="1" outlineLevel="1" x14ac:dyDescent="0.25">
      <c r="A527" s="305" t="s">
        <v>34</v>
      </c>
      <c r="B527" s="306" t="s">
        <v>376</v>
      </c>
      <c r="C527" s="306"/>
      <c r="D527" s="307">
        <f>E527+F527</f>
        <v>3000</v>
      </c>
      <c r="E527" s="307"/>
      <c r="F527" s="307">
        <f>G527+H527+K527+M527</f>
        <v>3000</v>
      </c>
      <c r="G527" s="303">
        <v>3000</v>
      </c>
      <c r="H527" s="303"/>
      <c r="I527" s="235"/>
      <c r="J527" s="235"/>
      <c r="K527" s="303"/>
      <c r="L527" s="235"/>
      <c r="M527" s="223"/>
      <c r="N527" s="223"/>
      <c r="O527" s="303">
        <f>G527+I527+L527+N527</f>
        <v>3000</v>
      </c>
      <c r="P527" s="303">
        <v>0</v>
      </c>
      <c r="Q527" s="308">
        <f t="shared" si="421"/>
        <v>0</v>
      </c>
      <c r="R527" s="303">
        <v>589.83000000000004</v>
      </c>
      <c r="S527" s="309">
        <v>0.19661000000000001</v>
      </c>
      <c r="T527" s="309">
        <v>0.20695789473684212</v>
      </c>
      <c r="U527" s="303">
        <v>589.83000000000004</v>
      </c>
      <c r="V527" s="309">
        <v>0.19661000000000001</v>
      </c>
      <c r="W527" s="309">
        <v>0.20695789473684212</v>
      </c>
      <c r="X527" s="303">
        <v>589.83000000000004</v>
      </c>
      <c r="Y527" s="309">
        <v>0.19661000000000001</v>
      </c>
      <c r="Z527" s="309">
        <v>0.20695789473684212</v>
      </c>
      <c r="AA527" s="303">
        <v>589.83000000000004</v>
      </c>
      <c r="AB527" s="309">
        <v>0.19661000000000001</v>
      </c>
      <c r="AC527" s="309">
        <v>0.20695789473684212</v>
      </c>
      <c r="AD527" s="303">
        <v>1840.24</v>
      </c>
      <c r="AE527" s="309">
        <v>0.61341333333333337</v>
      </c>
      <c r="AF527" s="309">
        <v>0.6456982456140351</v>
      </c>
      <c r="AG527" s="307">
        <v>1840.24</v>
      </c>
      <c r="AH527" s="309">
        <v>0.61341333333333337</v>
      </c>
      <c r="AI527" s="309">
        <v>0.6456982456140351</v>
      </c>
      <c r="AJ527" s="303">
        <v>1840.24</v>
      </c>
      <c r="AK527" s="309">
        <v>0.61341333333333337</v>
      </c>
      <c r="AL527" s="309">
        <v>0.6456982456140351</v>
      </c>
      <c r="AM527" s="307">
        <v>1840.24</v>
      </c>
      <c r="AN527" s="309">
        <v>0.61341333333333337</v>
      </c>
      <c r="AO527" s="309">
        <v>0.6456982456140351</v>
      </c>
      <c r="AP527" s="309"/>
      <c r="AQ527" s="307">
        <v>2793</v>
      </c>
      <c r="AR527" s="309">
        <v>0.93100000000000005</v>
      </c>
      <c r="AS527" s="309">
        <v>0.98</v>
      </c>
      <c r="AT527" s="307">
        <v>2793</v>
      </c>
      <c r="AU527" s="309">
        <v>0.93100000000000005</v>
      </c>
      <c r="AV527" s="309">
        <v>0.98</v>
      </c>
      <c r="AW527" s="309"/>
      <c r="AX527" s="309"/>
      <c r="AY527" s="309"/>
      <c r="AZ527" s="309"/>
      <c r="BA527" s="309"/>
      <c r="BB527" s="309"/>
      <c r="BC527" s="307">
        <v>2793</v>
      </c>
      <c r="BD527" s="309">
        <v>0.93100000000000005</v>
      </c>
      <c r="BE527" s="309">
        <v>0.98</v>
      </c>
      <c r="BF527" s="351"/>
      <c r="BG527" s="351">
        <v>2793</v>
      </c>
      <c r="BH527" s="309">
        <v>0.93100000000000005</v>
      </c>
      <c r="BI527" s="309">
        <v>0.98</v>
      </c>
      <c r="BJ527" s="349">
        <f t="shared" si="410"/>
        <v>2850</v>
      </c>
      <c r="BK527" s="349">
        <v>2793</v>
      </c>
      <c r="BL527" s="309">
        <f t="shared" si="411"/>
        <v>0.93100000000000005</v>
      </c>
      <c r="BM527" s="309">
        <f t="shared" si="425"/>
        <v>0.98</v>
      </c>
      <c r="BN527" s="205">
        <f t="shared" si="465"/>
        <v>952.76</v>
      </c>
      <c r="BO527" s="205"/>
      <c r="BP527" s="310"/>
      <c r="BQ527" s="308">
        <f t="shared" si="412"/>
        <v>0</v>
      </c>
      <c r="BR527" s="310"/>
      <c r="BS527" s="308">
        <f t="shared" si="413"/>
        <v>0</v>
      </c>
      <c r="BT527" s="310">
        <f>$F527*0.1</f>
        <v>300</v>
      </c>
      <c r="BU527" s="308">
        <f t="shared" si="414"/>
        <v>0.1</v>
      </c>
      <c r="BV527" s="310">
        <f>$F527*0.2</f>
        <v>600</v>
      </c>
      <c r="BW527" s="308">
        <f t="shared" si="454"/>
        <v>0.2</v>
      </c>
      <c r="BX527" s="310">
        <f>$F527*0.3</f>
        <v>900</v>
      </c>
      <c r="BY527" s="308">
        <f t="shared" si="455"/>
        <v>0.3</v>
      </c>
      <c r="BZ527" s="310">
        <f>$F527*0.4</f>
        <v>1200</v>
      </c>
      <c r="CA527" s="308">
        <f t="shared" si="456"/>
        <v>0.4</v>
      </c>
      <c r="CB527" s="310">
        <f>$F527*0.5</f>
        <v>1500</v>
      </c>
      <c r="CC527" s="308">
        <f t="shared" si="431"/>
        <v>0.5</v>
      </c>
      <c r="CD527" s="310">
        <f>$F527*0.55</f>
        <v>1650.0000000000002</v>
      </c>
      <c r="CE527" s="308">
        <f t="shared" si="457"/>
        <v>0.55000000000000004</v>
      </c>
      <c r="CF527" s="310">
        <v>2100</v>
      </c>
      <c r="CG527" s="308">
        <f t="shared" si="458"/>
        <v>0.7</v>
      </c>
      <c r="CH527" s="310">
        <f>$F527*0.7</f>
        <v>2100</v>
      </c>
      <c r="CI527" s="308">
        <f t="shared" si="459"/>
        <v>0.7</v>
      </c>
      <c r="CJ527" s="310">
        <f>$F527*0.75</f>
        <v>2250</v>
      </c>
      <c r="CK527" s="308">
        <f t="shared" si="460"/>
        <v>0.75</v>
      </c>
      <c r="CL527" s="310">
        <f>$F527*0.8</f>
        <v>2400</v>
      </c>
      <c r="CM527" s="308">
        <f t="shared" si="461"/>
        <v>0.8</v>
      </c>
      <c r="CN527" s="310">
        <f>$F527*0.95</f>
        <v>2850</v>
      </c>
      <c r="CO527" s="308">
        <f t="shared" si="462"/>
        <v>0.95</v>
      </c>
      <c r="CP527" s="213" t="str">
        <f t="shared" si="422"/>
        <v>Đạt</v>
      </c>
      <c r="CQ527" s="213" t="str">
        <f t="shared" si="423"/>
        <v>Đạt</v>
      </c>
      <c r="CR527" s="312"/>
      <c r="CS527" s="312"/>
      <c r="CT527" s="235"/>
      <c r="CU527" s="163"/>
      <c r="CV527" s="323"/>
      <c r="CW527" s="195"/>
      <c r="CX527" s="196"/>
      <c r="CY527" s="196"/>
      <c r="CZ527" s="197"/>
      <c r="DA527" s="196"/>
      <c r="DB527" s="196"/>
      <c r="DC527" s="196"/>
      <c r="DE527" s="199"/>
      <c r="DF527" s="200"/>
      <c r="DG527" s="181"/>
    </row>
    <row r="528" spans="1:111" ht="25.5" outlineLevel="1" x14ac:dyDescent="0.25">
      <c r="A528" s="305" t="s">
        <v>34</v>
      </c>
      <c r="B528" s="306" t="s">
        <v>377</v>
      </c>
      <c r="C528" s="306"/>
      <c r="D528" s="307">
        <f>E528+F528</f>
        <v>43</v>
      </c>
      <c r="E528" s="307"/>
      <c r="F528" s="307">
        <f>G528+H528+K528+M528</f>
        <v>43</v>
      </c>
      <c r="G528" s="307"/>
      <c r="H528" s="307">
        <v>43</v>
      </c>
      <c r="I528" s="235"/>
      <c r="J528" s="235"/>
      <c r="K528" s="303"/>
      <c r="L528" s="235"/>
      <c r="M528" s="223"/>
      <c r="N528" s="223"/>
      <c r="O528" s="303"/>
      <c r="P528" s="303">
        <v>0</v>
      </c>
      <c r="Q528" s="308">
        <f t="shared" si="421"/>
        <v>0</v>
      </c>
      <c r="R528" s="303"/>
      <c r="S528" s="309">
        <v>0</v>
      </c>
      <c r="T528" s="309">
        <v>0</v>
      </c>
      <c r="U528" s="303"/>
      <c r="V528" s="309">
        <v>0</v>
      </c>
      <c r="W528" s="309">
        <v>0</v>
      </c>
      <c r="X528" s="303"/>
      <c r="Y528" s="309">
        <v>0</v>
      </c>
      <c r="Z528" s="309">
        <v>0</v>
      </c>
      <c r="AA528" s="303"/>
      <c r="AB528" s="309">
        <v>0</v>
      </c>
      <c r="AC528" s="309">
        <v>0</v>
      </c>
      <c r="AD528" s="303"/>
      <c r="AE528" s="309">
        <v>0</v>
      </c>
      <c r="AF528" s="309">
        <v>0</v>
      </c>
      <c r="AG528" s="303"/>
      <c r="AH528" s="309">
        <v>0</v>
      </c>
      <c r="AI528" s="309">
        <v>0</v>
      </c>
      <c r="AJ528" s="189"/>
      <c r="AK528" s="309">
        <v>0</v>
      </c>
      <c r="AL528" s="309">
        <v>0</v>
      </c>
      <c r="AM528" s="303"/>
      <c r="AN528" s="309">
        <v>0</v>
      </c>
      <c r="AO528" s="309">
        <v>0</v>
      </c>
      <c r="AP528" s="309"/>
      <c r="AQ528" s="303"/>
      <c r="AR528" s="309">
        <v>0</v>
      </c>
      <c r="AS528" s="309">
        <v>0</v>
      </c>
      <c r="AT528" s="303"/>
      <c r="AU528" s="309">
        <v>0</v>
      </c>
      <c r="AV528" s="309">
        <v>0</v>
      </c>
      <c r="AW528" s="309"/>
      <c r="AX528" s="309"/>
      <c r="AY528" s="309"/>
      <c r="AZ528" s="309"/>
      <c r="BA528" s="309"/>
      <c r="BB528" s="309"/>
      <c r="BC528" s="303"/>
      <c r="BD528" s="309">
        <v>0</v>
      </c>
      <c r="BE528" s="309">
        <v>0</v>
      </c>
      <c r="BF528" s="351"/>
      <c r="BG528" s="351">
        <v>0</v>
      </c>
      <c r="BH528" s="309">
        <v>0</v>
      </c>
      <c r="BI528" s="309">
        <v>0</v>
      </c>
      <c r="BJ528" s="349">
        <f t="shared" ref="BJ528:BJ590" si="467">E528+(F528*0.95)</f>
        <v>40.85</v>
      </c>
      <c r="BK528" s="349">
        <v>40.85</v>
      </c>
      <c r="BL528" s="309">
        <f t="shared" si="411"/>
        <v>0.95000000000000007</v>
      </c>
      <c r="BM528" s="309">
        <f t="shared" si="425"/>
        <v>1</v>
      </c>
      <c r="BN528" s="205">
        <f t="shared" si="465"/>
        <v>40.85</v>
      </c>
      <c r="BO528" s="205"/>
      <c r="BP528" s="310"/>
      <c r="BQ528" s="308">
        <f t="shared" si="412"/>
        <v>0</v>
      </c>
      <c r="BR528" s="310"/>
      <c r="BS528" s="308">
        <f t="shared" si="413"/>
        <v>0</v>
      </c>
      <c r="BT528" s="310">
        <f>$F528*0.1</f>
        <v>4.3</v>
      </c>
      <c r="BU528" s="308">
        <f t="shared" si="414"/>
        <v>9.9999999999999992E-2</v>
      </c>
      <c r="BV528" s="310">
        <f>$F528*0.2</f>
        <v>8.6</v>
      </c>
      <c r="BW528" s="308">
        <f t="shared" si="454"/>
        <v>0.19999999999999998</v>
      </c>
      <c r="BX528" s="310">
        <f>$F528*0.3</f>
        <v>12.9</v>
      </c>
      <c r="BY528" s="308">
        <f t="shared" si="455"/>
        <v>0.3</v>
      </c>
      <c r="BZ528" s="310">
        <f>$F528*0.4</f>
        <v>17.2</v>
      </c>
      <c r="CA528" s="308">
        <f t="shared" si="456"/>
        <v>0.39999999999999997</v>
      </c>
      <c r="CB528" s="310">
        <f>$F528*0.5</f>
        <v>21.5</v>
      </c>
      <c r="CC528" s="308">
        <f t="shared" si="431"/>
        <v>0.5</v>
      </c>
      <c r="CD528" s="310">
        <f>$F528*0.55</f>
        <v>23.650000000000002</v>
      </c>
      <c r="CE528" s="308">
        <f t="shared" si="457"/>
        <v>0.55000000000000004</v>
      </c>
      <c r="CF528" s="310">
        <v>30.099999999999998</v>
      </c>
      <c r="CG528" s="308">
        <f t="shared" si="458"/>
        <v>0.7</v>
      </c>
      <c r="CH528" s="310">
        <f>$F528*0.7</f>
        <v>30.099999999999998</v>
      </c>
      <c r="CI528" s="308">
        <f t="shared" si="459"/>
        <v>0.7</v>
      </c>
      <c r="CJ528" s="310">
        <f>$F528*0.75</f>
        <v>32.25</v>
      </c>
      <c r="CK528" s="308">
        <f t="shared" si="460"/>
        <v>0.75</v>
      </c>
      <c r="CL528" s="310">
        <f>$F528*0.8</f>
        <v>34.4</v>
      </c>
      <c r="CM528" s="308">
        <f t="shared" si="461"/>
        <v>0.79999999999999993</v>
      </c>
      <c r="CN528" s="310">
        <f>$F528*0.95</f>
        <v>40.85</v>
      </c>
      <c r="CO528" s="308">
        <f t="shared" si="462"/>
        <v>0.95000000000000007</v>
      </c>
      <c r="CP528" s="213" t="str">
        <f t="shared" si="422"/>
        <v>Đạt</v>
      </c>
      <c r="CQ528" s="213" t="str">
        <f t="shared" si="423"/>
        <v>Đạt</v>
      </c>
      <c r="CR528" s="312"/>
      <c r="CS528" s="312"/>
      <c r="CT528" s="235"/>
      <c r="CU528" s="163"/>
      <c r="CW528" s="195"/>
      <c r="CX528" s="196"/>
      <c r="CY528" s="196"/>
      <c r="CZ528" s="197"/>
      <c r="DA528" s="196"/>
      <c r="DB528" s="196"/>
      <c r="DC528" s="196"/>
      <c r="DE528" s="199"/>
      <c r="DF528" s="200"/>
      <c r="DG528" s="181"/>
    </row>
    <row r="529" spans="1:111" ht="18" customHeight="1" x14ac:dyDescent="0.25">
      <c r="A529" s="213">
        <f>MAX(A$243:A526)+1</f>
        <v>80</v>
      </c>
      <c r="B529" s="240" t="s">
        <v>492</v>
      </c>
      <c r="C529" s="240"/>
      <c r="D529" s="188">
        <f t="shared" ref="D529:I529" si="468">D530+D532+D533</f>
        <v>9400</v>
      </c>
      <c r="E529" s="188">
        <f t="shared" si="468"/>
        <v>0</v>
      </c>
      <c r="F529" s="188">
        <f t="shared" si="468"/>
        <v>9400</v>
      </c>
      <c r="G529" s="188">
        <f t="shared" si="468"/>
        <v>3000</v>
      </c>
      <c r="H529" s="188">
        <f t="shared" si="468"/>
        <v>6400</v>
      </c>
      <c r="I529" s="188">
        <f t="shared" si="468"/>
        <v>2850</v>
      </c>
      <c r="J529" s="188"/>
      <c r="K529" s="188">
        <f>K530+K532+K533</f>
        <v>0</v>
      </c>
      <c r="L529" s="188">
        <f>L530+L532+L533</f>
        <v>0</v>
      </c>
      <c r="M529" s="188">
        <f>M530+M532+M533</f>
        <v>0</v>
      </c>
      <c r="N529" s="188">
        <f>N530+N532+N533</f>
        <v>0</v>
      </c>
      <c r="O529" s="188">
        <f>O530+O532+O533</f>
        <v>5850</v>
      </c>
      <c r="P529" s="188">
        <v>0</v>
      </c>
      <c r="Q529" s="186">
        <f t="shared" si="421"/>
        <v>0</v>
      </c>
      <c r="R529" s="189">
        <v>0</v>
      </c>
      <c r="S529" s="185">
        <v>0</v>
      </c>
      <c r="T529" s="185">
        <v>0</v>
      </c>
      <c r="U529" s="189">
        <v>1735.1679999999999</v>
      </c>
      <c r="V529" s="185">
        <v>0.18459234042553191</v>
      </c>
      <c r="W529" s="185">
        <v>0.1943077267637178</v>
      </c>
      <c r="X529" s="189">
        <v>1735.1679999999999</v>
      </c>
      <c r="Y529" s="185">
        <v>0.18459234042553191</v>
      </c>
      <c r="Z529" s="185">
        <v>0.1943077267637178</v>
      </c>
      <c r="AA529" s="189">
        <v>1735.1679999999999</v>
      </c>
      <c r="AB529" s="185">
        <v>0.18459234042553191</v>
      </c>
      <c r="AC529" s="185">
        <v>0.1943077267637178</v>
      </c>
      <c r="AD529" s="189">
        <v>1995.5416319999999</v>
      </c>
      <c r="AE529" s="185">
        <v>0.2122916629787234</v>
      </c>
      <c r="AF529" s="185">
        <v>0.22346490839865621</v>
      </c>
      <c r="AG529" s="189">
        <v>1995.5416319999999</v>
      </c>
      <c r="AH529" s="185">
        <v>0.2122916629787234</v>
      </c>
      <c r="AI529" s="185">
        <v>0.22346490839865621</v>
      </c>
      <c r="AJ529" s="317">
        <v>1995.5416319999999</v>
      </c>
      <c r="AK529" s="185">
        <v>0.2122916629787234</v>
      </c>
      <c r="AL529" s="185">
        <v>0.22346490839865621</v>
      </c>
      <c r="AM529" s="189">
        <v>1995.5416319999999</v>
      </c>
      <c r="AN529" s="185">
        <v>0.2122916629787234</v>
      </c>
      <c r="AO529" s="185">
        <v>0.22346490839865621</v>
      </c>
      <c r="AP529" s="185"/>
      <c r="AQ529" s="189">
        <v>5147.5380409999998</v>
      </c>
      <c r="AR529" s="185">
        <v>0.54761042989361697</v>
      </c>
      <c r="AS529" s="185">
        <v>0.57643203146696531</v>
      </c>
      <c r="AT529" s="189">
        <v>5147.5380409999998</v>
      </c>
      <c r="AU529" s="185">
        <v>0.54761042989361697</v>
      </c>
      <c r="AV529" s="185">
        <v>0.57643203146696531</v>
      </c>
      <c r="AW529" s="185"/>
      <c r="AX529" s="185"/>
      <c r="AY529" s="185"/>
      <c r="AZ529" s="185"/>
      <c r="BA529" s="185"/>
      <c r="BB529" s="185"/>
      <c r="BC529" s="189">
        <v>5147.5380409999998</v>
      </c>
      <c r="BD529" s="185">
        <v>0.54761042989361697</v>
      </c>
      <c r="BE529" s="185">
        <v>0.57643203146696531</v>
      </c>
      <c r="BF529" s="352"/>
      <c r="BG529" s="352">
        <v>8208</v>
      </c>
      <c r="BH529" s="185">
        <v>0.8731914893617021</v>
      </c>
      <c r="BI529" s="185">
        <v>0.91914893617021276</v>
      </c>
      <c r="BJ529" s="374">
        <f t="shared" si="467"/>
        <v>8930</v>
      </c>
      <c r="BK529" s="374">
        <v>8588</v>
      </c>
      <c r="BL529" s="185">
        <f t="shared" ref="BL529:BL589" si="469">BK529/$D529</f>
        <v>0.91361702127659572</v>
      </c>
      <c r="BM529" s="185">
        <f t="shared" si="425"/>
        <v>0.96170212765957441</v>
      </c>
      <c r="BN529" s="205">
        <f t="shared" si="465"/>
        <v>6592.4583679999996</v>
      </c>
      <c r="BO529" s="205"/>
      <c r="BP529" s="189">
        <f>BP530+BP532+BP533</f>
        <v>0</v>
      </c>
      <c r="BQ529" s="186">
        <f t="shared" ref="BQ529:BQ589" si="470">BP529/$D529</f>
        <v>0</v>
      </c>
      <c r="BR529" s="189">
        <f>BR530+BR532+BR533</f>
        <v>1578</v>
      </c>
      <c r="BS529" s="186">
        <f t="shared" ref="BS529:BS589" si="471">BR529/$D529</f>
        <v>0.16787234042553192</v>
      </c>
      <c r="BT529" s="189">
        <f>BT530+BT532+BT533</f>
        <v>2578</v>
      </c>
      <c r="BU529" s="186">
        <f t="shared" ref="BU529:BU589" si="472">BT529/$D529</f>
        <v>0.27425531914893619</v>
      </c>
      <c r="BV529" s="189">
        <f>BV530+BV532+BV533</f>
        <v>4972</v>
      </c>
      <c r="BW529" s="186">
        <f t="shared" si="454"/>
        <v>0.52893617021276595</v>
      </c>
      <c r="BX529" s="189">
        <f>BX530+BX532+BX533</f>
        <v>6050</v>
      </c>
      <c r="BY529" s="186">
        <f t="shared" si="455"/>
        <v>0.6436170212765957</v>
      </c>
      <c r="BZ529" s="189">
        <f>BZ530+BZ532+BZ533</f>
        <v>7060</v>
      </c>
      <c r="CA529" s="186">
        <f t="shared" si="456"/>
        <v>0.75106382978723407</v>
      </c>
      <c r="CB529" s="189">
        <f>CB530+CB532+CB533</f>
        <v>8172</v>
      </c>
      <c r="CC529" s="186">
        <f t="shared" si="431"/>
        <v>0.86936170212765962</v>
      </c>
      <c r="CD529" s="189">
        <f>CD530+CD532+CD533</f>
        <v>8930</v>
      </c>
      <c r="CE529" s="186">
        <f t="shared" si="457"/>
        <v>0.95</v>
      </c>
      <c r="CF529" s="189">
        <f>CF530+CF532+CF533</f>
        <v>8930</v>
      </c>
      <c r="CG529" s="186">
        <f t="shared" si="458"/>
        <v>0.95</v>
      </c>
      <c r="CH529" s="189">
        <f>CH530+CH532+CH533</f>
        <v>8930</v>
      </c>
      <c r="CI529" s="186">
        <f t="shared" si="459"/>
        <v>0.95</v>
      </c>
      <c r="CJ529" s="189">
        <f>CJ530+CJ532+CJ533</f>
        <v>8930</v>
      </c>
      <c r="CK529" s="186">
        <f t="shared" si="460"/>
        <v>0.95</v>
      </c>
      <c r="CL529" s="189">
        <f>CL530+CL532+CL533</f>
        <v>8930</v>
      </c>
      <c r="CM529" s="186">
        <f t="shared" si="461"/>
        <v>0.95</v>
      </c>
      <c r="CN529" s="189">
        <f>CN530+CN532+CN533</f>
        <v>8930</v>
      </c>
      <c r="CO529" s="186">
        <f t="shared" si="462"/>
        <v>0.95</v>
      </c>
      <c r="CP529" s="213" t="str">
        <f t="shared" si="422"/>
        <v>Đạt</v>
      </c>
      <c r="CQ529" s="213" t="str">
        <f t="shared" si="423"/>
        <v>Đạt</v>
      </c>
      <c r="CR529" s="213"/>
      <c r="CS529" s="213"/>
      <c r="CT529" s="231"/>
      <c r="CU529" s="163"/>
      <c r="CW529" s="195"/>
      <c r="CX529" s="196"/>
      <c r="CY529" s="196"/>
      <c r="CZ529" s="197"/>
      <c r="DA529" s="196"/>
      <c r="DB529" s="196"/>
      <c r="DC529" s="196"/>
      <c r="DE529" s="199"/>
      <c r="DF529" s="200"/>
      <c r="DG529" s="181"/>
    </row>
    <row r="530" spans="1:111" s="324" customFormat="1" outlineLevel="1" x14ac:dyDescent="0.25">
      <c r="A530" s="305" t="s">
        <v>34</v>
      </c>
      <c r="B530" s="318" t="s">
        <v>381</v>
      </c>
      <c r="C530" s="306"/>
      <c r="D530" s="317">
        <f>D531</f>
        <v>3000</v>
      </c>
      <c r="E530" s="317">
        <f t="shared" ref="E530:L530" si="473">E531</f>
        <v>0</v>
      </c>
      <c r="F530" s="317">
        <f t="shared" si="473"/>
        <v>3000</v>
      </c>
      <c r="G530" s="317">
        <f t="shared" si="473"/>
        <v>0</v>
      </c>
      <c r="H530" s="317">
        <f t="shared" si="473"/>
        <v>3000</v>
      </c>
      <c r="I530" s="214">
        <f t="shared" si="473"/>
        <v>2850</v>
      </c>
      <c r="J530" s="214"/>
      <c r="K530" s="317">
        <f t="shared" si="473"/>
        <v>0</v>
      </c>
      <c r="L530" s="214">
        <f t="shared" si="473"/>
        <v>0</v>
      </c>
      <c r="M530" s="223"/>
      <c r="N530" s="223"/>
      <c r="O530" s="317">
        <f>G530+I530+L530+N530</f>
        <v>2850</v>
      </c>
      <c r="P530" s="317">
        <v>0</v>
      </c>
      <c r="Q530" s="319">
        <f t="shared" ref="Q530:Q589" si="474">P530/$D530</f>
        <v>0</v>
      </c>
      <c r="R530" s="317">
        <v>0</v>
      </c>
      <c r="S530" s="320">
        <v>0</v>
      </c>
      <c r="T530" s="320">
        <v>0</v>
      </c>
      <c r="U530" s="317">
        <v>0</v>
      </c>
      <c r="V530" s="320">
        <v>0</v>
      </c>
      <c r="W530" s="320">
        <v>0</v>
      </c>
      <c r="X530" s="317">
        <v>0</v>
      </c>
      <c r="Y530" s="320">
        <v>0</v>
      </c>
      <c r="Z530" s="320">
        <v>0</v>
      </c>
      <c r="AA530" s="317">
        <v>0</v>
      </c>
      <c r="AB530" s="320">
        <v>0</v>
      </c>
      <c r="AC530" s="320">
        <v>0</v>
      </c>
      <c r="AD530" s="317">
        <v>0</v>
      </c>
      <c r="AE530" s="320">
        <v>0</v>
      </c>
      <c r="AF530" s="320">
        <v>0</v>
      </c>
      <c r="AG530" s="317">
        <v>0</v>
      </c>
      <c r="AH530" s="320">
        <v>0</v>
      </c>
      <c r="AI530" s="320">
        <v>0</v>
      </c>
      <c r="AJ530" s="257">
        <v>0</v>
      </c>
      <c r="AK530" s="320">
        <v>0</v>
      </c>
      <c r="AL530" s="320">
        <v>0</v>
      </c>
      <c r="AM530" s="317">
        <v>0</v>
      </c>
      <c r="AN530" s="320">
        <v>0</v>
      </c>
      <c r="AO530" s="320">
        <v>0</v>
      </c>
      <c r="AP530" s="320"/>
      <c r="AQ530" s="317">
        <v>1677.538041</v>
      </c>
      <c r="AR530" s="320">
        <v>0.55917934700000005</v>
      </c>
      <c r="AS530" s="320">
        <v>0.5886098389473684</v>
      </c>
      <c r="AT530" s="317">
        <v>1677.538041</v>
      </c>
      <c r="AU530" s="320">
        <v>0.55917934700000005</v>
      </c>
      <c r="AV530" s="320">
        <v>0.5886098389473684</v>
      </c>
      <c r="AW530" s="320"/>
      <c r="AX530" s="320"/>
      <c r="AY530" s="320"/>
      <c r="AZ530" s="320"/>
      <c r="BA530" s="320"/>
      <c r="BB530" s="320"/>
      <c r="BC530" s="317">
        <v>1677.538041</v>
      </c>
      <c r="BD530" s="320">
        <v>0.55917934700000005</v>
      </c>
      <c r="BE530" s="320">
        <v>0.5886098389473684</v>
      </c>
      <c r="BF530" s="349"/>
      <c r="BG530" s="349">
        <v>2850</v>
      </c>
      <c r="BH530" s="320">
        <v>0.95</v>
      </c>
      <c r="BI530" s="320">
        <v>1</v>
      </c>
      <c r="BJ530" s="349">
        <f t="shared" si="467"/>
        <v>2850</v>
      </c>
      <c r="BK530" s="349">
        <v>2850</v>
      </c>
      <c r="BL530" s="320">
        <f t="shared" si="469"/>
        <v>0.95</v>
      </c>
      <c r="BM530" s="320">
        <f t="shared" si="425"/>
        <v>1</v>
      </c>
      <c r="BN530" s="205">
        <f t="shared" si="465"/>
        <v>2850</v>
      </c>
      <c r="BO530" s="205"/>
      <c r="BP530" s="307">
        <f>BP531</f>
        <v>0</v>
      </c>
      <c r="BQ530" s="322">
        <f t="shared" si="470"/>
        <v>0</v>
      </c>
      <c r="BR530" s="307">
        <f>BR531</f>
        <v>500</v>
      </c>
      <c r="BS530" s="322">
        <f t="shared" si="471"/>
        <v>0.16666666666666666</v>
      </c>
      <c r="BT530" s="307">
        <f>BT531</f>
        <v>1500</v>
      </c>
      <c r="BU530" s="319">
        <f t="shared" si="472"/>
        <v>0.5</v>
      </c>
      <c r="BV530" s="307">
        <f>BV531</f>
        <v>2850</v>
      </c>
      <c r="BW530" s="322">
        <f t="shared" si="454"/>
        <v>0.95</v>
      </c>
      <c r="BX530" s="307">
        <f>BX531</f>
        <v>2850</v>
      </c>
      <c r="BY530" s="322">
        <f t="shared" si="455"/>
        <v>0.95</v>
      </c>
      <c r="BZ530" s="307">
        <f>BZ531</f>
        <v>2850</v>
      </c>
      <c r="CA530" s="322">
        <f t="shared" si="456"/>
        <v>0.95</v>
      </c>
      <c r="CB530" s="307">
        <f>CB531</f>
        <v>2850</v>
      </c>
      <c r="CC530" s="322">
        <f t="shared" si="431"/>
        <v>0.95</v>
      </c>
      <c r="CD530" s="307">
        <f>CD531</f>
        <v>2850</v>
      </c>
      <c r="CE530" s="322">
        <f t="shared" si="457"/>
        <v>0.95</v>
      </c>
      <c r="CF530" s="307">
        <f>CF531</f>
        <v>2850</v>
      </c>
      <c r="CG530" s="322">
        <f t="shared" si="458"/>
        <v>0.95</v>
      </c>
      <c r="CH530" s="307">
        <f>CH531</f>
        <v>2850</v>
      </c>
      <c r="CI530" s="322">
        <f t="shared" si="459"/>
        <v>0.95</v>
      </c>
      <c r="CJ530" s="307">
        <f>CJ531</f>
        <v>2850</v>
      </c>
      <c r="CK530" s="322">
        <f t="shared" si="460"/>
        <v>0.95</v>
      </c>
      <c r="CL530" s="307">
        <f>CL531</f>
        <v>2850</v>
      </c>
      <c r="CM530" s="322">
        <f t="shared" si="461"/>
        <v>0.95</v>
      </c>
      <c r="CN530" s="307">
        <f>CN531</f>
        <v>2850</v>
      </c>
      <c r="CO530" s="322">
        <f t="shared" si="462"/>
        <v>0.95</v>
      </c>
      <c r="CP530" s="213" t="str">
        <f t="shared" ref="CP530:CP589" si="475">IF(BM530&gt;34.7%,"Đạt","Không đạt")</f>
        <v>Đạt</v>
      </c>
      <c r="CQ530" s="213" t="str">
        <f t="shared" ref="CQ530:CQ589" si="476">IF(BM530&gt;43.8%,"Đạt","Không đạt")</f>
        <v>Đạt</v>
      </c>
      <c r="CR530" s="312"/>
      <c r="CS530" s="312"/>
      <c r="CT530" s="235"/>
      <c r="CU530" s="163"/>
      <c r="CV530" s="323"/>
      <c r="CW530" s="195"/>
      <c r="CX530" s="196"/>
      <c r="CY530" s="196"/>
      <c r="CZ530" s="197"/>
      <c r="DA530" s="196"/>
      <c r="DB530" s="196"/>
      <c r="DC530" s="196"/>
      <c r="DE530" s="199"/>
      <c r="DF530" s="200"/>
      <c r="DG530" s="181"/>
    </row>
    <row r="531" spans="1:111" outlineLevel="1" x14ac:dyDescent="0.25">
      <c r="A531" s="192"/>
      <c r="B531" s="325" t="s">
        <v>493</v>
      </c>
      <c r="C531" s="325"/>
      <c r="D531" s="214">
        <f>E531+F531</f>
        <v>3000</v>
      </c>
      <c r="E531" s="215"/>
      <c r="F531" s="214">
        <f>G531+H531+K531+M531</f>
        <v>3000</v>
      </c>
      <c r="G531" s="223"/>
      <c r="H531" s="257">
        <v>3000</v>
      </c>
      <c r="I531" s="235">
        <v>2850</v>
      </c>
      <c r="J531" s="257">
        <v>1677.538041</v>
      </c>
      <c r="K531" s="223"/>
      <c r="L531" s="235"/>
      <c r="M531" s="223"/>
      <c r="N531" s="223"/>
      <c r="O531" s="257">
        <f>G531+I531+L531+N531</f>
        <v>2850</v>
      </c>
      <c r="P531" s="257">
        <v>0</v>
      </c>
      <c r="Q531" s="224">
        <f t="shared" si="474"/>
        <v>0</v>
      </c>
      <c r="R531" s="257"/>
      <c r="S531" s="326">
        <v>0</v>
      </c>
      <c r="T531" s="326">
        <v>0</v>
      </c>
      <c r="U531" s="257"/>
      <c r="V531" s="326">
        <v>0</v>
      </c>
      <c r="W531" s="326">
        <v>0</v>
      </c>
      <c r="X531" s="257"/>
      <c r="Y531" s="326">
        <v>0</v>
      </c>
      <c r="Z531" s="326">
        <v>0</v>
      </c>
      <c r="AA531" s="257"/>
      <c r="AB531" s="326">
        <v>0</v>
      </c>
      <c r="AC531" s="326">
        <v>0</v>
      </c>
      <c r="AD531" s="257"/>
      <c r="AE531" s="326">
        <v>0</v>
      </c>
      <c r="AF531" s="326">
        <v>0</v>
      </c>
      <c r="AG531" s="257"/>
      <c r="AH531" s="326">
        <v>0</v>
      </c>
      <c r="AI531" s="326">
        <v>0</v>
      </c>
      <c r="AJ531" s="307"/>
      <c r="AK531" s="326">
        <v>0</v>
      </c>
      <c r="AL531" s="326">
        <v>0</v>
      </c>
      <c r="AM531" s="257"/>
      <c r="AN531" s="326">
        <v>0</v>
      </c>
      <c r="AO531" s="326">
        <v>0</v>
      </c>
      <c r="AP531" s="326"/>
      <c r="AQ531" s="257">
        <v>1677.538041</v>
      </c>
      <c r="AR531" s="326">
        <v>0.55917934700000005</v>
      </c>
      <c r="AS531" s="326">
        <v>0.5886098389473684</v>
      </c>
      <c r="AT531" s="257">
        <v>1677.538041</v>
      </c>
      <c r="AU531" s="326">
        <v>0.55917934700000005</v>
      </c>
      <c r="AV531" s="326">
        <v>0.5886098389473684</v>
      </c>
      <c r="AW531" s="326"/>
      <c r="AX531" s="326"/>
      <c r="AY531" s="326"/>
      <c r="AZ531" s="326"/>
      <c r="BA531" s="326"/>
      <c r="BB531" s="326"/>
      <c r="BC531" s="257">
        <v>1677.538041</v>
      </c>
      <c r="BD531" s="326">
        <v>0.55917934700000005</v>
      </c>
      <c r="BE531" s="326">
        <v>0.5886098389473684</v>
      </c>
      <c r="BF531" s="350">
        <v>2850</v>
      </c>
      <c r="BG531" s="350">
        <v>2850</v>
      </c>
      <c r="BH531" s="326">
        <v>0.95</v>
      </c>
      <c r="BI531" s="326">
        <v>1</v>
      </c>
      <c r="BJ531" s="402">
        <f t="shared" si="467"/>
        <v>2850</v>
      </c>
      <c r="BK531" s="402">
        <v>2850</v>
      </c>
      <c r="BL531" s="326">
        <f t="shared" si="469"/>
        <v>0.95</v>
      </c>
      <c r="BM531" s="326">
        <f t="shared" si="425"/>
        <v>1</v>
      </c>
      <c r="BN531" s="205">
        <f t="shared" si="465"/>
        <v>2850</v>
      </c>
      <c r="BO531" s="205"/>
      <c r="BP531" s="227"/>
      <c r="BQ531" s="327">
        <f t="shared" si="470"/>
        <v>0</v>
      </c>
      <c r="BR531" s="227">
        <v>500</v>
      </c>
      <c r="BS531" s="327">
        <f t="shared" si="471"/>
        <v>0.16666666666666666</v>
      </c>
      <c r="BT531" s="227">
        <v>1500</v>
      </c>
      <c r="BU531" s="224">
        <f t="shared" si="472"/>
        <v>0.5</v>
      </c>
      <c r="BV531" s="227">
        <v>2850</v>
      </c>
      <c r="BW531" s="327">
        <f t="shared" si="454"/>
        <v>0.95</v>
      </c>
      <c r="BX531" s="227">
        <v>2850</v>
      </c>
      <c r="BY531" s="327">
        <f t="shared" si="455"/>
        <v>0.95</v>
      </c>
      <c r="BZ531" s="227">
        <v>2850</v>
      </c>
      <c r="CA531" s="327">
        <f t="shared" si="456"/>
        <v>0.95</v>
      </c>
      <c r="CB531" s="227">
        <v>2850</v>
      </c>
      <c r="CC531" s="327">
        <f t="shared" si="431"/>
        <v>0.95</v>
      </c>
      <c r="CD531" s="227">
        <v>2850</v>
      </c>
      <c r="CE531" s="327">
        <f t="shared" si="457"/>
        <v>0.95</v>
      </c>
      <c r="CF531" s="227">
        <v>2850</v>
      </c>
      <c r="CG531" s="327">
        <f t="shared" si="458"/>
        <v>0.95</v>
      </c>
      <c r="CH531" s="227">
        <v>2850</v>
      </c>
      <c r="CI531" s="327">
        <f t="shared" si="459"/>
        <v>0.95</v>
      </c>
      <c r="CJ531" s="227">
        <v>2850</v>
      </c>
      <c r="CK531" s="327">
        <f t="shared" si="460"/>
        <v>0.95</v>
      </c>
      <c r="CL531" s="227">
        <v>2850</v>
      </c>
      <c r="CM531" s="327">
        <f t="shared" si="461"/>
        <v>0.95</v>
      </c>
      <c r="CN531" s="227">
        <v>2850</v>
      </c>
      <c r="CO531" s="327">
        <f t="shared" si="462"/>
        <v>0.95</v>
      </c>
      <c r="CP531" s="213" t="str">
        <f t="shared" si="475"/>
        <v>Đạt</v>
      </c>
      <c r="CQ531" s="213" t="str">
        <f t="shared" si="476"/>
        <v>Đạt</v>
      </c>
      <c r="CR531" s="192"/>
      <c r="CS531" s="192"/>
      <c r="CT531" s="223"/>
      <c r="CU531" s="163"/>
      <c r="CW531" s="195"/>
      <c r="CX531" s="196"/>
      <c r="CY531" s="196"/>
      <c r="CZ531" s="197"/>
      <c r="DA531" s="196"/>
      <c r="DB531" s="196"/>
      <c r="DC531" s="196"/>
      <c r="DE531" s="199"/>
      <c r="DF531" s="200"/>
      <c r="DG531" s="181"/>
    </row>
    <row r="532" spans="1:111" s="324" customFormat="1" outlineLevel="1" x14ac:dyDescent="0.25">
      <c r="A532" s="305" t="s">
        <v>34</v>
      </c>
      <c r="B532" s="318" t="s">
        <v>376</v>
      </c>
      <c r="C532" s="306"/>
      <c r="D532" s="307">
        <f>E532+F532</f>
        <v>3000</v>
      </c>
      <c r="E532" s="307"/>
      <c r="F532" s="307">
        <f>G532+H532+K532+M532</f>
        <v>3000</v>
      </c>
      <c r="G532" s="303">
        <v>3000</v>
      </c>
      <c r="H532" s="303"/>
      <c r="I532" s="235"/>
      <c r="J532" s="235"/>
      <c r="K532" s="303"/>
      <c r="L532" s="235"/>
      <c r="M532" s="223"/>
      <c r="N532" s="223"/>
      <c r="O532" s="303">
        <f>G532+I532+L532+N532</f>
        <v>3000</v>
      </c>
      <c r="P532" s="303">
        <v>0</v>
      </c>
      <c r="Q532" s="308">
        <f t="shared" si="474"/>
        <v>0</v>
      </c>
      <c r="R532" s="303"/>
      <c r="S532" s="313">
        <v>0</v>
      </c>
      <c r="T532" s="313">
        <v>0</v>
      </c>
      <c r="U532" s="303">
        <v>1735.1679999999999</v>
      </c>
      <c r="V532" s="313">
        <v>0.57838933333333331</v>
      </c>
      <c r="W532" s="313">
        <v>0.60883087719298246</v>
      </c>
      <c r="X532" s="303">
        <v>1735.1679999999999</v>
      </c>
      <c r="Y532" s="313">
        <v>0.57838933333333331</v>
      </c>
      <c r="Z532" s="313">
        <v>0.60883087719298246</v>
      </c>
      <c r="AA532" s="303">
        <v>1735.1679999999999</v>
      </c>
      <c r="AB532" s="313">
        <v>0.57838933333333331</v>
      </c>
      <c r="AC532" s="313">
        <v>0.60883087719298246</v>
      </c>
      <c r="AD532" s="303">
        <v>1995.5416319999999</v>
      </c>
      <c r="AE532" s="313">
        <v>0.66518054399999993</v>
      </c>
      <c r="AF532" s="313">
        <v>0.70019004631578941</v>
      </c>
      <c r="AG532" s="307">
        <v>1995.5416319999999</v>
      </c>
      <c r="AH532" s="313">
        <v>0.66518054399999993</v>
      </c>
      <c r="AI532" s="313">
        <v>0.70019004631578941</v>
      </c>
      <c r="AJ532" s="303">
        <v>1995.5416319999999</v>
      </c>
      <c r="AK532" s="313">
        <v>0.66518054399999993</v>
      </c>
      <c r="AL532" s="313">
        <v>0.70019004631578941</v>
      </c>
      <c r="AM532" s="307">
        <v>1995.5416319999999</v>
      </c>
      <c r="AN532" s="313">
        <v>0.66518054399999993</v>
      </c>
      <c r="AO532" s="313">
        <v>0.70019004631578941</v>
      </c>
      <c r="AP532" s="313"/>
      <c r="AQ532" s="307">
        <v>2470</v>
      </c>
      <c r="AR532" s="313">
        <v>0.82333333333333336</v>
      </c>
      <c r="AS532" s="313">
        <v>0.8666666666666667</v>
      </c>
      <c r="AT532" s="307">
        <v>2470</v>
      </c>
      <c r="AU532" s="313">
        <v>0.82333333333333336</v>
      </c>
      <c r="AV532" s="313">
        <v>0.8666666666666667</v>
      </c>
      <c r="AW532" s="313"/>
      <c r="AX532" s="313"/>
      <c r="AY532" s="313"/>
      <c r="AZ532" s="313"/>
      <c r="BA532" s="313"/>
      <c r="BB532" s="313"/>
      <c r="BC532" s="307">
        <v>2470</v>
      </c>
      <c r="BD532" s="313">
        <v>0.82333333333333336</v>
      </c>
      <c r="BE532" s="313">
        <v>0.8666666666666667</v>
      </c>
      <c r="BF532" s="351"/>
      <c r="BG532" s="351">
        <v>2470</v>
      </c>
      <c r="BH532" s="313">
        <v>0.82333333333333336</v>
      </c>
      <c r="BI532" s="313">
        <v>0.8666666666666667</v>
      </c>
      <c r="BJ532" s="349">
        <f t="shared" si="467"/>
        <v>2850</v>
      </c>
      <c r="BK532" s="349">
        <v>2850</v>
      </c>
      <c r="BL532" s="313">
        <f t="shared" si="469"/>
        <v>0.95</v>
      </c>
      <c r="BM532" s="313">
        <f t="shared" ref="BM532:BM589" si="477">BK532/(E532+0.95*F532)</f>
        <v>1</v>
      </c>
      <c r="BN532" s="205">
        <f t="shared" si="465"/>
        <v>854.45836800000006</v>
      </c>
      <c r="BO532" s="205"/>
      <c r="BP532" s="310"/>
      <c r="BQ532" s="311">
        <f t="shared" si="470"/>
        <v>0</v>
      </c>
      <c r="BR532" s="310">
        <v>500</v>
      </c>
      <c r="BS532" s="311">
        <f t="shared" si="471"/>
        <v>0.16666666666666666</v>
      </c>
      <c r="BT532" s="310">
        <v>500</v>
      </c>
      <c r="BU532" s="308">
        <f t="shared" si="472"/>
        <v>0.16666666666666666</v>
      </c>
      <c r="BV532" s="310">
        <v>1000</v>
      </c>
      <c r="BW532" s="311">
        <f t="shared" si="454"/>
        <v>0.33333333333333331</v>
      </c>
      <c r="BX532" s="310">
        <v>1500</v>
      </c>
      <c r="BY532" s="311">
        <f t="shared" si="455"/>
        <v>0.5</v>
      </c>
      <c r="BZ532" s="310">
        <v>2000</v>
      </c>
      <c r="CA532" s="311">
        <f t="shared" si="456"/>
        <v>0.66666666666666663</v>
      </c>
      <c r="CB532" s="310">
        <v>2500</v>
      </c>
      <c r="CC532" s="311">
        <f t="shared" si="431"/>
        <v>0.83333333333333337</v>
      </c>
      <c r="CD532" s="310">
        <v>2850</v>
      </c>
      <c r="CE532" s="311">
        <f t="shared" si="457"/>
        <v>0.95</v>
      </c>
      <c r="CF532" s="310">
        <v>2850</v>
      </c>
      <c r="CG532" s="311">
        <f t="shared" si="458"/>
        <v>0.95</v>
      </c>
      <c r="CH532" s="310">
        <v>2850</v>
      </c>
      <c r="CI532" s="311">
        <f t="shared" si="459"/>
        <v>0.95</v>
      </c>
      <c r="CJ532" s="310">
        <v>2850</v>
      </c>
      <c r="CK532" s="311">
        <f t="shared" si="460"/>
        <v>0.95</v>
      </c>
      <c r="CL532" s="310">
        <v>2850</v>
      </c>
      <c r="CM532" s="311">
        <f t="shared" si="461"/>
        <v>0.95</v>
      </c>
      <c r="CN532" s="310">
        <v>2850</v>
      </c>
      <c r="CO532" s="311">
        <f t="shared" si="462"/>
        <v>0.95</v>
      </c>
      <c r="CP532" s="213" t="str">
        <f t="shared" si="475"/>
        <v>Đạt</v>
      </c>
      <c r="CQ532" s="213" t="str">
        <f t="shared" si="476"/>
        <v>Đạt</v>
      </c>
      <c r="CR532" s="312"/>
      <c r="CS532" s="312"/>
      <c r="CT532" s="235"/>
      <c r="CU532" s="163"/>
      <c r="CV532" s="323"/>
      <c r="CW532" s="195"/>
      <c r="CX532" s="196"/>
      <c r="CY532" s="196"/>
      <c r="CZ532" s="197"/>
      <c r="DA532" s="196"/>
      <c r="DB532" s="196"/>
      <c r="DC532" s="196"/>
      <c r="DE532" s="199"/>
      <c r="DF532" s="200"/>
      <c r="DG532" s="181"/>
    </row>
    <row r="533" spans="1:111" ht="25.5" outlineLevel="1" x14ac:dyDescent="0.25">
      <c r="A533" s="305" t="s">
        <v>34</v>
      </c>
      <c r="B533" s="306" t="s">
        <v>377</v>
      </c>
      <c r="C533" s="306"/>
      <c r="D533" s="307">
        <f>E533+F533</f>
        <v>3400</v>
      </c>
      <c r="E533" s="307"/>
      <c r="F533" s="307">
        <f>G533+H533+K533+M533</f>
        <v>3400</v>
      </c>
      <c r="G533" s="307"/>
      <c r="H533" s="307">
        <v>3400</v>
      </c>
      <c r="I533" s="235"/>
      <c r="J533" s="235"/>
      <c r="K533" s="303"/>
      <c r="L533" s="235"/>
      <c r="M533" s="223"/>
      <c r="N533" s="223"/>
      <c r="O533" s="303"/>
      <c r="P533" s="303">
        <v>0</v>
      </c>
      <c r="Q533" s="308">
        <f t="shared" si="474"/>
        <v>0</v>
      </c>
      <c r="R533" s="303"/>
      <c r="S533" s="313">
        <v>0</v>
      </c>
      <c r="T533" s="313">
        <v>0</v>
      </c>
      <c r="U533" s="303"/>
      <c r="V533" s="313">
        <v>0</v>
      </c>
      <c r="W533" s="313">
        <v>0</v>
      </c>
      <c r="X533" s="303"/>
      <c r="Y533" s="313">
        <v>0</v>
      </c>
      <c r="Z533" s="313">
        <v>0</v>
      </c>
      <c r="AA533" s="303"/>
      <c r="AB533" s="313">
        <v>0</v>
      </c>
      <c r="AC533" s="313">
        <v>0</v>
      </c>
      <c r="AD533" s="303"/>
      <c r="AE533" s="313">
        <v>0</v>
      </c>
      <c r="AF533" s="313">
        <v>0</v>
      </c>
      <c r="AG533" s="303"/>
      <c r="AH533" s="313">
        <v>0</v>
      </c>
      <c r="AI533" s="313">
        <v>0</v>
      </c>
      <c r="AJ533" s="189"/>
      <c r="AK533" s="313">
        <v>0</v>
      </c>
      <c r="AL533" s="313">
        <v>0</v>
      </c>
      <c r="AM533" s="303"/>
      <c r="AN533" s="313">
        <v>0</v>
      </c>
      <c r="AO533" s="313">
        <v>0</v>
      </c>
      <c r="AP533" s="313"/>
      <c r="AQ533" s="303">
        <v>1000</v>
      </c>
      <c r="AR533" s="313">
        <v>0.29411764705882354</v>
      </c>
      <c r="AS533" s="313">
        <v>0.30959752321981426</v>
      </c>
      <c r="AT533" s="303">
        <v>1000</v>
      </c>
      <c r="AU533" s="313">
        <v>0.29411764705882354</v>
      </c>
      <c r="AV533" s="313">
        <v>0.30959752321981426</v>
      </c>
      <c r="AW533" s="313"/>
      <c r="AX533" s="313"/>
      <c r="AY533" s="313"/>
      <c r="AZ533" s="313"/>
      <c r="BA533" s="313"/>
      <c r="BB533" s="313"/>
      <c r="BC533" s="303">
        <v>1000</v>
      </c>
      <c r="BD533" s="313">
        <v>0.29411764705882354</v>
      </c>
      <c r="BE533" s="313">
        <v>0.30959752321981426</v>
      </c>
      <c r="BF533" s="351"/>
      <c r="BG533" s="351">
        <v>2888</v>
      </c>
      <c r="BH533" s="313">
        <v>0.84941176470588231</v>
      </c>
      <c r="BI533" s="313">
        <v>0.89411764705882357</v>
      </c>
      <c r="BJ533" s="349">
        <f t="shared" si="467"/>
        <v>3230</v>
      </c>
      <c r="BK533" s="349">
        <v>2888</v>
      </c>
      <c r="BL533" s="313">
        <f t="shared" si="469"/>
        <v>0.84941176470588231</v>
      </c>
      <c r="BM533" s="313">
        <f t="shared" si="477"/>
        <v>0.89411764705882357</v>
      </c>
      <c r="BN533" s="205">
        <f t="shared" si="465"/>
        <v>2888</v>
      </c>
      <c r="BO533" s="205"/>
      <c r="BP533" s="310"/>
      <c r="BQ533" s="311">
        <f t="shared" si="470"/>
        <v>0</v>
      </c>
      <c r="BR533" s="310">
        <f>H533*0.17</f>
        <v>578</v>
      </c>
      <c r="BS533" s="311">
        <f t="shared" si="471"/>
        <v>0.17</v>
      </c>
      <c r="BT533" s="310">
        <v>578</v>
      </c>
      <c r="BU533" s="308">
        <f t="shared" si="472"/>
        <v>0.17</v>
      </c>
      <c r="BV533" s="310">
        <f>H533*0.33</f>
        <v>1122</v>
      </c>
      <c r="BW533" s="311">
        <f t="shared" si="454"/>
        <v>0.33</v>
      </c>
      <c r="BX533" s="310">
        <f>H533*0.5</f>
        <v>1700</v>
      </c>
      <c r="BY533" s="311">
        <f t="shared" si="455"/>
        <v>0.5</v>
      </c>
      <c r="BZ533" s="310">
        <f>H533*0.65</f>
        <v>2210</v>
      </c>
      <c r="CA533" s="311">
        <f t="shared" si="456"/>
        <v>0.65</v>
      </c>
      <c r="CB533" s="310">
        <f>H533*0.83</f>
        <v>2822</v>
      </c>
      <c r="CC533" s="311">
        <f t="shared" si="431"/>
        <v>0.83</v>
      </c>
      <c r="CD533" s="310">
        <f>H533*0.95</f>
        <v>3230</v>
      </c>
      <c r="CE533" s="311">
        <f t="shared" si="457"/>
        <v>0.95</v>
      </c>
      <c r="CF533" s="310">
        <v>3230</v>
      </c>
      <c r="CG533" s="311">
        <f t="shared" si="458"/>
        <v>0.95</v>
      </c>
      <c r="CH533" s="310">
        <v>3230</v>
      </c>
      <c r="CI533" s="311">
        <f t="shared" si="459"/>
        <v>0.95</v>
      </c>
      <c r="CJ533" s="310">
        <v>3230</v>
      </c>
      <c r="CK533" s="311">
        <f t="shared" si="460"/>
        <v>0.95</v>
      </c>
      <c r="CL533" s="310">
        <v>3230</v>
      </c>
      <c r="CM533" s="311">
        <f t="shared" si="461"/>
        <v>0.95</v>
      </c>
      <c r="CN533" s="310">
        <v>3230</v>
      </c>
      <c r="CO533" s="311">
        <f t="shared" si="462"/>
        <v>0.95</v>
      </c>
      <c r="CP533" s="213" t="str">
        <f t="shared" si="475"/>
        <v>Đạt</v>
      </c>
      <c r="CQ533" s="213" t="str">
        <f t="shared" si="476"/>
        <v>Đạt</v>
      </c>
      <c r="CR533" s="312"/>
      <c r="CS533" s="312"/>
      <c r="CT533" s="235"/>
      <c r="CU533" s="163"/>
      <c r="CW533" s="195"/>
      <c r="CX533" s="196"/>
      <c r="CY533" s="196"/>
      <c r="CZ533" s="197"/>
      <c r="DA533" s="196"/>
      <c r="DB533" s="196"/>
      <c r="DC533" s="196"/>
      <c r="DE533" s="199"/>
      <c r="DF533" s="200"/>
      <c r="DG533" s="181"/>
    </row>
    <row r="534" spans="1:111" ht="18" customHeight="1" x14ac:dyDescent="0.25">
      <c r="A534" s="213">
        <f>MAX(A$243:A531)+1</f>
        <v>81</v>
      </c>
      <c r="B534" s="240" t="s">
        <v>494</v>
      </c>
      <c r="C534" s="240"/>
      <c r="D534" s="188">
        <f t="shared" ref="D534:I534" si="478">D535+D536</f>
        <v>3212</v>
      </c>
      <c r="E534" s="188">
        <f t="shared" si="478"/>
        <v>0</v>
      </c>
      <c r="F534" s="188">
        <f t="shared" si="478"/>
        <v>3212</v>
      </c>
      <c r="G534" s="188">
        <f t="shared" si="478"/>
        <v>3000</v>
      </c>
      <c r="H534" s="188">
        <f t="shared" si="478"/>
        <v>212</v>
      </c>
      <c r="I534" s="188">
        <f t="shared" si="478"/>
        <v>0</v>
      </c>
      <c r="J534" s="188"/>
      <c r="K534" s="188">
        <f>K535+K536</f>
        <v>0</v>
      </c>
      <c r="L534" s="188">
        <f>L535+L536</f>
        <v>0</v>
      </c>
      <c r="M534" s="188">
        <f>M535+M536</f>
        <v>0</v>
      </c>
      <c r="N534" s="188">
        <f>N535+N536</f>
        <v>0</v>
      </c>
      <c r="O534" s="188">
        <f>O535+O536</f>
        <v>3000</v>
      </c>
      <c r="P534" s="188">
        <v>268</v>
      </c>
      <c r="Q534" s="186">
        <f t="shared" si="474"/>
        <v>8.3437110834371109E-2</v>
      </c>
      <c r="R534" s="189">
        <v>383.27215000000001</v>
      </c>
      <c r="S534" s="185">
        <v>0.11932507783312578</v>
      </c>
      <c r="T534" s="185">
        <v>0.12560534508750085</v>
      </c>
      <c r="U534" s="189">
        <v>383.27215000000001</v>
      </c>
      <c r="V534" s="185">
        <v>0.11932507783312578</v>
      </c>
      <c r="W534" s="185">
        <v>0.12560534508750085</v>
      </c>
      <c r="X534" s="189">
        <v>383.27215000000001</v>
      </c>
      <c r="Y534" s="185">
        <v>0.11932507783312578</v>
      </c>
      <c r="Z534" s="185">
        <v>0.12560534508750085</v>
      </c>
      <c r="AA534" s="189">
        <v>383.27215000000001</v>
      </c>
      <c r="AB534" s="185">
        <v>0.11932507783312578</v>
      </c>
      <c r="AC534" s="185">
        <v>0.12560534508750085</v>
      </c>
      <c r="AD534" s="189">
        <v>593</v>
      </c>
      <c r="AE534" s="185">
        <v>0.18462017434620173</v>
      </c>
      <c r="AF534" s="185">
        <v>0.19433702562758082</v>
      </c>
      <c r="AG534" s="189">
        <v>593</v>
      </c>
      <c r="AH534" s="185">
        <v>0.18462017434620173</v>
      </c>
      <c r="AI534" s="185">
        <v>0.19433702562758082</v>
      </c>
      <c r="AJ534" s="307">
        <v>593</v>
      </c>
      <c r="AK534" s="185">
        <v>0.18462017434620173</v>
      </c>
      <c r="AL534" s="185">
        <v>0.19433702562758082</v>
      </c>
      <c r="AM534" s="189">
        <v>593</v>
      </c>
      <c r="AN534" s="185">
        <v>0.18462017434620173</v>
      </c>
      <c r="AO534" s="185">
        <v>0.19433702562758082</v>
      </c>
      <c r="AP534" s="185"/>
      <c r="AQ534" s="189">
        <v>1406</v>
      </c>
      <c r="AR534" s="185">
        <v>0.43773349937733497</v>
      </c>
      <c r="AS534" s="185">
        <v>0.46077210460772111</v>
      </c>
      <c r="AT534" s="189">
        <v>1406</v>
      </c>
      <c r="AU534" s="185">
        <v>0.43773349937733497</v>
      </c>
      <c r="AV534" s="185">
        <v>0.46077210460772111</v>
      </c>
      <c r="AW534" s="185"/>
      <c r="AX534" s="185"/>
      <c r="AY534" s="185"/>
      <c r="AZ534" s="185"/>
      <c r="BA534" s="185"/>
      <c r="BB534" s="185"/>
      <c r="BC534" s="189">
        <v>1406</v>
      </c>
      <c r="BD534" s="185">
        <v>0.43773349937733497</v>
      </c>
      <c r="BE534" s="185">
        <v>0.46077210460772111</v>
      </c>
      <c r="BF534" s="352"/>
      <c r="BG534" s="352">
        <v>1937.8</v>
      </c>
      <c r="BH534" s="185">
        <v>0.60330012453300119</v>
      </c>
      <c r="BI534" s="185">
        <v>0.63505276266631716</v>
      </c>
      <c r="BJ534" s="374">
        <f t="shared" si="467"/>
        <v>3051.3999999999996</v>
      </c>
      <c r="BK534" s="374">
        <v>1937.8</v>
      </c>
      <c r="BL534" s="185">
        <f t="shared" si="469"/>
        <v>0.60330012453300119</v>
      </c>
      <c r="BM534" s="185">
        <f t="shared" si="477"/>
        <v>0.63505276266631716</v>
      </c>
      <c r="BN534" s="205">
        <f t="shared" si="465"/>
        <v>1344.8</v>
      </c>
      <c r="BO534" s="205"/>
      <c r="BP534" s="189">
        <f>BP535+BP536</f>
        <v>0</v>
      </c>
      <c r="BQ534" s="186">
        <f t="shared" si="470"/>
        <v>0</v>
      </c>
      <c r="BR534" s="189">
        <f>BR535+BR536</f>
        <v>400</v>
      </c>
      <c r="BS534" s="186">
        <f t="shared" si="471"/>
        <v>0.12453300124533001</v>
      </c>
      <c r="BT534" s="189">
        <f>BT535+BT536</f>
        <v>1200</v>
      </c>
      <c r="BU534" s="186">
        <f t="shared" si="472"/>
        <v>0.37359900373599003</v>
      </c>
      <c r="BV534" s="189">
        <f>BV535+BV536</f>
        <v>1200</v>
      </c>
      <c r="BW534" s="186">
        <f t="shared" si="454"/>
        <v>0.37359900373599003</v>
      </c>
      <c r="BX534" s="189">
        <f>BX535+BX536</f>
        <v>1800</v>
      </c>
      <c r="BY534" s="186">
        <f t="shared" si="455"/>
        <v>0.56039850560398508</v>
      </c>
      <c r="BZ534" s="189">
        <f>BZ535+BZ536</f>
        <v>1800</v>
      </c>
      <c r="CA534" s="186">
        <f t="shared" si="456"/>
        <v>0.56039850560398508</v>
      </c>
      <c r="CB534" s="189">
        <f>CB535+CB536</f>
        <v>2100</v>
      </c>
      <c r="CC534" s="186">
        <f t="shared" si="431"/>
        <v>0.65379825653798251</v>
      </c>
      <c r="CD534" s="189">
        <f>CD535+CD536</f>
        <v>2500</v>
      </c>
      <c r="CE534" s="186">
        <f t="shared" si="457"/>
        <v>0.77833125778331258</v>
      </c>
      <c r="CF534" s="189">
        <f>CF535+CF536</f>
        <v>2950</v>
      </c>
      <c r="CG534" s="186">
        <f t="shared" si="458"/>
        <v>0.91843088418430885</v>
      </c>
      <c r="CH534" s="189">
        <f>CH535+CH536</f>
        <v>2950</v>
      </c>
      <c r="CI534" s="186">
        <f t="shared" si="459"/>
        <v>0.91843088418430885</v>
      </c>
      <c r="CJ534" s="189">
        <f>CJ535+CJ536</f>
        <v>2950</v>
      </c>
      <c r="CK534" s="186">
        <f t="shared" si="460"/>
        <v>0.91843088418430885</v>
      </c>
      <c r="CL534" s="189">
        <f>CL535+CL536</f>
        <v>3051</v>
      </c>
      <c r="CM534" s="186">
        <f t="shared" si="461"/>
        <v>0.94987546699875469</v>
      </c>
      <c r="CN534" s="189">
        <f>CN535+CN536</f>
        <v>3051</v>
      </c>
      <c r="CO534" s="186">
        <f t="shared" si="462"/>
        <v>0.94987546699875469</v>
      </c>
      <c r="CP534" s="213" t="str">
        <f t="shared" si="475"/>
        <v>Đạt</v>
      </c>
      <c r="CQ534" s="213" t="str">
        <f t="shared" si="476"/>
        <v>Đạt</v>
      </c>
      <c r="CR534" s="213"/>
      <c r="CS534" s="213"/>
      <c r="CT534" s="231"/>
      <c r="CU534" s="163"/>
      <c r="CW534" s="195"/>
      <c r="CX534" s="196"/>
      <c r="CY534" s="196"/>
      <c r="CZ534" s="197"/>
      <c r="DA534" s="196"/>
      <c r="DB534" s="196"/>
      <c r="DC534" s="196"/>
      <c r="DE534" s="199"/>
      <c r="DF534" s="200"/>
      <c r="DG534" s="181"/>
    </row>
    <row r="535" spans="1:111" s="324" customFormat="1" outlineLevel="1" x14ac:dyDescent="0.25">
      <c r="A535" s="305" t="s">
        <v>34</v>
      </c>
      <c r="B535" s="306" t="s">
        <v>376</v>
      </c>
      <c r="C535" s="306"/>
      <c r="D535" s="307">
        <f>E535+F535</f>
        <v>3000</v>
      </c>
      <c r="E535" s="307"/>
      <c r="F535" s="307">
        <f>G535+H535+K535+M535</f>
        <v>3000</v>
      </c>
      <c r="G535" s="303">
        <v>3000</v>
      </c>
      <c r="H535" s="303"/>
      <c r="I535" s="235"/>
      <c r="J535" s="235"/>
      <c r="K535" s="303"/>
      <c r="L535" s="235"/>
      <c r="M535" s="223"/>
      <c r="N535" s="223"/>
      <c r="O535" s="303">
        <f>G535+I535+L535+N535</f>
        <v>3000</v>
      </c>
      <c r="P535" s="303">
        <v>0</v>
      </c>
      <c r="Q535" s="308">
        <f t="shared" si="474"/>
        <v>0</v>
      </c>
      <c r="R535" s="303">
        <v>383.27215000000001</v>
      </c>
      <c r="S535" s="313">
        <v>0.12775738333333334</v>
      </c>
      <c r="T535" s="313">
        <v>0.13448145614035087</v>
      </c>
      <c r="U535" s="303">
        <v>383.27215000000001</v>
      </c>
      <c r="V535" s="313">
        <v>0.12775738333333334</v>
      </c>
      <c r="W535" s="313">
        <v>0.13448145614035087</v>
      </c>
      <c r="X535" s="303">
        <v>383.27215000000001</v>
      </c>
      <c r="Y535" s="313">
        <v>0.12775738333333334</v>
      </c>
      <c r="Z535" s="313">
        <v>0.13448145614035087</v>
      </c>
      <c r="AA535" s="303">
        <v>383.27215000000001</v>
      </c>
      <c r="AB535" s="313">
        <v>0.12775738333333334</v>
      </c>
      <c r="AC535" s="313">
        <v>0.13448145614035087</v>
      </c>
      <c r="AD535" s="303">
        <v>593</v>
      </c>
      <c r="AE535" s="313">
        <v>0.19766666666666666</v>
      </c>
      <c r="AF535" s="313">
        <v>0.20807017543859649</v>
      </c>
      <c r="AG535" s="307">
        <v>593</v>
      </c>
      <c r="AH535" s="313">
        <v>0.19766666666666666</v>
      </c>
      <c r="AI535" s="313">
        <v>0.20807017543859649</v>
      </c>
      <c r="AJ535" s="303">
        <v>593</v>
      </c>
      <c r="AK535" s="313">
        <v>0.19766666666666666</v>
      </c>
      <c r="AL535" s="313">
        <v>0.20807017543859649</v>
      </c>
      <c r="AM535" s="307">
        <v>593</v>
      </c>
      <c r="AN535" s="313">
        <v>0.19766666666666666</v>
      </c>
      <c r="AO535" s="313">
        <v>0.20807017543859649</v>
      </c>
      <c r="AP535" s="313"/>
      <c r="AQ535" s="307">
        <v>1406</v>
      </c>
      <c r="AR535" s="313">
        <v>0.46866666666666668</v>
      </c>
      <c r="AS535" s="313">
        <v>0.49333333333333335</v>
      </c>
      <c r="AT535" s="307">
        <v>1406</v>
      </c>
      <c r="AU535" s="313">
        <v>0.46866666666666668</v>
      </c>
      <c r="AV535" s="313">
        <v>0.49333333333333335</v>
      </c>
      <c r="AW535" s="313"/>
      <c r="AX535" s="313"/>
      <c r="AY535" s="313"/>
      <c r="AZ535" s="313"/>
      <c r="BA535" s="313"/>
      <c r="BB535" s="313"/>
      <c r="BC535" s="307">
        <v>1406</v>
      </c>
      <c r="BD535" s="313">
        <v>0.46866666666666668</v>
      </c>
      <c r="BE535" s="313">
        <v>0.49333333333333335</v>
      </c>
      <c r="BF535" s="351"/>
      <c r="BG535" s="351">
        <v>1937.8</v>
      </c>
      <c r="BH535" s="313">
        <v>0.64593333333333336</v>
      </c>
      <c r="BI535" s="313">
        <v>0.6799298245614035</v>
      </c>
      <c r="BJ535" s="349">
        <f t="shared" si="467"/>
        <v>2850</v>
      </c>
      <c r="BK535" s="349">
        <v>1937.8</v>
      </c>
      <c r="BL535" s="313">
        <f t="shared" si="469"/>
        <v>0.64593333333333336</v>
      </c>
      <c r="BM535" s="313">
        <f t="shared" si="477"/>
        <v>0.6799298245614035</v>
      </c>
      <c r="BN535" s="205">
        <f t="shared" si="465"/>
        <v>1344.8</v>
      </c>
      <c r="BO535" s="205"/>
      <c r="BP535" s="310"/>
      <c r="BQ535" s="311">
        <f t="shared" si="470"/>
        <v>0</v>
      </c>
      <c r="BR535" s="310">
        <v>400</v>
      </c>
      <c r="BS535" s="311">
        <f t="shared" si="471"/>
        <v>0.13333333333333333</v>
      </c>
      <c r="BT535" s="310">
        <v>1200</v>
      </c>
      <c r="BU535" s="308">
        <f t="shared" si="472"/>
        <v>0.4</v>
      </c>
      <c r="BV535" s="310">
        <v>1200</v>
      </c>
      <c r="BW535" s="311">
        <f t="shared" si="454"/>
        <v>0.4</v>
      </c>
      <c r="BX535" s="310">
        <v>1800</v>
      </c>
      <c r="BY535" s="311">
        <f t="shared" si="455"/>
        <v>0.6</v>
      </c>
      <c r="BZ535" s="310">
        <v>1800</v>
      </c>
      <c r="CA535" s="311">
        <f t="shared" si="456"/>
        <v>0.6</v>
      </c>
      <c r="CB535" s="310">
        <v>2100</v>
      </c>
      <c r="CC535" s="311">
        <f t="shared" si="431"/>
        <v>0.7</v>
      </c>
      <c r="CD535" s="310">
        <v>2500</v>
      </c>
      <c r="CE535" s="311">
        <f t="shared" si="457"/>
        <v>0.83333333333333337</v>
      </c>
      <c r="CF535" s="310">
        <v>2850</v>
      </c>
      <c r="CG535" s="311">
        <f t="shared" si="458"/>
        <v>0.95</v>
      </c>
      <c r="CH535" s="310">
        <v>2850</v>
      </c>
      <c r="CI535" s="311">
        <f t="shared" si="459"/>
        <v>0.95</v>
      </c>
      <c r="CJ535" s="310">
        <v>2850</v>
      </c>
      <c r="CK535" s="311">
        <f t="shared" si="460"/>
        <v>0.95</v>
      </c>
      <c r="CL535" s="310">
        <v>2850</v>
      </c>
      <c r="CM535" s="311">
        <f t="shared" si="461"/>
        <v>0.95</v>
      </c>
      <c r="CN535" s="310">
        <v>2850</v>
      </c>
      <c r="CO535" s="311">
        <f t="shared" si="462"/>
        <v>0.95</v>
      </c>
      <c r="CP535" s="213" t="str">
        <f t="shared" si="475"/>
        <v>Đạt</v>
      </c>
      <c r="CQ535" s="213" t="str">
        <f t="shared" si="476"/>
        <v>Đạt</v>
      </c>
      <c r="CR535" s="312"/>
      <c r="CS535" s="312"/>
      <c r="CT535" s="235"/>
      <c r="CU535" s="163"/>
      <c r="CV535" s="323"/>
      <c r="CW535" s="195"/>
      <c r="CX535" s="196"/>
      <c r="CY535" s="196"/>
      <c r="CZ535" s="197"/>
      <c r="DA535" s="196"/>
      <c r="DB535" s="196"/>
      <c r="DC535" s="196"/>
      <c r="DE535" s="199"/>
      <c r="DF535" s="200"/>
      <c r="DG535" s="181"/>
    </row>
    <row r="536" spans="1:111" ht="25.5" outlineLevel="1" x14ac:dyDescent="0.25">
      <c r="A536" s="305" t="s">
        <v>34</v>
      </c>
      <c r="B536" s="306" t="s">
        <v>377</v>
      </c>
      <c r="C536" s="306"/>
      <c r="D536" s="307">
        <f>E536+F536</f>
        <v>212</v>
      </c>
      <c r="E536" s="307"/>
      <c r="F536" s="307">
        <f>G536+H536+K536+M536</f>
        <v>212</v>
      </c>
      <c r="G536" s="307"/>
      <c r="H536" s="307">
        <v>212</v>
      </c>
      <c r="I536" s="235"/>
      <c r="J536" s="235"/>
      <c r="K536" s="303"/>
      <c r="L536" s="235"/>
      <c r="M536" s="223"/>
      <c r="N536" s="223"/>
      <c r="O536" s="303"/>
      <c r="P536" s="303">
        <v>0</v>
      </c>
      <c r="Q536" s="308">
        <f t="shared" si="474"/>
        <v>0</v>
      </c>
      <c r="R536" s="303"/>
      <c r="S536" s="313">
        <v>0</v>
      </c>
      <c r="T536" s="313">
        <v>0</v>
      </c>
      <c r="U536" s="303"/>
      <c r="V536" s="313">
        <v>0</v>
      </c>
      <c r="W536" s="313">
        <v>0</v>
      </c>
      <c r="X536" s="303"/>
      <c r="Y536" s="313">
        <v>0</v>
      </c>
      <c r="Z536" s="313">
        <v>0</v>
      </c>
      <c r="AA536" s="303"/>
      <c r="AB536" s="313">
        <v>0</v>
      </c>
      <c r="AC536" s="313">
        <v>0</v>
      </c>
      <c r="AD536" s="303"/>
      <c r="AE536" s="313">
        <v>0</v>
      </c>
      <c r="AF536" s="313">
        <v>0</v>
      </c>
      <c r="AG536" s="303"/>
      <c r="AH536" s="313">
        <v>0</v>
      </c>
      <c r="AI536" s="313">
        <v>0</v>
      </c>
      <c r="AJ536" s="304"/>
      <c r="AK536" s="313">
        <v>0</v>
      </c>
      <c r="AL536" s="313">
        <v>0</v>
      </c>
      <c r="AM536" s="303"/>
      <c r="AN536" s="313">
        <v>0</v>
      </c>
      <c r="AO536" s="313">
        <v>0</v>
      </c>
      <c r="AP536" s="313"/>
      <c r="AQ536" s="303"/>
      <c r="AR536" s="313">
        <v>0</v>
      </c>
      <c r="AS536" s="313">
        <v>0</v>
      </c>
      <c r="AT536" s="303"/>
      <c r="AU536" s="313">
        <v>0</v>
      </c>
      <c r="AV536" s="313">
        <v>0</v>
      </c>
      <c r="AW536" s="313"/>
      <c r="AX536" s="313"/>
      <c r="AY536" s="313"/>
      <c r="AZ536" s="313"/>
      <c r="BA536" s="313"/>
      <c r="BB536" s="313"/>
      <c r="BC536" s="303"/>
      <c r="BD536" s="313">
        <v>0</v>
      </c>
      <c r="BE536" s="313">
        <v>0</v>
      </c>
      <c r="BF536" s="351"/>
      <c r="BG536" s="351">
        <v>0</v>
      </c>
      <c r="BH536" s="313">
        <v>0</v>
      </c>
      <c r="BI536" s="313">
        <v>0</v>
      </c>
      <c r="BJ536" s="349">
        <f t="shared" si="467"/>
        <v>201.39999999999998</v>
      </c>
      <c r="BK536" s="349">
        <v>0</v>
      </c>
      <c r="BL536" s="313">
        <f t="shared" si="469"/>
        <v>0</v>
      </c>
      <c r="BM536" s="313">
        <f t="shared" si="477"/>
        <v>0</v>
      </c>
      <c r="BN536" s="205">
        <f t="shared" si="465"/>
        <v>0</v>
      </c>
      <c r="BO536" s="205"/>
      <c r="BP536" s="310"/>
      <c r="BQ536" s="311">
        <f t="shared" si="470"/>
        <v>0</v>
      </c>
      <c r="BR536" s="310"/>
      <c r="BS536" s="311">
        <f t="shared" si="471"/>
        <v>0</v>
      </c>
      <c r="BT536" s="310"/>
      <c r="BU536" s="308">
        <f t="shared" si="472"/>
        <v>0</v>
      </c>
      <c r="BV536" s="310"/>
      <c r="BW536" s="311">
        <f t="shared" si="454"/>
        <v>0</v>
      </c>
      <c r="BX536" s="310"/>
      <c r="BY536" s="311">
        <f t="shared" si="455"/>
        <v>0</v>
      </c>
      <c r="BZ536" s="310"/>
      <c r="CA536" s="311">
        <f t="shared" si="456"/>
        <v>0</v>
      </c>
      <c r="CB536" s="310"/>
      <c r="CC536" s="311">
        <f t="shared" si="431"/>
        <v>0</v>
      </c>
      <c r="CD536" s="310"/>
      <c r="CE536" s="311">
        <f t="shared" si="457"/>
        <v>0</v>
      </c>
      <c r="CF536" s="310">
        <v>100</v>
      </c>
      <c r="CG536" s="311">
        <f t="shared" si="458"/>
        <v>0.47169811320754718</v>
      </c>
      <c r="CH536" s="310">
        <v>100</v>
      </c>
      <c r="CI536" s="311">
        <f t="shared" si="459"/>
        <v>0.47169811320754718</v>
      </c>
      <c r="CJ536" s="310">
        <v>100</v>
      </c>
      <c r="CK536" s="311">
        <f t="shared" si="460"/>
        <v>0.47169811320754718</v>
      </c>
      <c r="CL536" s="310">
        <v>201</v>
      </c>
      <c r="CM536" s="311">
        <f t="shared" si="461"/>
        <v>0.94811320754716977</v>
      </c>
      <c r="CN536" s="310">
        <v>201</v>
      </c>
      <c r="CO536" s="311">
        <f t="shared" si="462"/>
        <v>0.94811320754716977</v>
      </c>
      <c r="CP536" s="213" t="str">
        <f t="shared" si="475"/>
        <v>Không đạt</v>
      </c>
      <c r="CQ536" s="213" t="str">
        <f t="shared" si="476"/>
        <v>Không đạt</v>
      </c>
      <c r="CR536" s="312"/>
      <c r="CS536" s="312"/>
      <c r="CT536" s="235"/>
      <c r="CU536" s="163"/>
      <c r="CW536" s="195"/>
      <c r="CX536" s="196"/>
      <c r="CY536" s="196"/>
      <c r="CZ536" s="197"/>
      <c r="DA536" s="196"/>
      <c r="DB536" s="196"/>
      <c r="DC536" s="196"/>
      <c r="DE536" s="199"/>
      <c r="DF536" s="200"/>
      <c r="DG536" s="181"/>
    </row>
    <row r="537" spans="1:111" ht="18" customHeight="1" x14ac:dyDescent="0.25">
      <c r="A537" s="213">
        <f>MAX(A$243:A534)+1</f>
        <v>82</v>
      </c>
      <c r="B537" s="240" t="s">
        <v>495</v>
      </c>
      <c r="C537" s="240"/>
      <c r="D537" s="188">
        <f t="shared" ref="D537:I537" si="479">D538+D540</f>
        <v>62459.608999999997</v>
      </c>
      <c r="E537" s="188">
        <f t="shared" si="479"/>
        <v>50000</v>
      </c>
      <c r="F537" s="188">
        <f t="shared" si="479"/>
        <v>12459.609</v>
      </c>
      <c r="G537" s="188">
        <f t="shared" si="479"/>
        <v>3000</v>
      </c>
      <c r="H537" s="188">
        <f t="shared" si="479"/>
        <v>9459.6090000000004</v>
      </c>
      <c r="I537" s="188">
        <f t="shared" si="479"/>
        <v>912</v>
      </c>
      <c r="J537" s="188"/>
      <c r="K537" s="188">
        <f>K538+K540</f>
        <v>0</v>
      </c>
      <c r="L537" s="188">
        <f>L538+L540</f>
        <v>0</v>
      </c>
      <c r="M537" s="231">
        <f>M538+M540</f>
        <v>0</v>
      </c>
      <c r="N537" s="231">
        <f>N538+N540</f>
        <v>0</v>
      </c>
      <c r="O537" s="188">
        <f>O538+O540</f>
        <v>3912</v>
      </c>
      <c r="P537" s="188">
        <v>1255</v>
      </c>
      <c r="Q537" s="186">
        <f t="shared" si="474"/>
        <v>2.0092985212251328E-2</v>
      </c>
      <c r="R537" s="189">
        <v>1675.37</v>
      </c>
      <c r="S537" s="185">
        <v>2.6823254689282476E-2</v>
      </c>
      <c r="T537" s="185">
        <v>2.7093488750689655E-2</v>
      </c>
      <c r="U537" s="304">
        <v>2049.7483080000002</v>
      </c>
      <c r="V537" s="185">
        <v>3.2817181228271861E-2</v>
      </c>
      <c r="W537" s="185">
        <v>3.3147801813654995E-2</v>
      </c>
      <c r="X537" s="304">
        <v>2049.7483080000002</v>
      </c>
      <c r="Y537" s="185">
        <v>3.2817181228271861E-2</v>
      </c>
      <c r="Z537" s="185">
        <v>3.3147801813654995E-2</v>
      </c>
      <c r="AA537" s="304">
        <v>2049.7483080000002</v>
      </c>
      <c r="AB537" s="185">
        <v>3.2817181228271861E-2</v>
      </c>
      <c r="AC537" s="185">
        <v>3.3147801813654995E-2</v>
      </c>
      <c r="AD537" s="304">
        <v>5368.8553080000002</v>
      </c>
      <c r="AE537" s="185">
        <v>8.5957235307060606E-2</v>
      </c>
      <c r="AF537" s="185">
        <v>8.6823221671259762E-2</v>
      </c>
      <c r="AG537" s="304">
        <v>5368.8553080000002</v>
      </c>
      <c r="AH537" s="185">
        <v>8.5957235307060606E-2</v>
      </c>
      <c r="AI537" s="185">
        <v>8.6823221671259762E-2</v>
      </c>
      <c r="AJ537" s="189">
        <v>5368.8553080000002</v>
      </c>
      <c r="AK537" s="185">
        <v>8.5957235307060606E-2</v>
      </c>
      <c r="AL537" s="185">
        <v>8.6823221671259762E-2</v>
      </c>
      <c r="AM537" s="304">
        <v>5368.8553080000002</v>
      </c>
      <c r="AN537" s="185">
        <v>8.5957235307060606E-2</v>
      </c>
      <c r="AO537" s="185">
        <v>8.6823221671259762E-2</v>
      </c>
      <c r="AP537" s="185"/>
      <c r="AQ537" s="189">
        <v>6422.8553080000002</v>
      </c>
      <c r="AR537" s="185">
        <v>0.10283214081599519</v>
      </c>
      <c r="AS537" s="185">
        <v>0.10386813541761244</v>
      </c>
      <c r="AT537" s="189">
        <v>6422.8553080000002</v>
      </c>
      <c r="AU537" s="185">
        <v>0.10283214081599519</v>
      </c>
      <c r="AV537" s="185">
        <v>0.10386813541761244</v>
      </c>
      <c r="AW537" s="185"/>
      <c r="AX537" s="185"/>
      <c r="AY537" s="185"/>
      <c r="AZ537" s="185"/>
      <c r="BA537" s="185"/>
      <c r="BB537" s="185"/>
      <c r="BC537" s="189">
        <v>6422.8553080000002</v>
      </c>
      <c r="BD537" s="185">
        <v>0.10283214081599519</v>
      </c>
      <c r="BE537" s="185">
        <v>0.10386813541761244</v>
      </c>
      <c r="BF537" s="352"/>
      <c r="BG537" s="352">
        <v>33262.727057999997</v>
      </c>
      <c r="BH537" s="185">
        <v>0.53254779513589334</v>
      </c>
      <c r="BI537" s="185">
        <v>0.53791301107408118</v>
      </c>
      <c r="BJ537" s="374">
        <f t="shared" si="467"/>
        <v>61836.628550000001</v>
      </c>
      <c r="BK537" s="374">
        <v>34692.044057999999</v>
      </c>
      <c r="BL537" s="185">
        <f t="shared" si="469"/>
        <v>0.5554316559682595</v>
      </c>
      <c r="BM537" s="185">
        <f t="shared" si="477"/>
        <v>0.56102741807711309</v>
      </c>
      <c r="BN537" s="205">
        <f t="shared" si="465"/>
        <v>29323.188750000001</v>
      </c>
      <c r="BO537" s="205"/>
      <c r="BP537" s="189">
        <f>BP538+BP540</f>
        <v>1100</v>
      </c>
      <c r="BQ537" s="186">
        <f t="shared" si="470"/>
        <v>1.7611381460937419E-2</v>
      </c>
      <c r="BR537" s="189">
        <f>BR538+BR540</f>
        <v>16100</v>
      </c>
      <c r="BS537" s="186">
        <f t="shared" si="471"/>
        <v>0.25776658320099316</v>
      </c>
      <c r="BT537" s="189">
        <f>BT538+BT540</f>
        <v>23861.628550000001</v>
      </c>
      <c r="BU537" s="186">
        <f t="shared" si="472"/>
        <v>0.38203294788476827</v>
      </c>
      <c r="BV537" s="189">
        <f>BV538+BV540</f>
        <v>23861.628550000001</v>
      </c>
      <c r="BW537" s="186">
        <f t="shared" si="454"/>
        <v>0.38203294788476827</v>
      </c>
      <c r="BX537" s="189">
        <f>BX538+BX540</f>
        <v>33861.628550000001</v>
      </c>
      <c r="BY537" s="186">
        <f t="shared" si="455"/>
        <v>0.54213641571147209</v>
      </c>
      <c r="BZ537" s="189">
        <f>BZ538+BZ540</f>
        <v>33861.628550000001</v>
      </c>
      <c r="CA537" s="186">
        <f t="shared" si="456"/>
        <v>0.54213641571147209</v>
      </c>
      <c r="CB537" s="189">
        <f>CB538+CB540</f>
        <v>38861.628550000001</v>
      </c>
      <c r="CC537" s="186">
        <f t="shared" si="431"/>
        <v>0.62218814962482394</v>
      </c>
      <c r="CD537" s="189">
        <f>CD538+CD540</f>
        <v>38861.628550000001</v>
      </c>
      <c r="CE537" s="186">
        <f t="shared" si="457"/>
        <v>0.62218814962482394</v>
      </c>
      <c r="CF537" s="189">
        <f>CF538+CF540</f>
        <v>45861.628550000001</v>
      </c>
      <c r="CG537" s="186">
        <f t="shared" si="458"/>
        <v>0.73426057710351667</v>
      </c>
      <c r="CH537" s="189">
        <f>CH538+CH540</f>
        <v>45861.628550000001</v>
      </c>
      <c r="CI537" s="186">
        <f t="shared" si="459"/>
        <v>0.73426057710351667</v>
      </c>
      <c r="CJ537" s="189">
        <f>CJ538+CJ540</f>
        <v>51361.628550000001</v>
      </c>
      <c r="CK537" s="186">
        <f t="shared" si="460"/>
        <v>0.82231748440820374</v>
      </c>
      <c r="CL537" s="189">
        <f>CL538+CL540</f>
        <v>61836.628550000001</v>
      </c>
      <c r="CM537" s="186">
        <f t="shared" si="461"/>
        <v>0.99002586695667605</v>
      </c>
      <c r="CN537" s="189">
        <f>CN538+CN540</f>
        <v>61836.628550000001</v>
      </c>
      <c r="CO537" s="186">
        <f t="shared" si="462"/>
        <v>0.99002586695667605</v>
      </c>
      <c r="CP537" s="213" t="str">
        <f t="shared" si="475"/>
        <v>Đạt</v>
      </c>
      <c r="CQ537" s="213" t="str">
        <f t="shared" si="476"/>
        <v>Đạt</v>
      </c>
      <c r="CR537" s="213"/>
      <c r="CS537" s="213"/>
      <c r="CT537" s="231"/>
      <c r="CU537" s="163"/>
      <c r="CW537" s="195"/>
      <c r="CX537" s="196"/>
      <c r="CY537" s="196"/>
      <c r="CZ537" s="197"/>
      <c r="DA537" s="196"/>
      <c r="DB537" s="196"/>
      <c r="DC537" s="196"/>
      <c r="DE537" s="199"/>
      <c r="DF537" s="200"/>
      <c r="DG537" s="181"/>
    </row>
    <row r="538" spans="1:111" s="160" customFormat="1" ht="12.75" outlineLevel="1" x14ac:dyDescent="0.25">
      <c r="A538" s="191" t="s">
        <v>29</v>
      </c>
      <c r="B538" s="210" t="s">
        <v>155</v>
      </c>
      <c r="C538" s="210"/>
      <c r="D538" s="188">
        <f t="shared" ref="D538:I538" si="480">D539</f>
        <v>50000</v>
      </c>
      <c r="E538" s="188">
        <f t="shared" si="480"/>
        <v>50000</v>
      </c>
      <c r="F538" s="188">
        <f t="shared" si="480"/>
        <v>0</v>
      </c>
      <c r="G538" s="188">
        <f t="shared" si="480"/>
        <v>0</v>
      </c>
      <c r="H538" s="188">
        <f t="shared" si="480"/>
        <v>0</v>
      </c>
      <c r="I538" s="188">
        <f t="shared" si="480"/>
        <v>0</v>
      </c>
      <c r="J538" s="188"/>
      <c r="K538" s="188">
        <f>K539</f>
        <v>0</v>
      </c>
      <c r="L538" s="188">
        <f>L539</f>
        <v>0</v>
      </c>
      <c r="M538" s="188">
        <f>M539</f>
        <v>0</v>
      </c>
      <c r="N538" s="188">
        <f>N539</f>
        <v>0</v>
      </c>
      <c r="O538" s="188">
        <f>O539</f>
        <v>0</v>
      </c>
      <c r="P538" s="188">
        <v>638.42499999999995</v>
      </c>
      <c r="Q538" s="186">
        <f t="shared" si="474"/>
        <v>1.2768499999999999E-2</v>
      </c>
      <c r="R538" s="189">
        <v>1103</v>
      </c>
      <c r="S538" s="328">
        <v>2.206E-2</v>
      </c>
      <c r="T538" s="328">
        <v>2.206E-2</v>
      </c>
      <c r="U538" s="189">
        <v>1103.485308</v>
      </c>
      <c r="V538" s="328">
        <v>2.2069706160000001E-2</v>
      </c>
      <c r="W538" s="328">
        <v>2.2069706160000001E-2</v>
      </c>
      <c r="X538" s="189">
        <v>1103.485308</v>
      </c>
      <c r="Y538" s="328">
        <v>2.2069706160000001E-2</v>
      </c>
      <c r="Z538" s="328">
        <v>2.2069706160000001E-2</v>
      </c>
      <c r="AA538" s="189">
        <v>1103.485308</v>
      </c>
      <c r="AB538" s="328">
        <v>2.2069706160000001E-2</v>
      </c>
      <c r="AC538" s="328">
        <v>2.2069706160000001E-2</v>
      </c>
      <c r="AD538" s="189">
        <v>3510.5923079999998</v>
      </c>
      <c r="AE538" s="328">
        <v>7.0211846159999994E-2</v>
      </c>
      <c r="AF538" s="328">
        <v>7.0211846159999994E-2</v>
      </c>
      <c r="AG538" s="189">
        <v>3510.5923079999998</v>
      </c>
      <c r="AH538" s="328">
        <v>7.0211846159999994E-2</v>
      </c>
      <c r="AI538" s="328">
        <v>7.0211846159999994E-2</v>
      </c>
      <c r="AJ538" s="214">
        <v>3510.5923079999998</v>
      </c>
      <c r="AK538" s="328">
        <v>7.0211846159999994E-2</v>
      </c>
      <c r="AL538" s="328">
        <v>7.0211846159999994E-2</v>
      </c>
      <c r="AM538" s="189">
        <v>3510.5923079999998</v>
      </c>
      <c r="AN538" s="328">
        <v>7.0211846159999994E-2</v>
      </c>
      <c r="AO538" s="328">
        <v>7.0211846159999994E-2</v>
      </c>
      <c r="AP538" s="328"/>
      <c r="AQ538" s="189">
        <v>3652.5923079999998</v>
      </c>
      <c r="AR538" s="328">
        <v>7.3051846159999989E-2</v>
      </c>
      <c r="AS538" s="328">
        <v>7.3051846159999989E-2</v>
      </c>
      <c r="AT538" s="189">
        <v>3652.5923079999998</v>
      </c>
      <c r="AU538" s="328">
        <v>7.3051846159999989E-2</v>
      </c>
      <c r="AV538" s="328">
        <v>7.3051846159999989E-2</v>
      </c>
      <c r="AW538" s="328"/>
      <c r="AX538" s="328"/>
      <c r="AY538" s="328"/>
      <c r="AZ538" s="328"/>
      <c r="BA538" s="328"/>
      <c r="BB538" s="328"/>
      <c r="BC538" s="189">
        <v>3652.5923079999998</v>
      </c>
      <c r="BD538" s="328">
        <v>7.3051846159999989E-2</v>
      </c>
      <c r="BE538" s="328">
        <v>7.3051846159999989E-2</v>
      </c>
      <c r="BF538" s="374"/>
      <c r="BG538" s="374">
        <v>29638.988057999999</v>
      </c>
      <c r="BH538" s="328">
        <v>0.59277976115999997</v>
      </c>
      <c r="BI538" s="328">
        <v>0.59277976115999997</v>
      </c>
      <c r="BJ538" s="374">
        <f t="shared" si="467"/>
        <v>50000</v>
      </c>
      <c r="BK538" s="374">
        <v>29638.988057999999</v>
      </c>
      <c r="BL538" s="328">
        <f t="shared" si="469"/>
        <v>0.59277976115999997</v>
      </c>
      <c r="BM538" s="328">
        <f t="shared" si="477"/>
        <v>0.59277976115999997</v>
      </c>
      <c r="BN538" s="205">
        <f t="shared" si="465"/>
        <v>26128.39575</v>
      </c>
      <c r="BO538" s="205"/>
      <c r="BP538" s="189">
        <f>BP539</f>
        <v>1100</v>
      </c>
      <c r="BQ538" s="329">
        <f t="shared" si="470"/>
        <v>2.1999999999999999E-2</v>
      </c>
      <c r="BR538" s="189">
        <f>BR539</f>
        <v>16100</v>
      </c>
      <c r="BS538" s="329">
        <f t="shared" si="471"/>
        <v>0.32200000000000001</v>
      </c>
      <c r="BT538" s="189">
        <f>BT539</f>
        <v>20100</v>
      </c>
      <c r="BU538" s="186">
        <f t="shared" si="472"/>
        <v>0.40200000000000002</v>
      </c>
      <c r="BV538" s="189">
        <f>BV539</f>
        <v>20100</v>
      </c>
      <c r="BW538" s="329">
        <f t="shared" si="454"/>
        <v>0.40200000000000002</v>
      </c>
      <c r="BX538" s="189">
        <f>BX539</f>
        <v>30100</v>
      </c>
      <c r="BY538" s="329">
        <f t="shared" si="455"/>
        <v>0.60199999999999998</v>
      </c>
      <c r="BZ538" s="189">
        <f>BZ539</f>
        <v>30100</v>
      </c>
      <c r="CA538" s="329">
        <f t="shared" si="456"/>
        <v>0.60199999999999998</v>
      </c>
      <c r="CB538" s="189">
        <f>CB539</f>
        <v>35100</v>
      </c>
      <c r="CC538" s="329">
        <f t="shared" si="431"/>
        <v>0.70199999999999996</v>
      </c>
      <c r="CD538" s="189">
        <f>CD539</f>
        <v>35100</v>
      </c>
      <c r="CE538" s="329">
        <f t="shared" si="457"/>
        <v>0.70199999999999996</v>
      </c>
      <c r="CF538" s="189">
        <f>CF539</f>
        <v>42100</v>
      </c>
      <c r="CG538" s="329">
        <f t="shared" si="458"/>
        <v>0.84199999999999997</v>
      </c>
      <c r="CH538" s="189">
        <f>CH539</f>
        <v>42100</v>
      </c>
      <c r="CI538" s="329">
        <f t="shared" si="459"/>
        <v>0.84199999999999997</v>
      </c>
      <c r="CJ538" s="189">
        <f>CJ539</f>
        <v>47600</v>
      </c>
      <c r="CK538" s="329">
        <f t="shared" si="460"/>
        <v>0.95199999999999996</v>
      </c>
      <c r="CL538" s="189">
        <f>CL539</f>
        <v>50000</v>
      </c>
      <c r="CM538" s="329">
        <f t="shared" si="461"/>
        <v>1</v>
      </c>
      <c r="CN538" s="189">
        <f>CN539</f>
        <v>50000</v>
      </c>
      <c r="CO538" s="329">
        <f t="shared" si="462"/>
        <v>1</v>
      </c>
      <c r="CP538" s="213" t="str">
        <f t="shared" si="475"/>
        <v>Đạt</v>
      </c>
      <c r="CQ538" s="213" t="str">
        <f t="shared" si="476"/>
        <v>Đạt</v>
      </c>
      <c r="CR538" s="213"/>
      <c r="CS538" s="213"/>
      <c r="CT538" s="231"/>
      <c r="CU538" s="163"/>
      <c r="CV538" s="291"/>
      <c r="CW538" s="218"/>
      <c r="CX538" s="196"/>
      <c r="CY538" s="196"/>
      <c r="CZ538" s="197"/>
      <c r="DA538" s="196"/>
      <c r="DB538" s="196"/>
      <c r="DC538" s="196"/>
      <c r="DE538" s="199"/>
      <c r="DF538" s="200"/>
      <c r="DG538" s="181"/>
    </row>
    <row r="539" spans="1:111" ht="25.5" outlineLevel="1" x14ac:dyDescent="0.25">
      <c r="A539" s="213"/>
      <c r="B539" s="269" t="s">
        <v>496</v>
      </c>
      <c r="C539" s="269">
        <v>7921684</v>
      </c>
      <c r="D539" s="214">
        <f>E539+F539</f>
        <v>50000</v>
      </c>
      <c r="E539" s="214">
        <v>50000</v>
      </c>
      <c r="F539" s="188"/>
      <c r="G539" s="188"/>
      <c r="H539" s="188"/>
      <c r="I539" s="188"/>
      <c r="J539" s="188"/>
      <c r="K539" s="188"/>
      <c r="L539" s="188"/>
      <c r="M539" s="231"/>
      <c r="N539" s="231"/>
      <c r="O539" s="188"/>
      <c r="P539" s="188">
        <v>1103</v>
      </c>
      <c r="Q539" s="258">
        <f t="shared" si="474"/>
        <v>2.206E-2</v>
      </c>
      <c r="R539" s="188">
        <v>1103</v>
      </c>
      <c r="S539" s="373">
        <v>2.206E-2</v>
      </c>
      <c r="T539" s="373">
        <v>2.206E-2</v>
      </c>
      <c r="U539" s="188">
        <v>1103.485308</v>
      </c>
      <c r="V539" s="373">
        <v>2.2069706160000001E-2</v>
      </c>
      <c r="W539" s="373">
        <v>2.2069706160000001E-2</v>
      </c>
      <c r="X539" s="188">
        <v>1103.485308</v>
      </c>
      <c r="Y539" s="373">
        <v>2.2069706160000001E-2</v>
      </c>
      <c r="Z539" s="373">
        <v>2.2069706160000001E-2</v>
      </c>
      <c r="AA539" s="188">
        <v>1103.485308</v>
      </c>
      <c r="AB539" s="373">
        <v>2.2069706160000001E-2</v>
      </c>
      <c r="AC539" s="373">
        <v>2.2069706160000001E-2</v>
      </c>
      <c r="AD539" s="188">
        <v>3510.5923079999998</v>
      </c>
      <c r="AE539" s="373">
        <v>7.0211846159999994E-2</v>
      </c>
      <c r="AF539" s="373">
        <v>7.0211846159999994E-2</v>
      </c>
      <c r="AG539" s="214">
        <v>3510.5923079999998</v>
      </c>
      <c r="AH539" s="373">
        <v>7.0211846159999994E-2</v>
      </c>
      <c r="AI539" s="373">
        <v>7.0211846159999994E-2</v>
      </c>
      <c r="AJ539" s="189">
        <v>3510.5923079999998</v>
      </c>
      <c r="AK539" s="373">
        <v>7.0211846159999994E-2</v>
      </c>
      <c r="AL539" s="373">
        <v>7.0211846159999994E-2</v>
      </c>
      <c r="AM539" s="214">
        <v>3510.5923079999998</v>
      </c>
      <c r="AN539" s="373">
        <v>7.0211846159999994E-2</v>
      </c>
      <c r="AO539" s="373">
        <v>7.0211846159999994E-2</v>
      </c>
      <c r="AP539" s="373"/>
      <c r="AQ539" s="214">
        <v>3652.5923079999998</v>
      </c>
      <c r="AR539" s="373">
        <v>7.3051846159999989E-2</v>
      </c>
      <c r="AS539" s="373">
        <v>7.3051846159999989E-2</v>
      </c>
      <c r="AT539" s="214">
        <v>3652.5923079999998</v>
      </c>
      <c r="AU539" s="373">
        <v>7.3051846159999989E-2</v>
      </c>
      <c r="AV539" s="373">
        <v>7.3051846159999989E-2</v>
      </c>
      <c r="AW539" s="373"/>
      <c r="AX539" s="373"/>
      <c r="AY539" s="373"/>
      <c r="AZ539" s="373"/>
      <c r="BA539" s="373"/>
      <c r="BB539" s="373"/>
      <c r="BC539" s="214">
        <v>3652.5923079999998</v>
      </c>
      <c r="BD539" s="373">
        <v>7.3051846159999989E-2</v>
      </c>
      <c r="BE539" s="373">
        <v>7.3051846159999989E-2</v>
      </c>
      <c r="BF539" s="350"/>
      <c r="BG539" s="350">
        <v>29638.988057999999</v>
      </c>
      <c r="BH539" s="373">
        <v>0.59277976115999997</v>
      </c>
      <c r="BI539" s="373">
        <v>0.59277976115999997</v>
      </c>
      <c r="BJ539" s="402">
        <f t="shared" si="467"/>
        <v>50000</v>
      </c>
      <c r="BK539" s="402">
        <v>29638.988057999999</v>
      </c>
      <c r="BL539" s="373">
        <f t="shared" si="469"/>
        <v>0.59277976115999997</v>
      </c>
      <c r="BM539" s="373">
        <f t="shared" si="477"/>
        <v>0.59277976115999997</v>
      </c>
      <c r="BN539" s="205">
        <f t="shared" si="465"/>
        <v>26128.39575</v>
      </c>
      <c r="BO539" s="205"/>
      <c r="BP539" s="245">
        <v>1100</v>
      </c>
      <c r="BQ539" s="375">
        <f t="shared" si="470"/>
        <v>2.1999999999999999E-2</v>
      </c>
      <c r="BR539" s="245">
        <f>BP539+15000</f>
        <v>16100</v>
      </c>
      <c r="BS539" s="375">
        <f t="shared" si="471"/>
        <v>0.32200000000000001</v>
      </c>
      <c r="BT539" s="245">
        <f>BR539+4000</f>
        <v>20100</v>
      </c>
      <c r="BU539" s="258">
        <f t="shared" si="472"/>
        <v>0.40200000000000002</v>
      </c>
      <c r="BV539" s="245">
        <f>BT539</f>
        <v>20100</v>
      </c>
      <c r="BW539" s="375">
        <f t="shared" si="454"/>
        <v>0.40200000000000002</v>
      </c>
      <c r="BX539" s="245">
        <f>BV539+10000</f>
        <v>30100</v>
      </c>
      <c r="BY539" s="375">
        <f t="shared" si="455"/>
        <v>0.60199999999999998</v>
      </c>
      <c r="BZ539" s="245">
        <v>30100</v>
      </c>
      <c r="CA539" s="375">
        <f t="shared" si="456"/>
        <v>0.60199999999999998</v>
      </c>
      <c r="CB539" s="245">
        <f>BZ539+5000</f>
        <v>35100</v>
      </c>
      <c r="CC539" s="375">
        <f t="shared" si="431"/>
        <v>0.70199999999999996</v>
      </c>
      <c r="CD539" s="245">
        <f>CB539</f>
        <v>35100</v>
      </c>
      <c r="CE539" s="375">
        <f t="shared" si="457"/>
        <v>0.70199999999999996</v>
      </c>
      <c r="CF539" s="245">
        <f>CD539+7000</f>
        <v>42100</v>
      </c>
      <c r="CG539" s="375">
        <f t="shared" si="458"/>
        <v>0.84199999999999997</v>
      </c>
      <c r="CH539" s="245">
        <v>42100</v>
      </c>
      <c r="CI539" s="375">
        <f t="shared" si="459"/>
        <v>0.84199999999999997</v>
      </c>
      <c r="CJ539" s="245">
        <f>CH539+5500</f>
        <v>47600</v>
      </c>
      <c r="CK539" s="375">
        <f t="shared" si="460"/>
        <v>0.95199999999999996</v>
      </c>
      <c r="CL539" s="245">
        <v>50000</v>
      </c>
      <c r="CM539" s="375">
        <f t="shared" si="461"/>
        <v>1</v>
      </c>
      <c r="CN539" s="245">
        <v>50000</v>
      </c>
      <c r="CO539" s="375">
        <f t="shared" si="462"/>
        <v>1</v>
      </c>
      <c r="CP539" s="213" t="str">
        <f t="shared" si="475"/>
        <v>Đạt</v>
      </c>
      <c r="CQ539" s="213" t="str">
        <f t="shared" si="476"/>
        <v>Đạt</v>
      </c>
      <c r="CR539" s="192"/>
      <c r="CS539" s="192"/>
      <c r="CT539" s="223"/>
      <c r="CU539" s="163"/>
      <c r="CW539" s="195"/>
      <c r="CX539" s="196"/>
      <c r="CY539" s="196"/>
      <c r="CZ539" s="197"/>
      <c r="DA539" s="196"/>
      <c r="DB539" s="196"/>
      <c r="DC539" s="196"/>
      <c r="DE539" s="199"/>
      <c r="DF539" s="200"/>
      <c r="DG539" s="181"/>
    </row>
    <row r="540" spans="1:111" s="160" customFormat="1" ht="12.75" outlineLevel="1" x14ac:dyDescent="0.25">
      <c r="A540" s="191" t="s">
        <v>29</v>
      </c>
      <c r="B540" s="210" t="s">
        <v>485</v>
      </c>
      <c r="C540" s="210"/>
      <c r="D540" s="188">
        <f t="shared" ref="D540:I540" si="481">D541+D543+D544</f>
        <v>12459.609</v>
      </c>
      <c r="E540" s="188">
        <f t="shared" si="481"/>
        <v>0</v>
      </c>
      <c r="F540" s="188">
        <f t="shared" si="481"/>
        <v>12459.609</v>
      </c>
      <c r="G540" s="188">
        <f t="shared" si="481"/>
        <v>3000</v>
      </c>
      <c r="H540" s="188">
        <f t="shared" si="481"/>
        <v>9459.6090000000004</v>
      </c>
      <c r="I540" s="188">
        <f t="shared" si="481"/>
        <v>912</v>
      </c>
      <c r="J540" s="188"/>
      <c r="K540" s="188">
        <f>K541+K543+K544</f>
        <v>0</v>
      </c>
      <c r="L540" s="188">
        <f>L541+L543+L544</f>
        <v>0</v>
      </c>
      <c r="M540" s="188">
        <f>M541+M543+M544</f>
        <v>0</v>
      </c>
      <c r="N540" s="188">
        <f>N541+N543+N544</f>
        <v>0</v>
      </c>
      <c r="O540" s="188">
        <f>O541+O543+O544</f>
        <v>3912</v>
      </c>
      <c r="P540" s="188">
        <v>151</v>
      </c>
      <c r="Q540" s="186">
        <f t="shared" si="474"/>
        <v>1.2119160400619312E-2</v>
      </c>
      <c r="R540" s="189">
        <v>572.37</v>
      </c>
      <c r="S540" s="328">
        <v>4.5938038665579314E-2</v>
      </c>
      <c r="T540" s="328">
        <v>4.8355830174294019E-2</v>
      </c>
      <c r="U540" s="189">
        <v>946.26300000000003</v>
      </c>
      <c r="V540" s="328">
        <v>7.5946444226299564E-2</v>
      </c>
      <c r="W540" s="328">
        <v>7.9943625501367965E-2</v>
      </c>
      <c r="X540" s="189">
        <v>946.26300000000003</v>
      </c>
      <c r="Y540" s="328">
        <v>7.5946444226299564E-2</v>
      </c>
      <c r="Z540" s="328">
        <v>7.9943625501367965E-2</v>
      </c>
      <c r="AA540" s="189">
        <v>946.26300000000003</v>
      </c>
      <c r="AB540" s="328">
        <v>7.5946444226299564E-2</v>
      </c>
      <c r="AC540" s="328">
        <v>7.9943625501367965E-2</v>
      </c>
      <c r="AD540" s="189">
        <v>1858.2629999999999</v>
      </c>
      <c r="AE540" s="328">
        <v>0.14914296267242413</v>
      </c>
      <c r="AF540" s="328">
        <v>0.15699259228676227</v>
      </c>
      <c r="AG540" s="189">
        <v>1858.2629999999999</v>
      </c>
      <c r="AH540" s="328">
        <v>0.14914296267242413</v>
      </c>
      <c r="AI540" s="328">
        <v>0.15699259228676227</v>
      </c>
      <c r="AJ540" s="317">
        <v>1858.2629999999999</v>
      </c>
      <c r="AK540" s="328">
        <v>0.14914296267242413</v>
      </c>
      <c r="AL540" s="328">
        <v>0.15699259228676227</v>
      </c>
      <c r="AM540" s="189">
        <v>1858.2629999999999</v>
      </c>
      <c r="AN540" s="328">
        <v>0.14914296267242413</v>
      </c>
      <c r="AO540" s="328">
        <v>0.15699259228676227</v>
      </c>
      <c r="AP540" s="328"/>
      <c r="AQ540" s="189">
        <v>2770.2629999999999</v>
      </c>
      <c r="AR540" s="328">
        <v>0.22233948111854873</v>
      </c>
      <c r="AS540" s="328">
        <v>0.23404155907215657</v>
      </c>
      <c r="AT540" s="189">
        <v>2770.2629999999999</v>
      </c>
      <c r="AU540" s="328">
        <v>0.22233948111854873</v>
      </c>
      <c r="AV540" s="328">
        <v>0.23404155907215657</v>
      </c>
      <c r="AW540" s="328"/>
      <c r="AX540" s="328"/>
      <c r="AY540" s="328"/>
      <c r="AZ540" s="328"/>
      <c r="BA540" s="328"/>
      <c r="BB540" s="328"/>
      <c r="BC540" s="189">
        <v>2770.2629999999999</v>
      </c>
      <c r="BD540" s="328">
        <v>0.22233948111854873</v>
      </c>
      <c r="BE540" s="328">
        <v>0.23404155907215657</v>
      </c>
      <c r="BF540" s="374"/>
      <c r="BG540" s="374">
        <v>3623.739</v>
      </c>
      <c r="BH540" s="328">
        <v>0.29083890192701872</v>
      </c>
      <c r="BI540" s="328">
        <v>0.3061462125547566</v>
      </c>
      <c r="BJ540" s="374">
        <f t="shared" si="467"/>
        <v>11836.628549999999</v>
      </c>
      <c r="BK540" s="374">
        <v>4555.0560000000005</v>
      </c>
      <c r="BL540" s="328">
        <f t="shared" si="469"/>
        <v>0.36558579005167824</v>
      </c>
      <c r="BM540" s="328">
        <f t="shared" si="477"/>
        <v>0.3848271474228192</v>
      </c>
      <c r="BN540" s="205">
        <f t="shared" si="465"/>
        <v>2696.7930000000006</v>
      </c>
      <c r="BO540" s="205"/>
      <c r="BP540" s="189">
        <f>BP541+BP543+BP544</f>
        <v>0</v>
      </c>
      <c r="BQ540" s="329">
        <f t="shared" si="470"/>
        <v>0</v>
      </c>
      <c r="BR540" s="189">
        <f>BR541+BR543+BR544</f>
        <v>0</v>
      </c>
      <c r="BS540" s="329">
        <f t="shared" si="471"/>
        <v>0</v>
      </c>
      <c r="BT540" s="189">
        <f>BT541+BT543+BT544</f>
        <v>3761.6285499999999</v>
      </c>
      <c r="BU540" s="186">
        <f t="shared" si="472"/>
        <v>0.30190582625827184</v>
      </c>
      <c r="BV540" s="189">
        <f>BV541+BV543+BV544</f>
        <v>3761.6285499999999</v>
      </c>
      <c r="BW540" s="329">
        <f t="shared" si="454"/>
        <v>0.30190582625827184</v>
      </c>
      <c r="BX540" s="189">
        <f>BX541+BX543+BX544</f>
        <v>3761.6285499999999</v>
      </c>
      <c r="BY540" s="329">
        <f t="shared" si="455"/>
        <v>0.30190582625827184</v>
      </c>
      <c r="BZ540" s="189">
        <f>BZ541+BZ543+BZ544</f>
        <v>3761.6285499999999</v>
      </c>
      <c r="CA540" s="329">
        <f t="shared" si="456"/>
        <v>0.30190582625827184</v>
      </c>
      <c r="CB540" s="189">
        <f>CB541+CB543+CB544</f>
        <v>3761.6285499999999</v>
      </c>
      <c r="CC540" s="329">
        <f t="shared" si="431"/>
        <v>0.30190582625827184</v>
      </c>
      <c r="CD540" s="189">
        <f>CD541+CD543+CD544</f>
        <v>3761.6285499999999</v>
      </c>
      <c r="CE540" s="329">
        <f t="shared" si="457"/>
        <v>0.30190582625827184</v>
      </c>
      <c r="CF540" s="189">
        <f>CF541+CF543+CF544</f>
        <v>3761.6285499999999</v>
      </c>
      <c r="CG540" s="329">
        <f t="shared" si="458"/>
        <v>0.30190582625827184</v>
      </c>
      <c r="CH540" s="189">
        <f>CH541+CH543+CH544</f>
        <v>3761.6285499999999</v>
      </c>
      <c r="CI540" s="329">
        <f t="shared" si="459"/>
        <v>0.30190582625827184</v>
      </c>
      <c r="CJ540" s="189">
        <f>CJ541+CJ543+CJ544</f>
        <v>3761.6285499999999</v>
      </c>
      <c r="CK540" s="329">
        <f t="shared" si="460"/>
        <v>0.30190582625827184</v>
      </c>
      <c r="CL540" s="189">
        <f>CL541+CL543+CL544</f>
        <v>11836.628549999999</v>
      </c>
      <c r="CM540" s="329">
        <f t="shared" si="461"/>
        <v>0.95</v>
      </c>
      <c r="CN540" s="189">
        <f>CN541+CN543+CN544</f>
        <v>11836.628549999999</v>
      </c>
      <c r="CO540" s="329">
        <f t="shared" si="462"/>
        <v>0.95</v>
      </c>
      <c r="CP540" s="213" t="str">
        <f t="shared" si="475"/>
        <v>Đạt</v>
      </c>
      <c r="CQ540" s="213" t="str">
        <f t="shared" si="476"/>
        <v>Không đạt</v>
      </c>
      <c r="CR540" s="213"/>
      <c r="CS540" s="213"/>
      <c r="CT540" s="231"/>
      <c r="CU540" s="163"/>
      <c r="CV540" s="291"/>
      <c r="CW540" s="218"/>
      <c r="CX540" s="196"/>
      <c r="CY540" s="196"/>
      <c r="CZ540" s="197"/>
      <c r="DA540" s="196"/>
      <c r="DB540" s="196"/>
      <c r="DC540" s="196"/>
      <c r="DE540" s="199"/>
      <c r="DF540" s="200"/>
      <c r="DG540" s="181"/>
    </row>
    <row r="541" spans="1:111" s="324" customFormat="1" outlineLevel="1" x14ac:dyDescent="0.25">
      <c r="A541" s="305" t="s">
        <v>34</v>
      </c>
      <c r="B541" s="318" t="s">
        <v>381</v>
      </c>
      <c r="C541" s="306"/>
      <c r="D541" s="317">
        <f>D542</f>
        <v>959.60900000000004</v>
      </c>
      <c r="E541" s="317">
        <f t="shared" ref="E541:L541" si="482">E542</f>
        <v>0</v>
      </c>
      <c r="F541" s="317">
        <f t="shared" si="482"/>
        <v>959.60900000000004</v>
      </c>
      <c r="G541" s="317">
        <f t="shared" si="482"/>
        <v>0</v>
      </c>
      <c r="H541" s="317">
        <f t="shared" si="482"/>
        <v>959.60900000000004</v>
      </c>
      <c r="I541" s="214">
        <f t="shared" si="482"/>
        <v>912</v>
      </c>
      <c r="J541" s="214"/>
      <c r="K541" s="317">
        <f t="shared" si="482"/>
        <v>0</v>
      </c>
      <c r="L541" s="214">
        <f t="shared" si="482"/>
        <v>0</v>
      </c>
      <c r="M541" s="223"/>
      <c r="N541" s="223"/>
      <c r="O541" s="317">
        <f>G541+I541+L541+N541</f>
        <v>912</v>
      </c>
      <c r="P541" s="317">
        <v>0</v>
      </c>
      <c r="Q541" s="319">
        <f t="shared" si="474"/>
        <v>0</v>
      </c>
      <c r="R541" s="317">
        <v>0</v>
      </c>
      <c r="S541" s="320">
        <v>0</v>
      </c>
      <c r="T541" s="320">
        <v>0</v>
      </c>
      <c r="U541" s="317">
        <v>0</v>
      </c>
      <c r="V541" s="320">
        <v>0</v>
      </c>
      <c r="W541" s="320">
        <v>0</v>
      </c>
      <c r="X541" s="317">
        <v>0</v>
      </c>
      <c r="Y541" s="320">
        <v>0</v>
      </c>
      <c r="Z541" s="320">
        <v>0</v>
      </c>
      <c r="AA541" s="317">
        <v>0</v>
      </c>
      <c r="AB541" s="320">
        <v>0</v>
      </c>
      <c r="AC541" s="320">
        <v>0</v>
      </c>
      <c r="AD541" s="317">
        <v>0</v>
      </c>
      <c r="AE541" s="320">
        <v>0</v>
      </c>
      <c r="AF541" s="320">
        <v>0</v>
      </c>
      <c r="AG541" s="317">
        <v>0</v>
      </c>
      <c r="AH541" s="320">
        <v>0</v>
      </c>
      <c r="AI541" s="320">
        <v>0</v>
      </c>
      <c r="AJ541" s="257">
        <v>0</v>
      </c>
      <c r="AK541" s="320">
        <v>0</v>
      </c>
      <c r="AL541" s="320">
        <v>0</v>
      </c>
      <c r="AM541" s="317">
        <v>0</v>
      </c>
      <c r="AN541" s="320">
        <v>0</v>
      </c>
      <c r="AO541" s="320">
        <v>0</v>
      </c>
      <c r="AP541" s="320"/>
      <c r="AQ541" s="317">
        <v>912</v>
      </c>
      <c r="AR541" s="320">
        <v>0.95038708473972211</v>
      </c>
      <c r="AS541" s="320">
        <v>1.00040745762076</v>
      </c>
      <c r="AT541" s="317">
        <v>912</v>
      </c>
      <c r="AU541" s="320">
        <v>0.95038708473972211</v>
      </c>
      <c r="AV541" s="320">
        <v>1.00040745762076</v>
      </c>
      <c r="AW541" s="320"/>
      <c r="AX541" s="320"/>
      <c r="AY541" s="320"/>
      <c r="AZ541" s="320"/>
      <c r="BA541" s="320"/>
      <c r="BB541" s="320"/>
      <c r="BC541" s="317">
        <v>912</v>
      </c>
      <c r="BD541" s="320">
        <v>0.95038708473972211</v>
      </c>
      <c r="BE541" s="320">
        <v>1.00040745762076</v>
      </c>
      <c r="BF541" s="349"/>
      <c r="BG541" s="349">
        <v>912</v>
      </c>
      <c r="BH541" s="320">
        <v>0.95038708473972211</v>
      </c>
      <c r="BI541" s="320">
        <v>1.00040745762076</v>
      </c>
      <c r="BJ541" s="349">
        <f t="shared" si="467"/>
        <v>911.62855000000002</v>
      </c>
      <c r="BK541" s="349">
        <v>912</v>
      </c>
      <c r="BL541" s="320">
        <f t="shared" si="469"/>
        <v>0.95038708473972211</v>
      </c>
      <c r="BM541" s="320">
        <f t="shared" si="477"/>
        <v>1.00040745762076</v>
      </c>
      <c r="BN541" s="205">
        <f t="shared" si="465"/>
        <v>912</v>
      </c>
      <c r="BO541" s="205"/>
      <c r="BP541" s="307">
        <f>BP542</f>
        <v>0</v>
      </c>
      <c r="BQ541" s="322">
        <f t="shared" si="470"/>
        <v>0</v>
      </c>
      <c r="BR541" s="307">
        <f>BR542</f>
        <v>0</v>
      </c>
      <c r="BS541" s="322">
        <f t="shared" si="471"/>
        <v>0</v>
      </c>
      <c r="BT541" s="307">
        <f>BT542</f>
        <v>911.62855000000002</v>
      </c>
      <c r="BU541" s="319">
        <f t="shared" si="472"/>
        <v>0.95</v>
      </c>
      <c r="BV541" s="307">
        <f>BV542</f>
        <v>911.62855000000002</v>
      </c>
      <c r="BW541" s="322">
        <f t="shared" si="454"/>
        <v>0.95</v>
      </c>
      <c r="BX541" s="307">
        <f>BX542</f>
        <v>911.62855000000002</v>
      </c>
      <c r="BY541" s="322">
        <f t="shared" si="455"/>
        <v>0.95</v>
      </c>
      <c r="BZ541" s="307">
        <f>BZ542</f>
        <v>911.62855000000002</v>
      </c>
      <c r="CA541" s="322">
        <f t="shared" si="456"/>
        <v>0.95</v>
      </c>
      <c r="CB541" s="307">
        <f>CB542</f>
        <v>911.62855000000002</v>
      </c>
      <c r="CC541" s="322">
        <f t="shared" si="431"/>
        <v>0.95</v>
      </c>
      <c r="CD541" s="307">
        <f>CD542</f>
        <v>911.62855000000002</v>
      </c>
      <c r="CE541" s="322">
        <f t="shared" si="457"/>
        <v>0.95</v>
      </c>
      <c r="CF541" s="307">
        <f>CF542</f>
        <v>911.62855000000002</v>
      </c>
      <c r="CG541" s="322">
        <f t="shared" si="458"/>
        <v>0.95</v>
      </c>
      <c r="CH541" s="307">
        <f>CH542</f>
        <v>911.62855000000002</v>
      </c>
      <c r="CI541" s="322">
        <f t="shared" si="459"/>
        <v>0.95</v>
      </c>
      <c r="CJ541" s="307">
        <f>CJ542</f>
        <v>911.62855000000002</v>
      </c>
      <c r="CK541" s="322">
        <f t="shared" si="460"/>
        <v>0.95</v>
      </c>
      <c r="CL541" s="307">
        <f>CL542</f>
        <v>911.62855000000002</v>
      </c>
      <c r="CM541" s="322">
        <f t="shared" si="461"/>
        <v>0.95</v>
      </c>
      <c r="CN541" s="307">
        <f>CN542</f>
        <v>911.62855000000002</v>
      </c>
      <c r="CO541" s="322">
        <f t="shared" si="462"/>
        <v>0.95</v>
      </c>
      <c r="CP541" s="213" t="str">
        <f t="shared" si="475"/>
        <v>Đạt</v>
      </c>
      <c r="CQ541" s="213" t="str">
        <f t="shared" si="476"/>
        <v>Đạt</v>
      </c>
      <c r="CR541" s="312"/>
      <c r="CS541" s="312"/>
      <c r="CT541" s="235"/>
      <c r="CU541" s="163"/>
      <c r="CV541" s="323"/>
      <c r="CW541" s="195"/>
      <c r="CX541" s="196"/>
      <c r="CY541" s="196"/>
      <c r="CZ541" s="197"/>
      <c r="DA541" s="196"/>
      <c r="DB541" s="196"/>
      <c r="DC541" s="196"/>
      <c r="DE541" s="199"/>
      <c r="DF541" s="200"/>
      <c r="DG541" s="181"/>
    </row>
    <row r="542" spans="1:111" ht="38.25" outlineLevel="1" x14ac:dyDescent="0.25">
      <c r="A542" s="192"/>
      <c r="B542" s="325" t="s">
        <v>497</v>
      </c>
      <c r="C542" s="325"/>
      <c r="D542" s="214">
        <f>E542+F542</f>
        <v>959.60900000000004</v>
      </c>
      <c r="E542" s="215"/>
      <c r="F542" s="214">
        <f>G542+H542+K542+M542</f>
        <v>959.60900000000004</v>
      </c>
      <c r="G542" s="223"/>
      <c r="H542" s="257">
        <v>959.60900000000004</v>
      </c>
      <c r="I542" s="235">
        <v>912</v>
      </c>
      <c r="J542" s="257">
        <v>912</v>
      </c>
      <c r="K542" s="223"/>
      <c r="L542" s="235"/>
      <c r="M542" s="223"/>
      <c r="N542" s="223"/>
      <c r="O542" s="257">
        <f>G542+I542+L542+N542</f>
        <v>912</v>
      </c>
      <c r="P542" s="257">
        <v>0</v>
      </c>
      <c r="Q542" s="224">
        <f t="shared" si="474"/>
        <v>0</v>
      </c>
      <c r="R542" s="257"/>
      <c r="S542" s="326">
        <v>0</v>
      </c>
      <c r="T542" s="326">
        <v>0</v>
      </c>
      <c r="U542" s="257"/>
      <c r="V542" s="326">
        <v>0</v>
      </c>
      <c r="W542" s="326">
        <v>0</v>
      </c>
      <c r="X542" s="257"/>
      <c r="Y542" s="326">
        <v>0</v>
      </c>
      <c r="Z542" s="326">
        <v>0</v>
      </c>
      <c r="AA542" s="257"/>
      <c r="AB542" s="326">
        <v>0</v>
      </c>
      <c r="AC542" s="326">
        <v>0</v>
      </c>
      <c r="AD542" s="257"/>
      <c r="AE542" s="326">
        <v>0</v>
      </c>
      <c r="AF542" s="326">
        <v>0</v>
      </c>
      <c r="AG542" s="257"/>
      <c r="AH542" s="326">
        <v>0</v>
      </c>
      <c r="AI542" s="326">
        <v>0</v>
      </c>
      <c r="AJ542" s="307"/>
      <c r="AK542" s="326">
        <v>0</v>
      </c>
      <c r="AL542" s="326">
        <v>0</v>
      </c>
      <c r="AM542" s="257"/>
      <c r="AN542" s="326">
        <v>0</v>
      </c>
      <c r="AO542" s="326">
        <v>0</v>
      </c>
      <c r="AP542" s="326"/>
      <c r="AQ542" s="257">
        <v>912</v>
      </c>
      <c r="AR542" s="326">
        <v>0.95038708473972211</v>
      </c>
      <c r="AS542" s="326">
        <v>1.00040745762076</v>
      </c>
      <c r="AT542" s="257">
        <v>912</v>
      </c>
      <c r="AU542" s="326">
        <v>0.95038708473972211</v>
      </c>
      <c r="AV542" s="326">
        <v>1.00040745762076</v>
      </c>
      <c r="AW542" s="326"/>
      <c r="AX542" s="326"/>
      <c r="AY542" s="326"/>
      <c r="AZ542" s="326"/>
      <c r="BA542" s="326"/>
      <c r="BB542" s="326"/>
      <c r="BC542" s="257">
        <v>912</v>
      </c>
      <c r="BD542" s="326">
        <v>0.95038708473972211</v>
      </c>
      <c r="BE542" s="326">
        <v>1.00040745762076</v>
      </c>
      <c r="BF542" s="350">
        <v>912</v>
      </c>
      <c r="BG542" s="350">
        <v>912</v>
      </c>
      <c r="BH542" s="326">
        <v>0.95038708473972211</v>
      </c>
      <c r="BI542" s="326">
        <v>1.00040745762076</v>
      </c>
      <c r="BJ542" s="402">
        <f t="shared" si="467"/>
        <v>911.62855000000002</v>
      </c>
      <c r="BK542" s="402">
        <v>912</v>
      </c>
      <c r="BL542" s="326">
        <f t="shared" si="469"/>
        <v>0.95038708473972211</v>
      </c>
      <c r="BM542" s="326">
        <f t="shared" si="477"/>
        <v>1.00040745762076</v>
      </c>
      <c r="BN542" s="205">
        <f t="shared" si="465"/>
        <v>912</v>
      </c>
      <c r="BO542" s="205"/>
      <c r="BP542" s="227"/>
      <c r="BQ542" s="327">
        <f t="shared" si="470"/>
        <v>0</v>
      </c>
      <c r="BR542" s="227"/>
      <c r="BS542" s="327">
        <f t="shared" si="471"/>
        <v>0</v>
      </c>
      <c r="BT542" s="227">
        <f>H542*0.95</f>
        <v>911.62855000000002</v>
      </c>
      <c r="BU542" s="224">
        <f t="shared" si="472"/>
        <v>0.95</v>
      </c>
      <c r="BV542" s="227">
        <v>911.62855000000002</v>
      </c>
      <c r="BW542" s="327">
        <f t="shared" si="454"/>
        <v>0.95</v>
      </c>
      <c r="BX542" s="227">
        <v>911.62855000000002</v>
      </c>
      <c r="BY542" s="327">
        <f t="shared" si="455"/>
        <v>0.95</v>
      </c>
      <c r="BZ542" s="227">
        <v>911.62855000000002</v>
      </c>
      <c r="CA542" s="327">
        <f t="shared" si="456"/>
        <v>0.95</v>
      </c>
      <c r="CB542" s="227">
        <v>911.62855000000002</v>
      </c>
      <c r="CC542" s="327">
        <f t="shared" si="431"/>
        <v>0.95</v>
      </c>
      <c r="CD542" s="227">
        <v>911.62855000000002</v>
      </c>
      <c r="CE542" s="327">
        <f t="shared" si="457"/>
        <v>0.95</v>
      </c>
      <c r="CF542" s="227">
        <v>911.62855000000002</v>
      </c>
      <c r="CG542" s="327">
        <f t="shared" si="458"/>
        <v>0.95</v>
      </c>
      <c r="CH542" s="227">
        <v>911.62855000000002</v>
      </c>
      <c r="CI542" s="327">
        <f t="shared" si="459"/>
        <v>0.95</v>
      </c>
      <c r="CJ542" s="227">
        <v>911.62855000000002</v>
      </c>
      <c r="CK542" s="327">
        <f t="shared" si="460"/>
        <v>0.95</v>
      </c>
      <c r="CL542" s="227">
        <v>911.62855000000002</v>
      </c>
      <c r="CM542" s="327">
        <f t="shared" si="461"/>
        <v>0.95</v>
      </c>
      <c r="CN542" s="227">
        <v>911.62855000000002</v>
      </c>
      <c r="CO542" s="327">
        <f t="shared" si="462"/>
        <v>0.95</v>
      </c>
      <c r="CP542" s="213" t="str">
        <f t="shared" si="475"/>
        <v>Đạt</v>
      </c>
      <c r="CQ542" s="213" t="str">
        <f t="shared" si="476"/>
        <v>Đạt</v>
      </c>
      <c r="CR542" s="192"/>
      <c r="CS542" s="192"/>
      <c r="CT542" s="223"/>
      <c r="CU542" s="163"/>
      <c r="CW542" s="195"/>
      <c r="CX542" s="196"/>
      <c r="CY542" s="196"/>
      <c r="CZ542" s="197"/>
      <c r="DA542" s="196"/>
      <c r="DB542" s="196"/>
      <c r="DC542" s="196"/>
      <c r="DE542" s="199"/>
      <c r="DF542" s="200"/>
      <c r="DG542" s="181"/>
    </row>
    <row r="543" spans="1:111" s="324" customFormat="1" outlineLevel="1" x14ac:dyDescent="0.25">
      <c r="A543" s="305" t="s">
        <v>34</v>
      </c>
      <c r="B543" s="318" t="s">
        <v>376</v>
      </c>
      <c r="C543" s="306"/>
      <c r="D543" s="307">
        <f>E543+F543</f>
        <v>3000</v>
      </c>
      <c r="E543" s="307"/>
      <c r="F543" s="307">
        <f>G543+H543+K543+M543</f>
        <v>3000</v>
      </c>
      <c r="G543" s="303">
        <v>3000</v>
      </c>
      <c r="H543" s="303"/>
      <c r="I543" s="235"/>
      <c r="J543" s="235"/>
      <c r="K543" s="303"/>
      <c r="L543" s="235"/>
      <c r="M543" s="223"/>
      <c r="N543" s="223"/>
      <c r="O543" s="303">
        <f>G543+I543+L543+N543</f>
        <v>3000</v>
      </c>
      <c r="P543" s="303">
        <v>0</v>
      </c>
      <c r="Q543" s="308">
        <f t="shared" si="474"/>
        <v>0</v>
      </c>
      <c r="R543" s="303">
        <v>572.37</v>
      </c>
      <c r="S543" s="313">
        <v>0.19079000000000002</v>
      </c>
      <c r="T543" s="313">
        <v>0.20083157894736842</v>
      </c>
      <c r="U543" s="303">
        <v>946.26300000000003</v>
      </c>
      <c r="V543" s="313">
        <v>0.31542100000000001</v>
      </c>
      <c r="W543" s="313">
        <v>0.3320221052631579</v>
      </c>
      <c r="X543" s="303">
        <v>946.26300000000003</v>
      </c>
      <c r="Y543" s="313">
        <v>0.31542100000000001</v>
      </c>
      <c r="Z543" s="313">
        <v>0.3320221052631579</v>
      </c>
      <c r="AA543" s="303">
        <v>946.26300000000003</v>
      </c>
      <c r="AB543" s="313">
        <v>0.31542100000000001</v>
      </c>
      <c r="AC543" s="313">
        <v>0.3320221052631579</v>
      </c>
      <c r="AD543" s="303">
        <v>1858.2629999999999</v>
      </c>
      <c r="AE543" s="313">
        <v>0.619421</v>
      </c>
      <c r="AF543" s="313">
        <v>0.65202210526315785</v>
      </c>
      <c r="AG543" s="307">
        <v>1858.2629999999999</v>
      </c>
      <c r="AH543" s="313">
        <v>0.619421</v>
      </c>
      <c r="AI543" s="313">
        <v>0.65202210526315785</v>
      </c>
      <c r="AJ543" s="303">
        <v>1858.2629999999999</v>
      </c>
      <c r="AK543" s="313">
        <v>0.619421</v>
      </c>
      <c r="AL543" s="313">
        <v>0.65202210526315785</v>
      </c>
      <c r="AM543" s="307">
        <v>1858.2629999999999</v>
      </c>
      <c r="AN543" s="313">
        <v>0.619421</v>
      </c>
      <c r="AO543" s="313">
        <v>0.65202210526315785</v>
      </c>
      <c r="AP543" s="313"/>
      <c r="AQ543" s="307">
        <v>1858.2629999999999</v>
      </c>
      <c r="AR543" s="313">
        <v>0.619421</v>
      </c>
      <c r="AS543" s="313">
        <v>0.65202210526315785</v>
      </c>
      <c r="AT543" s="307">
        <v>1858.2629999999999</v>
      </c>
      <c r="AU543" s="313">
        <v>0.619421</v>
      </c>
      <c r="AV543" s="313">
        <v>0.65202210526315785</v>
      </c>
      <c r="AW543" s="313"/>
      <c r="AX543" s="313"/>
      <c r="AY543" s="313"/>
      <c r="AZ543" s="313"/>
      <c r="BA543" s="313"/>
      <c r="BB543" s="313"/>
      <c r="BC543" s="307">
        <v>1858.2629999999999</v>
      </c>
      <c r="BD543" s="313">
        <v>0.619421</v>
      </c>
      <c r="BE543" s="313">
        <v>0.65202210526315785</v>
      </c>
      <c r="BF543" s="351"/>
      <c r="BG543" s="351">
        <v>2711.739</v>
      </c>
      <c r="BH543" s="313">
        <v>0.90391299999999997</v>
      </c>
      <c r="BI543" s="313">
        <v>0.95148736842105264</v>
      </c>
      <c r="BJ543" s="349">
        <f t="shared" si="467"/>
        <v>2850</v>
      </c>
      <c r="BK543" s="349">
        <v>2849.8220000000001</v>
      </c>
      <c r="BL543" s="313">
        <f t="shared" si="469"/>
        <v>0.94994066666666666</v>
      </c>
      <c r="BM543" s="313">
        <f t="shared" si="477"/>
        <v>0.99993754385964917</v>
      </c>
      <c r="BN543" s="205">
        <f t="shared" si="465"/>
        <v>991.5590000000002</v>
      </c>
      <c r="BO543" s="205"/>
      <c r="BP543" s="310"/>
      <c r="BQ543" s="311">
        <f t="shared" si="470"/>
        <v>0</v>
      </c>
      <c r="BR543" s="310"/>
      <c r="BS543" s="311">
        <f t="shared" si="471"/>
        <v>0</v>
      </c>
      <c r="BT543" s="310">
        <v>2850</v>
      </c>
      <c r="BU543" s="308">
        <f t="shared" si="472"/>
        <v>0.95</v>
      </c>
      <c r="BV543" s="310">
        <v>2850</v>
      </c>
      <c r="BW543" s="311">
        <f t="shared" si="454"/>
        <v>0.95</v>
      </c>
      <c r="BX543" s="310">
        <v>2850</v>
      </c>
      <c r="BY543" s="311">
        <f t="shared" si="455"/>
        <v>0.95</v>
      </c>
      <c r="BZ543" s="310">
        <v>2850</v>
      </c>
      <c r="CA543" s="311">
        <f t="shared" si="456"/>
        <v>0.95</v>
      </c>
      <c r="CB543" s="310">
        <v>2850</v>
      </c>
      <c r="CC543" s="311">
        <f t="shared" ref="CC543:CC589" si="483">CB543/$D543</f>
        <v>0.95</v>
      </c>
      <c r="CD543" s="310">
        <v>2850</v>
      </c>
      <c r="CE543" s="311">
        <f t="shared" si="457"/>
        <v>0.95</v>
      </c>
      <c r="CF543" s="310">
        <v>2850</v>
      </c>
      <c r="CG543" s="311">
        <f t="shared" si="458"/>
        <v>0.95</v>
      </c>
      <c r="CH543" s="310">
        <v>2850</v>
      </c>
      <c r="CI543" s="311">
        <f t="shared" si="459"/>
        <v>0.95</v>
      </c>
      <c r="CJ543" s="310">
        <v>2850</v>
      </c>
      <c r="CK543" s="311">
        <f t="shared" si="460"/>
        <v>0.95</v>
      </c>
      <c r="CL543" s="310">
        <v>2850</v>
      </c>
      <c r="CM543" s="311">
        <f t="shared" si="461"/>
        <v>0.95</v>
      </c>
      <c r="CN543" s="310">
        <v>2850</v>
      </c>
      <c r="CO543" s="311">
        <f t="shared" si="462"/>
        <v>0.95</v>
      </c>
      <c r="CP543" s="213" t="str">
        <f t="shared" si="475"/>
        <v>Đạt</v>
      </c>
      <c r="CQ543" s="213" t="str">
        <f t="shared" si="476"/>
        <v>Đạt</v>
      </c>
      <c r="CR543" s="312"/>
      <c r="CS543" s="312"/>
      <c r="CT543" s="235"/>
      <c r="CU543" s="163"/>
      <c r="CV543" s="323"/>
      <c r="CW543" s="195"/>
      <c r="CX543" s="196"/>
      <c r="CY543" s="196"/>
      <c r="CZ543" s="197"/>
      <c r="DA543" s="196"/>
      <c r="DB543" s="196"/>
      <c r="DC543" s="196"/>
      <c r="DE543" s="199"/>
      <c r="DF543" s="200"/>
      <c r="DG543" s="181"/>
    </row>
    <row r="544" spans="1:111" ht="25.5" outlineLevel="1" x14ac:dyDescent="0.25">
      <c r="A544" s="305" t="s">
        <v>34</v>
      </c>
      <c r="B544" s="306" t="s">
        <v>377</v>
      </c>
      <c r="C544" s="306"/>
      <c r="D544" s="307">
        <f>E544+F544</f>
        <v>8500</v>
      </c>
      <c r="E544" s="307"/>
      <c r="F544" s="307">
        <f>G544+H544+K544+M544</f>
        <v>8500</v>
      </c>
      <c r="G544" s="307"/>
      <c r="H544" s="307">
        <v>8500</v>
      </c>
      <c r="I544" s="235"/>
      <c r="J544" s="235"/>
      <c r="K544" s="303"/>
      <c r="L544" s="235"/>
      <c r="M544" s="223"/>
      <c r="N544" s="223"/>
      <c r="O544" s="303"/>
      <c r="P544" s="303">
        <v>0</v>
      </c>
      <c r="Q544" s="308">
        <f t="shared" si="474"/>
        <v>0</v>
      </c>
      <c r="R544" s="303"/>
      <c r="S544" s="313">
        <v>0</v>
      </c>
      <c r="T544" s="313">
        <v>0</v>
      </c>
      <c r="U544" s="303"/>
      <c r="V544" s="313">
        <v>0</v>
      </c>
      <c r="W544" s="313">
        <v>0</v>
      </c>
      <c r="X544" s="303"/>
      <c r="Y544" s="313">
        <v>0</v>
      </c>
      <c r="Z544" s="313">
        <v>0</v>
      </c>
      <c r="AA544" s="303"/>
      <c r="AB544" s="313">
        <v>0</v>
      </c>
      <c r="AC544" s="313">
        <v>0</v>
      </c>
      <c r="AD544" s="303"/>
      <c r="AE544" s="313">
        <v>0</v>
      </c>
      <c r="AF544" s="313">
        <v>0</v>
      </c>
      <c r="AG544" s="303"/>
      <c r="AH544" s="313">
        <v>0</v>
      </c>
      <c r="AI544" s="313">
        <v>0</v>
      </c>
      <c r="AJ544" s="314"/>
      <c r="AK544" s="313">
        <v>0</v>
      </c>
      <c r="AL544" s="313">
        <v>0</v>
      </c>
      <c r="AM544" s="303"/>
      <c r="AN544" s="313">
        <v>0</v>
      </c>
      <c r="AO544" s="313">
        <v>0</v>
      </c>
      <c r="AP544" s="313"/>
      <c r="AQ544" s="303"/>
      <c r="AR544" s="313">
        <v>0</v>
      </c>
      <c r="AS544" s="313">
        <v>0</v>
      </c>
      <c r="AT544" s="303"/>
      <c r="AU544" s="313">
        <v>0</v>
      </c>
      <c r="AV544" s="313">
        <v>0</v>
      </c>
      <c r="AW544" s="313"/>
      <c r="AX544" s="313"/>
      <c r="AY544" s="313"/>
      <c r="AZ544" s="313"/>
      <c r="BA544" s="313"/>
      <c r="BB544" s="313"/>
      <c r="BC544" s="303"/>
      <c r="BD544" s="313">
        <v>0</v>
      </c>
      <c r="BE544" s="313">
        <v>0</v>
      </c>
      <c r="BF544" s="351"/>
      <c r="BG544" s="351">
        <v>0</v>
      </c>
      <c r="BH544" s="313">
        <v>0</v>
      </c>
      <c r="BI544" s="313">
        <v>0</v>
      </c>
      <c r="BJ544" s="349">
        <f t="shared" si="467"/>
        <v>8075</v>
      </c>
      <c r="BK544" s="349">
        <v>793.23400000000004</v>
      </c>
      <c r="BL544" s="313">
        <f t="shared" si="469"/>
        <v>9.3321647058823537E-2</v>
      </c>
      <c r="BM544" s="313">
        <f t="shared" si="477"/>
        <v>9.8233312693498456E-2</v>
      </c>
      <c r="BN544" s="205">
        <f t="shared" si="465"/>
        <v>793.23400000000004</v>
      </c>
      <c r="BO544" s="205"/>
      <c r="BP544" s="310"/>
      <c r="BQ544" s="311">
        <f t="shared" si="470"/>
        <v>0</v>
      </c>
      <c r="BR544" s="310"/>
      <c r="BS544" s="311">
        <f t="shared" si="471"/>
        <v>0</v>
      </c>
      <c r="BT544" s="310"/>
      <c r="BU544" s="308">
        <f t="shared" si="472"/>
        <v>0</v>
      </c>
      <c r="BV544" s="310"/>
      <c r="BW544" s="311">
        <f t="shared" si="454"/>
        <v>0</v>
      </c>
      <c r="BX544" s="310"/>
      <c r="BY544" s="311">
        <f t="shared" si="455"/>
        <v>0</v>
      </c>
      <c r="BZ544" s="310"/>
      <c r="CA544" s="311">
        <f t="shared" si="456"/>
        <v>0</v>
      </c>
      <c r="CB544" s="310"/>
      <c r="CC544" s="311">
        <f t="shared" si="483"/>
        <v>0</v>
      </c>
      <c r="CD544" s="310"/>
      <c r="CE544" s="311">
        <f t="shared" si="457"/>
        <v>0</v>
      </c>
      <c r="CF544" s="310"/>
      <c r="CG544" s="311">
        <f t="shared" si="458"/>
        <v>0</v>
      </c>
      <c r="CH544" s="310"/>
      <c r="CI544" s="311">
        <f t="shared" si="459"/>
        <v>0</v>
      </c>
      <c r="CJ544" s="310"/>
      <c r="CK544" s="311">
        <f t="shared" si="460"/>
        <v>0</v>
      </c>
      <c r="CL544" s="310">
        <f>8500*0.95</f>
        <v>8075</v>
      </c>
      <c r="CM544" s="311">
        <f t="shared" si="461"/>
        <v>0.95</v>
      </c>
      <c r="CN544" s="310">
        <f>8500*0.95</f>
        <v>8075</v>
      </c>
      <c r="CO544" s="311">
        <f t="shared" si="462"/>
        <v>0.95</v>
      </c>
      <c r="CP544" s="213" t="str">
        <f t="shared" si="475"/>
        <v>Không đạt</v>
      </c>
      <c r="CQ544" s="213" t="str">
        <f t="shared" si="476"/>
        <v>Không đạt</v>
      </c>
      <c r="CR544" s="312"/>
      <c r="CS544" s="312"/>
      <c r="CT544" s="235"/>
      <c r="CU544" s="163"/>
      <c r="CW544" s="195"/>
      <c r="CX544" s="196"/>
      <c r="CY544" s="196"/>
      <c r="CZ544" s="197"/>
      <c r="DA544" s="196"/>
      <c r="DB544" s="196"/>
      <c r="DC544" s="196"/>
      <c r="DE544" s="199"/>
      <c r="DF544" s="200"/>
      <c r="DG544" s="181"/>
    </row>
    <row r="545" spans="1:111" ht="18" customHeight="1" x14ac:dyDescent="0.25">
      <c r="A545" s="213">
        <f>MAX(A$243:A542)+1</f>
        <v>83</v>
      </c>
      <c r="B545" s="240" t="s">
        <v>498</v>
      </c>
      <c r="C545" s="240"/>
      <c r="D545" s="188">
        <f t="shared" ref="D545:I545" si="484">D546+D548+D549</f>
        <v>33255</v>
      </c>
      <c r="E545" s="188">
        <f t="shared" si="484"/>
        <v>0</v>
      </c>
      <c r="F545" s="188">
        <f t="shared" si="484"/>
        <v>33255</v>
      </c>
      <c r="G545" s="188">
        <f t="shared" si="484"/>
        <v>33000</v>
      </c>
      <c r="H545" s="188">
        <f t="shared" si="484"/>
        <v>255</v>
      </c>
      <c r="I545" s="188">
        <f t="shared" si="484"/>
        <v>0</v>
      </c>
      <c r="J545" s="188"/>
      <c r="K545" s="188">
        <f>K546+K548+K549</f>
        <v>0</v>
      </c>
      <c r="L545" s="188">
        <f>L546+L548+L549</f>
        <v>0</v>
      </c>
      <c r="M545" s="188">
        <f>M546+M548+M549</f>
        <v>0</v>
      </c>
      <c r="N545" s="188">
        <f>N546+N548+N549</f>
        <v>0</v>
      </c>
      <c r="O545" s="188">
        <f>O546+O548+O549</f>
        <v>33000</v>
      </c>
      <c r="P545" s="188">
        <v>465</v>
      </c>
      <c r="Q545" s="186">
        <f t="shared" si="474"/>
        <v>1.3982859720342805E-2</v>
      </c>
      <c r="R545" s="188">
        <f>R546+R548+R549</f>
        <v>465</v>
      </c>
      <c r="S545" s="185">
        <v>1.3982859720342805E-2</v>
      </c>
      <c r="T545" s="185">
        <v>1.4718799705624007E-2</v>
      </c>
      <c r="U545" s="314">
        <v>1722.4680000000001</v>
      </c>
      <c r="V545" s="185">
        <v>5.1795760036084798E-2</v>
      </c>
      <c r="W545" s="185">
        <v>5.4521852669562949E-2</v>
      </c>
      <c r="X545" s="314">
        <v>1722.4680000000001</v>
      </c>
      <c r="Y545" s="185">
        <v>5.1795760036084798E-2</v>
      </c>
      <c r="Z545" s="185">
        <v>5.4521852669562949E-2</v>
      </c>
      <c r="AA545" s="314">
        <v>1722.4680000000001</v>
      </c>
      <c r="AB545" s="185">
        <v>5.1795760036084798E-2</v>
      </c>
      <c r="AC545" s="185">
        <v>5.4521852669562949E-2</v>
      </c>
      <c r="AD545" s="314">
        <v>2783.596</v>
      </c>
      <c r="AE545" s="185">
        <v>8.3704585776574955E-2</v>
      </c>
      <c r="AF545" s="185">
        <v>8.8110090291131524E-2</v>
      </c>
      <c r="AG545" s="314">
        <v>2783.596</v>
      </c>
      <c r="AH545" s="185">
        <v>8.3704585776574955E-2</v>
      </c>
      <c r="AI545" s="185">
        <v>8.8110090291131524E-2</v>
      </c>
      <c r="AJ545" s="317">
        <v>2783.596</v>
      </c>
      <c r="AK545" s="185">
        <v>8.3704585776574955E-2</v>
      </c>
      <c r="AL545" s="185">
        <v>8.8110090291131524E-2</v>
      </c>
      <c r="AM545" s="314">
        <v>2783.596</v>
      </c>
      <c r="AN545" s="185">
        <v>8.3704585776574955E-2</v>
      </c>
      <c r="AO545" s="185">
        <v>8.8110090291131524E-2</v>
      </c>
      <c r="AP545" s="185"/>
      <c r="AQ545" s="188">
        <v>5189.0480000000007</v>
      </c>
      <c r="AR545" s="185">
        <v>0.15603812960457075</v>
      </c>
      <c r="AS545" s="185">
        <v>0.16425066274165342</v>
      </c>
      <c r="AT545" s="188">
        <v>5189.0480000000007</v>
      </c>
      <c r="AU545" s="185">
        <v>0.15603812960457075</v>
      </c>
      <c r="AV545" s="185">
        <v>0.16425066274165342</v>
      </c>
      <c r="AW545" s="185"/>
      <c r="AX545" s="185"/>
      <c r="AY545" s="185"/>
      <c r="AZ545" s="185"/>
      <c r="BA545" s="185"/>
      <c r="BB545" s="185"/>
      <c r="BC545" s="188">
        <v>5189.0480000000007</v>
      </c>
      <c r="BD545" s="185">
        <v>0.15603812960457075</v>
      </c>
      <c r="BE545" s="185">
        <v>0.16425066274165342</v>
      </c>
      <c r="BF545" s="352"/>
      <c r="BG545" s="352">
        <v>28182.587</v>
      </c>
      <c r="BH545" s="185">
        <v>0.84746916253195004</v>
      </c>
      <c r="BI545" s="185">
        <v>0.89207280266521061</v>
      </c>
      <c r="BJ545" s="374">
        <f t="shared" si="467"/>
        <v>31592.25</v>
      </c>
      <c r="BK545" s="374">
        <v>28280.459000000003</v>
      </c>
      <c r="BL545" s="185">
        <f t="shared" si="469"/>
        <v>0.85041223876108862</v>
      </c>
      <c r="BM545" s="185">
        <f t="shared" si="477"/>
        <v>0.89517077764325115</v>
      </c>
      <c r="BN545" s="205">
        <f t="shared" si="465"/>
        <v>25496.863000000001</v>
      </c>
      <c r="BO545" s="205"/>
      <c r="BP545" s="189">
        <f>BP546+BP548+BP549</f>
        <v>4350</v>
      </c>
      <c r="BQ545" s="186">
        <f t="shared" si="470"/>
        <v>0.13080739738385205</v>
      </c>
      <c r="BR545" s="189">
        <f>BR546+BR548+BR549</f>
        <v>4350</v>
      </c>
      <c r="BS545" s="186">
        <f t="shared" si="471"/>
        <v>0.13080739738385205</v>
      </c>
      <c r="BT545" s="189">
        <f>BT546+BT548+BT549</f>
        <v>17926.5</v>
      </c>
      <c r="BU545" s="186">
        <f t="shared" si="472"/>
        <v>0.53906179521876407</v>
      </c>
      <c r="BV545" s="189">
        <f>BV546+BV548+BV549</f>
        <v>17952</v>
      </c>
      <c r="BW545" s="186">
        <f t="shared" si="454"/>
        <v>0.53982859720342802</v>
      </c>
      <c r="BX545" s="189">
        <f>BX546+BX548+BX549</f>
        <v>17977.5</v>
      </c>
      <c r="BY545" s="186">
        <f t="shared" si="455"/>
        <v>0.54059539918809196</v>
      </c>
      <c r="BZ545" s="189">
        <f>BZ546+BZ548+BZ549</f>
        <v>18028.5</v>
      </c>
      <c r="CA545" s="186">
        <f t="shared" si="456"/>
        <v>0.54212900315741996</v>
      </c>
      <c r="CB545" s="189">
        <f>CB546+CB548+CB549</f>
        <v>18092.25</v>
      </c>
      <c r="CC545" s="186">
        <f t="shared" si="483"/>
        <v>0.54404600811907988</v>
      </c>
      <c r="CD545" s="189">
        <f>CD546+CD548+CD549</f>
        <v>31592.25</v>
      </c>
      <c r="CE545" s="186">
        <f t="shared" si="457"/>
        <v>0.95</v>
      </c>
      <c r="CF545" s="189">
        <f>CF546+CF548+CF549</f>
        <v>31592.25</v>
      </c>
      <c r="CG545" s="186">
        <f t="shared" si="458"/>
        <v>0.95</v>
      </c>
      <c r="CH545" s="189">
        <f>CH546+CH548+CH549</f>
        <v>31592.25</v>
      </c>
      <c r="CI545" s="186">
        <f t="shared" si="459"/>
        <v>0.95</v>
      </c>
      <c r="CJ545" s="189">
        <f>CJ546+CJ548+CJ549</f>
        <v>31592.25</v>
      </c>
      <c r="CK545" s="186">
        <f t="shared" si="460"/>
        <v>0.95</v>
      </c>
      <c r="CL545" s="189">
        <f>CL546+CL548+CL549</f>
        <v>31592.25</v>
      </c>
      <c r="CM545" s="186">
        <f t="shared" si="461"/>
        <v>0.95</v>
      </c>
      <c r="CN545" s="189">
        <f>CN546+CN548+CN549</f>
        <v>31592.25</v>
      </c>
      <c r="CO545" s="186">
        <f t="shared" si="462"/>
        <v>0.95</v>
      </c>
      <c r="CP545" s="213" t="str">
        <f t="shared" si="475"/>
        <v>Đạt</v>
      </c>
      <c r="CQ545" s="213" t="str">
        <f t="shared" si="476"/>
        <v>Đạt</v>
      </c>
      <c r="CR545" s="213"/>
      <c r="CS545" s="213"/>
      <c r="CT545" s="231"/>
      <c r="CU545" s="163"/>
      <c r="CW545" s="195"/>
      <c r="CX545" s="196"/>
      <c r="CY545" s="196"/>
      <c r="CZ545" s="197"/>
      <c r="DA545" s="196"/>
      <c r="DB545" s="196"/>
      <c r="DC545" s="196"/>
      <c r="DE545" s="199"/>
      <c r="DF545" s="200"/>
      <c r="DG545" s="181"/>
    </row>
    <row r="546" spans="1:111" s="324" customFormat="1" outlineLevel="1" x14ac:dyDescent="0.25">
      <c r="A546" s="305" t="s">
        <v>34</v>
      </c>
      <c r="B546" s="318" t="s">
        <v>381</v>
      </c>
      <c r="C546" s="306"/>
      <c r="D546" s="317">
        <f t="shared" ref="D546:I546" si="485">D547</f>
        <v>30000</v>
      </c>
      <c r="E546" s="317">
        <f t="shared" si="485"/>
        <v>0</v>
      </c>
      <c r="F546" s="317">
        <f t="shared" si="485"/>
        <v>30000</v>
      </c>
      <c r="G546" s="317">
        <f t="shared" si="485"/>
        <v>30000</v>
      </c>
      <c r="H546" s="317">
        <f t="shared" si="485"/>
        <v>0</v>
      </c>
      <c r="I546" s="214">
        <f t="shared" si="485"/>
        <v>0</v>
      </c>
      <c r="J546" s="214"/>
      <c r="K546" s="317">
        <f>K547</f>
        <v>0</v>
      </c>
      <c r="L546" s="214">
        <f>L547</f>
        <v>0</v>
      </c>
      <c r="M546" s="223"/>
      <c r="N546" s="223"/>
      <c r="O546" s="317">
        <f>G546+I546+L546+N546</f>
        <v>30000</v>
      </c>
      <c r="P546" s="317">
        <v>0</v>
      </c>
      <c r="Q546" s="319">
        <f t="shared" si="474"/>
        <v>0</v>
      </c>
      <c r="R546" s="317">
        <v>465</v>
      </c>
      <c r="S546" s="187">
        <v>1.55E-2</v>
      </c>
      <c r="T546" s="187">
        <v>1.6315789473684211E-2</v>
      </c>
      <c r="U546" s="317">
        <v>465</v>
      </c>
      <c r="V546" s="187">
        <v>1.55E-2</v>
      </c>
      <c r="W546" s="187">
        <v>1.6315789473684211E-2</v>
      </c>
      <c r="X546" s="317">
        <v>465</v>
      </c>
      <c r="Y546" s="187">
        <v>1.55E-2</v>
      </c>
      <c r="Z546" s="187">
        <v>1.6315789473684211E-2</v>
      </c>
      <c r="AA546" s="317">
        <v>465</v>
      </c>
      <c r="AB546" s="187">
        <v>1.55E-2</v>
      </c>
      <c r="AC546" s="187">
        <v>1.6315789473684211E-2</v>
      </c>
      <c r="AD546" s="317">
        <v>1317.58</v>
      </c>
      <c r="AE546" s="187">
        <v>4.3919333333333331E-2</v>
      </c>
      <c r="AF546" s="187">
        <v>4.6230877192982453E-2</v>
      </c>
      <c r="AG546" s="317">
        <v>1317.58</v>
      </c>
      <c r="AH546" s="187">
        <v>4.3919333333333331E-2</v>
      </c>
      <c r="AI546" s="187">
        <v>4.6230877192982453E-2</v>
      </c>
      <c r="AJ546" s="223">
        <v>1317.58</v>
      </c>
      <c r="AK546" s="187">
        <v>4.3919333333333331E-2</v>
      </c>
      <c r="AL546" s="187">
        <v>4.6230877192982453E-2</v>
      </c>
      <c r="AM546" s="317">
        <v>1317.58</v>
      </c>
      <c r="AN546" s="187">
        <v>4.3919333333333331E-2</v>
      </c>
      <c r="AO546" s="187">
        <v>4.6230877192982453E-2</v>
      </c>
      <c r="AP546" s="187"/>
      <c r="AQ546" s="317">
        <v>2339.0480000000002</v>
      </c>
      <c r="AR546" s="187">
        <v>7.7968266666666675E-2</v>
      </c>
      <c r="AS546" s="187">
        <v>8.2071859649122822E-2</v>
      </c>
      <c r="AT546" s="317">
        <v>2339.0480000000002</v>
      </c>
      <c r="AU546" s="187">
        <v>7.7968266666666675E-2</v>
      </c>
      <c r="AV546" s="187">
        <v>8.2071859649122822E-2</v>
      </c>
      <c r="AW546" s="187"/>
      <c r="AX546" s="187"/>
      <c r="AY546" s="187"/>
      <c r="AZ546" s="187"/>
      <c r="BA546" s="187"/>
      <c r="BB546" s="187"/>
      <c r="BC546" s="317">
        <v>2339.0480000000002</v>
      </c>
      <c r="BD546" s="187">
        <v>7.7968266666666675E-2</v>
      </c>
      <c r="BE546" s="187">
        <v>8.2071859649122822E-2</v>
      </c>
      <c r="BF546" s="349"/>
      <c r="BG546" s="349">
        <v>25332.587</v>
      </c>
      <c r="BH546" s="187">
        <v>0.84441956666666662</v>
      </c>
      <c r="BI546" s="187">
        <v>0.88886270175438598</v>
      </c>
      <c r="BJ546" s="349">
        <f t="shared" si="467"/>
        <v>28500</v>
      </c>
      <c r="BK546" s="349">
        <v>25381.523000000001</v>
      </c>
      <c r="BL546" s="187">
        <f t="shared" si="469"/>
        <v>0.84605076666666668</v>
      </c>
      <c r="BM546" s="187">
        <f t="shared" si="477"/>
        <v>0.89057975438596493</v>
      </c>
      <c r="BN546" s="205">
        <f t="shared" si="465"/>
        <v>24063.942999999999</v>
      </c>
      <c r="BO546" s="205"/>
      <c r="BP546" s="307">
        <f>BP547</f>
        <v>1500</v>
      </c>
      <c r="BQ546" s="319">
        <f t="shared" si="470"/>
        <v>0.05</v>
      </c>
      <c r="BR546" s="307">
        <f>BR547</f>
        <v>1500</v>
      </c>
      <c r="BS546" s="319">
        <f t="shared" si="471"/>
        <v>0.05</v>
      </c>
      <c r="BT546" s="307">
        <f>BT547</f>
        <v>15000</v>
      </c>
      <c r="BU546" s="319">
        <f t="shared" si="472"/>
        <v>0.5</v>
      </c>
      <c r="BV546" s="307">
        <f>BV547</f>
        <v>15000</v>
      </c>
      <c r="BW546" s="319">
        <f t="shared" si="454"/>
        <v>0.5</v>
      </c>
      <c r="BX546" s="307">
        <f>BX547</f>
        <v>15000</v>
      </c>
      <c r="BY546" s="319">
        <f t="shared" si="455"/>
        <v>0.5</v>
      </c>
      <c r="BZ546" s="307">
        <f>BZ547</f>
        <v>15000</v>
      </c>
      <c r="CA546" s="319">
        <f t="shared" si="456"/>
        <v>0.5</v>
      </c>
      <c r="CB546" s="307">
        <f>CB547</f>
        <v>15000</v>
      </c>
      <c r="CC546" s="319">
        <f t="shared" si="483"/>
        <v>0.5</v>
      </c>
      <c r="CD546" s="307">
        <f>CD547</f>
        <v>28500</v>
      </c>
      <c r="CE546" s="319">
        <f t="shared" si="457"/>
        <v>0.95</v>
      </c>
      <c r="CF546" s="307">
        <f>CF547</f>
        <v>28500</v>
      </c>
      <c r="CG546" s="319">
        <f t="shared" si="458"/>
        <v>0.95</v>
      </c>
      <c r="CH546" s="307">
        <f>CH547</f>
        <v>28500</v>
      </c>
      <c r="CI546" s="319">
        <f t="shared" si="459"/>
        <v>0.95</v>
      </c>
      <c r="CJ546" s="307">
        <f>CJ547</f>
        <v>28500</v>
      </c>
      <c r="CK546" s="319">
        <f t="shared" si="460"/>
        <v>0.95</v>
      </c>
      <c r="CL546" s="307">
        <f>CL547</f>
        <v>28500</v>
      </c>
      <c r="CM546" s="319">
        <f t="shared" si="461"/>
        <v>0.95</v>
      </c>
      <c r="CN546" s="307">
        <f>CN547</f>
        <v>28500</v>
      </c>
      <c r="CO546" s="319">
        <f t="shared" si="462"/>
        <v>0.95</v>
      </c>
      <c r="CP546" s="213" t="str">
        <f t="shared" si="475"/>
        <v>Đạt</v>
      </c>
      <c r="CQ546" s="213" t="str">
        <f t="shared" si="476"/>
        <v>Đạt</v>
      </c>
      <c r="CR546" s="312"/>
      <c r="CS546" s="312"/>
      <c r="CT546" s="235"/>
      <c r="CU546" s="163"/>
      <c r="CV546" s="323"/>
      <c r="CW546" s="195"/>
      <c r="CX546" s="196"/>
      <c r="CY546" s="196"/>
      <c r="CZ546" s="197"/>
      <c r="DA546" s="196"/>
      <c r="DB546" s="196"/>
      <c r="DC546" s="196"/>
      <c r="DE546" s="199"/>
      <c r="DF546" s="200"/>
      <c r="DG546" s="181"/>
    </row>
    <row r="547" spans="1:111" ht="25.5" outlineLevel="1" x14ac:dyDescent="0.25">
      <c r="A547" s="192"/>
      <c r="B547" s="325" t="s">
        <v>499</v>
      </c>
      <c r="C547" s="325">
        <v>8064614</v>
      </c>
      <c r="D547" s="214">
        <f>E547+F547</f>
        <v>30000</v>
      </c>
      <c r="E547" s="215"/>
      <c r="F547" s="214">
        <f>G547+H547+K547+M547</f>
        <v>30000</v>
      </c>
      <c r="G547" s="257">
        <v>30000</v>
      </c>
      <c r="H547" s="223"/>
      <c r="I547" s="235"/>
      <c r="J547" s="235"/>
      <c r="K547" s="223"/>
      <c r="L547" s="235"/>
      <c r="M547" s="223"/>
      <c r="N547" s="223"/>
      <c r="O547" s="223">
        <f>G547+I547+L547+N547</f>
        <v>30000</v>
      </c>
      <c r="P547" s="223">
        <v>465</v>
      </c>
      <c r="Q547" s="224">
        <f t="shared" si="474"/>
        <v>1.55E-2</v>
      </c>
      <c r="R547" s="223">
        <v>465</v>
      </c>
      <c r="S547" s="225">
        <v>1.55E-2</v>
      </c>
      <c r="T547" s="225">
        <v>1.6315789473684211E-2</v>
      </c>
      <c r="U547" s="223">
        <v>465</v>
      </c>
      <c r="V547" s="225">
        <v>1.55E-2</v>
      </c>
      <c r="W547" s="225">
        <v>1.6315789473684211E-2</v>
      </c>
      <c r="X547" s="223">
        <v>465</v>
      </c>
      <c r="Y547" s="225">
        <v>1.55E-2</v>
      </c>
      <c r="Z547" s="225">
        <v>1.6315789473684211E-2</v>
      </c>
      <c r="AA547" s="223">
        <v>465</v>
      </c>
      <c r="AB547" s="225">
        <v>1.55E-2</v>
      </c>
      <c r="AC547" s="225">
        <v>1.6315789473684211E-2</v>
      </c>
      <c r="AD547" s="223">
        <v>1317.58</v>
      </c>
      <c r="AE547" s="225">
        <v>4.3919333333333331E-2</v>
      </c>
      <c r="AF547" s="225">
        <v>4.6230877192982453E-2</v>
      </c>
      <c r="AG547" s="223">
        <v>1317.58</v>
      </c>
      <c r="AH547" s="225">
        <v>4.3919333333333331E-2</v>
      </c>
      <c r="AI547" s="225">
        <v>4.6230877192982453E-2</v>
      </c>
      <c r="AJ547" s="307">
        <v>1317.58</v>
      </c>
      <c r="AK547" s="225">
        <v>4.3919333333333331E-2</v>
      </c>
      <c r="AL547" s="225">
        <v>4.6230877192982453E-2</v>
      </c>
      <c r="AM547" s="223">
        <v>1317.58</v>
      </c>
      <c r="AN547" s="225">
        <v>4.3919333333333331E-2</v>
      </c>
      <c r="AO547" s="225">
        <v>4.6230877192982453E-2</v>
      </c>
      <c r="AP547" s="225"/>
      <c r="AQ547" s="245">
        <v>2339.0480000000002</v>
      </c>
      <c r="AR547" s="225">
        <v>7.7968266666666675E-2</v>
      </c>
      <c r="AS547" s="225">
        <v>8.2071859649122822E-2</v>
      </c>
      <c r="AT547" s="245">
        <v>2339.0480000000002</v>
      </c>
      <c r="AU547" s="225">
        <v>7.7968266666666675E-2</v>
      </c>
      <c r="AV547" s="225">
        <v>8.2071859649122822E-2</v>
      </c>
      <c r="AW547" s="225"/>
      <c r="AX547" s="225"/>
      <c r="AY547" s="225"/>
      <c r="AZ547" s="225"/>
      <c r="BA547" s="225"/>
      <c r="BB547" s="225"/>
      <c r="BC547" s="245">
        <v>2339.0480000000002</v>
      </c>
      <c r="BD547" s="225">
        <v>7.7968266666666675E-2</v>
      </c>
      <c r="BE547" s="225">
        <v>8.2071859649122822E-2</v>
      </c>
      <c r="BF547" s="350"/>
      <c r="BG547" s="350">
        <v>25332.587</v>
      </c>
      <c r="BH547" s="225">
        <v>0.84441956666666662</v>
      </c>
      <c r="BI547" s="225">
        <v>0.88886270175438598</v>
      </c>
      <c r="BJ547" s="402">
        <f t="shared" si="467"/>
        <v>28500</v>
      </c>
      <c r="BK547" s="402">
        <v>25381.523000000001</v>
      </c>
      <c r="BL547" s="225">
        <f t="shared" si="469"/>
        <v>0.84605076666666668</v>
      </c>
      <c r="BM547" s="225">
        <f t="shared" si="477"/>
        <v>0.89057975438596493</v>
      </c>
      <c r="BN547" s="205">
        <f t="shared" si="465"/>
        <v>24063.942999999999</v>
      </c>
      <c r="BO547" s="205"/>
      <c r="BP547" s="227">
        <v>1500</v>
      </c>
      <c r="BQ547" s="224">
        <f t="shared" si="470"/>
        <v>0.05</v>
      </c>
      <c r="BR547" s="227">
        <v>1500</v>
      </c>
      <c r="BS547" s="224">
        <f t="shared" si="471"/>
        <v>0.05</v>
      </c>
      <c r="BT547" s="227">
        <v>15000</v>
      </c>
      <c r="BU547" s="224">
        <f t="shared" si="472"/>
        <v>0.5</v>
      </c>
      <c r="BV547" s="227">
        <v>15000</v>
      </c>
      <c r="BW547" s="224">
        <f t="shared" si="454"/>
        <v>0.5</v>
      </c>
      <c r="BX547" s="227">
        <v>15000</v>
      </c>
      <c r="BY547" s="224">
        <f t="shared" si="455"/>
        <v>0.5</v>
      </c>
      <c r="BZ547" s="227">
        <v>15000</v>
      </c>
      <c r="CA547" s="224">
        <f t="shared" si="456"/>
        <v>0.5</v>
      </c>
      <c r="CB547" s="227">
        <v>15000</v>
      </c>
      <c r="CC547" s="224">
        <f t="shared" si="483"/>
        <v>0.5</v>
      </c>
      <c r="CD547" s="227">
        <v>28500</v>
      </c>
      <c r="CE547" s="224">
        <f t="shared" si="457"/>
        <v>0.95</v>
      </c>
      <c r="CF547" s="227">
        <v>28500</v>
      </c>
      <c r="CG547" s="224">
        <f t="shared" si="458"/>
        <v>0.95</v>
      </c>
      <c r="CH547" s="227">
        <v>28500</v>
      </c>
      <c r="CI547" s="224">
        <f t="shared" si="459"/>
        <v>0.95</v>
      </c>
      <c r="CJ547" s="227">
        <v>28500</v>
      </c>
      <c r="CK547" s="224">
        <f t="shared" si="460"/>
        <v>0.95</v>
      </c>
      <c r="CL547" s="227">
        <v>28500</v>
      </c>
      <c r="CM547" s="224">
        <f t="shared" si="461"/>
        <v>0.95</v>
      </c>
      <c r="CN547" s="227">
        <v>28500</v>
      </c>
      <c r="CO547" s="224">
        <f t="shared" si="462"/>
        <v>0.95</v>
      </c>
      <c r="CP547" s="213" t="str">
        <f t="shared" si="475"/>
        <v>Đạt</v>
      </c>
      <c r="CQ547" s="213" t="str">
        <f t="shared" si="476"/>
        <v>Đạt</v>
      </c>
      <c r="CR547" s="192"/>
      <c r="CS547" s="192"/>
      <c r="CT547" s="223"/>
      <c r="CU547" s="163"/>
      <c r="CW547" s="195"/>
      <c r="CX547" s="196"/>
      <c r="CY547" s="196"/>
      <c r="CZ547" s="197"/>
      <c r="DA547" s="196"/>
      <c r="DB547" s="196"/>
      <c r="DC547" s="196"/>
      <c r="DE547" s="199"/>
      <c r="DF547" s="200"/>
      <c r="DG547" s="181"/>
    </row>
    <row r="548" spans="1:111" s="324" customFormat="1" outlineLevel="1" x14ac:dyDescent="0.25">
      <c r="A548" s="305" t="s">
        <v>34</v>
      </c>
      <c r="B548" s="318" t="s">
        <v>376</v>
      </c>
      <c r="C548" s="306"/>
      <c r="D548" s="307">
        <f>E548+F548</f>
        <v>3000</v>
      </c>
      <c r="E548" s="307"/>
      <c r="F548" s="307">
        <f>G548+H548+K548+M548</f>
        <v>3000</v>
      </c>
      <c r="G548" s="307">
        <v>3000</v>
      </c>
      <c r="H548" s="303"/>
      <c r="I548" s="235"/>
      <c r="J548" s="235"/>
      <c r="K548" s="303"/>
      <c r="L548" s="235"/>
      <c r="M548" s="223"/>
      <c r="N548" s="223"/>
      <c r="O548" s="303">
        <f>G548+I548+L548+N548</f>
        <v>3000</v>
      </c>
      <c r="P548" s="303">
        <v>0</v>
      </c>
      <c r="Q548" s="308">
        <f t="shared" si="474"/>
        <v>0</v>
      </c>
      <c r="R548" s="303"/>
      <c r="S548" s="309">
        <v>0</v>
      </c>
      <c r="T548" s="309">
        <v>0</v>
      </c>
      <c r="U548" s="303">
        <v>1257.4680000000001</v>
      </c>
      <c r="V548" s="309">
        <v>0.41915600000000003</v>
      </c>
      <c r="W548" s="309">
        <v>0.44121684210526319</v>
      </c>
      <c r="X548" s="303">
        <v>1257.4680000000001</v>
      </c>
      <c r="Y548" s="309">
        <v>0.41915600000000003</v>
      </c>
      <c r="Z548" s="309">
        <v>0.44121684210526319</v>
      </c>
      <c r="AA548" s="303">
        <v>1257.4680000000001</v>
      </c>
      <c r="AB548" s="309">
        <v>0.41915600000000003</v>
      </c>
      <c r="AC548" s="309">
        <v>0.44121684210526319</v>
      </c>
      <c r="AD548" s="303">
        <v>1466.0160000000001</v>
      </c>
      <c r="AE548" s="309">
        <v>0.48867200000000005</v>
      </c>
      <c r="AF548" s="309">
        <v>0.51439157894736842</v>
      </c>
      <c r="AG548" s="307">
        <v>1466.0160000000001</v>
      </c>
      <c r="AH548" s="309">
        <v>0.48867200000000005</v>
      </c>
      <c r="AI548" s="309">
        <v>0.51439157894736842</v>
      </c>
      <c r="AJ548" s="303">
        <v>1466.0160000000001</v>
      </c>
      <c r="AK548" s="309">
        <v>0.48867200000000005</v>
      </c>
      <c r="AL548" s="309">
        <v>0.51439157894736842</v>
      </c>
      <c r="AM548" s="307">
        <v>1466.0160000000001</v>
      </c>
      <c r="AN548" s="309">
        <v>0.48867200000000005</v>
      </c>
      <c r="AO548" s="309">
        <v>0.51439157894736842</v>
      </c>
      <c r="AP548" s="309"/>
      <c r="AQ548" s="307">
        <v>2850</v>
      </c>
      <c r="AR548" s="309">
        <v>0.95</v>
      </c>
      <c r="AS548" s="309">
        <v>1</v>
      </c>
      <c r="AT548" s="307">
        <v>2850</v>
      </c>
      <c r="AU548" s="309">
        <v>0.95</v>
      </c>
      <c r="AV548" s="309">
        <v>1</v>
      </c>
      <c r="AW548" s="309"/>
      <c r="AX548" s="309"/>
      <c r="AY548" s="309"/>
      <c r="AZ548" s="309"/>
      <c r="BA548" s="309"/>
      <c r="BB548" s="309"/>
      <c r="BC548" s="307">
        <v>2850</v>
      </c>
      <c r="BD548" s="309">
        <v>0.95</v>
      </c>
      <c r="BE548" s="309">
        <v>1</v>
      </c>
      <c r="BF548" s="351"/>
      <c r="BG548" s="351">
        <v>2850</v>
      </c>
      <c r="BH548" s="309">
        <v>0.95</v>
      </c>
      <c r="BI548" s="309">
        <v>1</v>
      </c>
      <c r="BJ548" s="349">
        <f t="shared" si="467"/>
        <v>2850</v>
      </c>
      <c r="BK548" s="349">
        <v>2850</v>
      </c>
      <c r="BL548" s="309">
        <f t="shared" si="469"/>
        <v>0.95</v>
      </c>
      <c r="BM548" s="309">
        <f t="shared" si="477"/>
        <v>1</v>
      </c>
      <c r="BN548" s="205">
        <f t="shared" si="465"/>
        <v>1383.9839999999999</v>
      </c>
      <c r="BO548" s="205"/>
      <c r="BP548" s="310">
        <v>2850</v>
      </c>
      <c r="BQ548" s="308">
        <f t="shared" si="470"/>
        <v>0.95</v>
      </c>
      <c r="BR548" s="310">
        <v>2850</v>
      </c>
      <c r="BS548" s="308">
        <f t="shared" si="471"/>
        <v>0.95</v>
      </c>
      <c r="BT548" s="310">
        <v>2850</v>
      </c>
      <c r="BU548" s="308">
        <f t="shared" si="472"/>
        <v>0.95</v>
      </c>
      <c r="BV548" s="310">
        <v>2850</v>
      </c>
      <c r="BW548" s="308">
        <f t="shared" si="454"/>
        <v>0.95</v>
      </c>
      <c r="BX548" s="310">
        <v>2850</v>
      </c>
      <c r="BY548" s="308">
        <f t="shared" si="455"/>
        <v>0.95</v>
      </c>
      <c r="BZ548" s="310">
        <v>2850</v>
      </c>
      <c r="CA548" s="308">
        <f t="shared" si="456"/>
        <v>0.95</v>
      </c>
      <c r="CB548" s="310">
        <v>2850</v>
      </c>
      <c r="CC548" s="308">
        <f t="shared" si="483"/>
        <v>0.95</v>
      </c>
      <c r="CD548" s="310">
        <v>2850</v>
      </c>
      <c r="CE548" s="308">
        <f t="shared" si="457"/>
        <v>0.95</v>
      </c>
      <c r="CF548" s="310">
        <v>2850</v>
      </c>
      <c r="CG548" s="308">
        <f t="shared" si="458"/>
        <v>0.95</v>
      </c>
      <c r="CH548" s="310">
        <v>2850</v>
      </c>
      <c r="CI548" s="308">
        <f t="shared" si="459"/>
        <v>0.95</v>
      </c>
      <c r="CJ548" s="310">
        <v>2850</v>
      </c>
      <c r="CK548" s="308">
        <f t="shared" si="460"/>
        <v>0.95</v>
      </c>
      <c r="CL548" s="310">
        <v>2850</v>
      </c>
      <c r="CM548" s="308">
        <f t="shared" si="461"/>
        <v>0.95</v>
      </c>
      <c r="CN548" s="310">
        <v>2850</v>
      </c>
      <c r="CO548" s="308">
        <f t="shared" si="462"/>
        <v>0.95</v>
      </c>
      <c r="CP548" s="213" t="str">
        <f t="shared" si="475"/>
        <v>Đạt</v>
      </c>
      <c r="CQ548" s="213" t="str">
        <f t="shared" si="476"/>
        <v>Đạt</v>
      </c>
      <c r="CR548" s="312"/>
      <c r="CS548" s="312"/>
      <c r="CT548" s="235"/>
      <c r="CU548" s="163"/>
      <c r="CV548" s="323"/>
      <c r="CW548" s="195"/>
      <c r="CX548" s="196"/>
      <c r="CY548" s="196"/>
      <c r="CZ548" s="197"/>
      <c r="DA548" s="196"/>
      <c r="DB548" s="196"/>
      <c r="DC548" s="196"/>
      <c r="DE548" s="199"/>
      <c r="DF548" s="200"/>
      <c r="DG548" s="181"/>
    </row>
    <row r="549" spans="1:111" ht="25.5" outlineLevel="1" x14ac:dyDescent="0.25">
      <c r="A549" s="305" t="s">
        <v>34</v>
      </c>
      <c r="B549" s="306" t="s">
        <v>377</v>
      </c>
      <c r="C549" s="306"/>
      <c r="D549" s="307">
        <f>E549+F549</f>
        <v>255</v>
      </c>
      <c r="E549" s="307"/>
      <c r="F549" s="307">
        <f>G549+H549+K549+M549</f>
        <v>255</v>
      </c>
      <c r="G549" s="307"/>
      <c r="H549" s="307">
        <v>255</v>
      </c>
      <c r="I549" s="235"/>
      <c r="J549" s="235"/>
      <c r="K549" s="303"/>
      <c r="L549" s="235"/>
      <c r="M549" s="223"/>
      <c r="N549" s="223"/>
      <c r="O549" s="303"/>
      <c r="P549" s="303">
        <v>0</v>
      </c>
      <c r="Q549" s="308">
        <f t="shared" si="474"/>
        <v>0</v>
      </c>
      <c r="R549" s="303"/>
      <c r="S549" s="309">
        <v>0</v>
      </c>
      <c r="T549" s="309">
        <v>0</v>
      </c>
      <c r="U549" s="303"/>
      <c r="V549" s="309">
        <v>0</v>
      </c>
      <c r="W549" s="309">
        <v>0</v>
      </c>
      <c r="X549" s="303"/>
      <c r="Y549" s="309">
        <v>0</v>
      </c>
      <c r="Z549" s="309">
        <v>0</v>
      </c>
      <c r="AA549" s="303"/>
      <c r="AB549" s="309">
        <v>0</v>
      </c>
      <c r="AC549" s="309">
        <v>0</v>
      </c>
      <c r="AD549" s="303"/>
      <c r="AE549" s="309">
        <v>0</v>
      </c>
      <c r="AF549" s="309">
        <v>0</v>
      </c>
      <c r="AG549" s="303"/>
      <c r="AH549" s="309">
        <v>0</v>
      </c>
      <c r="AI549" s="309">
        <v>0</v>
      </c>
      <c r="AJ549" s="188"/>
      <c r="AK549" s="309">
        <v>0</v>
      </c>
      <c r="AL549" s="309">
        <v>0</v>
      </c>
      <c r="AM549" s="303"/>
      <c r="AN549" s="309">
        <v>0</v>
      </c>
      <c r="AO549" s="309">
        <v>0</v>
      </c>
      <c r="AP549" s="309"/>
      <c r="AQ549" s="303"/>
      <c r="AR549" s="309">
        <v>0</v>
      </c>
      <c r="AS549" s="309">
        <v>0</v>
      </c>
      <c r="AT549" s="303"/>
      <c r="AU549" s="309">
        <v>0</v>
      </c>
      <c r="AV549" s="309">
        <v>0</v>
      </c>
      <c r="AW549" s="309"/>
      <c r="AX549" s="309"/>
      <c r="AY549" s="309"/>
      <c r="AZ549" s="309"/>
      <c r="BA549" s="309"/>
      <c r="BB549" s="309"/>
      <c r="BC549" s="303"/>
      <c r="BD549" s="309">
        <v>0</v>
      </c>
      <c r="BE549" s="309">
        <v>0</v>
      </c>
      <c r="BF549" s="351"/>
      <c r="BG549" s="351">
        <v>0</v>
      </c>
      <c r="BH549" s="309">
        <v>0</v>
      </c>
      <c r="BI549" s="309">
        <v>0</v>
      </c>
      <c r="BJ549" s="349">
        <f t="shared" si="467"/>
        <v>242.25</v>
      </c>
      <c r="BK549" s="349">
        <v>48.936</v>
      </c>
      <c r="BL549" s="309">
        <f t="shared" si="469"/>
        <v>0.19190588235294118</v>
      </c>
      <c r="BM549" s="309">
        <f t="shared" si="477"/>
        <v>0.2020061919504644</v>
      </c>
      <c r="BN549" s="205">
        <f t="shared" si="465"/>
        <v>48.936</v>
      </c>
      <c r="BO549" s="205"/>
      <c r="BP549" s="310"/>
      <c r="BQ549" s="308">
        <f t="shared" si="470"/>
        <v>0</v>
      </c>
      <c r="BR549" s="310"/>
      <c r="BS549" s="308">
        <f t="shared" si="471"/>
        <v>0</v>
      </c>
      <c r="BT549" s="310">
        <f>255*0.3</f>
        <v>76.5</v>
      </c>
      <c r="BU549" s="308">
        <f t="shared" si="472"/>
        <v>0.3</v>
      </c>
      <c r="BV549" s="310">
        <f>255*0.4</f>
        <v>102</v>
      </c>
      <c r="BW549" s="308">
        <f t="shared" si="454"/>
        <v>0.4</v>
      </c>
      <c r="BX549" s="310">
        <f>255*0.5</f>
        <v>127.5</v>
      </c>
      <c r="BY549" s="308">
        <f t="shared" si="455"/>
        <v>0.5</v>
      </c>
      <c r="BZ549" s="310">
        <f>255*0.7</f>
        <v>178.5</v>
      </c>
      <c r="CA549" s="308">
        <f t="shared" si="456"/>
        <v>0.7</v>
      </c>
      <c r="CB549" s="310">
        <f>255*0.95</f>
        <v>242.25</v>
      </c>
      <c r="CC549" s="308">
        <f t="shared" si="483"/>
        <v>0.95</v>
      </c>
      <c r="CD549" s="310">
        <v>242.25</v>
      </c>
      <c r="CE549" s="308">
        <f t="shared" si="457"/>
        <v>0.95</v>
      </c>
      <c r="CF549" s="310">
        <v>242.25</v>
      </c>
      <c r="CG549" s="308">
        <f t="shared" si="458"/>
        <v>0.95</v>
      </c>
      <c r="CH549" s="310">
        <v>242.25</v>
      </c>
      <c r="CI549" s="308">
        <f t="shared" si="459"/>
        <v>0.95</v>
      </c>
      <c r="CJ549" s="310">
        <v>242.25</v>
      </c>
      <c r="CK549" s="308">
        <f t="shared" si="460"/>
        <v>0.95</v>
      </c>
      <c r="CL549" s="310">
        <v>242.25</v>
      </c>
      <c r="CM549" s="308">
        <f t="shared" si="461"/>
        <v>0.95</v>
      </c>
      <c r="CN549" s="310">
        <v>242.25</v>
      </c>
      <c r="CO549" s="308">
        <f t="shared" si="462"/>
        <v>0.95</v>
      </c>
      <c r="CP549" s="213" t="str">
        <f t="shared" si="475"/>
        <v>Không đạt</v>
      </c>
      <c r="CQ549" s="213" t="str">
        <f t="shared" si="476"/>
        <v>Không đạt</v>
      </c>
      <c r="CR549" s="312"/>
      <c r="CS549" s="312"/>
      <c r="CT549" s="235"/>
      <c r="CU549" s="163"/>
      <c r="CW549" s="195"/>
      <c r="CX549" s="196"/>
      <c r="CY549" s="196"/>
      <c r="CZ549" s="197"/>
      <c r="DA549" s="196"/>
      <c r="DB549" s="196"/>
      <c r="DC549" s="196"/>
      <c r="DE549" s="199"/>
      <c r="DF549" s="200"/>
      <c r="DG549" s="181"/>
    </row>
    <row r="550" spans="1:111" ht="18" customHeight="1" x14ac:dyDescent="0.25">
      <c r="A550" s="213">
        <f>MAX(A$243:A547)+1</f>
        <v>84</v>
      </c>
      <c r="B550" s="240" t="s">
        <v>500</v>
      </c>
      <c r="C550" s="240"/>
      <c r="D550" s="188">
        <f t="shared" ref="D550:I550" si="486">D551</f>
        <v>3000</v>
      </c>
      <c r="E550" s="188">
        <f t="shared" si="486"/>
        <v>0</v>
      </c>
      <c r="F550" s="188">
        <f t="shared" si="486"/>
        <v>3000</v>
      </c>
      <c r="G550" s="188">
        <f t="shared" si="486"/>
        <v>3000</v>
      </c>
      <c r="H550" s="188">
        <f t="shared" si="486"/>
        <v>0</v>
      </c>
      <c r="I550" s="188">
        <f t="shared" si="486"/>
        <v>0</v>
      </c>
      <c r="J550" s="188"/>
      <c r="K550" s="188">
        <f>K551</f>
        <v>0</v>
      </c>
      <c r="L550" s="188">
        <f>L551</f>
        <v>0</v>
      </c>
      <c r="M550" s="231"/>
      <c r="N550" s="231"/>
      <c r="O550" s="188">
        <f>G550+I550+L550+N550</f>
        <v>3000</v>
      </c>
      <c r="P550" s="188">
        <v>0</v>
      </c>
      <c r="Q550" s="186">
        <f t="shared" si="474"/>
        <v>0</v>
      </c>
      <c r="R550" s="188">
        <v>0</v>
      </c>
      <c r="S550" s="185">
        <v>0</v>
      </c>
      <c r="T550" s="185">
        <v>0</v>
      </c>
      <c r="U550" s="188">
        <v>0</v>
      </c>
      <c r="V550" s="185">
        <v>0</v>
      </c>
      <c r="W550" s="185">
        <v>0</v>
      </c>
      <c r="X550" s="188">
        <v>0</v>
      </c>
      <c r="Y550" s="185">
        <v>0</v>
      </c>
      <c r="Z550" s="185">
        <v>0</v>
      </c>
      <c r="AA550" s="188">
        <v>0</v>
      </c>
      <c r="AB550" s="185">
        <v>0</v>
      </c>
      <c r="AC550" s="185">
        <v>0</v>
      </c>
      <c r="AD550" s="188">
        <v>0</v>
      </c>
      <c r="AE550" s="185">
        <v>0</v>
      </c>
      <c r="AF550" s="185">
        <v>0</v>
      </c>
      <c r="AG550" s="188">
        <v>0</v>
      </c>
      <c r="AH550" s="185">
        <v>0</v>
      </c>
      <c r="AI550" s="185">
        <v>0</v>
      </c>
      <c r="AJ550" s="303">
        <v>0</v>
      </c>
      <c r="AK550" s="185">
        <v>0</v>
      </c>
      <c r="AL550" s="185">
        <v>0</v>
      </c>
      <c r="AM550" s="188">
        <v>0</v>
      </c>
      <c r="AN550" s="185">
        <v>0</v>
      </c>
      <c r="AO550" s="185">
        <v>0</v>
      </c>
      <c r="AP550" s="185"/>
      <c r="AQ550" s="188">
        <v>281.41300000000001</v>
      </c>
      <c r="AR550" s="185">
        <v>9.3804333333333337E-2</v>
      </c>
      <c r="AS550" s="185">
        <v>9.8741403508771933E-2</v>
      </c>
      <c r="AT550" s="188">
        <v>281.41300000000001</v>
      </c>
      <c r="AU550" s="185">
        <v>9.3804333333333337E-2</v>
      </c>
      <c r="AV550" s="185">
        <v>9.8741403508771933E-2</v>
      </c>
      <c r="AW550" s="185"/>
      <c r="AX550" s="185"/>
      <c r="AY550" s="185"/>
      <c r="AZ550" s="185"/>
      <c r="BA550" s="185"/>
      <c r="BB550" s="185"/>
      <c r="BC550" s="188">
        <v>281.41300000000001</v>
      </c>
      <c r="BD550" s="185">
        <v>9.3804333333333337E-2</v>
      </c>
      <c r="BE550" s="185">
        <v>9.8741403508771933E-2</v>
      </c>
      <c r="BF550" s="352"/>
      <c r="BG550" s="352">
        <v>1369</v>
      </c>
      <c r="BH550" s="185">
        <v>0.45633333333333331</v>
      </c>
      <c r="BI550" s="185">
        <v>0.48035087719298247</v>
      </c>
      <c r="BJ550" s="374">
        <f t="shared" si="467"/>
        <v>2850</v>
      </c>
      <c r="BK550" s="374">
        <v>1369</v>
      </c>
      <c r="BL550" s="185">
        <f t="shared" si="469"/>
        <v>0.45633333333333331</v>
      </c>
      <c r="BM550" s="185">
        <f t="shared" si="477"/>
        <v>0.48035087719298247</v>
      </c>
      <c r="BN550" s="205">
        <f t="shared" si="465"/>
        <v>1369</v>
      </c>
      <c r="BO550" s="205"/>
      <c r="BP550" s="189">
        <f>BP551</f>
        <v>0</v>
      </c>
      <c r="BQ550" s="186">
        <f t="shared" si="470"/>
        <v>0</v>
      </c>
      <c r="BR550" s="189">
        <f>BR551</f>
        <v>0</v>
      </c>
      <c r="BS550" s="186">
        <f t="shared" si="471"/>
        <v>0</v>
      </c>
      <c r="BT550" s="189">
        <f>BT551</f>
        <v>300</v>
      </c>
      <c r="BU550" s="186">
        <f t="shared" si="472"/>
        <v>0.1</v>
      </c>
      <c r="BV550" s="189">
        <f>BV551</f>
        <v>600</v>
      </c>
      <c r="BW550" s="186">
        <f t="shared" si="454"/>
        <v>0.2</v>
      </c>
      <c r="BX550" s="189">
        <f>BX551</f>
        <v>900</v>
      </c>
      <c r="BY550" s="186">
        <f t="shared" si="455"/>
        <v>0.3</v>
      </c>
      <c r="BZ550" s="189">
        <f>BZ551</f>
        <v>1200</v>
      </c>
      <c r="CA550" s="186">
        <f t="shared" si="456"/>
        <v>0.4</v>
      </c>
      <c r="CB550" s="189">
        <f>CB551</f>
        <v>1500</v>
      </c>
      <c r="CC550" s="186">
        <f t="shared" si="483"/>
        <v>0.5</v>
      </c>
      <c r="CD550" s="189">
        <f>CD551</f>
        <v>1650.0000000000002</v>
      </c>
      <c r="CE550" s="186">
        <f t="shared" si="457"/>
        <v>0.55000000000000004</v>
      </c>
      <c r="CF550" s="189">
        <f>CF551</f>
        <v>2100</v>
      </c>
      <c r="CG550" s="186">
        <f t="shared" si="458"/>
        <v>0.7</v>
      </c>
      <c r="CH550" s="189">
        <f>CH551</f>
        <v>2100</v>
      </c>
      <c r="CI550" s="186">
        <f t="shared" si="459"/>
        <v>0.7</v>
      </c>
      <c r="CJ550" s="189">
        <f>CJ551</f>
        <v>2250</v>
      </c>
      <c r="CK550" s="186">
        <f t="shared" si="460"/>
        <v>0.75</v>
      </c>
      <c r="CL550" s="189">
        <f>CL551</f>
        <v>2400</v>
      </c>
      <c r="CM550" s="186">
        <f t="shared" si="461"/>
        <v>0.8</v>
      </c>
      <c r="CN550" s="189">
        <f>CN551</f>
        <v>2850</v>
      </c>
      <c r="CO550" s="186">
        <f t="shared" si="462"/>
        <v>0.95</v>
      </c>
      <c r="CP550" s="213" t="str">
        <f t="shared" si="475"/>
        <v>Đạt</v>
      </c>
      <c r="CQ550" s="213" t="str">
        <f t="shared" si="476"/>
        <v>Đạt</v>
      </c>
      <c r="CR550" s="213"/>
      <c r="CS550" s="213"/>
      <c r="CT550" s="231"/>
      <c r="CU550" s="163"/>
      <c r="CW550" s="195"/>
      <c r="CX550" s="196"/>
      <c r="CY550" s="196"/>
      <c r="CZ550" s="197"/>
      <c r="DA550" s="196"/>
      <c r="DB550" s="196"/>
      <c r="DC550" s="196"/>
      <c r="DE550" s="199"/>
      <c r="DF550" s="200"/>
      <c r="DG550" s="181"/>
    </row>
    <row r="551" spans="1:111" s="324" customFormat="1" outlineLevel="1" x14ac:dyDescent="0.25">
      <c r="A551" s="305" t="s">
        <v>34</v>
      </c>
      <c r="B551" s="306" t="s">
        <v>376</v>
      </c>
      <c r="C551" s="306"/>
      <c r="D551" s="307">
        <f>E551+F551</f>
        <v>3000</v>
      </c>
      <c r="E551" s="307"/>
      <c r="F551" s="307">
        <f>G551+H551+K551+M551</f>
        <v>3000</v>
      </c>
      <c r="G551" s="303">
        <v>3000</v>
      </c>
      <c r="H551" s="303"/>
      <c r="I551" s="235"/>
      <c r="J551" s="235"/>
      <c r="K551" s="303"/>
      <c r="L551" s="235"/>
      <c r="M551" s="223"/>
      <c r="N551" s="223"/>
      <c r="O551" s="303">
        <f>G551+I551+L551+N551</f>
        <v>3000</v>
      </c>
      <c r="P551" s="303">
        <v>0</v>
      </c>
      <c r="Q551" s="308">
        <f t="shared" si="474"/>
        <v>0</v>
      </c>
      <c r="R551" s="303"/>
      <c r="S551" s="309">
        <v>0</v>
      </c>
      <c r="T551" s="309">
        <v>0</v>
      </c>
      <c r="U551" s="303"/>
      <c r="V551" s="309">
        <v>0</v>
      </c>
      <c r="W551" s="309">
        <v>0</v>
      </c>
      <c r="X551" s="303"/>
      <c r="Y551" s="309">
        <v>0</v>
      </c>
      <c r="Z551" s="309">
        <v>0</v>
      </c>
      <c r="AA551" s="303"/>
      <c r="AB551" s="309">
        <v>0</v>
      </c>
      <c r="AC551" s="309">
        <v>0</v>
      </c>
      <c r="AD551" s="303"/>
      <c r="AE551" s="309">
        <v>0</v>
      </c>
      <c r="AF551" s="309">
        <v>0</v>
      </c>
      <c r="AG551" s="303"/>
      <c r="AH551" s="309">
        <v>0</v>
      </c>
      <c r="AI551" s="309">
        <v>0</v>
      </c>
      <c r="AJ551" s="188"/>
      <c r="AK551" s="309">
        <v>0</v>
      </c>
      <c r="AL551" s="309">
        <v>0</v>
      </c>
      <c r="AM551" s="303"/>
      <c r="AN551" s="309">
        <v>0</v>
      </c>
      <c r="AO551" s="309">
        <v>0</v>
      </c>
      <c r="AP551" s="309"/>
      <c r="AQ551" s="303">
        <v>281.41300000000001</v>
      </c>
      <c r="AR551" s="309">
        <v>9.3804333333333337E-2</v>
      </c>
      <c r="AS551" s="309">
        <v>9.8741403508771933E-2</v>
      </c>
      <c r="AT551" s="303">
        <v>281.41300000000001</v>
      </c>
      <c r="AU551" s="309">
        <v>9.3804333333333337E-2</v>
      </c>
      <c r="AV551" s="309">
        <v>9.8741403508771933E-2</v>
      </c>
      <c r="AW551" s="309"/>
      <c r="AX551" s="309"/>
      <c r="AY551" s="309"/>
      <c r="AZ551" s="309"/>
      <c r="BA551" s="309"/>
      <c r="BB551" s="309"/>
      <c r="BC551" s="303">
        <v>281.41300000000001</v>
      </c>
      <c r="BD551" s="309">
        <v>9.3804333333333337E-2</v>
      </c>
      <c r="BE551" s="309">
        <v>9.8741403508771933E-2</v>
      </c>
      <c r="BF551" s="351"/>
      <c r="BG551" s="351">
        <v>1369</v>
      </c>
      <c r="BH551" s="309">
        <v>0.45633333333333331</v>
      </c>
      <c r="BI551" s="309">
        <v>0.48035087719298247</v>
      </c>
      <c r="BJ551" s="349">
        <f t="shared" si="467"/>
        <v>2850</v>
      </c>
      <c r="BK551" s="349">
        <v>1369</v>
      </c>
      <c r="BL551" s="309">
        <f t="shared" si="469"/>
        <v>0.45633333333333331</v>
      </c>
      <c r="BM551" s="309">
        <f t="shared" si="477"/>
        <v>0.48035087719298247</v>
      </c>
      <c r="BN551" s="205">
        <f t="shared" si="465"/>
        <v>1369</v>
      </c>
      <c r="BO551" s="205"/>
      <c r="BP551" s="310"/>
      <c r="BQ551" s="308">
        <f t="shared" si="470"/>
        <v>0</v>
      </c>
      <c r="BR551" s="310"/>
      <c r="BS551" s="308">
        <f t="shared" si="471"/>
        <v>0</v>
      </c>
      <c r="BT551" s="310">
        <f>$F551*0.1</f>
        <v>300</v>
      </c>
      <c r="BU551" s="308">
        <f t="shared" si="472"/>
        <v>0.1</v>
      </c>
      <c r="BV551" s="310">
        <f>$F551*0.2</f>
        <v>600</v>
      </c>
      <c r="BW551" s="308">
        <f t="shared" si="454"/>
        <v>0.2</v>
      </c>
      <c r="BX551" s="310">
        <f>$F551*0.3</f>
        <v>900</v>
      </c>
      <c r="BY551" s="308">
        <f t="shared" si="455"/>
        <v>0.3</v>
      </c>
      <c r="BZ551" s="310">
        <f>$F551*0.4</f>
        <v>1200</v>
      </c>
      <c r="CA551" s="308">
        <f t="shared" si="456"/>
        <v>0.4</v>
      </c>
      <c r="CB551" s="310">
        <f>$F551*0.5</f>
        <v>1500</v>
      </c>
      <c r="CC551" s="308">
        <f t="shared" si="483"/>
        <v>0.5</v>
      </c>
      <c r="CD551" s="310">
        <f>$F551*0.55</f>
        <v>1650.0000000000002</v>
      </c>
      <c r="CE551" s="308">
        <f t="shared" si="457"/>
        <v>0.55000000000000004</v>
      </c>
      <c r="CF551" s="310">
        <v>2100</v>
      </c>
      <c r="CG551" s="308">
        <f t="shared" si="458"/>
        <v>0.7</v>
      </c>
      <c r="CH551" s="310">
        <f>$F551*0.7</f>
        <v>2100</v>
      </c>
      <c r="CI551" s="308">
        <f t="shared" si="459"/>
        <v>0.7</v>
      </c>
      <c r="CJ551" s="310">
        <f>$F551*0.75</f>
        <v>2250</v>
      </c>
      <c r="CK551" s="308">
        <f t="shared" si="460"/>
        <v>0.75</v>
      </c>
      <c r="CL551" s="310">
        <f>$F551*0.8</f>
        <v>2400</v>
      </c>
      <c r="CM551" s="308">
        <f t="shared" si="461"/>
        <v>0.8</v>
      </c>
      <c r="CN551" s="310">
        <f>$F551*0.95</f>
        <v>2850</v>
      </c>
      <c r="CO551" s="308">
        <f t="shared" si="462"/>
        <v>0.95</v>
      </c>
      <c r="CP551" s="213" t="str">
        <f t="shared" si="475"/>
        <v>Đạt</v>
      </c>
      <c r="CQ551" s="213" t="str">
        <f t="shared" si="476"/>
        <v>Đạt</v>
      </c>
      <c r="CR551" s="312"/>
      <c r="CS551" s="312"/>
      <c r="CT551" s="235"/>
      <c r="CU551" s="163"/>
      <c r="CV551" s="323"/>
      <c r="CW551" s="195"/>
      <c r="CX551" s="196"/>
      <c r="CY551" s="196"/>
      <c r="CZ551" s="197"/>
      <c r="DA551" s="196"/>
      <c r="DB551" s="196"/>
      <c r="DC551" s="196"/>
      <c r="DE551" s="199"/>
      <c r="DF551" s="200"/>
      <c r="DG551" s="181"/>
    </row>
    <row r="552" spans="1:111" ht="18" customHeight="1" x14ac:dyDescent="0.25">
      <c r="A552" s="213">
        <f>MAX(A$243:A550)+1</f>
        <v>85</v>
      </c>
      <c r="B552" s="240" t="s">
        <v>501</v>
      </c>
      <c r="C552" s="240"/>
      <c r="D552" s="188">
        <f t="shared" ref="D552:I552" si="487">D553</f>
        <v>3000</v>
      </c>
      <c r="E552" s="188">
        <f t="shared" si="487"/>
        <v>0</v>
      </c>
      <c r="F552" s="188">
        <f t="shared" si="487"/>
        <v>3000</v>
      </c>
      <c r="G552" s="188">
        <f t="shared" si="487"/>
        <v>3000</v>
      </c>
      <c r="H552" s="188">
        <f t="shared" si="487"/>
        <v>0</v>
      </c>
      <c r="I552" s="188">
        <f t="shared" si="487"/>
        <v>0</v>
      </c>
      <c r="J552" s="188"/>
      <c r="K552" s="188">
        <f>K553</f>
        <v>0</v>
      </c>
      <c r="L552" s="188">
        <f>L553</f>
        <v>0</v>
      </c>
      <c r="M552" s="231"/>
      <c r="N552" s="231"/>
      <c r="O552" s="188">
        <f>G552+I552+L552+N552</f>
        <v>3000</v>
      </c>
      <c r="P552" s="188">
        <v>0</v>
      </c>
      <c r="Q552" s="186">
        <f t="shared" si="474"/>
        <v>0</v>
      </c>
      <c r="R552" s="188">
        <v>0</v>
      </c>
      <c r="S552" s="185">
        <v>0</v>
      </c>
      <c r="T552" s="185">
        <v>0</v>
      </c>
      <c r="U552" s="188">
        <v>0</v>
      </c>
      <c r="V552" s="185">
        <v>0</v>
      </c>
      <c r="W552" s="185">
        <v>0</v>
      </c>
      <c r="X552" s="188">
        <v>0</v>
      </c>
      <c r="Y552" s="185">
        <v>0</v>
      </c>
      <c r="Z552" s="185">
        <v>0</v>
      </c>
      <c r="AA552" s="188">
        <v>0</v>
      </c>
      <c r="AB552" s="185">
        <v>0</v>
      </c>
      <c r="AC552" s="185">
        <v>0</v>
      </c>
      <c r="AD552" s="188">
        <v>0</v>
      </c>
      <c r="AE552" s="185">
        <v>0</v>
      </c>
      <c r="AF552" s="185">
        <v>0</v>
      </c>
      <c r="AG552" s="188">
        <v>0</v>
      </c>
      <c r="AH552" s="185">
        <v>0</v>
      </c>
      <c r="AI552" s="185">
        <v>0</v>
      </c>
      <c r="AJ552" s="303">
        <v>0</v>
      </c>
      <c r="AK552" s="185">
        <v>0</v>
      </c>
      <c r="AL552" s="185">
        <v>0</v>
      </c>
      <c r="AM552" s="188">
        <v>0</v>
      </c>
      <c r="AN552" s="185">
        <v>0</v>
      </c>
      <c r="AO552" s="185">
        <v>0</v>
      </c>
      <c r="AP552" s="185"/>
      <c r="AQ552" s="188">
        <v>0</v>
      </c>
      <c r="AR552" s="185">
        <v>0</v>
      </c>
      <c r="AS552" s="185">
        <v>0</v>
      </c>
      <c r="AT552" s="188">
        <v>0</v>
      </c>
      <c r="AU552" s="185">
        <v>0</v>
      </c>
      <c r="AV552" s="185">
        <v>0</v>
      </c>
      <c r="AW552" s="185"/>
      <c r="AX552" s="185"/>
      <c r="AY552" s="185"/>
      <c r="AZ552" s="185"/>
      <c r="BA552" s="185"/>
      <c r="BB552" s="185"/>
      <c r="BC552" s="188">
        <v>0</v>
      </c>
      <c r="BD552" s="185">
        <v>0</v>
      </c>
      <c r="BE552" s="185">
        <v>0</v>
      </c>
      <c r="BF552" s="352"/>
      <c r="BG552" s="352">
        <v>908.36689999999999</v>
      </c>
      <c r="BH552" s="185">
        <v>0.30278896666666666</v>
      </c>
      <c r="BI552" s="185">
        <v>0.31872522807017545</v>
      </c>
      <c r="BJ552" s="374">
        <f t="shared" si="467"/>
        <v>2850</v>
      </c>
      <c r="BK552" s="374">
        <v>1325.541817</v>
      </c>
      <c r="BL552" s="185">
        <f t="shared" si="469"/>
        <v>0.44184727233333332</v>
      </c>
      <c r="BM552" s="185">
        <f t="shared" si="477"/>
        <v>0.46510239192982455</v>
      </c>
      <c r="BN552" s="205">
        <f t="shared" si="465"/>
        <v>1325.541817</v>
      </c>
      <c r="BO552" s="205"/>
      <c r="BP552" s="189">
        <f>BP553</f>
        <v>0</v>
      </c>
      <c r="BQ552" s="186">
        <f t="shared" si="470"/>
        <v>0</v>
      </c>
      <c r="BR552" s="189">
        <f>BR553</f>
        <v>0</v>
      </c>
      <c r="BS552" s="186">
        <f t="shared" si="471"/>
        <v>0</v>
      </c>
      <c r="BT552" s="189">
        <f>BT553</f>
        <v>300</v>
      </c>
      <c r="BU552" s="186">
        <f t="shared" si="472"/>
        <v>0.1</v>
      </c>
      <c r="BV552" s="189">
        <f>BV553</f>
        <v>600</v>
      </c>
      <c r="BW552" s="186">
        <f t="shared" si="454"/>
        <v>0.2</v>
      </c>
      <c r="BX552" s="189">
        <f>BX553</f>
        <v>900</v>
      </c>
      <c r="BY552" s="186">
        <f t="shared" si="455"/>
        <v>0.3</v>
      </c>
      <c r="BZ552" s="189">
        <f>BZ553</f>
        <v>1200</v>
      </c>
      <c r="CA552" s="186">
        <f t="shared" si="456"/>
        <v>0.4</v>
      </c>
      <c r="CB552" s="189">
        <f>CB553</f>
        <v>1500</v>
      </c>
      <c r="CC552" s="186">
        <f t="shared" si="483"/>
        <v>0.5</v>
      </c>
      <c r="CD552" s="189">
        <f>CD553</f>
        <v>1650.0000000000002</v>
      </c>
      <c r="CE552" s="186">
        <f t="shared" si="457"/>
        <v>0.55000000000000004</v>
      </c>
      <c r="CF552" s="189">
        <f>CF553</f>
        <v>2100</v>
      </c>
      <c r="CG552" s="186">
        <f t="shared" si="458"/>
        <v>0.7</v>
      </c>
      <c r="CH552" s="189">
        <f>CH553</f>
        <v>2100</v>
      </c>
      <c r="CI552" s="186">
        <f t="shared" si="459"/>
        <v>0.7</v>
      </c>
      <c r="CJ552" s="189">
        <f>CJ553</f>
        <v>2250</v>
      </c>
      <c r="CK552" s="186">
        <f t="shared" si="460"/>
        <v>0.75</v>
      </c>
      <c r="CL552" s="189">
        <f>CL553</f>
        <v>2400</v>
      </c>
      <c r="CM552" s="186">
        <f t="shared" si="461"/>
        <v>0.8</v>
      </c>
      <c r="CN552" s="189">
        <f>CN553</f>
        <v>2850</v>
      </c>
      <c r="CO552" s="186">
        <f t="shared" si="462"/>
        <v>0.95</v>
      </c>
      <c r="CP552" s="213" t="str">
        <f t="shared" si="475"/>
        <v>Đạt</v>
      </c>
      <c r="CQ552" s="213" t="str">
        <f t="shared" si="476"/>
        <v>Đạt</v>
      </c>
      <c r="CR552" s="213"/>
      <c r="CS552" s="213"/>
      <c r="CT552" s="231"/>
      <c r="CU552" s="163"/>
      <c r="CW552" s="195"/>
      <c r="CX552" s="196"/>
      <c r="CY552" s="196"/>
      <c r="CZ552" s="197"/>
      <c r="DA552" s="196"/>
      <c r="DB552" s="196"/>
      <c r="DC552" s="196"/>
      <c r="DE552" s="199"/>
      <c r="DF552" s="200"/>
      <c r="DG552" s="181"/>
    </row>
    <row r="553" spans="1:111" s="324" customFormat="1" outlineLevel="1" x14ac:dyDescent="0.25">
      <c r="A553" s="305" t="s">
        <v>34</v>
      </c>
      <c r="B553" s="306" t="s">
        <v>376</v>
      </c>
      <c r="C553" s="306"/>
      <c r="D553" s="307">
        <f>E553+F553</f>
        <v>3000</v>
      </c>
      <c r="E553" s="307"/>
      <c r="F553" s="307">
        <f>G553+H553+K553+M553</f>
        <v>3000</v>
      </c>
      <c r="G553" s="303">
        <v>3000</v>
      </c>
      <c r="H553" s="303"/>
      <c r="I553" s="235"/>
      <c r="J553" s="235"/>
      <c r="K553" s="303"/>
      <c r="L553" s="235"/>
      <c r="M553" s="223"/>
      <c r="N553" s="223"/>
      <c r="O553" s="303">
        <f>G553+I553+L553+N553</f>
        <v>3000</v>
      </c>
      <c r="P553" s="303">
        <v>0</v>
      </c>
      <c r="Q553" s="308">
        <f t="shared" si="474"/>
        <v>0</v>
      </c>
      <c r="R553" s="303"/>
      <c r="S553" s="309">
        <v>0</v>
      </c>
      <c r="T553" s="309">
        <v>0</v>
      </c>
      <c r="U553" s="303"/>
      <c r="V553" s="309">
        <v>0</v>
      </c>
      <c r="W553" s="309">
        <v>0</v>
      </c>
      <c r="X553" s="303"/>
      <c r="Y553" s="309">
        <v>0</v>
      </c>
      <c r="Z553" s="309">
        <v>0</v>
      </c>
      <c r="AA553" s="303"/>
      <c r="AB553" s="309">
        <v>0</v>
      </c>
      <c r="AC553" s="309">
        <v>0</v>
      </c>
      <c r="AD553" s="303"/>
      <c r="AE553" s="309">
        <v>0</v>
      </c>
      <c r="AF553" s="309">
        <v>0</v>
      </c>
      <c r="AG553" s="303"/>
      <c r="AH553" s="309">
        <v>0</v>
      </c>
      <c r="AI553" s="309">
        <v>0</v>
      </c>
      <c r="AJ553" s="189"/>
      <c r="AK553" s="309">
        <v>0</v>
      </c>
      <c r="AL553" s="309">
        <v>0</v>
      </c>
      <c r="AM553" s="303"/>
      <c r="AN553" s="309">
        <v>0</v>
      </c>
      <c r="AO553" s="309">
        <v>0</v>
      </c>
      <c r="AP553" s="309"/>
      <c r="AQ553" s="303"/>
      <c r="AR553" s="309">
        <v>0</v>
      </c>
      <c r="AS553" s="309">
        <v>0</v>
      </c>
      <c r="AT553" s="303"/>
      <c r="AU553" s="309">
        <v>0</v>
      </c>
      <c r="AV553" s="309">
        <v>0</v>
      </c>
      <c r="AW553" s="309"/>
      <c r="AX553" s="309"/>
      <c r="AY553" s="309"/>
      <c r="AZ553" s="309"/>
      <c r="BA553" s="309"/>
      <c r="BB553" s="309"/>
      <c r="BC553" s="303"/>
      <c r="BD553" s="309">
        <v>0</v>
      </c>
      <c r="BE553" s="309">
        <v>0</v>
      </c>
      <c r="BF553" s="351"/>
      <c r="BG553" s="351">
        <v>908.36689999999999</v>
      </c>
      <c r="BH553" s="309">
        <v>0.30278896666666666</v>
      </c>
      <c r="BI553" s="309">
        <v>0.31872522807017545</v>
      </c>
      <c r="BJ553" s="349">
        <f t="shared" si="467"/>
        <v>2850</v>
      </c>
      <c r="BK553" s="349">
        <v>1325.541817</v>
      </c>
      <c r="BL553" s="309">
        <f t="shared" si="469"/>
        <v>0.44184727233333332</v>
      </c>
      <c r="BM553" s="309">
        <f t="shared" si="477"/>
        <v>0.46510239192982455</v>
      </c>
      <c r="BN553" s="205">
        <f t="shared" si="465"/>
        <v>1325.541817</v>
      </c>
      <c r="BO553" s="205"/>
      <c r="BP553" s="310"/>
      <c r="BQ553" s="308">
        <f t="shared" si="470"/>
        <v>0</v>
      </c>
      <c r="BR553" s="310"/>
      <c r="BS553" s="308">
        <f t="shared" si="471"/>
        <v>0</v>
      </c>
      <c r="BT553" s="310">
        <f>$F553*0.1</f>
        <v>300</v>
      </c>
      <c r="BU553" s="308">
        <f t="shared" si="472"/>
        <v>0.1</v>
      </c>
      <c r="BV553" s="310">
        <f>$F553*0.2</f>
        <v>600</v>
      </c>
      <c r="BW553" s="308">
        <f t="shared" si="454"/>
        <v>0.2</v>
      </c>
      <c r="BX553" s="310">
        <f>$F553*0.3</f>
        <v>900</v>
      </c>
      <c r="BY553" s="308">
        <f t="shared" si="455"/>
        <v>0.3</v>
      </c>
      <c r="BZ553" s="310">
        <f>$F553*0.4</f>
        <v>1200</v>
      </c>
      <c r="CA553" s="308">
        <f t="shared" si="456"/>
        <v>0.4</v>
      </c>
      <c r="CB553" s="310">
        <f>$F553*0.5</f>
        <v>1500</v>
      </c>
      <c r="CC553" s="308">
        <f t="shared" si="483"/>
        <v>0.5</v>
      </c>
      <c r="CD553" s="310">
        <f>$F553*0.55</f>
        <v>1650.0000000000002</v>
      </c>
      <c r="CE553" s="308">
        <f t="shared" si="457"/>
        <v>0.55000000000000004</v>
      </c>
      <c r="CF553" s="310">
        <v>2100</v>
      </c>
      <c r="CG553" s="308">
        <f t="shared" si="458"/>
        <v>0.7</v>
      </c>
      <c r="CH553" s="310">
        <f>$F553*0.7</f>
        <v>2100</v>
      </c>
      <c r="CI553" s="308">
        <f t="shared" si="459"/>
        <v>0.7</v>
      </c>
      <c r="CJ553" s="310">
        <f>$F553*0.75</f>
        <v>2250</v>
      </c>
      <c r="CK553" s="308">
        <f t="shared" si="460"/>
        <v>0.75</v>
      </c>
      <c r="CL553" s="310">
        <f>$F553*0.8</f>
        <v>2400</v>
      </c>
      <c r="CM553" s="308">
        <f t="shared" si="461"/>
        <v>0.8</v>
      </c>
      <c r="CN553" s="310">
        <f>$F553*0.95</f>
        <v>2850</v>
      </c>
      <c r="CO553" s="308">
        <f t="shared" si="462"/>
        <v>0.95</v>
      </c>
      <c r="CP553" s="213" t="str">
        <f t="shared" si="475"/>
        <v>Đạt</v>
      </c>
      <c r="CQ553" s="213" t="str">
        <f t="shared" si="476"/>
        <v>Đạt</v>
      </c>
      <c r="CR553" s="312"/>
      <c r="CS553" s="312"/>
      <c r="CT553" s="235"/>
      <c r="CU553" s="163"/>
      <c r="CV553" s="323"/>
      <c r="CW553" s="195"/>
      <c r="CX553" s="196"/>
      <c r="CY553" s="196"/>
      <c r="CZ553" s="197"/>
      <c r="DA553" s="196"/>
      <c r="DB553" s="196"/>
      <c r="DC553" s="196"/>
      <c r="DE553" s="199"/>
      <c r="DF553" s="200"/>
      <c r="DG553" s="181"/>
    </row>
    <row r="554" spans="1:111" ht="18" customHeight="1" x14ac:dyDescent="0.25">
      <c r="A554" s="213">
        <f>MAX(A$243:A552)+1</f>
        <v>86</v>
      </c>
      <c r="B554" s="240" t="s">
        <v>502</v>
      </c>
      <c r="C554" s="240"/>
      <c r="D554" s="188">
        <f t="shared" ref="D554:I554" si="488">D555+D557</f>
        <v>120870</v>
      </c>
      <c r="E554" s="188">
        <f t="shared" si="488"/>
        <v>117700</v>
      </c>
      <c r="F554" s="188">
        <f t="shared" si="488"/>
        <v>3170</v>
      </c>
      <c r="G554" s="188">
        <f t="shared" si="488"/>
        <v>3000</v>
      </c>
      <c r="H554" s="188">
        <f t="shared" si="488"/>
        <v>170</v>
      </c>
      <c r="I554" s="188">
        <f t="shared" si="488"/>
        <v>0</v>
      </c>
      <c r="J554" s="188"/>
      <c r="K554" s="188">
        <f>K555+K557</f>
        <v>0</v>
      </c>
      <c r="L554" s="188">
        <f>L555+L557</f>
        <v>0</v>
      </c>
      <c r="M554" s="188">
        <f>M555+M557</f>
        <v>0</v>
      </c>
      <c r="N554" s="188">
        <f>N555+N557</f>
        <v>0</v>
      </c>
      <c r="O554" s="188">
        <f>O555+O557</f>
        <v>3000</v>
      </c>
      <c r="P554" s="188">
        <v>14122</v>
      </c>
      <c r="Q554" s="186">
        <f t="shared" si="474"/>
        <v>0.11683627037312816</v>
      </c>
      <c r="R554" s="189">
        <v>15608.609871999999</v>
      </c>
      <c r="S554" s="185">
        <v>0.1291355164391495</v>
      </c>
      <c r="T554" s="185">
        <v>0.12930507757752988</v>
      </c>
      <c r="U554" s="189">
        <v>15608.609871999999</v>
      </c>
      <c r="V554" s="185">
        <v>0.1291355164391495</v>
      </c>
      <c r="W554" s="185">
        <v>0.12930507757752988</v>
      </c>
      <c r="X554" s="189">
        <v>15718.071671999998</v>
      </c>
      <c r="Y554" s="185">
        <v>0.13004113239017123</v>
      </c>
      <c r="Z554" s="185">
        <v>0.13021188264581252</v>
      </c>
      <c r="AA554" s="189">
        <v>15718.071671999998</v>
      </c>
      <c r="AB554" s="185">
        <v>0.13004113239017123</v>
      </c>
      <c r="AC554" s="185">
        <v>0.13021188264581252</v>
      </c>
      <c r="AD554" s="189">
        <v>15718.071671999998</v>
      </c>
      <c r="AE554" s="185">
        <v>0.13004113239017123</v>
      </c>
      <c r="AF554" s="185">
        <v>0.13021188264581252</v>
      </c>
      <c r="AG554" s="189">
        <v>15718.071671999998</v>
      </c>
      <c r="AH554" s="185">
        <v>0.13004113239017123</v>
      </c>
      <c r="AI554" s="185">
        <v>0.13021188264581252</v>
      </c>
      <c r="AJ554" s="189">
        <v>15718.071671999998</v>
      </c>
      <c r="AK554" s="185">
        <v>0.13004113239017123</v>
      </c>
      <c r="AL554" s="185">
        <v>0.13021188264581252</v>
      </c>
      <c r="AM554" s="189">
        <v>15718.071671999998</v>
      </c>
      <c r="AN554" s="185">
        <v>0.13004113239017123</v>
      </c>
      <c r="AO554" s="185">
        <v>0.13021188264581252</v>
      </c>
      <c r="AP554" s="185"/>
      <c r="AQ554" s="189">
        <v>16888.754000000001</v>
      </c>
      <c r="AR554" s="185">
        <v>0.1397265988251841</v>
      </c>
      <c r="AS554" s="185">
        <v>0.13991006656366628</v>
      </c>
      <c r="AT554" s="189">
        <v>16888.754000000001</v>
      </c>
      <c r="AU554" s="185">
        <v>0.1397265988251841</v>
      </c>
      <c r="AV554" s="185">
        <v>0.13991006656366628</v>
      </c>
      <c r="AW554" s="185"/>
      <c r="AX554" s="185"/>
      <c r="AY554" s="185"/>
      <c r="AZ554" s="185"/>
      <c r="BA554" s="185"/>
      <c r="BB554" s="185"/>
      <c r="BC554" s="189">
        <v>16888.754000000001</v>
      </c>
      <c r="BD554" s="185">
        <v>0.1397265988251841</v>
      </c>
      <c r="BE554" s="185">
        <v>0.13991006656366628</v>
      </c>
      <c r="BF554" s="352"/>
      <c r="BG554" s="352">
        <v>28644.607699</v>
      </c>
      <c r="BH554" s="185">
        <v>0.23698690906759329</v>
      </c>
      <c r="BI554" s="185">
        <v>0.23729808426703339</v>
      </c>
      <c r="BJ554" s="374">
        <f t="shared" si="467"/>
        <v>120711.5</v>
      </c>
      <c r="BK554" s="374">
        <v>29120.607699</v>
      </c>
      <c r="BL554" s="185">
        <f t="shared" si="469"/>
        <v>0.24092502439811367</v>
      </c>
      <c r="BM554" s="185">
        <f t="shared" si="477"/>
        <v>0.24124137053221939</v>
      </c>
      <c r="BN554" s="205">
        <f t="shared" si="465"/>
        <v>13402.536027000002</v>
      </c>
      <c r="BO554" s="205"/>
      <c r="BP554" s="189">
        <f>BP555+BP557</f>
        <v>3500</v>
      </c>
      <c r="BQ554" s="186">
        <f t="shared" si="470"/>
        <v>2.8956730371473484E-2</v>
      </c>
      <c r="BR554" s="189">
        <f>BR555+BR557</f>
        <v>5500</v>
      </c>
      <c r="BS554" s="186">
        <f t="shared" si="471"/>
        <v>4.5503433440886906E-2</v>
      </c>
      <c r="BT554" s="189">
        <f>BT555+BT557</f>
        <v>6500</v>
      </c>
      <c r="BU554" s="186">
        <f t="shared" si="472"/>
        <v>5.3776784975593614E-2</v>
      </c>
      <c r="BV554" s="189">
        <f>BV555+BV557</f>
        <v>11534</v>
      </c>
      <c r="BW554" s="186">
        <f t="shared" si="454"/>
        <v>9.5424836601307184E-2</v>
      </c>
      <c r="BX554" s="189">
        <f>BX555+BX557</f>
        <v>13534</v>
      </c>
      <c r="BY554" s="186">
        <f t="shared" si="455"/>
        <v>0.11197153967072061</v>
      </c>
      <c r="BZ554" s="189">
        <f>BZ555+BZ557</f>
        <v>19918</v>
      </c>
      <c r="CA554" s="186">
        <f t="shared" si="456"/>
        <v>0.16478861586828825</v>
      </c>
      <c r="CB554" s="189">
        <f>CB555+CB557</f>
        <v>22935</v>
      </c>
      <c r="CC554" s="186">
        <f t="shared" si="483"/>
        <v>0.18974931744849838</v>
      </c>
      <c r="CD554" s="189">
        <f>CD555+CD557</f>
        <v>27943.5</v>
      </c>
      <c r="CE554" s="186">
        <f t="shared" si="457"/>
        <v>0.23118639861007695</v>
      </c>
      <c r="CF554" s="189">
        <f>CF555+CF557</f>
        <v>32969</v>
      </c>
      <c r="CG554" s="186">
        <f t="shared" si="458"/>
        <v>0.27276412674774553</v>
      </c>
      <c r="CH554" s="189">
        <f>CH555+CH557</f>
        <v>37969</v>
      </c>
      <c r="CI554" s="186">
        <f t="shared" si="459"/>
        <v>0.31413088442127907</v>
      </c>
      <c r="CJ554" s="189">
        <f>CJ555+CJ557</f>
        <v>72977.5</v>
      </c>
      <c r="CK554" s="186">
        <f t="shared" si="460"/>
        <v>0.60376851162405887</v>
      </c>
      <c r="CL554" s="189">
        <f>CL555+CL557</f>
        <v>88986</v>
      </c>
      <c r="CM554" s="186">
        <f t="shared" si="461"/>
        <v>0.73621245966741122</v>
      </c>
      <c r="CN554" s="189">
        <f>CN555+CN557</f>
        <v>120711.5</v>
      </c>
      <c r="CO554" s="186">
        <f t="shared" si="462"/>
        <v>0.99868867378174897</v>
      </c>
      <c r="CP554" s="213" t="str">
        <f t="shared" si="475"/>
        <v>Không đạt</v>
      </c>
      <c r="CQ554" s="213" t="str">
        <f t="shared" si="476"/>
        <v>Không đạt</v>
      </c>
      <c r="CR554" s="213"/>
      <c r="CS554" s="213"/>
      <c r="CT554" s="231"/>
      <c r="CU554" s="163"/>
      <c r="CW554" s="195"/>
      <c r="CX554" s="196"/>
      <c r="CY554" s="196"/>
      <c r="CZ554" s="197"/>
      <c r="DA554" s="196"/>
      <c r="DB554" s="196"/>
      <c r="DC554" s="196"/>
      <c r="DE554" s="199"/>
      <c r="DF554" s="200"/>
      <c r="DG554" s="181"/>
    </row>
    <row r="555" spans="1:111" s="160" customFormat="1" ht="12.75" outlineLevel="1" x14ac:dyDescent="0.25">
      <c r="A555" s="191" t="s">
        <v>29</v>
      </c>
      <c r="B555" s="210" t="s">
        <v>155</v>
      </c>
      <c r="C555" s="210"/>
      <c r="D555" s="188">
        <f t="shared" ref="D555:I555" si="489">D556</f>
        <v>117700</v>
      </c>
      <c r="E555" s="188">
        <f t="shared" si="489"/>
        <v>117700</v>
      </c>
      <c r="F555" s="188">
        <f t="shared" si="489"/>
        <v>0</v>
      </c>
      <c r="G555" s="188">
        <f t="shared" si="489"/>
        <v>0</v>
      </c>
      <c r="H555" s="188">
        <f t="shared" si="489"/>
        <v>0</v>
      </c>
      <c r="I555" s="188">
        <f t="shared" si="489"/>
        <v>0</v>
      </c>
      <c r="J555" s="188"/>
      <c r="K555" s="188">
        <f>K556</f>
        <v>0</v>
      </c>
      <c r="L555" s="188">
        <f>L556</f>
        <v>0</v>
      </c>
      <c r="M555" s="188">
        <f>M556</f>
        <v>0</v>
      </c>
      <c r="N555" s="188">
        <f>N556</f>
        <v>0</v>
      </c>
      <c r="O555" s="188">
        <f>O556</f>
        <v>0</v>
      </c>
      <c r="P555" s="188">
        <v>638.42499999999995</v>
      </c>
      <c r="Q555" s="186">
        <f t="shared" si="474"/>
        <v>5.4241716227697535E-3</v>
      </c>
      <c r="R555" s="189">
        <v>14526.379872</v>
      </c>
      <c r="S555" s="328">
        <v>0.12341869050127442</v>
      </c>
      <c r="T555" s="328">
        <v>0.12341869050127442</v>
      </c>
      <c r="U555" s="189">
        <v>14526.379872</v>
      </c>
      <c r="V555" s="328">
        <v>0.12341869050127442</v>
      </c>
      <c r="W555" s="328">
        <v>0.12341869050127442</v>
      </c>
      <c r="X555" s="189">
        <v>14635.841671999999</v>
      </c>
      <c r="Y555" s="328">
        <v>0.12434869729821579</v>
      </c>
      <c r="Z555" s="328">
        <v>0.12434869729821579</v>
      </c>
      <c r="AA555" s="189">
        <v>14635.841671999999</v>
      </c>
      <c r="AB555" s="328">
        <v>0.12434869729821579</v>
      </c>
      <c r="AC555" s="328">
        <v>0.12434869729821579</v>
      </c>
      <c r="AD555" s="189">
        <v>14635.841671999999</v>
      </c>
      <c r="AE555" s="328">
        <v>0.12434869729821579</v>
      </c>
      <c r="AF555" s="328">
        <v>0.12434869729821579</v>
      </c>
      <c r="AG555" s="189">
        <v>14635.841671999999</v>
      </c>
      <c r="AH555" s="328">
        <v>0.12434869729821579</v>
      </c>
      <c r="AI555" s="328">
        <v>0.12434869729821579</v>
      </c>
      <c r="AJ555" s="214">
        <v>14635.841671999999</v>
      </c>
      <c r="AK555" s="328">
        <v>0.12434869729821579</v>
      </c>
      <c r="AL555" s="328">
        <v>0.12434869729821579</v>
      </c>
      <c r="AM555" s="189">
        <v>14635.841671999999</v>
      </c>
      <c r="AN555" s="328">
        <v>0.12434869729821579</v>
      </c>
      <c r="AO555" s="328">
        <v>0.12434869729821579</v>
      </c>
      <c r="AP555" s="328"/>
      <c r="AQ555" s="189">
        <v>15790</v>
      </c>
      <c r="AR555" s="328">
        <v>0.13415463041631265</v>
      </c>
      <c r="AS555" s="328">
        <v>0.13415463041631265</v>
      </c>
      <c r="AT555" s="189">
        <v>15790</v>
      </c>
      <c r="AU555" s="328">
        <v>0.13415463041631265</v>
      </c>
      <c r="AV555" s="328">
        <v>0.13415463041631265</v>
      </c>
      <c r="AW555" s="328"/>
      <c r="AX555" s="328"/>
      <c r="AY555" s="328"/>
      <c r="AZ555" s="328"/>
      <c r="BA555" s="328"/>
      <c r="BB555" s="328"/>
      <c r="BC555" s="189">
        <v>15790</v>
      </c>
      <c r="BD555" s="328">
        <v>0.13415463041631265</v>
      </c>
      <c r="BE555" s="328">
        <v>0.13415463041631265</v>
      </c>
      <c r="BF555" s="374"/>
      <c r="BG555" s="374">
        <v>27545.853698999999</v>
      </c>
      <c r="BH555" s="328">
        <v>0.2340344409430756</v>
      </c>
      <c r="BI555" s="328">
        <v>0.2340344409430756</v>
      </c>
      <c r="BJ555" s="374">
        <f t="shared" si="467"/>
        <v>117700</v>
      </c>
      <c r="BK555" s="374">
        <v>27545.853698999999</v>
      </c>
      <c r="BL555" s="328">
        <f t="shared" si="469"/>
        <v>0.2340344409430756</v>
      </c>
      <c r="BM555" s="328">
        <f t="shared" si="477"/>
        <v>0.2340344409430756</v>
      </c>
      <c r="BN555" s="205">
        <f t="shared" si="465"/>
        <v>12910.012027000001</v>
      </c>
      <c r="BO555" s="205"/>
      <c r="BP555" s="189">
        <f>BP556</f>
        <v>3000</v>
      </c>
      <c r="BQ555" s="329">
        <f t="shared" si="470"/>
        <v>2.5488530161427356E-2</v>
      </c>
      <c r="BR555" s="189">
        <f>BR556</f>
        <v>4000</v>
      </c>
      <c r="BS555" s="329">
        <f t="shared" si="471"/>
        <v>3.3984706881903144E-2</v>
      </c>
      <c r="BT555" s="189">
        <f>BT556</f>
        <v>5000</v>
      </c>
      <c r="BU555" s="186">
        <f t="shared" si="472"/>
        <v>4.2480883602378929E-2</v>
      </c>
      <c r="BV555" s="189">
        <f>BV556</f>
        <v>10000</v>
      </c>
      <c r="BW555" s="329">
        <f t="shared" si="454"/>
        <v>8.4961767204757857E-2</v>
      </c>
      <c r="BX555" s="189">
        <f>BX556</f>
        <v>12000</v>
      </c>
      <c r="BY555" s="329">
        <f t="shared" si="455"/>
        <v>0.10195412064570943</v>
      </c>
      <c r="BZ555" s="189">
        <f>BZ556</f>
        <v>17000</v>
      </c>
      <c r="CA555" s="329">
        <f t="shared" si="456"/>
        <v>0.14443500424808836</v>
      </c>
      <c r="CB555" s="189">
        <f>CB556</f>
        <v>20000</v>
      </c>
      <c r="CC555" s="329">
        <f t="shared" si="483"/>
        <v>0.16992353440951571</v>
      </c>
      <c r="CD555" s="189">
        <f>CD556</f>
        <v>25000</v>
      </c>
      <c r="CE555" s="329">
        <f t="shared" si="457"/>
        <v>0.21240441801189464</v>
      </c>
      <c r="CF555" s="189">
        <f>CF556</f>
        <v>30000</v>
      </c>
      <c r="CG555" s="329">
        <f t="shared" si="458"/>
        <v>0.25488530161427359</v>
      </c>
      <c r="CH555" s="189">
        <f>CH556</f>
        <v>35000</v>
      </c>
      <c r="CI555" s="329">
        <f t="shared" si="459"/>
        <v>0.29736618521665248</v>
      </c>
      <c r="CJ555" s="189">
        <f>CJ556</f>
        <v>70000</v>
      </c>
      <c r="CK555" s="329">
        <f t="shared" si="460"/>
        <v>0.59473237043330496</v>
      </c>
      <c r="CL555" s="189">
        <f>CL556</f>
        <v>86000</v>
      </c>
      <c r="CM555" s="329">
        <f t="shared" si="461"/>
        <v>0.73067119796091762</v>
      </c>
      <c r="CN555" s="189">
        <f>CN556</f>
        <v>117700</v>
      </c>
      <c r="CO555" s="329">
        <f t="shared" si="462"/>
        <v>1</v>
      </c>
      <c r="CP555" s="213" t="str">
        <f t="shared" si="475"/>
        <v>Không đạt</v>
      </c>
      <c r="CQ555" s="213" t="str">
        <f t="shared" si="476"/>
        <v>Không đạt</v>
      </c>
      <c r="CR555" s="213"/>
      <c r="CS555" s="213"/>
      <c r="CT555" s="231"/>
      <c r="CU555" s="163"/>
      <c r="CV555" s="291"/>
      <c r="CW555" s="218"/>
      <c r="CX555" s="196"/>
      <c r="CY555" s="196"/>
      <c r="CZ555" s="197"/>
      <c r="DA555" s="196"/>
      <c r="DB555" s="196"/>
      <c r="DC555" s="196"/>
      <c r="DE555" s="199"/>
      <c r="DF555" s="200"/>
      <c r="DG555" s="181"/>
    </row>
    <row r="556" spans="1:111" ht="38.25" outlineLevel="1" x14ac:dyDescent="0.25">
      <c r="A556" s="192"/>
      <c r="B556" s="269" t="s">
        <v>503</v>
      </c>
      <c r="C556" s="269">
        <v>7939029</v>
      </c>
      <c r="D556" s="214">
        <f>E556+F556</f>
        <v>117700</v>
      </c>
      <c r="E556" s="214">
        <v>117700</v>
      </c>
      <c r="F556" s="214"/>
      <c r="G556" s="214"/>
      <c r="H556" s="214"/>
      <c r="I556" s="214"/>
      <c r="J556" s="214"/>
      <c r="K556" s="214"/>
      <c r="L556" s="214"/>
      <c r="M556" s="223"/>
      <c r="N556" s="223"/>
      <c r="O556" s="214"/>
      <c r="P556" s="214">
        <v>13117</v>
      </c>
      <c r="Q556" s="258">
        <f t="shared" si="474"/>
        <v>0.11144435004248088</v>
      </c>
      <c r="R556" s="214">
        <v>14526.379872</v>
      </c>
      <c r="S556" s="373">
        <v>0.12341869050127442</v>
      </c>
      <c r="T556" s="373">
        <v>0.12341869050127442</v>
      </c>
      <c r="U556" s="214">
        <v>14526.379872</v>
      </c>
      <c r="V556" s="373">
        <v>0.12341869050127442</v>
      </c>
      <c r="W556" s="373">
        <v>0.12341869050127442</v>
      </c>
      <c r="X556" s="214">
        <v>14635.841671999999</v>
      </c>
      <c r="Y556" s="373">
        <v>0.12434869729821579</v>
      </c>
      <c r="Z556" s="373">
        <v>0.12434869729821579</v>
      </c>
      <c r="AA556" s="214">
        <v>14635.841671999999</v>
      </c>
      <c r="AB556" s="373">
        <v>0.12434869729821579</v>
      </c>
      <c r="AC556" s="373">
        <v>0.12434869729821579</v>
      </c>
      <c r="AD556" s="214">
        <v>14635.841671999999</v>
      </c>
      <c r="AE556" s="373">
        <v>0.12434869729821579</v>
      </c>
      <c r="AF556" s="373">
        <v>0.12434869729821579</v>
      </c>
      <c r="AG556" s="214">
        <v>14635.841671999999</v>
      </c>
      <c r="AH556" s="373">
        <v>0.12434869729821579</v>
      </c>
      <c r="AI556" s="373">
        <v>0.12434869729821579</v>
      </c>
      <c r="AJ556" s="188">
        <v>14635.841671999999</v>
      </c>
      <c r="AK556" s="373">
        <v>0.12434869729821579</v>
      </c>
      <c r="AL556" s="373">
        <v>0.12434869729821579</v>
      </c>
      <c r="AM556" s="214">
        <v>14635.841671999999</v>
      </c>
      <c r="AN556" s="373">
        <v>0.12434869729821579</v>
      </c>
      <c r="AO556" s="373">
        <v>0.12434869729821579</v>
      </c>
      <c r="AP556" s="373"/>
      <c r="AQ556" s="214">
        <v>15790</v>
      </c>
      <c r="AR556" s="373">
        <v>0.13415463041631265</v>
      </c>
      <c r="AS556" s="373">
        <v>0.13415463041631265</v>
      </c>
      <c r="AT556" s="214">
        <v>15790</v>
      </c>
      <c r="AU556" s="373">
        <v>0.13415463041631265</v>
      </c>
      <c r="AV556" s="373">
        <v>0.13415463041631265</v>
      </c>
      <c r="AW556" s="373"/>
      <c r="AX556" s="373"/>
      <c r="AY556" s="373"/>
      <c r="AZ556" s="373"/>
      <c r="BA556" s="373"/>
      <c r="BB556" s="373"/>
      <c r="BC556" s="214">
        <v>15790</v>
      </c>
      <c r="BD556" s="373">
        <v>0.13415463041631265</v>
      </c>
      <c r="BE556" s="373">
        <v>0.13415463041631265</v>
      </c>
      <c r="BF556" s="350"/>
      <c r="BG556" s="350">
        <v>27545.853698999999</v>
      </c>
      <c r="BH556" s="373">
        <v>0.2340344409430756</v>
      </c>
      <c r="BI556" s="373">
        <v>0.2340344409430756</v>
      </c>
      <c r="BJ556" s="402">
        <f t="shared" si="467"/>
        <v>117700</v>
      </c>
      <c r="BK556" s="402">
        <v>27545.853698999999</v>
      </c>
      <c r="BL556" s="373">
        <f t="shared" si="469"/>
        <v>0.2340344409430756</v>
      </c>
      <c r="BM556" s="373">
        <f t="shared" si="477"/>
        <v>0.2340344409430756</v>
      </c>
      <c r="BN556" s="205">
        <f t="shared" si="465"/>
        <v>12910.012027000001</v>
      </c>
      <c r="BO556" s="205"/>
      <c r="BP556" s="245">
        <v>3000</v>
      </c>
      <c r="BQ556" s="375">
        <f t="shared" si="470"/>
        <v>2.5488530161427356E-2</v>
      </c>
      <c r="BR556" s="245">
        <v>4000</v>
      </c>
      <c r="BS556" s="375">
        <f t="shared" si="471"/>
        <v>3.3984706881903144E-2</v>
      </c>
      <c r="BT556" s="245">
        <v>5000</v>
      </c>
      <c r="BU556" s="258">
        <f t="shared" si="472"/>
        <v>4.2480883602378929E-2</v>
      </c>
      <c r="BV556" s="245">
        <v>10000</v>
      </c>
      <c r="BW556" s="375">
        <f t="shared" si="454"/>
        <v>8.4961767204757857E-2</v>
      </c>
      <c r="BX556" s="245">
        <v>12000</v>
      </c>
      <c r="BY556" s="375">
        <f t="shared" si="455"/>
        <v>0.10195412064570943</v>
      </c>
      <c r="BZ556" s="245">
        <v>17000</v>
      </c>
      <c r="CA556" s="375">
        <f t="shared" si="456"/>
        <v>0.14443500424808836</v>
      </c>
      <c r="CB556" s="245">
        <v>20000</v>
      </c>
      <c r="CC556" s="375">
        <f t="shared" si="483"/>
        <v>0.16992353440951571</v>
      </c>
      <c r="CD556" s="245">
        <v>25000</v>
      </c>
      <c r="CE556" s="375">
        <f t="shared" si="457"/>
        <v>0.21240441801189464</v>
      </c>
      <c r="CF556" s="245">
        <v>30000</v>
      </c>
      <c r="CG556" s="375">
        <f t="shared" si="458"/>
        <v>0.25488530161427359</v>
      </c>
      <c r="CH556" s="245">
        <v>35000</v>
      </c>
      <c r="CI556" s="375">
        <f t="shared" si="459"/>
        <v>0.29736618521665248</v>
      </c>
      <c r="CJ556" s="245">
        <v>70000</v>
      </c>
      <c r="CK556" s="375">
        <f t="shared" si="460"/>
        <v>0.59473237043330496</v>
      </c>
      <c r="CL556" s="245">
        <v>86000</v>
      </c>
      <c r="CM556" s="375">
        <f t="shared" si="461"/>
        <v>0.73067119796091762</v>
      </c>
      <c r="CN556" s="245">
        <v>117700</v>
      </c>
      <c r="CO556" s="375">
        <f t="shared" si="462"/>
        <v>1</v>
      </c>
      <c r="CP556" s="213" t="str">
        <f t="shared" si="475"/>
        <v>Không đạt</v>
      </c>
      <c r="CQ556" s="213" t="str">
        <f t="shared" si="476"/>
        <v>Không đạt</v>
      </c>
      <c r="CR556" s="192"/>
      <c r="CS556" s="192"/>
      <c r="CT556" s="223"/>
      <c r="CU556" s="163"/>
      <c r="CW556" s="195"/>
      <c r="CX556" s="196"/>
      <c r="CY556" s="196"/>
      <c r="CZ556" s="197"/>
      <c r="DA556" s="196"/>
      <c r="DB556" s="196"/>
      <c r="DC556" s="196"/>
      <c r="DE556" s="199"/>
      <c r="DF556" s="200"/>
      <c r="DG556" s="181"/>
    </row>
    <row r="557" spans="1:111" s="160" customFormat="1" ht="12.75" outlineLevel="1" x14ac:dyDescent="0.25">
      <c r="A557" s="191" t="s">
        <v>29</v>
      </c>
      <c r="B557" s="210" t="s">
        <v>485</v>
      </c>
      <c r="C557" s="210"/>
      <c r="D557" s="188">
        <f t="shared" ref="D557:I557" si="490">D558+D559</f>
        <v>3170</v>
      </c>
      <c r="E557" s="188">
        <f t="shared" si="490"/>
        <v>0</v>
      </c>
      <c r="F557" s="188">
        <f t="shared" si="490"/>
        <v>3170</v>
      </c>
      <c r="G557" s="188">
        <f t="shared" si="490"/>
        <v>3000</v>
      </c>
      <c r="H557" s="188">
        <f t="shared" si="490"/>
        <v>170</v>
      </c>
      <c r="I557" s="188">
        <f t="shared" si="490"/>
        <v>0</v>
      </c>
      <c r="J557" s="188"/>
      <c r="K557" s="188">
        <f>K558+K559</f>
        <v>0</v>
      </c>
      <c r="L557" s="188">
        <f>L558+L559</f>
        <v>0</v>
      </c>
      <c r="M557" s="188">
        <f>M558+M559</f>
        <v>0</v>
      </c>
      <c r="N557" s="188">
        <f>N558+N559</f>
        <v>0</v>
      </c>
      <c r="O557" s="188">
        <f>O558+O559</f>
        <v>3000</v>
      </c>
      <c r="P557" s="188">
        <v>151</v>
      </c>
      <c r="Q557" s="186">
        <f t="shared" si="474"/>
        <v>4.7634069400630911E-2</v>
      </c>
      <c r="R557" s="188">
        <v>1082.23</v>
      </c>
      <c r="S557" s="328">
        <v>0.34139747634069401</v>
      </c>
      <c r="T557" s="328">
        <v>0.35936576456915159</v>
      </c>
      <c r="U557" s="188">
        <v>1082.23</v>
      </c>
      <c r="V557" s="328">
        <v>0.34139747634069401</v>
      </c>
      <c r="W557" s="328">
        <v>0.35936576456915159</v>
      </c>
      <c r="X557" s="188">
        <v>1082.23</v>
      </c>
      <c r="Y557" s="328">
        <v>0.34139747634069401</v>
      </c>
      <c r="Z557" s="328">
        <v>0.35936576456915159</v>
      </c>
      <c r="AA557" s="188">
        <v>1082.23</v>
      </c>
      <c r="AB557" s="328">
        <v>0.34139747634069401</v>
      </c>
      <c r="AC557" s="328">
        <v>0.35936576456915159</v>
      </c>
      <c r="AD557" s="188">
        <v>1082.23</v>
      </c>
      <c r="AE557" s="328">
        <v>0.34139747634069401</v>
      </c>
      <c r="AF557" s="328">
        <v>0.35936576456915159</v>
      </c>
      <c r="AG557" s="188">
        <v>1082.23</v>
      </c>
      <c r="AH557" s="328">
        <v>0.34139747634069401</v>
      </c>
      <c r="AI557" s="328">
        <v>0.35936576456915159</v>
      </c>
      <c r="AJ557" s="303">
        <v>1082.23</v>
      </c>
      <c r="AK557" s="328">
        <v>0.34139747634069401</v>
      </c>
      <c r="AL557" s="328">
        <v>0.35936576456915159</v>
      </c>
      <c r="AM557" s="188">
        <v>1082.23</v>
      </c>
      <c r="AN557" s="328">
        <v>0.34139747634069401</v>
      </c>
      <c r="AO557" s="328">
        <v>0.35936576456915159</v>
      </c>
      <c r="AP557" s="328"/>
      <c r="AQ557" s="188">
        <v>1098.7539999999999</v>
      </c>
      <c r="AR557" s="328">
        <v>0.34661009463722392</v>
      </c>
      <c r="AS557" s="328">
        <v>0.36485273119707784</v>
      </c>
      <c r="AT557" s="188">
        <v>1098.7539999999999</v>
      </c>
      <c r="AU557" s="328">
        <v>0.34661009463722392</v>
      </c>
      <c r="AV557" s="328">
        <v>0.36485273119707784</v>
      </c>
      <c r="AW557" s="328"/>
      <c r="AX557" s="328"/>
      <c r="AY557" s="328"/>
      <c r="AZ557" s="328"/>
      <c r="BA557" s="328"/>
      <c r="BB557" s="328"/>
      <c r="BC557" s="188">
        <v>1098.7539999999999</v>
      </c>
      <c r="BD557" s="328">
        <v>0.34661009463722392</v>
      </c>
      <c r="BE557" s="328">
        <v>0.36485273119707784</v>
      </c>
      <c r="BF557" s="374"/>
      <c r="BG557" s="374">
        <v>1098.7539999999999</v>
      </c>
      <c r="BH557" s="328">
        <v>0.34661009463722392</v>
      </c>
      <c r="BI557" s="328">
        <v>0.36485273119707784</v>
      </c>
      <c r="BJ557" s="374">
        <f t="shared" si="467"/>
        <v>3011.5</v>
      </c>
      <c r="BK557" s="374">
        <v>1574.7539999999999</v>
      </c>
      <c r="BL557" s="328">
        <f t="shared" si="469"/>
        <v>0.49676782334384856</v>
      </c>
      <c r="BM557" s="328">
        <f t="shared" si="477"/>
        <v>0.52291349825668265</v>
      </c>
      <c r="BN557" s="205">
        <f t="shared" si="465"/>
        <v>492.52399999999989</v>
      </c>
      <c r="BO557" s="205"/>
      <c r="BP557" s="189">
        <f>BP558+BP559</f>
        <v>500</v>
      </c>
      <c r="BQ557" s="329">
        <f t="shared" si="470"/>
        <v>0.15772870662460567</v>
      </c>
      <c r="BR557" s="189">
        <f>BR558+BR559</f>
        <v>1500</v>
      </c>
      <c r="BS557" s="329">
        <f t="shared" si="471"/>
        <v>0.47318611987381703</v>
      </c>
      <c r="BT557" s="189">
        <f>BT558+BT559</f>
        <v>1500</v>
      </c>
      <c r="BU557" s="186">
        <f t="shared" si="472"/>
        <v>0.47318611987381703</v>
      </c>
      <c r="BV557" s="189">
        <f>BV558+BV559</f>
        <v>1534</v>
      </c>
      <c r="BW557" s="329">
        <f t="shared" si="454"/>
        <v>0.48391167192429024</v>
      </c>
      <c r="BX557" s="189">
        <f>BX558+BX559</f>
        <v>1534</v>
      </c>
      <c r="BY557" s="329">
        <f t="shared" si="455"/>
        <v>0.48391167192429024</v>
      </c>
      <c r="BZ557" s="189">
        <f>BZ558+BZ559</f>
        <v>2918</v>
      </c>
      <c r="CA557" s="329">
        <f t="shared" si="456"/>
        <v>0.92050473186119874</v>
      </c>
      <c r="CB557" s="189">
        <f>CB558+CB559</f>
        <v>2935</v>
      </c>
      <c r="CC557" s="329">
        <f t="shared" si="483"/>
        <v>0.92586750788643535</v>
      </c>
      <c r="CD557" s="189">
        <f>CD558+CD559</f>
        <v>2943.5</v>
      </c>
      <c r="CE557" s="329">
        <f t="shared" si="457"/>
        <v>0.92854889589905365</v>
      </c>
      <c r="CF557" s="189">
        <f>CF558+CF559</f>
        <v>2969</v>
      </c>
      <c r="CG557" s="329">
        <f t="shared" si="458"/>
        <v>0.93659305993690856</v>
      </c>
      <c r="CH557" s="189">
        <f>CH558+CH559</f>
        <v>2969</v>
      </c>
      <c r="CI557" s="329">
        <f t="shared" si="459"/>
        <v>0.93659305993690856</v>
      </c>
      <c r="CJ557" s="189">
        <f>CJ558+CJ559</f>
        <v>2977.5</v>
      </c>
      <c r="CK557" s="329">
        <f t="shared" si="460"/>
        <v>0.93927444794952686</v>
      </c>
      <c r="CL557" s="189">
        <f>CL558+CL559</f>
        <v>2986</v>
      </c>
      <c r="CM557" s="329">
        <f t="shared" si="461"/>
        <v>0.94195583596214516</v>
      </c>
      <c r="CN557" s="189">
        <f>CN558+CN559</f>
        <v>3011.5</v>
      </c>
      <c r="CO557" s="329">
        <f t="shared" si="462"/>
        <v>0.95</v>
      </c>
      <c r="CP557" s="213" t="str">
        <f t="shared" si="475"/>
        <v>Đạt</v>
      </c>
      <c r="CQ557" s="213" t="str">
        <f t="shared" si="476"/>
        <v>Đạt</v>
      </c>
      <c r="CR557" s="213"/>
      <c r="CS557" s="213"/>
      <c r="CT557" s="231"/>
      <c r="CU557" s="163"/>
      <c r="CV557" s="291"/>
      <c r="CW557" s="218"/>
      <c r="CX557" s="196"/>
      <c r="CY557" s="196"/>
      <c r="CZ557" s="197"/>
      <c r="DA557" s="196"/>
      <c r="DB557" s="196"/>
      <c r="DC557" s="196"/>
      <c r="DE557" s="199"/>
      <c r="DF557" s="200"/>
      <c r="DG557" s="181"/>
    </row>
    <row r="558" spans="1:111" s="324" customFormat="1" outlineLevel="1" x14ac:dyDescent="0.25">
      <c r="A558" s="305" t="s">
        <v>34</v>
      </c>
      <c r="B558" s="306" t="s">
        <v>376</v>
      </c>
      <c r="C558" s="306"/>
      <c r="D558" s="307">
        <f>E558+F558</f>
        <v>3000</v>
      </c>
      <c r="E558" s="307"/>
      <c r="F558" s="307">
        <f>G558+H558+K558+M558</f>
        <v>3000</v>
      </c>
      <c r="G558" s="303">
        <v>3000</v>
      </c>
      <c r="H558" s="303"/>
      <c r="I558" s="235"/>
      <c r="J558" s="235"/>
      <c r="K558" s="303"/>
      <c r="L558" s="235"/>
      <c r="M558" s="223"/>
      <c r="N558" s="223"/>
      <c r="O558" s="303">
        <f>G558+I558+L558+N558</f>
        <v>3000</v>
      </c>
      <c r="P558" s="303">
        <v>0</v>
      </c>
      <c r="Q558" s="308">
        <f t="shared" si="474"/>
        <v>0</v>
      </c>
      <c r="R558" s="303">
        <v>1082.23</v>
      </c>
      <c r="S558" s="313">
        <v>0.36074333333333336</v>
      </c>
      <c r="T558" s="313">
        <v>0.37972982456140353</v>
      </c>
      <c r="U558" s="303">
        <v>1082.23</v>
      </c>
      <c r="V558" s="313">
        <v>0.36074333333333336</v>
      </c>
      <c r="W558" s="313">
        <v>0.37972982456140353</v>
      </c>
      <c r="X558" s="303">
        <v>1082.23</v>
      </c>
      <c r="Y558" s="313">
        <v>0.36074333333333336</v>
      </c>
      <c r="Z558" s="313">
        <v>0.37972982456140353</v>
      </c>
      <c r="AA558" s="303">
        <v>1082.23</v>
      </c>
      <c r="AB558" s="313">
        <v>0.36074333333333336</v>
      </c>
      <c r="AC558" s="313">
        <v>0.37972982456140353</v>
      </c>
      <c r="AD558" s="303">
        <v>1082.23</v>
      </c>
      <c r="AE558" s="313">
        <v>0.36074333333333336</v>
      </c>
      <c r="AF558" s="313">
        <v>0.37972982456140353</v>
      </c>
      <c r="AG558" s="303">
        <v>1082.23</v>
      </c>
      <c r="AH558" s="313">
        <v>0.36074333333333336</v>
      </c>
      <c r="AI558" s="313">
        <v>0.37972982456140353</v>
      </c>
      <c r="AJ558" s="303">
        <v>1082.23</v>
      </c>
      <c r="AK558" s="313">
        <v>0.36074333333333336</v>
      </c>
      <c r="AL558" s="313">
        <v>0.37972982456140353</v>
      </c>
      <c r="AM558" s="303">
        <v>1082.23</v>
      </c>
      <c r="AN558" s="313">
        <v>0.36074333333333336</v>
      </c>
      <c r="AO558" s="313">
        <v>0.37972982456140353</v>
      </c>
      <c r="AP558" s="313"/>
      <c r="AQ558" s="303">
        <v>1098.7539999999999</v>
      </c>
      <c r="AR558" s="313">
        <v>0.36625133333333332</v>
      </c>
      <c r="AS558" s="313">
        <v>0.38552771929824559</v>
      </c>
      <c r="AT558" s="303">
        <v>1098.7539999999999</v>
      </c>
      <c r="AU558" s="313">
        <v>0.36625133333333332</v>
      </c>
      <c r="AV558" s="313">
        <v>0.38552771929824559</v>
      </c>
      <c r="AW558" s="313"/>
      <c r="AX558" s="313"/>
      <c r="AY558" s="313"/>
      <c r="AZ558" s="313"/>
      <c r="BA558" s="313"/>
      <c r="BB558" s="313"/>
      <c r="BC558" s="303">
        <v>1098.7539999999999</v>
      </c>
      <c r="BD558" s="313">
        <v>0.36625133333333332</v>
      </c>
      <c r="BE558" s="313">
        <v>0.38552771929824559</v>
      </c>
      <c r="BF558" s="351"/>
      <c r="BG558" s="351">
        <v>1098.7539999999999</v>
      </c>
      <c r="BH558" s="313">
        <v>0.36625133333333332</v>
      </c>
      <c r="BI558" s="313">
        <v>0.38552771929824559</v>
      </c>
      <c r="BJ558" s="349">
        <f t="shared" si="467"/>
        <v>2850</v>
      </c>
      <c r="BK558" s="349">
        <v>1574.7539999999999</v>
      </c>
      <c r="BL558" s="313">
        <f t="shared" si="469"/>
        <v>0.524918</v>
      </c>
      <c r="BM558" s="313">
        <f t="shared" si="477"/>
        <v>0.55254526315789465</v>
      </c>
      <c r="BN558" s="205">
        <f t="shared" si="465"/>
        <v>492.52399999999989</v>
      </c>
      <c r="BO558" s="205"/>
      <c r="BP558" s="310">
        <v>500</v>
      </c>
      <c r="BQ558" s="311">
        <f t="shared" si="470"/>
        <v>0.16666666666666666</v>
      </c>
      <c r="BR558" s="310">
        <v>1500</v>
      </c>
      <c r="BS558" s="311">
        <f t="shared" si="471"/>
        <v>0.5</v>
      </c>
      <c r="BT558" s="310">
        <v>1500</v>
      </c>
      <c r="BU558" s="308">
        <f t="shared" si="472"/>
        <v>0.5</v>
      </c>
      <c r="BV558" s="310">
        <v>1500</v>
      </c>
      <c r="BW558" s="311">
        <f t="shared" si="454"/>
        <v>0.5</v>
      </c>
      <c r="BX558" s="310">
        <v>1500</v>
      </c>
      <c r="BY558" s="311">
        <f t="shared" si="455"/>
        <v>0.5</v>
      </c>
      <c r="BZ558" s="310">
        <f>3000*0.95</f>
        <v>2850</v>
      </c>
      <c r="CA558" s="311">
        <f t="shared" si="456"/>
        <v>0.95</v>
      </c>
      <c r="CB558" s="310">
        <v>2850</v>
      </c>
      <c r="CC558" s="311">
        <f t="shared" si="483"/>
        <v>0.95</v>
      </c>
      <c r="CD558" s="310">
        <v>2850</v>
      </c>
      <c r="CE558" s="311">
        <f t="shared" si="457"/>
        <v>0.95</v>
      </c>
      <c r="CF558" s="310">
        <v>2850</v>
      </c>
      <c r="CG558" s="311">
        <f t="shared" si="458"/>
        <v>0.95</v>
      </c>
      <c r="CH558" s="310">
        <v>2850</v>
      </c>
      <c r="CI558" s="311">
        <f t="shared" si="459"/>
        <v>0.95</v>
      </c>
      <c r="CJ558" s="310">
        <v>2850</v>
      </c>
      <c r="CK558" s="311">
        <f t="shared" si="460"/>
        <v>0.95</v>
      </c>
      <c r="CL558" s="310">
        <v>2850</v>
      </c>
      <c r="CM558" s="311">
        <f t="shared" si="461"/>
        <v>0.95</v>
      </c>
      <c r="CN558" s="310">
        <v>2850</v>
      </c>
      <c r="CO558" s="311">
        <f t="shared" si="462"/>
        <v>0.95</v>
      </c>
      <c r="CP558" s="213" t="str">
        <f t="shared" si="475"/>
        <v>Đạt</v>
      </c>
      <c r="CQ558" s="213" t="str">
        <f t="shared" si="476"/>
        <v>Đạt</v>
      </c>
      <c r="CR558" s="312"/>
      <c r="CS558" s="312"/>
      <c r="CT558" s="235"/>
      <c r="CU558" s="163"/>
      <c r="CV558" s="323"/>
      <c r="CW558" s="195"/>
      <c r="CX558" s="196"/>
      <c r="CY558" s="196"/>
      <c r="CZ558" s="197"/>
      <c r="DA558" s="196"/>
      <c r="DB558" s="196"/>
      <c r="DC558" s="196"/>
      <c r="DE558" s="199"/>
      <c r="DF558" s="200"/>
      <c r="DG558" s="181"/>
    </row>
    <row r="559" spans="1:111" ht="25.5" outlineLevel="1" x14ac:dyDescent="0.25">
      <c r="A559" s="305" t="s">
        <v>34</v>
      </c>
      <c r="B559" s="306" t="s">
        <v>377</v>
      </c>
      <c r="C559" s="306"/>
      <c r="D559" s="307">
        <f>E559+F559</f>
        <v>170</v>
      </c>
      <c r="E559" s="307"/>
      <c r="F559" s="307">
        <f>G559+H559+K559+M559</f>
        <v>170</v>
      </c>
      <c r="G559" s="307"/>
      <c r="H559" s="307">
        <v>170</v>
      </c>
      <c r="I559" s="235"/>
      <c r="J559" s="235"/>
      <c r="K559" s="303"/>
      <c r="L559" s="235"/>
      <c r="M559" s="223"/>
      <c r="N559" s="223"/>
      <c r="O559" s="303"/>
      <c r="P559" s="303">
        <v>0</v>
      </c>
      <c r="Q559" s="308">
        <f t="shared" si="474"/>
        <v>0</v>
      </c>
      <c r="R559" s="303"/>
      <c r="S559" s="313">
        <v>0</v>
      </c>
      <c r="T559" s="313">
        <v>0</v>
      </c>
      <c r="U559" s="303"/>
      <c r="V559" s="313">
        <v>0</v>
      </c>
      <c r="W559" s="313">
        <v>0</v>
      </c>
      <c r="X559" s="303"/>
      <c r="Y559" s="313">
        <v>0</v>
      </c>
      <c r="Z559" s="313">
        <v>0</v>
      </c>
      <c r="AA559" s="303"/>
      <c r="AB559" s="313">
        <v>0</v>
      </c>
      <c r="AC559" s="313">
        <v>0</v>
      </c>
      <c r="AD559" s="303"/>
      <c r="AE559" s="313">
        <v>0</v>
      </c>
      <c r="AF559" s="313">
        <v>0</v>
      </c>
      <c r="AG559" s="303"/>
      <c r="AH559" s="313">
        <v>0</v>
      </c>
      <c r="AI559" s="313">
        <v>0</v>
      </c>
      <c r="AJ559" s="188"/>
      <c r="AK559" s="313">
        <v>0</v>
      </c>
      <c r="AL559" s="313">
        <v>0</v>
      </c>
      <c r="AM559" s="303"/>
      <c r="AN559" s="313">
        <v>0</v>
      </c>
      <c r="AO559" s="313">
        <v>0</v>
      </c>
      <c r="AP559" s="313"/>
      <c r="AQ559" s="303"/>
      <c r="AR559" s="313">
        <v>0</v>
      </c>
      <c r="AS559" s="313">
        <v>0</v>
      </c>
      <c r="AT559" s="303"/>
      <c r="AU559" s="313">
        <v>0</v>
      </c>
      <c r="AV559" s="313">
        <v>0</v>
      </c>
      <c r="AW559" s="313"/>
      <c r="AX559" s="313"/>
      <c r="AY559" s="313"/>
      <c r="AZ559" s="313"/>
      <c r="BA559" s="313"/>
      <c r="BB559" s="313"/>
      <c r="BC559" s="303"/>
      <c r="BD559" s="313">
        <v>0</v>
      </c>
      <c r="BE559" s="313">
        <v>0</v>
      </c>
      <c r="BF559" s="351"/>
      <c r="BG559" s="351">
        <v>0</v>
      </c>
      <c r="BH559" s="313">
        <v>0</v>
      </c>
      <c r="BI559" s="313">
        <v>0</v>
      </c>
      <c r="BJ559" s="349">
        <f t="shared" si="467"/>
        <v>161.5</v>
      </c>
      <c r="BK559" s="349">
        <v>0</v>
      </c>
      <c r="BL559" s="313">
        <f t="shared" si="469"/>
        <v>0</v>
      </c>
      <c r="BM559" s="313">
        <f t="shared" si="477"/>
        <v>0</v>
      </c>
      <c r="BN559" s="205">
        <f t="shared" si="465"/>
        <v>0</v>
      </c>
      <c r="BO559" s="205"/>
      <c r="BP559" s="310"/>
      <c r="BQ559" s="311">
        <f t="shared" si="470"/>
        <v>0</v>
      </c>
      <c r="BR559" s="310"/>
      <c r="BS559" s="311">
        <f t="shared" si="471"/>
        <v>0</v>
      </c>
      <c r="BT559" s="310"/>
      <c r="BU559" s="308">
        <f t="shared" si="472"/>
        <v>0</v>
      </c>
      <c r="BV559" s="310">
        <f>H559*0.2</f>
        <v>34</v>
      </c>
      <c r="BW559" s="311">
        <f t="shared" si="454"/>
        <v>0.2</v>
      </c>
      <c r="BX559" s="310">
        <v>34</v>
      </c>
      <c r="BY559" s="311">
        <f t="shared" si="455"/>
        <v>0.2</v>
      </c>
      <c r="BZ559" s="310">
        <f>H559*0.4</f>
        <v>68</v>
      </c>
      <c r="CA559" s="311">
        <f t="shared" si="456"/>
        <v>0.4</v>
      </c>
      <c r="CB559" s="310">
        <f>H559*0.5</f>
        <v>85</v>
      </c>
      <c r="CC559" s="311">
        <f t="shared" si="483"/>
        <v>0.5</v>
      </c>
      <c r="CD559" s="310">
        <f>F559*0.55</f>
        <v>93.500000000000014</v>
      </c>
      <c r="CE559" s="311">
        <f t="shared" si="457"/>
        <v>0.55000000000000004</v>
      </c>
      <c r="CF559" s="310">
        <v>118.99999999999999</v>
      </c>
      <c r="CG559" s="311">
        <f t="shared" si="458"/>
        <v>0.7</v>
      </c>
      <c r="CH559" s="310">
        <f>F559*0.7</f>
        <v>118.99999999999999</v>
      </c>
      <c r="CI559" s="311">
        <f t="shared" si="459"/>
        <v>0.7</v>
      </c>
      <c r="CJ559" s="310">
        <f>F559*0.75</f>
        <v>127.5</v>
      </c>
      <c r="CK559" s="311">
        <f t="shared" si="460"/>
        <v>0.75</v>
      </c>
      <c r="CL559" s="310">
        <f>F559*0.8</f>
        <v>136</v>
      </c>
      <c r="CM559" s="311">
        <f t="shared" si="461"/>
        <v>0.8</v>
      </c>
      <c r="CN559" s="310">
        <f>H559*0.95</f>
        <v>161.5</v>
      </c>
      <c r="CO559" s="311">
        <f t="shared" si="462"/>
        <v>0.95</v>
      </c>
      <c r="CP559" s="213" t="str">
        <f t="shared" si="475"/>
        <v>Không đạt</v>
      </c>
      <c r="CQ559" s="213" t="str">
        <f t="shared" si="476"/>
        <v>Không đạt</v>
      </c>
      <c r="CR559" s="312"/>
      <c r="CS559" s="312"/>
      <c r="CT559" s="235"/>
      <c r="CU559" s="163"/>
      <c r="CW559" s="195"/>
      <c r="CX559" s="196"/>
      <c r="CY559" s="196"/>
      <c r="CZ559" s="197"/>
      <c r="DA559" s="196"/>
      <c r="DB559" s="196"/>
      <c r="DC559" s="196"/>
      <c r="DE559" s="199"/>
      <c r="DF559" s="200"/>
      <c r="DG559" s="181"/>
    </row>
    <row r="560" spans="1:111" ht="18" customHeight="1" x14ac:dyDescent="0.25">
      <c r="A560" s="213">
        <f>MAX(A$243:A554)+1</f>
        <v>87</v>
      </c>
      <c r="B560" s="240" t="s">
        <v>504</v>
      </c>
      <c r="C560" s="240"/>
      <c r="D560" s="188">
        <f t="shared" ref="D560:I560" si="491">D561</f>
        <v>3000</v>
      </c>
      <c r="E560" s="188">
        <f t="shared" si="491"/>
        <v>0</v>
      </c>
      <c r="F560" s="188">
        <f t="shared" si="491"/>
        <v>3000</v>
      </c>
      <c r="G560" s="188">
        <f t="shared" si="491"/>
        <v>3000</v>
      </c>
      <c r="H560" s="188">
        <f t="shared" si="491"/>
        <v>0</v>
      </c>
      <c r="I560" s="188">
        <f t="shared" si="491"/>
        <v>0</v>
      </c>
      <c r="J560" s="188"/>
      <c r="K560" s="188">
        <f>K561</f>
        <v>0</v>
      </c>
      <c r="L560" s="188">
        <f>L561</f>
        <v>0</v>
      </c>
      <c r="M560" s="231"/>
      <c r="N560" s="231"/>
      <c r="O560" s="188">
        <f>G560+I560+L560+N560</f>
        <v>3000</v>
      </c>
      <c r="P560" s="188">
        <v>0</v>
      </c>
      <c r="Q560" s="186">
        <f t="shared" si="474"/>
        <v>0</v>
      </c>
      <c r="R560" s="188">
        <v>0</v>
      </c>
      <c r="S560" s="185">
        <v>0</v>
      </c>
      <c r="T560" s="185">
        <v>0</v>
      </c>
      <c r="U560" s="188">
        <v>0</v>
      </c>
      <c r="V560" s="185">
        <v>0</v>
      </c>
      <c r="W560" s="185">
        <v>0</v>
      </c>
      <c r="X560" s="188">
        <v>0</v>
      </c>
      <c r="Y560" s="185">
        <v>0</v>
      </c>
      <c r="Z560" s="185">
        <v>0</v>
      </c>
      <c r="AA560" s="188">
        <v>0</v>
      </c>
      <c r="AB560" s="185">
        <v>0</v>
      </c>
      <c r="AC560" s="185">
        <v>0</v>
      </c>
      <c r="AD560" s="188">
        <v>0</v>
      </c>
      <c r="AE560" s="185">
        <v>0</v>
      </c>
      <c r="AF560" s="185">
        <v>0</v>
      </c>
      <c r="AG560" s="188">
        <v>0</v>
      </c>
      <c r="AH560" s="185">
        <v>0</v>
      </c>
      <c r="AI560" s="185">
        <v>0</v>
      </c>
      <c r="AJ560" s="303">
        <v>0</v>
      </c>
      <c r="AK560" s="185">
        <v>0</v>
      </c>
      <c r="AL560" s="185">
        <v>0</v>
      </c>
      <c r="AM560" s="188">
        <v>0</v>
      </c>
      <c r="AN560" s="185">
        <v>0</v>
      </c>
      <c r="AO560" s="185">
        <v>0</v>
      </c>
      <c r="AP560" s="185"/>
      <c r="AQ560" s="188">
        <v>181.1216</v>
      </c>
      <c r="AR560" s="185">
        <v>6.0373866666666665E-2</v>
      </c>
      <c r="AS560" s="185">
        <v>6.3551438596491233E-2</v>
      </c>
      <c r="AT560" s="188">
        <v>181.1216</v>
      </c>
      <c r="AU560" s="185">
        <v>6.0373866666666665E-2</v>
      </c>
      <c r="AV560" s="185">
        <v>6.3551438596491233E-2</v>
      </c>
      <c r="AW560" s="185"/>
      <c r="AX560" s="185"/>
      <c r="AY560" s="185"/>
      <c r="AZ560" s="185"/>
      <c r="BA560" s="185"/>
      <c r="BB560" s="185"/>
      <c r="BC560" s="188">
        <v>181.1216</v>
      </c>
      <c r="BD560" s="185">
        <v>6.0373866666666665E-2</v>
      </c>
      <c r="BE560" s="185">
        <v>6.3551438596491233E-2</v>
      </c>
      <c r="BF560" s="352"/>
      <c r="BG560" s="352">
        <v>953.25559999999996</v>
      </c>
      <c r="BH560" s="185">
        <v>0.31775186666666666</v>
      </c>
      <c r="BI560" s="185">
        <v>0.33447564912280703</v>
      </c>
      <c r="BJ560" s="374">
        <f t="shared" si="467"/>
        <v>2850</v>
      </c>
      <c r="BK560" s="374">
        <v>963.98059999999998</v>
      </c>
      <c r="BL560" s="185">
        <f t="shared" si="469"/>
        <v>0.32132686666666666</v>
      </c>
      <c r="BM560" s="185">
        <f t="shared" si="477"/>
        <v>0.33823880701754383</v>
      </c>
      <c r="BN560" s="205">
        <f t="shared" si="465"/>
        <v>963.98059999999998</v>
      </c>
      <c r="BO560" s="205"/>
      <c r="BP560" s="189">
        <f>BP561</f>
        <v>0</v>
      </c>
      <c r="BQ560" s="186">
        <f t="shared" si="470"/>
        <v>0</v>
      </c>
      <c r="BR560" s="189">
        <f>BR561</f>
        <v>0</v>
      </c>
      <c r="BS560" s="186">
        <f t="shared" si="471"/>
        <v>0</v>
      </c>
      <c r="BT560" s="189">
        <f>BT561</f>
        <v>300</v>
      </c>
      <c r="BU560" s="186">
        <f t="shared" si="472"/>
        <v>0.1</v>
      </c>
      <c r="BV560" s="189">
        <f>BV561</f>
        <v>600</v>
      </c>
      <c r="BW560" s="186">
        <f t="shared" si="454"/>
        <v>0.2</v>
      </c>
      <c r="BX560" s="189">
        <f>BX561</f>
        <v>900</v>
      </c>
      <c r="BY560" s="186">
        <f t="shared" si="455"/>
        <v>0.3</v>
      </c>
      <c r="BZ560" s="189">
        <f>BZ561</f>
        <v>1200</v>
      </c>
      <c r="CA560" s="186">
        <f t="shared" si="456"/>
        <v>0.4</v>
      </c>
      <c r="CB560" s="189">
        <f>CB561</f>
        <v>1500</v>
      </c>
      <c r="CC560" s="186">
        <f t="shared" si="483"/>
        <v>0.5</v>
      </c>
      <c r="CD560" s="189">
        <f>CD561</f>
        <v>1650.0000000000002</v>
      </c>
      <c r="CE560" s="186">
        <f t="shared" si="457"/>
        <v>0.55000000000000004</v>
      </c>
      <c r="CF560" s="189">
        <f>CF561</f>
        <v>2100</v>
      </c>
      <c r="CG560" s="186">
        <f t="shared" si="458"/>
        <v>0.7</v>
      </c>
      <c r="CH560" s="189">
        <f>CH561</f>
        <v>2100</v>
      </c>
      <c r="CI560" s="186">
        <f t="shared" si="459"/>
        <v>0.7</v>
      </c>
      <c r="CJ560" s="189">
        <f>CJ561</f>
        <v>2250</v>
      </c>
      <c r="CK560" s="186">
        <f t="shared" si="460"/>
        <v>0.75</v>
      </c>
      <c r="CL560" s="189">
        <f>CL561</f>
        <v>2400</v>
      </c>
      <c r="CM560" s="186">
        <f t="shared" si="461"/>
        <v>0.8</v>
      </c>
      <c r="CN560" s="189">
        <f>CN561</f>
        <v>2850</v>
      </c>
      <c r="CO560" s="186">
        <f t="shared" si="462"/>
        <v>0.95</v>
      </c>
      <c r="CP560" s="213" t="str">
        <f t="shared" si="475"/>
        <v>Không đạt</v>
      </c>
      <c r="CQ560" s="213" t="str">
        <f t="shared" si="476"/>
        <v>Không đạt</v>
      </c>
      <c r="CR560" s="213"/>
      <c r="CS560" s="213"/>
      <c r="CT560" s="231"/>
      <c r="CU560" s="163"/>
      <c r="CW560" s="195"/>
      <c r="CX560" s="196"/>
      <c r="CY560" s="196"/>
      <c r="CZ560" s="197"/>
      <c r="DA560" s="196"/>
      <c r="DB560" s="196"/>
      <c r="DC560" s="196"/>
      <c r="DE560" s="199"/>
      <c r="DF560" s="200"/>
      <c r="DG560" s="181"/>
    </row>
    <row r="561" spans="1:111" s="324" customFormat="1" outlineLevel="1" x14ac:dyDescent="0.25">
      <c r="A561" s="305" t="s">
        <v>34</v>
      </c>
      <c r="B561" s="306" t="s">
        <v>376</v>
      </c>
      <c r="C561" s="306"/>
      <c r="D561" s="307">
        <f>E561+F561</f>
        <v>3000</v>
      </c>
      <c r="E561" s="307"/>
      <c r="F561" s="307">
        <f>G561+H561+K561+M561</f>
        <v>3000</v>
      </c>
      <c r="G561" s="303">
        <v>3000</v>
      </c>
      <c r="H561" s="303"/>
      <c r="I561" s="235"/>
      <c r="J561" s="235"/>
      <c r="K561" s="303"/>
      <c r="L561" s="235"/>
      <c r="M561" s="223"/>
      <c r="N561" s="223"/>
      <c r="O561" s="303">
        <f>G561+I561+L561+N561</f>
        <v>3000</v>
      </c>
      <c r="P561" s="303">
        <v>0</v>
      </c>
      <c r="Q561" s="308">
        <f t="shared" si="474"/>
        <v>0</v>
      </c>
      <c r="R561" s="303"/>
      <c r="S561" s="309">
        <v>0</v>
      </c>
      <c r="T561" s="309">
        <v>0</v>
      </c>
      <c r="U561" s="303"/>
      <c r="V561" s="309">
        <v>0</v>
      </c>
      <c r="W561" s="309">
        <v>0</v>
      </c>
      <c r="X561" s="303"/>
      <c r="Y561" s="309">
        <v>0</v>
      </c>
      <c r="Z561" s="309">
        <v>0</v>
      </c>
      <c r="AA561" s="303"/>
      <c r="AB561" s="309">
        <v>0</v>
      </c>
      <c r="AC561" s="309">
        <v>0</v>
      </c>
      <c r="AD561" s="303"/>
      <c r="AE561" s="309">
        <v>0</v>
      </c>
      <c r="AF561" s="309">
        <v>0</v>
      </c>
      <c r="AG561" s="303"/>
      <c r="AH561" s="309">
        <v>0</v>
      </c>
      <c r="AI561" s="309">
        <v>0</v>
      </c>
      <c r="AJ561" s="188"/>
      <c r="AK561" s="309">
        <v>0</v>
      </c>
      <c r="AL561" s="309">
        <v>0</v>
      </c>
      <c r="AM561" s="303"/>
      <c r="AN561" s="309">
        <v>0</v>
      </c>
      <c r="AO561" s="309">
        <v>0</v>
      </c>
      <c r="AP561" s="309"/>
      <c r="AQ561" s="303">
        <v>181.1216</v>
      </c>
      <c r="AR561" s="309">
        <v>6.0373866666666665E-2</v>
      </c>
      <c r="AS561" s="309">
        <v>6.3551438596491233E-2</v>
      </c>
      <c r="AT561" s="303">
        <v>181.1216</v>
      </c>
      <c r="AU561" s="309">
        <v>6.0373866666666665E-2</v>
      </c>
      <c r="AV561" s="309">
        <v>6.3551438596491233E-2</v>
      </c>
      <c r="AW561" s="309"/>
      <c r="AX561" s="309"/>
      <c r="AY561" s="309"/>
      <c r="AZ561" s="309"/>
      <c r="BA561" s="309"/>
      <c r="BB561" s="309"/>
      <c r="BC561" s="303">
        <v>181.1216</v>
      </c>
      <c r="BD561" s="309">
        <v>6.0373866666666665E-2</v>
      </c>
      <c r="BE561" s="309">
        <v>6.3551438596491233E-2</v>
      </c>
      <c r="BF561" s="351"/>
      <c r="BG561" s="351">
        <v>953.25559999999996</v>
      </c>
      <c r="BH561" s="309">
        <v>0.31775186666666666</v>
      </c>
      <c r="BI561" s="309">
        <v>0.33447564912280703</v>
      </c>
      <c r="BJ561" s="349">
        <f t="shared" si="467"/>
        <v>2850</v>
      </c>
      <c r="BK561" s="349">
        <v>953.25559999999996</v>
      </c>
      <c r="BL561" s="309">
        <f t="shared" si="469"/>
        <v>0.31775186666666666</v>
      </c>
      <c r="BM561" s="309">
        <f t="shared" si="477"/>
        <v>0.33447564912280703</v>
      </c>
      <c r="BN561" s="205">
        <f t="shared" si="465"/>
        <v>953.25559999999996</v>
      </c>
      <c r="BO561" s="205"/>
      <c r="BP561" s="310"/>
      <c r="BQ561" s="308">
        <f t="shared" si="470"/>
        <v>0</v>
      </c>
      <c r="BR561" s="310"/>
      <c r="BS561" s="308">
        <f t="shared" si="471"/>
        <v>0</v>
      </c>
      <c r="BT561" s="310">
        <f>$F561*0.1</f>
        <v>300</v>
      </c>
      <c r="BU561" s="308">
        <f t="shared" si="472"/>
        <v>0.1</v>
      </c>
      <c r="BV561" s="310">
        <f>$F561*0.2</f>
        <v>600</v>
      </c>
      <c r="BW561" s="308">
        <f t="shared" si="454"/>
        <v>0.2</v>
      </c>
      <c r="BX561" s="310">
        <f>$F561*0.3</f>
        <v>900</v>
      </c>
      <c r="BY561" s="308">
        <f t="shared" si="455"/>
        <v>0.3</v>
      </c>
      <c r="BZ561" s="310">
        <f>$F561*0.4</f>
        <v>1200</v>
      </c>
      <c r="CA561" s="308">
        <f t="shared" si="456"/>
        <v>0.4</v>
      </c>
      <c r="CB561" s="310">
        <f>$F561*0.5</f>
        <v>1500</v>
      </c>
      <c r="CC561" s="308">
        <f t="shared" si="483"/>
        <v>0.5</v>
      </c>
      <c r="CD561" s="310">
        <f>$F561*0.55</f>
        <v>1650.0000000000002</v>
      </c>
      <c r="CE561" s="308">
        <f t="shared" si="457"/>
        <v>0.55000000000000004</v>
      </c>
      <c r="CF561" s="310">
        <v>2100</v>
      </c>
      <c r="CG561" s="308">
        <f t="shared" si="458"/>
        <v>0.7</v>
      </c>
      <c r="CH561" s="310">
        <f>$F561*0.7</f>
        <v>2100</v>
      </c>
      <c r="CI561" s="308">
        <f t="shared" si="459"/>
        <v>0.7</v>
      </c>
      <c r="CJ561" s="310">
        <f>$F561*0.75</f>
        <v>2250</v>
      </c>
      <c r="CK561" s="308">
        <f t="shared" si="460"/>
        <v>0.75</v>
      </c>
      <c r="CL561" s="310">
        <f>$F561*0.8</f>
        <v>2400</v>
      </c>
      <c r="CM561" s="308">
        <f t="shared" si="461"/>
        <v>0.8</v>
      </c>
      <c r="CN561" s="310">
        <f>$F561*0.95</f>
        <v>2850</v>
      </c>
      <c r="CO561" s="308">
        <f t="shared" si="462"/>
        <v>0.95</v>
      </c>
      <c r="CP561" s="213" t="str">
        <f t="shared" si="475"/>
        <v>Không đạt</v>
      </c>
      <c r="CQ561" s="213" t="str">
        <f t="shared" si="476"/>
        <v>Không đạt</v>
      </c>
      <c r="CR561" s="312"/>
      <c r="CS561" s="312"/>
      <c r="CT561" s="235"/>
      <c r="CU561" s="163"/>
      <c r="CV561" s="323"/>
      <c r="CW561" s="195"/>
      <c r="CX561" s="196"/>
      <c r="CY561" s="196"/>
      <c r="CZ561" s="197"/>
      <c r="DA561" s="196"/>
      <c r="DB561" s="196"/>
      <c r="DC561" s="196"/>
      <c r="DE561" s="199"/>
      <c r="DF561" s="200"/>
      <c r="DG561" s="181"/>
    </row>
    <row r="562" spans="1:111" ht="18" customHeight="1" x14ac:dyDescent="0.25">
      <c r="A562" s="213">
        <f>MAX(A$243:A560)+1</f>
        <v>88</v>
      </c>
      <c r="B562" s="240" t="s">
        <v>505</v>
      </c>
      <c r="C562" s="240"/>
      <c r="D562" s="188">
        <f t="shared" ref="D562:I562" si="492">D563+D564</f>
        <v>15750</v>
      </c>
      <c r="E562" s="188">
        <f t="shared" si="492"/>
        <v>0</v>
      </c>
      <c r="F562" s="188">
        <f t="shared" si="492"/>
        <v>15750</v>
      </c>
      <c r="G562" s="188">
        <f t="shared" si="492"/>
        <v>3000</v>
      </c>
      <c r="H562" s="188">
        <f t="shared" si="492"/>
        <v>12750</v>
      </c>
      <c r="I562" s="188">
        <f t="shared" si="492"/>
        <v>0</v>
      </c>
      <c r="J562" s="188"/>
      <c r="K562" s="188">
        <f>K563+K564</f>
        <v>0</v>
      </c>
      <c r="L562" s="188">
        <f>L563+L564</f>
        <v>0</v>
      </c>
      <c r="M562" s="188">
        <f>M563+M564</f>
        <v>0</v>
      </c>
      <c r="N562" s="188">
        <f>N563+N564</f>
        <v>0</v>
      </c>
      <c r="O562" s="188">
        <f>O563+O564</f>
        <v>3000</v>
      </c>
      <c r="P562" s="188">
        <v>0</v>
      </c>
      <c r="Q562" s="186">
        <f t="shared" si="474"/>
        <v>0</v>
      </c>
      <c r="R562" s="188">
        <v>0</v>
      </c>
      <c r="S562" s="185">
        <v>0</v>
      </c>
      <c r="T562" s="185">
        <v>0</v>
      </c>
      <c r="U562" s="188">
        <v>0</v>
      </c>
      <c r="V562" s="185">
        <v>0</v>
      </c>
      <c r="W562" s="185">
        <v>0</v>
      </c>
      <c r="X562" s="188">
        <v>0</v>
      </c>
      <c r="Y562" s="185">
        <v>0</v>
      </c>
      <c r="Z562" s="185">
        <v>0</v>
      </c>
      <c r="AA562" s="188">
        <v>0</v>
      </c>
      <c r="AB562" s="185">
        <v>0</v>
      </c>
      <c r="AC562" s="185">
        <v>0</v>
      </c>
      <c r="AD562" s="188">
        <v>0</v>
      </c>
      <c r="AE562" s="185">
        <v>0</v>
      </c>
      <c r="AF562" s="185">
        <v>0</v>
      </c>
      <c r="AG562" s="188">
        <v>0</v>
      </c>
      <c r="AH562" s="185">
        <v>0</v>
      </c>
      <c r="AI562" s="185">
        <v>0</v>
      </c>
      <c r="AJ562" s="303">
        <v>0</v>
      </c>
      <c r="AK562" s="185">
        <v>0</v>
      </c>
      <c r="AL562" s="185">
        <v>0</v>
      </c>
      <c r="AM562" s="188">
        <v>0</v>
      </c>
      <c r="AN562" s="185">
        <v>0</v>
      </c>
      <c r="AO562" s="185">
        <v>0</v>
      </c>
      <c r="AP562" s="185"/>
      <c r="AQ562" s="188">
        <v>3028.9780000000001</v>
      </c>
      <c r="AR562" s="185">
        <v>0.19231606349206348</v>
      </c>
      <c r="AS562" s="185">
        <v>0.20243796157059316</v>
      </c>
      <c r="AT562" s="188">
        <v>3028.9780000000001</v>
      </c>
      <c r="AU562" s="185">
        <v>0.19231606349206348</v>
      </c>
      <c r="AV562" s="185">
        <v>0.20243796157059316</v>
      </c>
      <c r="AW562" s="185"/>
      <c r="AX562" s="185"/>
      <c r="AY562" s="185"/>
      <c r="AZ562" s="185"/>
      <c r="BA562" s="185"/>
      <c r="BB562" s="185"/>
      <c r="BC562" s="188">
        <v>3028.9780000000001</v>
      </c>
      <c r="BD562" s="185">
        <v>0.19231606349206348</v>
      </c>
      <c r="BE562" s="185">
        <v>0.20243796157059316</v>
      </c>
      <c r="BF562" s="352"/>
      <c r="BG562" s="352">
        <v>4081.3980000000001</v>
      </c>
      <c r="BH562" s="185">
        <v>0.25913638095238095</v>
      </c>
      <c r="BI562" s="185">
        <v>0.27277513784461155</v>
      </c>
      <c r="BJ562" s="374">
        <f t="shared" si="467"/>
        <v>14962.5</v>
      </c>
      <c r="BK562" s="374">
        <v>7355.6360000000004</v>
      </c>
      <c r="BL562" s="185">
        <f t="shared" si="469"/>
        <v>0.46702450793650796</v>
      </c>
      <c r="BM562" s="185">
        <f t="shared" si="477"/>
        <v>0.49160474519632419</v>
      </c>
      <c r="BN562" s="205">
        <f t="shared" si="465"/>
        <v>7355.6360000000004</v>
      </c>
      <c r="BO562" s="205"/>
      <c r="BP562" s="189">
        <f>BP563+BP564</f>
        <v>760</v>
      </c>
      <c r="BQ562" s="186">
        <f t="shared" si="470"/>
        <v>4.8253968253968257E-2</v>
      </c>
      <c r="BR562" s="189">
        <f>BR563+BR564</f>
        <v>2850</v>
      </c>
      <c r="BS562" s="186">
        <f t="shared" si="471"/>
        <v>0.18095238095238095</v>
      </c>
      <c r="BT562" s="189">
        <f>BT563+BT564</f>
        <v>4125</v>
      </c>
      <c r="BU562" s="186">
        <f t="shared" si="472"/>
        <v>0.26190476190476192</v>
      </c>
      <c r="BV562" s="189">
        <f>BV563+BV564</f>
        <v>5400</v>
      </c>
      <c r="BW562" s="186">
        <f t="shared" si="454"/>
        <v>0.34285714285714286</v>
      </c>
      <c r="BX562" s="189">
        <f>BX563+BX564</f>
        <v>6675</v>
      </c>
      <c r="BY562" s="186">
        <f t="shared" si="455"/>
        <v>0.4238095238095238</v>
      </c>
      <c r="BZ562" s="189">
        <f>BZ563+BZ564</f>
        <v>7950</v>
      </c>
      <c r="CA562" s="186">
        <f t="shared" si="456"/>
        <v>0.50476190476190474</v>
      </c>
      <c r="CB562" s="189">
        <f>CB563+CB564</f>
        <v>9225</v>
      </c>
      <c r="CC562" s="186">
        <f t="shared" si="483"/>
        <v>0.58571428571428574</v>
      </c>
      <c r="CD562" s="189">
        <f>CD563+CD564</f>
        <v>10500</v>
      </c>
      <c r="CE562" s="186">
        <f t="shared" si="457"/>
        <v>0.66666666666666663</v>
      </c>
      <c r="CF562" s="189">
        <f>CF563+CF564</f>
        <v>11775</v>
      </c>
      <c r="CG562" s="186">
        <f t="shared" si="458"/>
        <v>0.74761904761904763</v>
      </c>
      <c r="CH562" s="189">
        <f>CH563+CH564</f>
        <v>13050</v>
      </c>
      <c r="CI562" s="186">
        <f t="shared" si="459"/>
        <v>0.82857142857142863</v>
      </c>
      <c r="CJ562" s="189">
        <f>CJ563+CJ564</f>
        <v>13687.5</v>
      </c>
      <c r="CK562" s="186">
        <f t="shared" si="460"/>
        <v>0.86904761904761907</v>
      </c>
      <c r="CL562" s="189">
        <f>CL563+CL564</f>
        <v>14325</v>
      </c>
      <c r="CM562" s="186">
        <f t="shared" si="461"/>
        <v>0.90952380952380951</v>
      </c>
      <c r="CN562" s="189">
        <f>CN563+CN564</f>
        <v>14962.5</v>
      </c>
      <c r="CO562" s="186">
        <f t="shared" si="462"/>
        <v>0.95</v>
      </c>
      <c r="CP562" s="213" t="str">
        <f t="shared" si="475"/>
        <v>Đạt</v>
      </c>
      <c r="CQ562" s="213" t="str">
        <f t="shared" si="476"/>
        <v>Đạt</v>
      </c>
      <c r="CR562" s="213"/>
      <c r="CS562" s="213"/>
      <c r="CT562" s="231"/>
      <c r="CU562" s="163"/>
      <c r="CW562" s="195"/>
      <c r="CX562" s="196"/>
      <c r="CY562" s="196"/>
      <c r="CZ562" s="197"/>
      <c r="DA562" s="196"/>
      <c r="DB562" s="196"/>
      <c r="DC562" s="196"/>
      <c r="DE562" s="199"/>
      <c r="DF562" s="200"/>
      <c r="DG562" s="181"/>
    </row>
    <row r="563" spans="1:111" s="324" customFormat="1" outlineLevel="1" x14ac:dyDescent="0.25">
      <c r="A563" s="305" t="s">
        <v>34</v>
      </c>
      <c r="B563" s="306" t="s">
        <v>376</v>
      </c>
      <c r="C563" s="306"/>
      <c r="D563" s="307">
        <f>E563+F563</f>
        <v>3000</v>
      </c>
      <c r="E563" s="307"/>
      <c r="F563" s="307">
        <f>G563+H563+K563+M563</f>
        <v>3000</v>
      </c>
      <c r="G563" s="303">
        <v>3000</v>
      </c>
      <c r="H563" s="303"/>
      <c r="I563" s="235"/>
      <c r="J563" s="235"/>
      <c r="K563" s="303"/>
      <c r="L563" s="235"/>
      <c r="M563" s="223"/>
      <c r="N563" s="223"/>
      <c r="O563" s="303">
        <f>G563+I563+L563+N563</f>
        <v>3000</v>
      </c>
      <c r="P563" s="303">
        <v>0</v>
      </c>
      <c r="Q563" s="308">
        <f t="shared" si="474"/>
        <v>0</v>
      </c>
      <c r="R563" s="303"/>
      <c r="S563" s="313">
        <v>0</v>
      </c>
      <c r="T563" s="313">
        <v>0</v>
      </c>
      <c r="U563" s="303"/>
      <c r="V563" s="313">
        <v>0</v>
      </c>
      <c r="W563" s="313">
        <v>0</v>
      </c>
      <c r="X563" s="303"/>
      <c r="Y563" s="313">
        <v>0</v>
      </c>
      <c r="Z563" s="313">
        <v>0</v>
      </c>
      <c r="AA563" s="303"/>
      <c r="AB563" s="313">
        <v>0</v>
      </c>
      <c r="AC563" s="313">
        <v>0</v>
      </c>
      <c r="AD563" s="303"/>
      <c r="AE563" s="313">
        <v>0</v>
      </c>
      <c r="AF563" s="313">
        <v>0</v>
      </c>
      <c r="AG563" s="303"/>
      <c r="AH563" s="313">
        <v>0</v>
      </c>
      <c r="AI563" s="313">
        <v>0</v>
      </c>
      <c r="AJ563" s="303"/>
      <c r="AK563" s="313">
        <v>0</v>
      </c>
      <c r="AL563" s="313">
        <v>0</v>
      </c>
      <c r="AM563" s="303"/>
      <c r="AN563" s="313">
        <v>0</v>
      </c>
      <c r="AO563" s="313">
        <v>0</v>
      </c>
      <c r="AP563" s="313"/>
      <c r="AQ563" s="303">
        <v>1995.123</v>
      </c>
      <c r="AR563" s="313">
        <v>0.66504099999999999</v>
      </c>
      <c r="AS563" s="313">
        <v>0.70004315789473681</v>
      </c>
      <c r="AT563" s="303">
        <v>1995.123</v>
      </c>
      <c r="AU563" s="313">
        <v>0.66504099999999999</v>
      </c>
      <c r="AV563" s="313">
        <v>0.70004315789473681</v>
      </c>
      <c r="AW563" s="313"/>
      <c r="AX563" s="313"/>
      <c r="AY563" s="313"/>
      <c r="AZ563" s="313"/>
      <c r="BA563" s="313"/>
      <c r="BB563" s="313"/>
      <c r="BC563" s="303">
        <v>1995.123</v>
      </c>
      <c r="BD563" s="313">
        <v>0.66504099999999999</v>
      </c>
      <c r="BE563" s="313">
        <v>0.70004315789473681</v>
      </c>
      <c r="BF563" s="351"/>
      <c r="BG563" s="351">
        <v>1995.123</v>
      </c>
      <c r="BH563" s="313">
        <v>0.66504099999999999</v>
      </c>
      <c r="BI563" s="313">
        <v>0.70004315789473681</v>
      </c>
      <c r="BJ563" s="349">
        <f t="shared" si="467"/>
        <v>2850</v>
      </c>
      <c r="BK563" s="349">
        <v>2396.4989999999998</v>
      </c>
      <c r="BL563" s="313">
        <f t="shared" si="469"/>
        <v>0.7988329999999999</v>
      </c>
      <c r="BM563" s="313">
        <f t="shared" si="477"/>
        <v>0.84087684210526303</v>
      </c>
      <c r="BN563" s="205">
        <f t="shared" si="465"/>
        <v>2396.4989999999998</v>
      </c>
      <c r="BO563" s="205"/>
      <c r="BP563" s="310">
        <v>760</v>
      </c>
      <c r="BQ563" s="311">
        <f t="shared" si="470"/>
        <v>0.25333333333333335</v>
      </c>
      <c r="BR563" s="310">
        <f>2090+BP563</f>
        <v>2850</v>
      </c>
      <c r="BS563" s="311">
        <f t="shared" si="471"/>
        <v>0.95</v>
      </c>
      <c r="BT563" s="310">
        <v>2850</v>
      </c>
      <c r="BU563" s="308">
        <f t="shared" si="472"/>
        <v>0.95</v>
      </c>
      <c r="BV563" s="310">
        <v>2850</v>
      </c>
      <c r="BW563" s="311">
        <f t="shared" si="454"/>
        <v>0.95</v>
      </c>
      <c r="BX563" s="310">
        <v>2850</v>
      </c>
      <c r="BY563" s="311">
        <f t="shared" si="455"/>
        <v>0.95</v>
      </c>
      <c r="BZ563" s="310">
        <v>2850</v>
      </c>
      <c r="CA563" s="311">
        <f t="shared" si="456"/>
        <v>0.95</v>
      </c>
      <c r="CB563" s="310">
        <v>2850</v>
      </c>
      <c r="CC563" s="311">
        <f t="shared" si="483"/>
        <v>0.95</v>
      </c>
      <c r="CD563" s="310">
        <v>2850</v>
      </c>
      <c r="CE563" s="311">
        <f t="shared" si="457"/>
        <v>0.95</v>
      </c>
      <c r="CF563" s="310">
        <v>2850</v>
      </c>
      <c r="CG563" s="311">
        <f t="shared" si="458"/>
        <v>0.95</v>
      </c>
      <c r="CH563" s="310">
        <v>2850</v>
      </c>
      <c r="CI563" s="311">
        <f t="shared" si="459"/>
        <v>0.95</v>
      </c>
      <c r="CJ563" s="310">
        <v>2850</v>
      </c>
      <c r="CK563" s="311">
        <f t="shared" si="460"/>
        <v>0.95</v>
      </c>
      <c r="CL563" s="310">
        <v>2850</v>
      </c>
      <c r="CM563" s="311">
        <f t="shared" si="461"/>
        <v>0.95</v>
      </c>
      <c r="CN563" s="310">
        <v>2850</v>
      </c>
      <c r="CO563" s="311">
        <f t="shared" si="462"/>
        <v>0.95</v>
      </c>
      <c r="CP563" s="213" t="str">
        <f t="shared" si="475"/>
        <v>Đạt</v>
      </c>
      <c r="CQ563" s="213" t="str">
        <f t="shared" si="476"/>
        <v>Đạt</v>
      </c>
      <c r="CR563" s="312"/>
      <c r="CS563" s="312"/>
      <c r="CT563" s="235"/>
      <c r="CU563" s="163"/>
      <c r="CV563" s="323"/>
      <c r="CW563" s="195"/>
      <c r="CX563" s="196"/>
      <c r="CY563" s="196"/>
      <c r="CZ563" s="197"/>
      <c r="DA563" s="196"/>
      <c r="DB563" s="196"/>
      <c r="DC563" s="196"/>
      <c r="DE563" s="199"/>
      <c r="DF563" s="200"/>
      <c r="DG563" s="181"/>
    </row>
    <row r="564" spans="1:111" ht="25.5" outlineLevel="1" x14ac:dyDescent="0.25">
      <c r="A564" s="305" t="s">
        <v>34</v>
      </c>
      <c r="B564" s="306" t="s">
        <v>377</v>
      </c>
      <c r="C564" s="306"/>
      <c r="D564" s="307">
        <f>E564+F564</f>
        <v>12750</v>
      </c>
      <c r="E564" s="307"/>
      <c r="F564" s="307">
        <f>G564+H564+K564+M564</f>
        <v>12750</v>
      </c>
      <c r="G564" s="307"/>
      <c r="H564" s="307">
        <v>12750</v>
      </c>
      <c r="I564" s="235"/>
      <c r="J564" s="235"/>
      <c r="K564" s="303"/>
      <c r="L564" s="235"/>
      <c r="M564" s="223"/>
      <c r="N564" s="223"/>
      <c r="O564" s="303"/>
      <c r="P564" s="303">
        <v>0</v>
      </c>
      <c r="Q564" s="308">
        <f t="shared" si="474"/>
        <v>0</v>
      </c>
      <c r="R564" s="303"/>
      <c r="S564" s="313">
        <v>0</v>
      </c>
      <c r="T564" s="313">
        <v>0</v>
      </c>
      <c r="U564" s="303"/>
      <c r="V564" s="313">
        <v>0</v>
      </c>
      <c r="W564" s="313">
        <v>0</v>
      </c>
      <c r="X564" s="303"/>
      <c r="Y564" s="313">
        <v>0</v>
      </c>
      <c r="Z564" s="313">
        <v>0</v>
      </c>
      <c r="AA564" s="303"/>
      <c r="AB564" s="313">
        <v>0</v>
      </c>
      <c r="AC564" s="313">
        <v>0</v>
      </c>
      <c r="AD564" s="303"/>
      <c r="AE564" s="313">
        <v>0</v>
      </c>
      <c r="AF564" s="313">
        <v>0</v>
      </c>
      <c r="AG564" s="303"/>
      <c r="AH564" s="313">
        <v>0</v>
      </c>
      <c r="AI564" s="313">
        <v>0</v>
      </c>
      <c r="AJ564" s="189"/>
      <c r="AK564" s="313">
        <v>0</v>
      </c>
      <c r="AL564" s="313">
        <v>0</v>
      </c>
      <c r="AM564" s="303"/>
      <c r="AN564" s="313">
        <v>0</v>
      </c>
      <c r="AO564" s="313">
        <v>0</v>
      </c>
      <c r="AP564" s="313"/>
      <c r="AQ564" s="303">
        <v>1033.855</v>
      </c>
      <c r="AR564" s="313">
        <v>8.1086666666666668E-2</v>
      </c>
      <c r="AS564" s="313">
        <v>8.535438596491228E-2</v>
      </c>
      <c r="AT564" s="303">
        <v>1033.855</v>
      </c>
      <c r="AU564" s="313">
        <v>8.1086666666666668E-2</v>
      </c>
      <c r="AV564" s="313">
        <v>8.535438596491228E-2</v>
      </c>
      <c r="AW564" s="313"/>
      <c r="AX564" s="313"/>
      <c r="AY564" s="313"/>
      <c r="AZ564" s="313"/>
      <c r="BA564" s="313"/>
      <c r="BB564" s="313"/>
      <c r="BC564" s="303">
        <v>1033.855</v>
      </c>
      <c r="BD564" s="313">
        <v>8.1086666666666668E-2</v>
      </c>
      <c r="BE564" s="313">
        <v>8.535438596491228E-2</v>
      </c>
      <c r="BF564" s="351"/>
      <c r="BG564" s="351">
        <v>2086.2750000000001</v>
      </c>
      <c r="BH564" s="313">
        <v>0.16362941176470588</v>
      </c>
      <c r="BI564" s="313">
        <v>0.17224148606811146</v>
      </c>
      <c r="BJ564" s="349">
        <f t="shared" si="467"/>
        <v>12112.5</v>
      </c>
      <c r="BK564" s="349">
        <v>4959.1370000000006</v>
      </c>
      <c r="BL564" s="313">
        <f t="shared" si="469"/>
        <v>0.38895192156862751</v>
      </c>
      <c r="BM564" s="313">
        <f t="shared" si="477"/>
        <v>0.40942307533539735</v>
      </c>
      <c r="BN564" s="205">
        <f t="shared" si="465"/>
        <v>4959.1370000000006</v>
      </c>
      <c r="BO564" s="205"/>
      <c r="BP564" s="310"/>
      <c r="BQ564" s="311">
        <f t="shared" si="470"/>
        <v>0</v>
      </c>
      <c r="BR564" s="310"/>
      <c r="BS564" s="311">
        <f t="shared" si="471"/>
        <v>0</v>
      </c>
      <c r="BT564" s="310">
        <f>12750*0.1</f>
        <v>1275</v>
      </c>
      <c r="BU564" s="308">
        <f t="shared" si="472"/>
        <v>0.1</v>
      </c>
      <c r="BV564" s="310">
        <f>12750*0.2</f>
        <v>2550</v>
      </c>
      <c r="BW564" s="311">
        <f t="shared" si="454"/>
        <v>0.2</v>
      </c>
      <c r="BX564" s="310">
        <f>12750*0.3</f>
        <v>3825</v>
      </c>
      <c r="BY564" s="311">
        <f t="shared" si="455"/>
        <v>0.3</v>
      </c>
      <c r="BZ564" s="310">
        <f>12750*0.4</f>
        <v>5100</v>
      </c>
      <c r="CA564" s="311">
        <f t="shared" si="456"/>
        <v>0.4</v>
      </c>
      <c r="CB564" s="310">
        <f>12750*0.5</f>
        <v>6375</v>
      </c>
      <c r="CC564" s="311">
        <f t="shared" si="483"/>
        <v>0.5</v>
      </c>
      <c r="CD564" s="310">
        <f>12750*0.6</f>
        <v>7650</v>
      </c>
      <c r="CE564" s="311">
        <f t="shared" si="457"/>
        <v>0.6</v>
      </c>
      <c r="CF564" s="310">
        <f>12750*0.7</f>
        <v>8925</v>
      </c>
      <c r="CG564" s="311">
        <f t="shared" si="458"/>
        <v>0.7</v>
      </c>
      <c r="CH564" s="310">
        <f>12750*0.8</f>
        <v>10200</v>
      </c>
      <c r="CI564" s="311">
        <f t="shared" si="459"/>
        <v>0.8</v>
      </c>
      <c r="CJ564" s="310">
        <f>12750*0.85</f>
        <v>10837.5</v>
      </c>
      <c r="CK564" s="311">
        <f t="shared" si="460"/>
        <v>0.85</v>
      </c>
      <c r="CL564" s="310">
        <f>12750*0.9</f>
        <v>11475</v>
      </c>
      <c r="CM564" s="311">
        <f t="shared" si="461"/>
        <v>0.9</v>
      </c>
      <c r="CN564" s="310">
        <f>12750*0.95</f>
        <v>12112.5</v>
      </c>
      <c r="CO564" s="311">
        <f t="shared" si="462"/>
        <v>0.95</v>
      </c>
      <c r="CP564" s="213" t="str">
        <f t="shared" si="475"/>
        <v>Đạt</v>
      </c>
      <c r="CQ564" s="213" t="str">
        <f t="shared" si="476"/>
        <v>Không đạt</v>
      </c>
      <c r="CR564" s="312"/>
      <c r="CS564" s="312"/>
      <c r="CT564" s="235"/>
      <c r="CU564" s="163"/>
      <c r="CW564" s="195"/>
      <c r="CX564" s="196"/>
      <c r="CY564" s="196"/>
      <c r="CZ564" s="197"/>
      <c r="DA564" s="196"/>
      <c r="DB564" s="196"/>
      <c r="DC564" s="196"/>
      <c r="DE564" s="199"/>
      <c r="DF564" s="200"/>
      <c r="DG564" s="181"/>
    </row>
    <row r="565" spans="1:111" ht="18" customHeight="1" x14ac:dyDescent="0.25">
      <c r="A565" s="213">
        <f>MAX(A$243:A562)+1</f>
        <v>89</v>
      </c>
      <c r="B565" s="240" t="s">
        <v>506</v>
      </c>
      <c r="C565" s="240"/>
      <c r="D565" s="188">
        <f t="shared" ref="D565:I565" si="493">D566+D567</f>
        <v>3425</v>
      </c>
      <c r="E565" s="188">
        <f t="shared" si="493"/>
        <v>0</v>
      </c>
      <c r="F565" s="188">
        <f t="shared" si="493"/>
        <v>3425</v>
      </c>
      <c r="G565" s="188">
        <f t="shared" si="493"/>
        <v>3000</v>
      </c>
      <c r="H565" s="188">
        <f t="shared" si="493"/>
        <v>425</v>
      </c>
      <c r="I565" s="188">
        <f t="shared" si="493"/>
        <v>0</v>
      </c>
      <c r="J565" s="188"/>
      <c r="K565" s="188">
        <f>K566+K567</f>
        <v>0</v>
      </c>
      <c r="L565" s="188">
        <f>L566+L567</f>
        <v>0</v>
      </c>
      <c r="M565" s="188">
        <f>M566+M567</f>
        <v>0</v>
      </c>
      <c r="N565" s="188">
        <f>N566+N567</f>
        <v>0</v>
      </c>
      <c r="O565" s="188">
        <f>O566+O567</f>
        <v>3000</v>
      </c>
      <c r="P565" s="188">
        <v>0</v>
      </c>
      <c r="Q565" s="186">
        <f t="shared" si="474"/>
        <v>0</v>
      </c>
      <c r="R565" s="189">
        <v>160.94300000000001</v>
      </c>
      <c r="S565" s="185">
        <v>4.6990656934306575E-2</v>
      </c>
      <c r="T565" s="185">
        <v>4.9463849404533237E-2</v>
      </c>
      <c r="U565" s="189">
        <v>1153.056</v>
      </c>
      <c r="V565" s="185">
        <v>0.33665868613138689</v>
      </c>
      <c r="W565" s="185">
        <v>0.35437756434882828</v>
      </c>
      <c r="X565" s="189">
        <v>1153.056</v>
      </c>
      <c r="Y565" s="185">
        <v>0.33665868613138689</v>
      </c>
      <c r="Z565" s="185">
        <v>0.35437756434882828</v>
      </c>
      <c r="AA565" s="189">
        <v>1153.056</v>
      </c>
      <c r="AB565" s="185">
        <v>0.33665868613138689</v>
      </c>
      <c r="AC565" s="185">
        <v>0.35437756434882828</v>
      </c>
      <c r="AD565" s="189">
        <v>1153.056</v>
      </c>
      <c r="AE565" s="185">
        <v>0.33665868613138689</v>
      </c>
      <c r="AF565" s="185">
        <v>0.35437756434882828</v>
      </c>
      <c r="AG565" s="189">
        <v>1153.056</v>
      </c>
      <c r="AH565" s="185">
        <v>0.33665868613138689</v>
      </c>
      <c r="AI565" s="185">
        <v>0.35437756434882828</v>
      </c>
      <c r="AJ565" s="303">
        <v>1153.056</v>
      </c>
      <c r="AK565" s="185">
        <v>0.33665868613138689</v>
      </c>
      <c r="AL565" s="185">
        <v>0.35437756434882828</v>
      </c>
      <c r="AM565" s="189">
        <v>1153.056</v>
      </c>
      <c r="AN565" s="185">
        <v>0.33665868613138689</v>
      </c>
      <c r="AO565" s="185">
        <v>0.35437756434882828</v>
      </c>
      <c r="AP565" s="185"/>
      <c r="AQ565" s="189">
        <v>1327.8910000000001</v>
      </c>
      <c r="AR565" s="185">
        <v>0.38770540145985405</v>
      </c>
      <c r="AS565" s="185">
        <v>0.40811094890510952</v>
      </c>
      <c r="AT565" s="189">
        <v>1327.8910000000001</v>
      </c>
      <c r="AU565" s="185">
        <v>0.38770540145985405</v>
      </c>
      <c r="AV565" s="185">
        <v>0.40811094890510952</v>
      </c>
      <c r="AW565" s="185"/>
      <c r="AX565" s="185"/>
      <c r="AY565" s="185"/>
      <c r="AZ565" s="185"/>
      <c r="BA565" s="185"/>
      <c r="BB565" s="185"/>
      <c r="BC565" s="189">
        <v>1327.8910000000001</v>
      </c>
      <c r="BD565" s="185">
        <v>0.38770540145985405</v>
      </c>
      <c r="BE565" s="185">
        <v>0.40811094890510952</v>
      </c>
      <c r="BF565" s="352"/>
      <c r="BG565" s="352">
        <v>2116.9480000000003</v>
      </c>
      <c r="BH565" s="185">
        <v>0.61808700729927013</v>
      </c>
      <c r="BI565" s="185">
        <v>0.65061790242028439</v>
      </c>
      <c r="BJ565" s="374">
        <f t="shared" si="467"/>
        <v>3253.75</v>
      </c>
      <c r="BK565" s="374">
        <v>2116.9480000000003</v>
      </c>
      <c r="BL565" s="185">
        <f t="shared" si="469"/>
        <v>0.61808700729927013</v>
      </c>
      <c r="BM565" s="185">
        <f t="shared" si="477"/>
        <v>0.65061790242028439</v>
      </c>
      <c r="BN565" s="205">
        <f t="shared" si="465"/>
        <v>963.89200000000028</v>
      </c>
      <c r="BO565" s="205"/>
      <c r="BP565" s="189">
        <f>BP566+BP567</f>
        <v>0</v>
      </c>
      <c r="BQ565" s="186">
        <f t="shared" si="470"/>
        <v>0</v>
      </c>
      <c r="BR565" s="189">
        <f>BR566+BR567</f>
        <v>160</v>
      </c>
      <c r="BS565" s="186">
        <f t="shared" si="471"/>
        <v>4.6715328467153282E-2</v>
      </c>
      <c r="BT565" s="189">
        <f>BT566+BT567</f>
        <v>360</v>
      </c>
      <c r="BU565" s="186">
        <f t="shared" si="472"/>
        <v>0.10510948905109489</v>
      </c>
      <c r="BV565" s="189">
        <f>BV566+BV567</f>
        <v>360</v>
      </c>
      <c r="BW565" s="186">
        <f t="shared" si="454"/>
        <v>0.10510948905109489</v>
      </c>
      <c r="BX565" s="189">
        <f>BX566+BX567</f>
        <v>360</v>
      </c>
      <c r="BY565" s="186">
        <f t="shared" si="455"/>
        <v>0.10510948905109489</v>
      </c>
      <c r="BZ565" s="189">
        <f>BZ566+BZ567</f>
        <v>1260</v>
      </c>
      <c r="CA565" s="186">
        <f t="shared" si="456"/>
        <v>0.36788321167883209</v>
      </c>
      <c r="CB565" s="189">
        <f>CB566+CB567</f>
        <v>1260</v>
      </c>
      <c r="CC565" s="186">
        <f t="shared" si="483"/>
        <v>0.36788321167883209</v>
      </c>
      <c r="CD565" s="189">
        <f>CD566+CD567</f>
        <v>1260</v>
      </c>
      <c r="CE565" s="186">
        <f t="shared" si="457"/>
        <v>0.36788321167883209</v>
      </c>
      <c r="CF565" s="189">
        <f>CF566+CF567</f>
        <v>1260</v>
      </c>
      <c r="CG565" s="186">
        <f t="shared" si="458"/>
        <v>0.36788321167883209</v>
      </c>
      <c r="CH565" s="189">
        <f>CH566+CH567</f>
        <v>1260</v>
      </c>
      <c r="CI565" s="186">
        <f t="shared" si="459"/>
        <v>0.36788321167883209</v>
      </c>
      <c r="CJ565" s="189">
        <f>CJ566+CJ567</f>
        <v>1260</v>
      </c>
      <c r="CK565" s="186">
        <f t="shared" si="460"/>
        <v>0.36788321167883209</v>
      </c>
      <c r="CL565" s="189">
        <f>CL566+CL567</f>
        <v>3253.75</v>
      </c>
      <c r="CM565" s="186">
        <f t="shared" si="461"/>
        <v>0.95</v>
      </c>
      <c r="CN565" s="189">
        <f>CN566+CN567</f>
        <v>3253.75</v>
      </c>
      <c r="CO565" s="186">
        <f t="shared" si="462"/>
        <v>0.95</v>
      </c>
      <c r="CP565" s="213" t="str">
        <f t="shared" si="475"/>
        <v>Đạt</v>
      </c>
      <c r="CQ565" s="213" t="str">
        <f t="shared" si="476"/>
        <v>Đạt</v>
      </c>
      <c r="CR565" s="213"/>
      <c r="CS565" s="213"/>
      <c r="CT565" s="231"/>
      <c r="CU565" s="163"/>
      <c r="CW565" s="195"/>
      <c r="CX565" s="196"/>
      <c r="CY565" s="196"/>
      <c r="CZ565" s="197"/>
      <c r="DA565" s="196"/>
      <c r="DB565" s="196"/>
      <c r="DC565" s="196"/>
      <c r="DE565" s="199"/>
      <c r="DF565" s="200"/>
      <c r="DG565" s="181"/>
    </row>
    <row r="566" spans="1:111" s="324" customFormat="1" outlineLevel="1" x14ac:dyDescent="0.25">
      <c r="A566" s="305" t="s">
        <v>34</v>
      </c>
      <c r="B566" s="306" t="s">
        <v>376</v>
      </c>
      <c r="C566" s="306"/>
      <c r="D566" s="307">
        <f>E566+F566</f>
        <v>3000</v>
      </c>
      <c r="E566" s="307"/>
      <c r="F566" s="307">
        <f>G566+H566+K566+M566</f>
        <v>3000</v>
      </c>
      <c r="G566" s="303">
        <v>3000</v>
      </c>
      <c r="H566" s="303"/>
      <c r="I566" s="235"/>
      <c r="J566" s="235"/>
      <c r="K566" s="303"/>
      <c r="L566" s="235"/>
      <c r="M566" s="223"/>
      <c r="N566" s="223"/>
      <c r="O566" s="303">
        <f t="shared" ref="O566:O588" si="494">G566+I566+L566+N566</f>
        <v>3000</v>
      </c>
      <c r="P566" s="303">
        <v>0</v>
      </c>
      <c r="Q566" s="308">
        <f t="shared" si="474"/>
        <v>0</v>
      </c>
      <c r="R566" s="303">
        <v>160.94300000000001</v>
      </c>
      <c r="S566" s="313">
        <v>5.364766666666667E-2</v>
      </c>
      <c r="T566" s="313">
        <v>5.647122807017544E-2</v>
      </c>
      <c r="U566" s="303">
        <v>1153.056</v>
      </c>
      <c r="V566" s="313">
        <v>0.38435200000000003</v>
      </c>
      <c r="W566" s="313">
        <v>0.40458105263157895</v>
      </c>
      <c r="X566" s="303">
        <v>1153.056</v>
      </c>
      <c r="Y566" s="313">
        <v>0.38435200000000003</v>
      </c>
      <c r="Z566" s="313">
        <v>0.40458105263157895</v>
      </c>
      <c r="AA566" s="303">
        <v>1153.056</v>
      </c>
      <c r="AB566" s="313">
        <v>0.38435200000000003</v>
      </c>
      <c r="AC566" s="313">
        <v>0.40458105263157895</v>
      </c>
      <c r="AD566" s="303">
        <v>1153.056</v>
      </c>
      <c r="AE566" s="313">
        <v>0.38435200000000003</v>
      </c>
      <c r="AF566" s="313">
        <v>0.40458105263157895</v>
      </c>
      <c r="AG566" s="303">
        <v>1153.056</v>
      </c>
      <c r="AH566" s="313">
        <v>0.38435200000000003</v>
      </c>
      <c r="AI566" s="313">
        <v>0.40458105263157895</v>
      </c>
      <c r="AJ566" s="303">
        <v>1153.056</v>
      </c>
      <c r="AK566" s="313">
        <v>0.38435200000000003</v>
      </c>
      <c r="AL566" s="313">
        <v>0.40458105263157895</v>
      </c>
      <c r="AM566" s="303">
        <v>1153.056</v>
      </c>
      <c r="AN566" s="313">
        <v>0.38435200000000003</v>
      </c>
      <c r="AO566" s="313">
        <v>0.40458105263157895</v>
      </c>
      <c r="AP566" s="313"/>
      <c r="AQ566" s="303">
        <v>1327.8910000000001</v>
      </c>
      <c r="AR566" s="313">
        <v>0.44263033333333335</v>
      </c>
      <c r="AS566" s="313">
        <v>0.46592666666666671</v>
      </c>
      <c r="AT566" s="303">
        <v>1327.8910000000001</v>
      </c>
      <c r="AU566" s="313">
        <v>0.44263033333333335</v>
      </c>
      <c r="AV566" s="313">
        <v>0.46592666666666671</v>
      </c>
      <c r="AW566" s="313"/>
      <c r="AX566" s="313"/>
      <c r="AY566" s="313"/>
      <c r="AZ566" s="313"/>
      <c r="BA566" s="313"/>
      <c r="BB566" s="313"/>
      <c r="BC566" s="303">
        <v>1327.8910000000001</v>
      </c>
      <c r="BD566" s="313">
        <v>0.44263033333333335</v>
      </c>
      <c r="BE566" s="313">
        <v>0.46592666666666671</v>
      </c>
      <c r="BF566" s="351"/>
      <c r="BG566" s="351">
        <v>2116.9480000000003</v>
      </c>
      <c r="BH566" s="313">
        <v>0.70564933333333346</v>
      </c>
      <c r="BI566" s="313">
        <v>0.74278877192982462</v>
      </c>
      <c r="BJ566" s="349">
        <f t="shared" si="467"/>
        <v>2850</v>
      </c>
      <c r="BK566" s="349">
        <v>2116.9480000000003</v>
      </c>
      <c r="BL566" s="313">
        <f t="shared" si="469"/>
        <v>0.70564933333333346</v>
      </c>
      <c r="BM566" s="313">
        <f t="shared" si="477"/>
        <v>0.74278877192982462</v>
      </c>
      <c r="BN566" s="205">
        <f t="shared" si="465"/>
        <v>963.89200000000028</v>
      </c>
      <c r="BO566" s="205"/>
      <c r="BP566" s="310"/>
      <c r="BQ566" s="311">
        <f t="shared" si="470"/>
        <v>0</v>
      </c>
      <c r="BR566" s="310">
        <v>160</v>
      </c>
      <c r="BS566" s="311">
        <f t="shared" si="471"/>
        <v>5.3333333333333337E-2</v>
      </c>
      <c r="BT566" s="310">
        <v>360</v>
      </c>
      <c r="BU566" s="308">
        <f t="shared" si="472"/>
        <v>0.12</v>
      </c>
      <c r="BV566" s="310">
        <v>360</v>
      </c>
      <c r="BW566" s="311">
        <f t="shared" si="454"/>
        <v>0.12</v>
      </c>
      <c r="BX566" s="310">
        <v>360</v>
      </c>
      <c r="BY566" s="311">
        <f t="shared" si="455"/>
        <v>0.12</v>
      </c>
      <c r="BZ566" s="310">
        <v>1260</v>
      </c>
      <c r="CA566" s="311">
        <f t="shared" si="456"/>
        <v>0.42</v>
      </c>
      <c r="CB566" s="310">
        <v>1260</v>
      </c>
      <c r="CC566" s="311">
        <f t="shared" si="483"/>
        <v>0.42</v>
      </c>
      <c r="CD566" s="310">
        <v>1260</v>
      </c>
      <c r="CE566" s="311">
        <f t="shared" si="457"/>
        <v>0.42</v>
      </c>
      <c r="CF566" s="310">
        <v>1260</v>
      </c>
      <c r="CG566" s="311">
        <f t="shared" si="458"/>
        <v>0.42</v>
      </c>
      <c r="CH566" s="310">
        <v>1260</v>
      </c>
      <c r="CI566" s="311">
        <f t="shared" si="459"/>
        <v>0.42</v>
      </c>
      <c r="CJ566" s="310">
        <v>1260</v>
      </c>
      <c r="CK566" s="311">
        <f t="shared" si="460"/>
        <v>0.42</v>
      </c>
      <c r="CL566" s="310">
        <v>2850</v>
      </c>
      <c r="CM566" s="311">
        <f t="shared" si="461"/>
        <v>0.95</v>
      </c>
      <c r="CN566" s="310">
        <v>2850</v>
      </c>
      <c r="CO566" s="311">
        <f t="shared" si="462"/>
        <v>0.95</v>
      </c>
      <c r="CP566" s="213" t="str">
        <f t="shared" si="475"/>
        <v>Đạt</v>
      </c>
      <c r="CQ566" s="213" t="str">
        <f t="shared" si="476"/>
        <v>Đạt</v>
      </c>
      <c r="CR566" s="312"/>
      <c r="CS566" s="312"/>
      <c r="CT566" s="235"/>
      <c r="CU566" s="163"/>
      <c r="CV566" s="323"/>
      <c r="CW566" s="195"/>
      <c r="CX566" s="196"/>
      <c r="CY566" s="196"/>
      <c r="CZ566" s="197"/>
      <c r="DA566" s="196"/>
      <c r="DB566" s="196"/>
      <c r="DC566" s="196"/>
      <c r="DE566" s="199"/>
      <c r="DF566" s="200"/>
      <c r="DG566" s="181"/>
    </row>
    <row r="567" spans="1:111" ht="25.5" outlineLevel="1" x14ac:dyDescent="0.25">
      <c r="A567" s="305" t="s">
        <v>34</v>
      </c>
      <c r="B567" s="306" t="s">
        <v>377</v>
      </c>
      <c r="C567" s="306"/>
      <c r="D567" s="307">
        <f>E567+F567</f>
        <v>425</v>
      </c>
      <c r="E567" s="307"/>
      <c r="F567" s="307">
        <f>G567+H567+K567+M567</f>
        <v>425</v>
      </c>
      <c r="G567" s="307"/>
      <c r="H567" s="307">
        <v>425</v>
      </c>
      <c r="I567" s="235"/>
      <c r="J567" s="235"/>
      <c r="K567" s="303"/>
      <c r="L567" s="235"/>
      <c r="M567" s="223"/>
      <c r="N567" s="223"/>
      <c r="O567" s="303"/>
      <c r="P567" s="303">
        <v>0</v>
      </c>
      <c r="Q567" s="308">
        <f t="shared" si="474"/>
        <v>0</v>
      </c>
      <c r="R567" s="303"/>
      <c r="S567" s="313">
        <v>0</v>
      </c>
      <c r="T567" s="313">
        <v>0</v>
      </c>
      <c r="U567" s="303"/>
      <c r="V567" s="313">
        <v>0</v>
      </c>
      <c r="W567" s="313">
        <v>0</v>
      </c>
      <c r="X567" s="303"/>
      <c r="Y567" s="313">
        <v>0</v>
      </c>
      <c r="Z567" s="313">
        <v>0</v>
      </c>
      <c r="AA567" s="303"/>
      <c r="AB567" s="313">
        <v>0</v>
      </c>
      <c r="AC567" s="313">
        <v>0</v>
      </c>
      <c r="AD567" s="303"/>
      <c r="AE567" s="313">
        <v>0</v>
      </c>
      <c r="AF567" s="313">
        <v>0</v>
      </c>
      <c r="AG567" s="303"/>
      <c r="AH567" s="313">
        <v>0</v>
      </c>
      <c r="AI567" s="313">
        <v>0</v>
      </c>
      <c r="AJ567" s="188"/>
      <c r="AK567" s="313">
        <v>0</v>
      </c>
      <c r="AL567" s="313">
        <v>0</v>
      </c>
      <c r="AM567" s="303"/>
      <c r="AN567" s="313">
        <v>0</v>
      </c>
      <c r="AO567" s="313">
        <v>0</v>
      </c>
      <c r="AP567" s="313"/>
      <c r="AQ567" s="303"/>
      <c r="AR567" s="313">
        <v>0</v>
      </c>
      <c r="AS567" s="313">
        <v>0</v>
      </c>
      <c r="AT567" s="303"/>
      <c r="AU567" s="313">
        <v>0</v>
      </c>
      <c r="AV567" s="313">
        <v>0</v>
      </c>
      <c r="AW567" s="313"/>
      <c r="AX567" s="313"/>
      <c r="AY567" s="313"/>
      <c r="AZ567" s="313"/>
      <c r="BA567" s="313"/>
      <c r="BB567" s="313"/>
      <c r="BC567" s="303"/>
      <c r="BD567" s="313">
        <v>0</v>
      </c>
      <c r="BE567" s="313">
        <v>0</v>
      </c>
      <c r="BF567" s="351"/>
      <c r="BG567" s="351">
        <v>0</v>
      </c>
      <c r="BH567" s="313">
        <v>0</v>
      </c>
      <c r="BI567" s="313">
        <v>0</v>
      </c>
      <c r="BJ567" s="349">
        <f t="shared" si="467"/>
        <v>403.75</v>
      </c>
      <c r="BK567" s="349">
        <v>0</v>
      </c>
      <c r="BL567" s="313">
        <f t="shared" si="469"/>
        <v>0</v>
      </c>
      <c r="BM567" s="313">
        <f t="shared" si="477"/>
        <v>0</v>
      </c>
      <c r="BN567" s="205">
        <f t="shared" si="465"/>
        <v>0</v>
      </c>
      <c r="BO567" s="205"/>
      <c r="BP567" s="310"/>
      <c r="BQ567" s="311">
        <f t="shared" si="470"/>
        <v>0</v>
      </c>
      <c r="BR567" s="310"/>
      <c r="BS567" s="311">
        <f t="shared" si="471"/>
        <v>0</v>
      </c>
      <c r="BT567" s="310"/>
      <c r="BU567" s="308">
        <f t="shared" si="472"/>
        <v>0</v>
      </c>
      <c r="BV567" s="310"/>
      <c r="BW567" s="311">
        <f t="shared" si="454"/>
        <v>0</v>
      </c>
      <c r="BX567" s="310"/>
      <c r="BY567" s="311">
        <f t="shared" si="455"/>
        <v>0</v>
      </c>
      <c r="BZ567" s="310"/>
      <c r="CA567" s="311">
        <f t="shared" si="456"/>
        <v>0</v>
      </c>
      <c r="CB567" s="310"/>
      <c r="CC567" s="311">
        <f t="shared" si="483"/>
        <v>0</v>
      </c>
      <c r="CD567" s="310"/>
      <c r="CE567" s="311">
        <f t="shared" si="457"/>
        <v>0</v>
      </c>
      <c r="CF567" s="310"/>
      <c r="CG567" s="311">
        <f t="shared" si="458"/>
        <v>0</v>
      </c>
      <c r="CH567" s="310"/>
      <c r="CI567" s="311">
        <f t="shared" si="459"/>
        <v>0</v>
      </c>
      <c r="CJ567" s="310"/>
      <c r="CK567" s="311">
        <f t="shared" si="460"/>
        <v>0</v>
      </c>
      <c r="CL567" s="310">
        <f>425*0.95</f>
        <v>403.75</v>
      </c>
      <c r="CM567" s="311">
        <f t="shared" si="461"/>
        <v>0.95</v>
      </c>
      <c r="CN567" s="310">
        <f>425*0.95</f>
        <v>403.75</v>
      </c>
      <c r="CO567" s="311">
        <f t="shared" si="462"/>
        <v>0.95</v>
      </c>
      <c r="CP567" s="213" t="str">
        <f t="shared" si="475"/>
        <v>Không đạt</v>
      </c>
      <c r="CQ567" s="213" t="str">
        <f t="shared" si="476"/>
        <v>Không đạt</v>
      </c>
      <c r="CR567" s="312"/>
      <c r="CS567" s="312"/>
      <c r="CT567" s="235"/>
      <c r="CU567" s="163"/>
      <c r="CW567" s="195"/>
      <c r="CX567" s="196"/>
      <c r="CY567" s="196"/>
      <c r="CZ567" s="197"/>
      <c r="DA567" s="196"/>
      <c r="DB567" s="196"/>
      <c r="DC567" s="196"/>
      <c r="DE567" s="199"/>
      <c r="DF567" s="200"/>
      <c r="DG567" s="181"/>
    </row>
    <row r="568" spans="1:111" ht="18" customHeight="1" x14ac:dyDescent="0.25">
      <c r="A568" s="213">
        <f>MAX(A$243:A565)+1</f>
        <v>90</v>
      </c>
      <c r="B568" s="240" t="s">
        <v>507</v>
      </c>
      <c r="C568" s="240"/>
      <c r="D568" s="188">
        <f t="shared" ref="D568:I568" si="495">D569+D570</f>
        <v>3425</v>
      </c>
      <c r="E568" s="188">
        <f t="shared" si="495"/>
        <v>0</v>
      </c>
      <c r="F568" s="188">
        <f t="shared" si="495"/>
        <v>3425</v>
      </c>
      <c r="G568" s="188">
        <f t="shared" si="495"/>
        <v>3000</v>
      </c>
      <c r="H568" s="188">
        <f t="shared" si="495"/>
        <v>425</v>
      </c>
      <c r="I568" s="188">
        <f t="shared" si="495"/>
        <v>0</v>
      </c>
      <c r="J568" s="188"/>
      <c r="K568" s="188">
        <f>K569+K570</f>
        <v>0</v>
      </c>
      <c r="L568" s="188">
        <f>L569+L570</f>
        <v>0</v>
      </c>
      <c r="M568" s="188">
        <f>M569+M570</f>
        <v>0</v>
      </c>
      <c r="N568" s="188">
        <f>N569+N570</f>
        <v>0</v>
      </c>
      <c r="O568" s="188">
        <f>O569+O570</f>
        <v>3000</v>
      </c>
      <c r="P568" s="188">
        <v>0</v>
      </c>
      <c r="Q568" s="186">
        <f t="shared" si="474"/>
        <v>0</v>
      </c>
      <c r="R568" s="188">
        <v>0</v>
      </c>
      <c r="S568" s="185">
        <v>0</v>
      </c>
      <c r="T568" s="185">
        <v>0</v>
      </c>
      <c r="U568" s="188">
        <v>0</v>
      </c>
      <c r="V568" s="185">
        <v>0</v>
      </c>
      <c r="W568" s="185">
        <v>0</v>
      </c>
      <c r="X568" s="188">
        <v>0</v>
      </c>
      <c r="Y568" s="185">
        <v>0</v>
      </c>
      <c r="Z568" s="185">
        <v>0</v>
      </c>
      <c r="AA568" s="188">
        <v>0</v>
      </c>
      <c r="AB568" s="185">
        <v>0</v>
      </c>
      <c r="AC568" s="185">
        <v>0</v>
      </c>
      <c r="AD568" s="188">
        <v>73.599999999999994</v>
      </c>
      <c r="AE568" s="185">
        <v>2.1489051094890511E-2</v>
      </c>
      <c r="AF568" s="185">
        <v>2.2620053784095272E-2</v>
      </c>
      <c r="AG568" s="188">
        <v>73.599999999999994</v>
      </c>
      <c r="AH568" s="185">
        <v>2.1489051094890511E-2</v>
      </c>
      <c r="AI568" s="185">
        <v>2.2620053784095272E-2</v>
      </c>
      <c r="AJ568" s="307">
        <v>73.599999999999994</v>
      </c>
      <c r="AK568" s="185">
        <v>2.1489051094890511E-2</v>
      </c>
      <c r="AL568" s="185">
        <v>2.2620053784095272E-2</v>
      </c>
      <c r="AM568" s="188">
        <v>73.599999999999994</v>
      </c>
      <c r="AN568" s="185">
        <v>2.1489051094890511E-2</v>
      </c>
      <c r="AO568" s="185">
        <v>2.2620053784095272E-2</v>
      </c>
      <c r="AP568" s="185"/>
      <c r="AQ568" s="188">
        <v>1406.2</v>
      </c>
      <c r="AR568" s="185">
        <v>0.41056934306569343</v>
      </c>
      <c r="AS568" s="185">
        <v>0.43217825585862468</v>
      </c>
      <c r="AT568" s="188">
        <v>1406.2</v>
      </c>
      <c r="AU568" s="185">
        <v>0.41056934306569343</v>
      </c>
      <c r="AV568" s="185">
        <v>0.43217825585862468</v>
      </c>
      <c r="AW568" s="185"/>
      <c r="AX568" s="185"/>
      <c r="AY568" s="185"/>
      <c r="AZ568" s="185"/>
      <c r="BA568" s="185"/>
      <c r="BB568" s="185"/>
      <c r="BC568" s="188">
        <v>1406.2</v>
      </c>
      <c r="BD568" s="185">
        <v>0.41056934306569343</v>
      </c>
      <c r="BE568" s="185">
        <v>0.43217825585862468</v>
      </c>
      <c r="BF568" s="352"/>
      <c r="BG568" s="352">
        <v>1406.2</v>
      </c>
      <c r="BH568" s="185">
        <v>0.41056934306569343</v>
      </c>
      <c r="BI568" s="185">
        <v>0.43217825585862468</v>
      </c>
      <c r="BJ568" s="374">
        <f t="shared" si="467"/>
        <v>3253.75</v>
      </c>
      <c r="BK568" s="374">
        <v>2188.1999999999998</v>
      </c>
      <c r="BL568" s="185">
        <f t="shared" si="469"/>
        <v>0.63889051094890503</v>
      </c>
      <c r="BM568" s="185">
        <f t="shared" si="477"/>
        <v>0.67251632731463695</v>
      </c>
      <c r="BN568" s="205">
        <f t="shared" si="465"/>
        <v>2114.6</v>
      </c>
      <c r="BO568" s="205"/>
      <c r="BP568" s="189">
        <f>BP569+BP570</f>
        <v>0</v>
      </c>
      <c r="BQ568" s="186">
        <f t="shared" si="470"/>
        <v>0</v>
      </c>
      <c r="BR568" s="189">
        <f>BR569+BR570</f>
        <v>0</v>
      </c>
      <c r="BS568" s="186">
        <f t="shared" si="471"/>
        <v>0</v>
      </c>
      <c r="BT568" s="189">
        <f>BT569+BT570</f>
        <v>342.5</v>
      </c>
      <c r="BU568" s="186">
        <f t="shared" si="472"/>
        <v>0.1</v>
      </c>
      <c r="BV568" s="189">
        <f>BV569+BV570</f>
        <v>685</v>
      </c>
      <c r="BW568" s="186">
        <f t="shared" si="454"/>
        <v>0.2</v>
      </c>
      <c r="BX568" s="189">
        <f>BX569+BX570</f>
        <v>1027.5</v>
      </c>
      <c r="BY568" s="186">
        <f t="shared" si="455"/>
        <v>0.3</v>
      </c>
      <c r="BZ568" s="189">
        <f>BZ569+BZ570</f>
        <v>1370</v>
      </c>
      <c r="CA568" s="186">
        <f t="shared" si="456"/>
        <v>0.4</v>
      </c>
      <c r="CB568" s="189">
        <f>CB569+CB570</f>
        <v>1712.5</v>
      </c>
      <c r="CC568" s="186">
        <f t="shared" si="483"/>
        <v>0.5</v>
      </c>
      <c r="CD568" s="189">
        <f>CD569+CD570</f>
        <v>1883.7500000000002</v>
      </c>
      <c r="CE568" s="186">
        <f t="shared" si="457"/>
        <v>0.55000000000000004</v>
      </c>
      <c r="CF568" s="189">
        <f>CF569+CF570</f>
        <v>2397.5</v>
      </c>
      <c r="CG568" s="186">
        <f t="shared" si="458"/>
        <v>0.7</v>
      </c>
      <c r="CH568" s="189">
        <f>CH569+CH570</f>
        <v>2397.5</v>
      </c>
      <c r="CI568" s="186">
        <f t="shared" si="459"/>
        <v>0.7</v>
      </c>
      <c r="CJ568" s="189">
        <f>CJ569+CJ570</f>
        <v>2568.75</v>
      </c>
      <c r="CK568" s="186">
        <f t="shared" si="460"/>
        <v>0.75</v>
      </c>
      <c r="CL568" s="189">
        <f>CL569+CL570</f>
        <v>2740</v>
      </c>
      <c r="CM568" s="186">
        <f t="shared" si="461"/>
        <v>0.8</v>
      </c>
      <c r="CN568" s="189">
        <f>CN569+CN570</f>
        <v>3253.75</v>
      </c>
      <c r="CO568" s="186">
        <f t="shared" si="462"/>
        <v>0.95</v>
      </c>
      <c r="CP568" s="213" t="str">
        <f t="shared" si="475"/>
        <v>Đạt</v>
      </c>
      <c r="CQ568" s="213" t="str">
        <f t="shared" si="476"/>
        <v>Đạt</v>
      </c>
      <c r="CR568" s="213"/>
      <c r="CS568" s="213"/>
      <c r="CT568" s="231"/>
      <c r="CU568" s="163"/>
      <c r="CW568" s="195"/>
      <c r="CX568" s="196"/>
      <c r="CY568" s="196"/>
      <c r="CZ568" s="197"/>
      <c r="DA568" s="196"/>
      <c r="DB568" s="196"/>
      <c r="DC568" s="196"/>
      <c r="DE568" s="199"/>
      <c r="DF568" s="200"/>
      <c r="DG568" s="181"/>
    </row>
    <row r="569" spans="1:111" s="324" customFormat="1" outlineLevel="1" x14ac:dyDescent="0.25">
      <c r="A569" s="305" t="s">
        <v>34</v>
      </c>
      <c r="B569" s="306" t="s">
        <v>376</v>
      </c>
      <c r="C569" s="306"/>
      <c r="D569" s="307">
        <f>E569+F569</f>
        <v>3000</v>
      </c>
      <c r="E569" s="307"/>
      <c r="F569" s="307">
        <f>G569+H569+K569+M569</f>
        <v>3000</v>
      </c>
      <c r="G569" s="303">
        <v>3000</v>
      </c>
      <c r="H569" s="303"/>
      <c r="I569" s="235"/>
      <c r="J569" s="235"/>
      <c r="K569" s="303"/>
      <c r="L569" s="235"/>
      <c r="M569" s="223"/>
      <c r="N569" s="223"/>
      <c r="O569" s="303">
        <f t="shared" si="494"/>
        <v>3000</v>
      </c>
      <c r="P569" s="303">
        <v>0</v>
      </c>
      <c r="Q569" s="308">
        <f t="shared" si="474"/>
        <v>0</v>
      </c>
      <c r="R569" s="303"/>
      <c r="S569" s="309">
        <v>0</v>
      </c>
      <c r="T569" s="309">
        <v>0</v>
      </c>
      <c r="U569" s="303"/>
      <c r="V569" s="309">
        <v>0</v>
      </c>
      <c r="W569" s="309">
        <v>0</v>
      </c>
      <c r="X569" s="303"/>
      <c r="Y569" s="309">
        <v>0</v>
      </c>
      <c r="Z569" s="309">
        <v>0</v>
      </c>
      <c r="AA569" s="303"/>
      <c r="AB569" s="309">
        <v>0</v>
      </c>
      <c r="AC569" s="309">
        <v>0</v>
      </c>
      <c r="AD569" s="303">
        <v>73.599999999999994</v>
      </c>
      <c r="AE569" s="309">
        <v>2.4533333333333331E-2</v>
      </c>
      <c r="AF569" s="309">
        <v>2.5824561403508771E-2</v>
      </c>
      <c r="AG569" s="307">
        <v>73.599999999999994</v>
      </c>
      <c r="AH569" s="309">
        <v>2.4533333333333331E-2</v>
      </c>
      <c r="AI569" s="309">
        <v>2.5824561403508771E-2</v>
      </c>
      <c r="AJ569" s="303">
        <v>73.599999999999994</v>
      </c>
      <c r="AK569" s="309">
        <v>2.4533333333333331E-2</v>
      </c>
      <c r="AL569" s="309">
        <v>2.5824561403508771E-2</v>
      </c>
      <c r="AM569" s="307">
        <v>73.599999999999994</v>
      </c>
      <c r="AN569" s="309">
        <v>2.4533333333333331E-2</v>
      </c>
      <c r="AO569" s="309">
        <v>2.5824561403508771E-2</v>
      </c>
      <c r="AP569" s="309"/>
      <c r="AQ569" s="307">
        <v>1406.2</v>
      </c>
      <c r="AR569" s="309">
        <v>0.46873333333333334</v>
      </c>
      <c r="AS569" s="309">
        <v>0.49340350877192984</v>
      </c>
      <c r="AT569" s="307">
        <v>1406.2</v>
      </c>
      <c r="AU569" s="309">
        <v>0.46873333333333334</v>
      </c>
      <c r="AV569" s="309">
        <v>0.49340350877192984</v>
      </c>
      <c r="AW569" s="309"/>
      <c r="AX569" s="309"/>
      <c r="AY569" s="309"/>
      <c r="AZ569" s="309"/>
      <c r="BA569" s="309"/>
      <c r="BB569" s="309"/>
      <c r="BC569" s="307">
        <v>1406.2</v>
      </c>
      <c r="BD569" s="309">
        <v>0.46873333333333334</v>
      </c>
      <c r="BE569" s="309">
        <v>0.49340350877192984</v>
      </c>
      <c r="BF569" s="351"/>
      <c r="BG569" s="351">
        <v>1406.2</v>
      </c>
      <c r="BH569" s="309">
        <v>0.46873333333333334</v>
      </c>
      <c r="BI569" s="309">
        <v>0.49340350877192984</v>
      </c>
      <c r="BJ569" s="349">
        <f t="shared" si="467"/>
        <v>2850</v>
      </c>
      <c r="BK569" s="349">
        <v>2188.1999999999998</v>
      </c>
      <c r="BL569" s="309">
        <f t="shared" si="469"/>
        <v>0.72939999999999994</v>
      </c>
      <c r="BM569" s="309">
        <f t="shared" si="477"/>
        <v>0.76778947368421047</v>
      </c>
      <c r="BN569" s="205">
        <f t="shared" si="465"/>
        <v>2114.6</v>
      </c>
      <c r="BO569" s="205"/>
      <c r="BP569" s="310"/>
      <c r="BQ569" s="308">
        <f t="shared" si="470"/>
        <v>0</v>
      </c>
      <c r="BR569" s="310"/>
      <c r="BS569" s="308">
        <f t="shared" si="471"/>
        <v>0</v>
      </c>
      <c r="BT569" s="310">
        <f>$F569*0.1</f>
        <v>300</v>
      </c>
      <c r="BU569" s="308">
        <f t="shared" si="472"/>
        <v>0.1</v>
      </c>
      <c r="BV569" s="310">
        <f>$F569*0.2</f>
        <v>600</v>
      </c>
      <c r="BW569" s="308">
        <f t="shared" si="454"/>
        <v>0.2</v>
      </c>
      <c r="BX569" s="310">
        <f>$F569*0.3</f>
        <v>900</v>
      </c>
      <c r="BY569" s="308">
        <f t="shared" si="455"/>
        <v>0.3</v>
      </c>
      <c r="BZ569" s="310">
        <f>$F569*0.4</f>
        <v>1200</v>
      </c>
      <c r="CA569" s="308">
        <f t="shared" si="456"/>
        <v>0.4</v>
      </c>
      <c r="CB569" s="310">
        <f>$F569*0.5</f>
        <v>1500</v>
      </c>
      <c r="CC569" s="308">
        <f t="shared" si="483"/>
        <v>0.5</v>
      </c>
      <c r="CD569" s="310">
        <f>$F569*0.55</f>
        <v>1650.0000000000002</v>
      </c>
      <c r="CE569" s="308">
        <f t="shared" si="457"/>
        <v>0.55000000000000004</v>
      </c>
      <c r="CF569" s="310">
        <v>2100</v>
      </c>
      <c r="CG569" s="308">
        <f t="shared" si="458"/>
        <v>0.7</v>
      </c>
      <c r="CH569" s="310">
        <f>$F569*0.7</f>
        <v>2100</v>
      </c>
      <c r="CI569" s="308">
        <f t="shared" si="459"/>
        <v>0.7</v>
      </c>
      <c r="CJ569" s="310">
        <f>$F569*0.75</f>
        <v>2250</v>
      </c>
      <c r="CK569" s="308">
        <f t="shared" si="460"/>
        <v>0.75</v>
      </c>
      <c r="CL569" s="310">
        <f>$F569*0.8</f>
        <v>2400</v>
      </c>
      <c r="CM569" s="308">
        <f t="shared" si="461"/>
        <v>0.8</v>
      </c>
      <c r="CN569" s="310">
        <f>$F569*0.95</f>
        <v>2850</v>
      </c>
      <c r="CO569" s="308">
        <f t="shared" si="462"/>
        <v>0.95</v>
      </c>
      <c r="CP569" s="213" t="str">
        <f t="shared" si="475"/>
        <v>Đạt</v>
      </c>
      <c r="CQ569" s="213" t="str">
        <f t="shared" si="476"/>
        <v>Đạt</v>
      </c>
      <c r="CR569" s="312"/>
      <c r="CS569" s="312"/>
      <c r="CT569" s="235"/>
      <c r="CU569" s="163"/>
      <c r="CV569" s="323"/>
      <c r="CW569" s="195"/>
      <c r="CX569" s="196"/>
      <c r="CY569" s="196"/>
      <c r="CZ569" s="197"/>
      <c r="DA569" s="196"/>
      <c r="DB569" s="196"/>
      <c r="DC569" s="196"/>
      <c r="DE569" s="199"/>
      <c r="DF569" s="200"/>
      <c r="DG569" s="181"/>
    </row>
    <row r="570" spans="1:111" ht="25.5" outlineLevel="1" x14ac:dyDescent="0.25">
      <c r="A570" s="305" t="s">
        <v>34</v>
      </c>
      <c r="B570" s="306" t="s">
        <v>377</v>
      </c>
      <c r="C570" s="306"/>
      <c r="D570" s="307">
        <f>E570+F570</f>
        <v>425</v>
      </c>
      <c r="E570" s="307"/>
      <c r="F570" s="307">
        <f>G570+H570+K570+M570</f>
        <v>425</v>
      </c>
      <c r="G570" s="307"/>
      <c r="H570" s="307">
        <v>425</v>
      </c>
      <c r="I570" s="235"/>
      <c r="J570" s="235"/>
      <c r="K570" s="303"/>
      <c r="L570" s="235"/>
      <c r="M570" s="223"/>
      <c r="N570" s="223"/>
      <c r="O570" s="303"/>
      <c r="P570" s="303">
        <v>0</v>
      </c>
      <c r="Q570" s="308">
        <f t="shared" si="474"/>
        <v>0</v>
      </c>
      <c r="R570" s="303"/>
      <c r="S570" s="309">
        <v>0</v>
      </c>
      <c r="T570" s="309">
        <v>0</v>
      </c>
      <c r="U570" s="303"/>
      <c r="V570" s="309">
        <v>0</v>
      </c>
      <c r="W570" s="309">
        <v>0</v>
      </c>
      <c r="X570" s="303"/>
      <c r="Y570" s="309">
        <v>0</v>
      </c>
      <c r="Z570" s="309">
        <v>0</v>
      </c>
      <c r="AA570" s="303"/>
      <c r="AB570" s="309">
        <v>0</v>
      </c>
      <c r="AC570" s="309">
        <v>0</v>
      </c>
      <c r="AD570" s="303"/>
      <c r="AE570" s="309">
        <v>0</v>
      </c>
      <c r="AF570" s="309">
        <v>0</v>
      </c>
      <c r="AG570" s="303"/>
      <c r="AH570" s="309">
        <v>0</v>
      </c>
      <c r="AI570" s="309">
        <v>0</v>
      </c>
      <c r="AJ570" s="188"/>
      <c r="AK570" s="309">
        <v>0</v>
      </c>
      <c r="AL570" s="309">
        <v>0</v>
      </c>
      <c r="AM570" s="303"/>
      <c r="AN570" s="309">
        <v>0</v>
      </c>
      <c r="AO570" s="309">
        <v>0</v>
      </c>
      <c r="AP570" s="309"/>
      <c r="AQ570" s="303"/>
      <c r="AR570" s="309">
        <v>0</v>
      </c>
      <c r="AS570" s="309">
        <v>0</v>
      </c>
      <c r="AT570" s="303"/>
      <c r="AU570" s="309">
        <v>0</v>
      </c>
      <c r="AV570" s="309">
        <v>0</v>
      </c>
      <c r="AW570" s="309"/>
      <c r="AX570" s="309"/>
      <c r="AY570" s="309"/>
      <c r="AZ570" s="309"/>
      <c r="BA570" s="309"/>
      <c r="BB570" s="309"/>
      <c r="BC570" s="303"/>
      <c r="BD570" s="309">
        <v>0</v>
      </c>
      <c r="BE570" s="309">
        <v>0</v>
      </c>
      <c r="BF570" s="351"/>
      <c r="BG570" s="351">
        <v>0</v>
      </c>
      <c r="BH570" s="309">
        <v>0</v>
      </c>
      <c r="BI570" s="309">
        <v>0</v>
      </c>
      <c r="BJ570" s="349">
        <f t="shared" si="467"/>
        <v>403.75</v>
      </c>
      <c r="BK570" s="349">
        <v>0</v>
      </c>
      <c r="BL570" s="309">
        <f t="shared" si="469"/>
        <v>0</v>
      </c>
      <c r="BM570" s="309">
        <f t="shared" si="477"/>
        <v>0</v>
      </c>
      <c r="BN570" s="205">
        <f t="shared" si="465"/>
        <v>0</v>
      </c>
      <c r="BO570" s="205"/>
      <c r="BP570" s="310"/>
      <c r="BQ570" s="308">
        <f t="shared" si="470"/>
        <v>0</v>
      </c>
      <c r="BR570" s="310"/>
      <c r="BS570" s="308">
        <f t="shared" si="471"/>
        <v>0</v>
      </c>
      <c r="BT570" s="310">
        <f>$F570*0.1</f>
        <v>42.5</v>
      </c>
      <c r="BU570" s="308">
        <f t="shared" si="472"/>
        <v>0.1</v>
      </c>
      <c r="BV570" s="310">
        <f>$F570*0.2</f>
        <v>85</v>
      </c>
      <c r="BW570" s="308">
        <f t="shared" si="454"/>
        <v>0.2</v>
      </c>
      <c r="BX570" s="310">
        <f>$F570*0.3</f>
        <v>127.5</v>
      </c>
      <c r="BY570" s="308">
        <f t="shared" si="455"/>
        <v>0.3</v>
      </c>
      <c r="BZ570" s="310">
        <f>$F570*0.4</f>
        <v>170</v>
      </c>
      <c r="CA570" s="308">
        <f t="shared" si="456"/>
        <v>0.4</v>
      </c>
      <c r="CB570" s="310">
        <f>$F570*0.5</f>
        <v>212.5</v>
      </c>
      <c r="CC570" s="308">
        <f t="shared" si="483"/>
        <v>0.5</v>
      </c>
      <c r="CD570" s="310">
        <f>$F570*0.55</f>
        <v>233.75000000000003</v>
      </c>
      <c r="CE570" s="308">
        <f t="shared" si="457"/>
        <v>0.55000000000000004</v>
      </c>
      <c r="CF570" s="310">
        <v>297.5</v>
      </c>
      <c r="CG570" s="308">
        <f t="shared" si="458"/>
        <v>0.7</v>
      </c>
      <c r="CH570" s="310">
        <f>$F570*0.7</f>
        <v>297.5</v>
      </c>
      <c r="CI570" s="308">
        <f t="shared" si="459"/>
        <v>0.7</v>
      </c>
      <c r="CJ570" s="310">
        <f>$F570*0.75</f>
        <v>318.75</v>
      </c>
      <c r="CK570" s="308">
        <f t="shared" si="460"/>
        <v>0.75</v>
      </c>
      <c r="CL570" s="310">
        <f>$F570*0.8</f>
        <v>340</v>
      </c>
      <c r="CM570" s="308">
        <f t="shared" si="461"/>
        <v>0.8</v>
      </c>
      <c r="CN570" s="310">
        <f>$F570*0.95</f>
        <v>403.75</v>
      </c>
      <c r="CO570" s="308">
        <f t="shared" si="462"/>
        <v>0.95</v>
      </c>
      <c r="CP570" s="213" t="str">
        <f t="shared" si="475"/>
        <v>Không đạt</v>
      </c>
      <c r="CQ570" s="213" t="str">
        <f t="shared" si="476"/>
        <v>Không đạt</v>
      </c>
      <c r="CR570" s="312"/>
      <c r="CS570" s="312"/>
      <c r="CT570" s="235"/>
      <c r="CU570" s="163"/>
      <c r="CW570" s="195"/>
      <c r="CX570" s="196"/>
      <c r="CY570" s="196"/>
      <c r="CZ570" s="197"/>
      <c r="DA570" s="196"/>
      <c r="DB570" s="196"/>
      <c r="DC570" s="196"/>
      <c r="DE570" s="199"/>
      <c r="DF570" s="200"/>
      <c r="DG570" s="181"/>
    </row>
    <row r="571" spans="1:111" ht="18" customHeight="1" x14ac:dyDescent="0.25">
      <c r="A571" s="213">
        <f>MAX(A$243:A568)+1</f>
        <v>91</v>
      </c>
      <c r="B571" s="240" t="s">
        <v>508</v>
      </c>
      <c r="C571" s="240"/>
      <c r="D571" s="188">
        <f t="shared" ref="D571:I571" si="496">D572+D573</f>
        <v>3085</v>
      </c>
      <c r="E571" s="188">
        <f t="shared" si="496"/>
        <v>0</v>
      </c>
      <c r="F571" s="188">
        <f t="shared" si="496"/>
        <v>3085</v>
      </c>
      <c r="G571" s="188">
        <f t="shared" si="496"/>
        <v>3000</v>
      </c>
      <c r="H571" s="188">
        <f t="shared" si="496"/>
        <v>85</v>
      </c>
      <c r="I571" s="188">
        <f t="shared" si="496"/>
        <v>0</v>
      </c>
      <c r="J571" s="188"/>
      <c r="K571" s="188">
        <f>K572+K573</f>
        <v>0</v>
      </c>
      <c r="L571" s="188">
        <f>L572+L573</f>
        <v>0</v>
      </c>
      <c r="M571" s="188">
        <f>M572+M573</f>
        <v>0</v>
      </c>
      <c r="N571" s="188">
        <f>N572+N573</f>
        <v>0</v>
      </c>
      <c r="O571" s="188">
        <f>O572+O573</f>
        <v>3000</v>
      </c>
      <c r="P571" s="188">
        <v>0</v>
      </c>
      <c r="Q571" s="186">
        <f t="shared" si="474"/>
        <v>0</v>
      </c>
      <c r="R571" s="189">
        <v>0</v>
      </c>
      <c r="S571" s="185">
        <v>0</v>
      </c>
      <c r="T571" s="185">
        <v>0</v>
      </c>
      <c r="U571" s="189">
        <v>0</v>
      </c>
      <c r="V571" s="185">
        <v>0</v>
      </c>
      <c r="W571" s="185">
        <v>0</v>
      </c>
      <c r="X571" s="189">
        <v>0</v>
      </c>
      <c r="Y571" s="185">
        <v>0</v>
      </c>
      <c r="Z571" s="185">
        <v>0</v>
      </c>
      <c r="AA571" s="189">
        <v>0</v>
      </c>
      <c r="AB571" s="185">
        <v>0</v>
      </c>
      <c r="AC571" s="185">
        <v>0</v>
      </c>
      <c r="AD571" s="189">
        <v>300</v>
      </c>
      <c r="AE571" s="185">
        <v>9.7244732576985418E-2</v>
      </c>
      <c r="AF571" s="185">
        <v>0.10236287639682676</v>
      </c>
      <c r="AG571" s="188">
        <v>300</v>
      </c>
      <c r="AH571" s="185">
        <v>9.7244732576985418E-2</v>
      </c>
      <c r="AI571" s="185">
        <v>0.10236287639682676</v>
      </c>
      <c r="AJ571" s="303">
        <v>300</v>
      </c>
      <c r="AK571" s="185">
        <v>9.7244732576985418E-2</v>
      </c>
      <c r="AL571" s="185">
        <v>0.10236287639682676</v>
      </c>
      <c r="AM571" s="188">
        <v>300</v>
      </c>
      <c r="AN571" s="185">
        <v>9.7244732576985418E-2</v>
      </c>
      <c r="AO571" s="185">
        <v>0.10236287639682676</v>
      </c>
      <c r="AP571" s="185"/>
      <c r="AQ571" s="188">
        <v>485</v>
      </c>
      <c r="AR571" s="185">
        <v>0.15721231766612642</v>
      </c>
      <c r="AS571" s="185">
        <v>0.16548665017486991</v>
      </c>
      <c r="AT571" s="188">
        <v>485</v>
      </c>
      <c r="AU571" s="185">
        <v>0.15721231766612642</v>
      </c>
      <c r="AV571" s="185">
        <v>0.16548665017486991</v>
      </c>
      <c r="AW571" s="185"/>
      <c r="AX571" s="185"/>
      <c r="AY571" s="185"/>
      <c r="AZ571" s="185"/>
      <c r="BA571" s="185"/>
      <c r="BB571" s="185"/>
      <c r="BC571" s="188">
        <v>485</v>
      </c>
      <c r="BD571" s="185">
        <v>0.15721231766612642</v>
      </c>
      <c r="BE571" s="185">
        <v>0.16548665017486991</v>
      </c>
      <c r="BF571" s="352"/>
      <c r="BG571" s="352">
        <v>1436</v>
      </c>
      <c r="BH571" s="185">
        <v>0.46547811993517019</v>
      </c>
      <c r="BI571" s="185">
        <v>0.48997696835281074</v>
      </c>
      <c r="BJ571" s="374">
        <f t="shared" si="467"/>
        <v>2930.75</v>
      </c>
      <c r="BK571" s="374">
        <v>1436</v>
      </c>
      <c r="BL571" s="185">
        <f t="shared" si="469"/>
        <v>0.46547811993517019</v>
      </c>
      <c r="BM571" s="185">
        <f t="shared" si="477"/>
        <v>0.48997696835281074</v>
      </c>
      <c r="BN571" s="205">
        <f t="shared" si="465"/>
        <v>1136</v>
      </c>
      <c r="BO571" s="205"/>
      <c r="BP571" s="189">
        <f>BP572+BP573</f>
        <v>0</v>
      </c>
      <c r="BQ571" s="186">
        <f t="shared" si="470"/>
        <v>0</v>
      </c>
      <c r="BR571" s="189">
        <f>BR572+BR573</f>
        <v>0</v>
      </c>
      <c r="BS571" s="186">
        <f t="shared" si="471"/>
        <v>0</v>
      </c>
      <c r="BT571" s="189">
        <f>BT572+BT573</f>
        <v>308.5</v>
      </c>
      <c r="BU571" s="186">
        <f t="shared" si="472"/>
        <v>0.1</v>
      </c>
      <c r="BV571" s="189">
        <f>BV572+BV573</f>
        <v>617</v>
      </c>
      <c r="BW571" s="186">
        <f t="shared" si="454"/>
        <v>0.2</v>
      </c>
      <c r="BX571" s="189">
        <f>BX572+BX573</f>
        <v>925.5</v>
      </c>
      <c r="BY571" s="186">
        <f t="shared" si="455"/>
        <v>0.3</v>
      </c>
      <c r="BZ571" s="189">
        <f>BZ572+BZ573</f>
        <v>1234</v>
      </c>
      <c r="CA571" s="186">
        <f t="shared" si="456"/>
        <v>0.4</v>
      </c>
      <c r="CB571" s="189">
        <f>CB572+CB573</f>
        <v>1542.5</v>
      </c>
      <c r="CC571" s="186">
        <f t="shared" si="483"/>
        <v>0.5</v>
      </c>
      <c r="CD571" s="189">
        <f>CD572+CD573</f>
        <v>1696.7500000000002</v>
      </c>
      <c r="CE571" s="186">
        <f t="shared" si="457"/>
        <v>0.55000000000000004</v>
      </c>
      <c r="CF571" s="189">
        <f>CF572+CF573</f>
        <v>2159.5</v>
      </c>
      <c r="CG571" s="186">
        <f t="shared" si="458"/>
        <v>0.7</v>
      </c>
      <c r="CH571" s="189">
        <f>CH572+CH573</f>
        <v>2159.5</v>
      </c>
      <c r="CI571" s="186">
        <f t="shared" si="459"/>
        <v>0.7</v>
      </c>
      <c r="CJ571" s="189">
        <f>CJ572+CJ573</f>
        <v>2313.75</v>
      </c>
      <c r="CK571" s="186">
        <f t="shared" si="460"/>
        <v>0.75</v>
      </c>
      <c r="CL571" s="189">
        <f>CL572+CL573</f>
        <v>2468</v>
      </c>
      <c r="CM571" s="186">
        <f t="shared" si="461"/>
        <v>0.8</v>
      </c>
      <c r="CN571" s="189">
        <f>CN572+CN573</f>
        <v>2930.75</v>
      </c>
      <c r="CO571" s="186">
        <f t="shared" si="462"/>
        <v>0.95</v>
      </c>
      <c r="CP571" s="213" t="str">
        <f t="shared" si="475"/>
        <v>Đạt</v>
      </c>
      <c r="CQ571" s="213" t="str">
        <f t="shared" si="476"/>
        <v>Đạt</v>
      </c>
      <c r="CR571" s="213"/>
      <c r="CS571" s="213"/>
      <c r="CT571" s="231"/>
      <c r="CU571" s="163"/>
      <c r="CW571" s="195"/>
      <c r="CX571" s="196"/>
      <c r="CY571" s="196"/>
      <c r="CZ571" s="197"/>
      <c r="DA571" s="196"/>
      <c r="DB571" s="196"/>
      <c r="DC571" s="196"/>
      <c r="DE571" s="199"/>
      <c r="DF571" s="200"/>
      <c r="DG571" s="181"/>
    </row>
    <row r="572" spans="1:111" s="324" customFormat="1" outlineLevel="1" x14ac:dyDescent="0.25">
      <c r="A572" s="305" t="s">
        <v>34</v>
      </c>
      <c r="B572" s="306" t="s">
        <v>376</v>
      </c>
      <c r="C572" s="306"/>
      <c r="D572" s="307">
        <f>E572+F572</f>
        <v>3000</v>
      </c>
      <c r="E572" s="307"/>
      <c r="F572" s="307">
        <f>G572+H572+K572+M572</f>
        <v>3000</v>
      </c>
      <c r="G572" s="303">
        <v>3000</v>
      </c>
      <c r="H572" s="303"/>
      <c r="I572" s="235"/>
      <c r="J572" s="235"/>
      <c r="K572" s="303"/>
      <c r="L572" s="235"/>
      <c r="M572" s="223"/>
      <c r="N572" s="223"/>
      <c r="O572" s="303">
        <f t="shared" si="494"/>
        <v>3000</v>
      </c>
      <c r="P572" s="303">
        <v>0</v>
      </c>
      <c r="Q572" s="308">
        <f t="shared" si="474"/>
        <v>0</v>
      </c>
      <c r="R572" s="303"/>
      <c r="S572" s="309">
        <v>0</v>
      </c>
      <c r="T572" s="309">
        <v>0</v>
      </c>
      <c r="U572" s="303">
        <v>300</v>
      </c>
      <c r="V572" s="309">
        <v>0.1</v>
      </c>
      <c r="W572" s="309">
        <v>0.10526315789473684</v>
      </c>
      <c r="X572" s="303">
        <v>300</v>
      </c>
      <c r="Y572" s="309">
        <v>0.1</v>
      </c>
      <c r="Z572" s="309">
        <v>0.10526315789473684</v>
      </c>
      <c r="AA572" s="303">
        <v>300</v>
      </c>
      <c r="AB572" s="309">
        <v>0.1</v>
      </c>
      <c r="AC572" s="309">
        <v>0.10526315789473684</v>
      </c>
      <c r="AD572" s="303">
        <v>300</v>
      </c>
      <c r="AE572" s="309">
        <v>0.1</v>
      </c>
      <c r="AF572" s="309">
        <v>0.10526315789473684</v>
      </c>
      <c r="AG572" s="303">
        <v>300</v>
      </c>
      <c r="AH572" s="309">
        <v>0.1</v>
      </c>
      <c r="AI572" s="309">
        <v>0.10526315789473684</v>
      </c>
      <c r="AJ572" s="303">
        <v>300</v>
      </c>
      <c r="AK572" s="309">
        <v>0.1</v>
      </c>
      <c r="AL572" s="309">
        <v>0.10526315789473684</v>
      </c>
      <c r="AM572" s="303">
        <v>300</v>
      </c>
      <c r="AN572" s="309">
        <v>0.1</v>
      </c>
      <c r="AO572" s="309">
        <v>0.10526315789473684</v>
      </c>
      <c r="AP572" s="309"/>
      <c r="AQ572" s="303">
        <v>485</v>
      </c>
      <c r="AR572" s="309">
        <v>0.16166666666666665</v>
      </c>
      <c r="AS572" s="309">
        <v>0.17017543859649123</v>
      </c>
      <c r="AT572" s="303">
        <v>485</v>
      </c>
      <c r="AU572" s="309">
        <v>0.16166666666666665</v>
      </c>
      <c r="AV572" s="309">
        <v>0.17017543859649123</v>
      </c>
      <c r="AW572" s="309"/>
      <c r="AX572" s="309"/>
      <c r="AY572" s="309"/>
      <c r="AZ572" s="309"/>
      <c r="BA572" s="309"/>
      <c r="BB572" s="309"/>
      <c r="BC572" s="303">
        <v>485</v>
      </c>
      <c r="BD572" s="309">
        <v>0.16166666666666665</v>
      </c>
      <c r="BE572" s="309">
        <v>0.17017543859649123</v>
      </c>
      <c r="BF572" s="351"/>
      <c r="BG572" s="351">
        <v>1436</v>
      </c>
      <c r="BH572" s="309">
        <v>0.47866666666666668</v>
      </c>
      <c r="BI572" s="309">
        <v>0.50385964912280701</v>
      </c>
      <c r="BJ572" s="349">
        <f t="shared" si="467"/>
        <v>2850</v>
      </c>
      <c r="BK572" s="349">
        <v>1436</v>
      </c>
      <c r="BL572" s="309">
        <f t="shared" si="469"/>
        <v>0.47866666666666668</v>
      </c>
      <c r="BM572" s="309">
        <f t="shared" si="477"/>
        <v>0.50385964912280701</v>
      </c>
      <c r="BN572" s="205">
        <f t="shared" si="465"/>
        <v>1136</v>
      </c>
      <c r="BO572" s="205"/>
      <c r="BP572" s="310"/>
      <c r="BQ572" s="308">
        <f t="shared" si="470"/>
        <v>0</v>
      </c>
      <c r="BR572" s="310"/>
      <c r="BS572" s="308">
        <f t="shared" si="471"/>
        <v>0</v>
      </c>
      <c r="BT572" s="310">
        <f>$F572*0.1</f>
        <v>300</v>
      </c>
      <c r="BU572" s="308">
        <f t="shared" si="472"/>
        <v>0.1</v>
      </c>
      <c r="BV572" s="310">
        <f>$F572*0.2</f>
        <v>600</v>
      </c>
      <c r="BW572" s="308">
        <f t="shared" si="454"/>
        <v>0.2</v>
      </c>
      <c r="BX572" s="310">
        <f>$F572*0.3</f>
        <v>900</v>
      </c>
      <c r="BY572" s="308">
        <f t="shared" si="455"/>
        <v>0.3</v>
      </c>
      <c r="BZ572" s="310">
        <f>$F572*0.4</f>
        <v>1200</v>
      </c>
      <c r="CA572" s="308">
        <f t="shared" si="456"/>
        <v>0.4</v>
      </c>
      <c r="CB572" s="310">
        <f>$F572*0.5</f>
        <v>1500</v>
      </c>
      <c r="CC572" s="308">
        <f t="shared" si="483"/>
        <v>0.5</v>
      </c>
      <c r="CD572" s="310">
        <f>$F572*0.55</f>
        <v>1650.0000000000002</v>
      </c>
      <c r="CE572" s="308">
        <f t="shared" si="457"/>
        <v>0.55000000000000004</v>
      </c>
      <c r="CF572" s="310">
        <v>2100</v>
      </c>
      <c r="CG572" s="308">
        <f t="shared" si="458"/>
        <v>0.7</v>
      </c>
      <c r="CH572" s="310">
        <f>$F572*0.7</f>
        <v>2100</v>
      </c>
      <c r="CI572" s="308">
        <f t="shared" si="459"/>
        <v>0.7</v>
      </c>
      <c r="CJ572" s="310">
        <f>$F572*0.75</f>
        <v>2250</v>
      </c>
      <c r="CK572" s="308">
        <f t="shared" si="460"/>
        <v>0.75</v>
      </c>
      <c r="CL572" s="310">
        <f>$F572*0.8</f>
        <v>2400</v>
      </c>
      <c r="CM572" s="308">
        <f t="shared" si="461"/>
        <v>0.8</v>
      </c>
      <c r="CN572" s="310">
        <f>$F572*0.95</f>
        <v>2850</v>
      </c>
      <c r="CO572" s="308">
        <f t="shared" si="462"/>
        <v>0.95</v>
      </c>
      <c r="CP572" s="213" t="str">
        <f t="shared" si="475"/>
        <v>Đạt</v>
      </c>
      <c r="CQ572" s="213" t="str">
        <f t="shared" si="476"/>
        <v>Đạt</v>
      </c>
      <c r="CR572" s="312"/>
      <c r="CS572" s="312"/>
      <c r="CT572" s="235"/>
      <c r="CU572" s="163"/>
      <c r="CV572" s="323"/>
      <c r="CW572" s="195"/>
      <c r="CX572" s="196"/>
      <c r="CY572" s="196"/>
      <c r="CZ572" s="197"/>
      <c r="DA572" s="196"/>
      <c r="DB572" s="196"/>
      <c r="DC572" s="196"/>
      <c r="DE572" s="199"/>
      <c r="DF572" s="200"/>
      <c r="DG572" s="181"/>
    </row>
    <row r="573" spans="1:111" ht="25.5" outlineLevel="1" x14ac:dyDescent="0.25">
      <c r="A573" s="305" t="s">
        <v>34</v>
      </c>
      <c r="B573" s="306" t="s">
        <v>377</v>
      </c>
      <c r="C573" s="306"/>
      <c r="D573" s="307">
        <f>E573+F573</f>
        <v>85</v>
      </c>
      <c r="E573" s="307"/>
      <c r="F573" s="307">
        <f>G573+H573+K573+M573</f>
        <v>85</v>
      </c>
      <c r="G573" s="307"/>
      <c r="H573" s="307">
        <v>85</v>
      </c>
      <c r="I573" s="235"/>
      <c r="J573" s="235"/>
      <c r="K573" s="303"/>
      <c r="L573" s="235"/>
      <c r="M573" s="223"/>
      <c r="N573" s="223"/>
      <c r="O573" s="303"/>
      <c r="P573" s="303">
        <v>0</v>
      </c>
      <c r="Q573" s="308">
        <f t="shared" si="474"/>
        <v>0</v>
      </c>
      <c r="R573" s="303"/>
      <c r="S573" s="309">
        <v>0</v>
      </c>
      <c r="T573" s="309">
        <v>0</v>
      </c>
      <c r="U573" s="303"/>
      <c r="V573" s="309">
        <v>0</v>
      </c>
      <c r="W573" s="309">
        <v>0</v>
      </c>
      <c r="X573" s="303"/>
      <c r="Y573" s="309">
        <v>0</v>
      </c>
      <c r="Z573" s="309">
        <v>0</v>
      </c>
      <c r="AA573" s="303"/>
      <c r="AB573" s="309">
        <v>0</v>
      </c>
      <c r="AC573" s="309">
        <v>0</v>
      </c>
      <c r="AD573" s="303"/>
      <c r="AE573" s="309">
        <v>0</v>
      </c>
      <c r="AF573" s="309">
        <v>0</v>
      </c>
      <c r="AG573" s="303"/>
      <c r="AH573" s="309">
        <v>0</v>
      </c>
      <c r="AI573" s="309">
        <v>0</v>
      </c>
      <c r="AJ573" s="188"/>
      <c r="AK573" s="309">
        <v>0</v>
      </c>
      <c r="AL573" s="309">
        <v>0</v>
      </c>
      <c r="AM573" s="303"/>
      <c r="AN573" s="309">
        <v>0</v>
      </c>
      <c r="AO573" s="309">
        <v>0</v>
      </c>
      <c r="AP573" s="309"/>
      <c r="AQ573" s="303"/>
      <c r="AR573" s="309">
        <v>0</v>
      </c>
      <c r="AS573" s="309">
        <v>0</v>
      </c>
      <c r="AT573" s="303"/>
      <c r="AU573" s="309">
        <v>0</v>
      </c>
      <c r="AV573" s="309">
        <v>0</v>
      </c>
      <c r="AW573" s="309"/>
      <c r="AX573" s="309"/>
      <c r="AY573" s="309"/>
      <c r="AZ573" s="309"/>
      <c r="BA573" s="309"/>
      <c r="BB573" s="309"/>
      <c r="BC573" s="303"/>
      <c r="BD573" s="309">
        <v>0</v>
      </c>
      <c r="BE573" s="309">
        <v>0</v>
      </c>
      <c r="BF573" s="351"/>
      <c r="BG573" s="351">
        <v>0</v>
      </c>
      <c r="BH573" s="309">
        <v>0</v>
      </c>
      <c r="BI573" s="309">
        <v>0</v>
      </c>
      <c r="BJ573" s="349">
        <f t="shared" si="467"/>
        <v>80.75</v>
      </c>
      <c r="BK573" s="349">
        <v>0</v>
      </c>
      <c r="BL573" s="309">
        <f t="shared" si="469"/>
        <v>0</v>
      </c>
      <c r="BM573" s="309">
        <f t="shared" si="477"/>
        <v>0</v>
      </c>
      <c r="BN573" s="205">
        <f t="shared" si="465"/>
        <v>0</v>
      </c>
      <c r="BO573" s="205"/>
      <c r="BP573" s="310"/>
      <c r="BQ573" s="308">
        <f t="shared" si="470"/>
        <v>0</v>
      </c>
      <c r="BR573" s="310"/>
      <c r="BS573" s="308">
        <f t="shared" si="471"/>
        <v>0</v>
      </c>
      <c r="BT573" s="310">
        <f>$F573*0.1</f>
        <v>8.5</v>
      </c>
      <c r="BU573" s="308">
        <f t="shared" si="472"/>
        <v>0.1</v>
      </c>
      <c r="BV573" s="310">
        <f>$F573*0.2</f>
        <v>17</v>
      </c>
      <c r="BW573" s="308">
        <f t="shared" si="454"/>
        <v>0.2</v>
      </c>
      <c r="BX573" s="310">
        <f>$F573*0.3</f>
        <v>25.5</v>
      </c>
      <c r="BY573" s="308">
        <f t="shared" si="455"/>
        <v>0.3</v>
      </c>
      <c r="BZ573" s="310">
        <f>$F573*0.4</f>
        <v>34</v>
      </c>
      <c r="CA573" s="308">
        <f t="shared" si="456"/>
        <v>0.4</v>
      </c>
      <c r="CB573" s="310">
        <f>$F573*0.5</f>
        <v>42.5</v>
      </c>
      <c r="CC573" s="308">
        <f t="shared" si="483"/>
        <v>0.5</v>
      </c>
      <c r="CD573" s="310">
        <f>$F573*0.55</f>
        <v>46.750000000000007</v>
      </c>
      <c r="CE573" s="308">
        <f t="shared" si="457"/>
        <v>0.55000000000000004</v>
      </c>
      <c r="CF573" s="310">
        <v>59.499999999999993</v>
      </c>
      <c r="CG573" s="308">
        <f t="shared" si="458"/>
        <v>0.7</v>
      </c>
      <c r="CH573" s="310">
        <f>$F573*0.7</f>
        <v>59.499999999999993</v>
      </c>
      <c r="CI573" s="308">
        <f t="shared" si="459"/>
        <v>0.7</v>
      </c>
      <c r="CJ573" s="310">
        <f>$F573*0.75</f>
        <v>63.75</v>
      </c>
      <c r="CK573" s="308">
        <f t="shared" si="460"/>
        <v>0.75</v>
      </c>
      <c r="CL573" s="310">
        <f>$F573*0.8</f>
        <v>68</v>
      </c>
      <c r="CM573" s="308">
        <f t="shared" si="461"/>
        <v>0.8</v>
      </c>
      <c r="CN573" s="310">
        <f>$F573*0.95</f>
        <v>80.75</v>
      </c>
      <c r="CO573" s="308">
        <f t="shared" si="462"/>
        <v>0.95</v>
      </c>
      <c r="CP573" s="213" t="str">
        <f t="shared" si="475"/>
        <v>Không đạt</v>
      </c>
      <c r="CQ573" s="213" t="str">
        <f t="shared" si="476"/>
        <v>Không đạt</v>
      </c>
      <c r="CR573" s="312"/>
      <c r="CS573" s="312"/>
      <c r="CT573" s="235"/>
      <c r="CU573" s="163"/>
      <c r="CW573" s="195"/>
      <c r="CX573" s="196"/>
      <c r="CY573" s="196"/>
      <c r="CZ573" s="197"/>
      <c r="DA573" s="196"/>
      <c r="DB573" s="196"/>
      <c r="DC573" s="196"/>
      <c r="DE573" s="199"/>
      <c r="DF573" s="200"/>
      <c r="DG573" s="181"/>
    </row>
    <row r="574" spans="1:111" ht="18" customHeight="1" x14ac:dyDescent="0.25">
      <c r="A574" s="213">
        <f>MAX(A$243:A571)+1</f>
        <v>92</v>
      </c>
      <c r="B574" s="240" t="s">
        <v>509</v>
      </c>
      <c r="C574" s="240"/>
      <c r="D574" s="188">
        <f t="shared" ref="D574:I574" si="497">D575</f>
        <v>3000</v>
      </c>
      <c r="E574" s="188">
        <f t="shared" si="497"/>
        <v>0</v>
      </c>
      <c r="F574" s="188">
        <f t="shared" si="497"/>
        <v>3000</v>
      </c>
      <c r="G574" s="188">
        <f t="shared" si="497"/>
        <v>3000</v>
      </c>
      <c r="H574" s="188">
        <f t="shared" si="497"/>
        <v>0</v>
      </c>
      <c r="I574" s="188">
        <f t="shared" si="497"/>
        <v>0</v>
      </c>
      <c r="J574" s="188"/>
      <c r="K574" s="188">
        <f>K575</f>
        <v>0</v>
      </c>
      <c r="L574" s="188">
        <f>L575</f>
        <v>0</v>
      </c>
      <c r="M574" s="231"/>
      <c r="N574" s="231"/>
      <c r="O574" s="188">
        <f t="shared" si="494"/>
        <v>3000</v>
      </c>
      <c r="P574" s="188">
        <v>0</v>
      </c>
      <c r="Q574" s="186">
        <f t="shared" si="474"/>
        <v>0</v>
      </c>
      <c r="R574" s="188">
        <v>0</v>
      </c>
      <c r="S574" s="185">
        <v>0</v>
      </c>
      <c r="T574" s="185">
        <v>0</v>
      </c>
      <c r="U574" s="188">
        <v>0</v>
      </c>
      <c r="V574" s="185">
        <v>0</v>
      </c>
      <c r="W574" s="185">
        <v>0</v>
      </c>
      <c r="X574" s="188">
        <v>0</v>
      </c>
      <c r="Y574" s="185">
        <v>0</v>
      </c>
      <c r="Z574" s="185">
        <v>0</v>
      </c>
      <c r="AA574" s="188">
        <v>0</v>
      </c>
      <c r="AB574" s="185">
        <v>0</v>
      </c>
      <c r="AC574" s="185">
        <v>0</v>
      </c>
      <c r="AD574" s="188">
        <v>0</v>
      </c>
      <c r="AE574" s="185">
        <v>0</v>
      </c>
      <c r="AF574" s="185">
        <v>0</v>
      </c>
      <c r="AG574" s="188">
        <v>0</v>
      </c>
      <c r="AH574" s="185">
        <v>0</v>
      </c>
      <c r="AI574" s="185">
        <v>0</v>
      </c>
      <c r="AJ574" s="303">
        <v>0</v>
      </c>
      <c r="AK574" s="185">
        <v>0</v>
      </c>
      <c r="AL574" s="185">
        <v>0</v>
      </c>
      <c r="AM574" s="188">
        <v>0</v>
      </c>
      <c r="AN574" s="185">
        <v>0</v>
      </c>
      <c r="AO574" s="185">
        <v>0</v>
      </c>
      <c r="AP574" s="185"/>
      <c r="AQ574" s="188">
        <v>0</v>
      </c>
      <c r="AR574" s="185">
        <v>0</v>
      </c>
      <c r="AS574" s="185">
        <v>0</v>
      </c>
      <c r="AT574" s="188">
        <v>0</v>
      </c>
      <c r="AU574" s="185">
        <v>0</v>
      </c>
      <c r="AV574" s="185">
        <v>0</v>
      </c>
      <c r="AW574" s="185"/>
      <c r="AX574" s="185"/>
      <c r="AY574" s="185"/>
      <c r="AZ574" s="185"/>
      <c r="BA574" s="185"/>
      <c r="BB574" s="185"/>
      <c r="BC574" s="188">
        <v>0</v>
      </c>
      <c r="BD574" s="185">
        <v>0</v>
      </c>
      <c r="BE574" s="185">
        <v>0</v>
      </c>
      <c r="BF574" s="352"/>
      <c r="BG574" s="352">
        <v>184</v>
      </c>
      <c r="BH574" s="185">
        <v>6.133333333333333E-2</v>
      </c>
      <c r="BI574" s="185">
        <v>6.4561403508771931E-2</v>
      </c>
      <c r="BJ574" s="374">
        <f t="shared" si="467"/>
        <v>2850</v>
      </c>
      <c r="BK574" s="374">
        <v>2494.114</v>
      </c>
      <c r="BL574" s="185">
        <f t="shared" si="469"/>
        <v>0.83137133333333335</v>
      </c>
      <c r="BM574" s="185">
        <f t="shared" si="477"/>
        <v>0.87512771929824562</v>
      </c>
      <c r="BN574" s="205">
        <f t="shared" si="465"/>
        <v>2494.114</v>
      </c>
      <c r="BO574" s="205"/>
      <c r="BP574" s="189">
        <f>BP575</f>
        <v>0</v>
      </c>
      <c r="BQ574" s="186">
        <f t="shared" si="470"/>
        <v>0</v>
      </c>
      <c r="BR574" s="189">
        <f>BR575</f>
        <v>0</v>
      </c>
      <c r="BS574" s="186">
        <f t="shared" si="471"/>
        <v>0</v>
      </c>
      <c r="BT574" s="189">
        <f>BT575</f>
        <v>300</v>
      </c>
      <c r="BU574" s="186">
        <f t="shared" si="472"/>
        <v>0.1</v>
      </c>
      <c r="BV574" s="189">
        <f>BV575</f>
        <v>600</v>
      </c>
      <c r="BW574" s="186">
        <f t="shared" si="454"/>
        <v>0.2</v>
      </c>
      <c r="BX574" s="189">
        <f>BX575</f>
        <v>900</v>
      </c>
      <c r="BY574" s="186">
        <f t="shared" si="455"/>
        <v>0.3</v>
      </c>
      <c r="BZ574" s="189">
        <f>BZ575</f>
        <v>1200</v>
      </c>
      <c r="CA574" s="186">
        <f t="shared" si="456"/>
        <v>0.4</v>
      </c>
      <c r="CB574" s="189">
        <f>CB575</f>
        <v>1500</v>
      </c>
      <c r="CC574" s="186">
        <f t="shared" si="483"/>
        <v>0.5</v>
      </c>
      <c r="CD574" s="189">
        <f>CD575</f>
        <v>1650.0000000000002</v>
      </c>
      <c r="CE574" s="186">
        <f t="shared" si="457"/>
        <v>0.55000000000000004</v>
      </c>
      <c r="CF574" s="189">
        <f>CF575</f>
        <v>2100</v>
      </c>
      <c r="CG574" s="186">
        <f t="shared" si="458"/>
        <v>0.7</v>
      </c>
      <c r="CH574" s="189">
        <f>CH575</f>
        <v>2100</v>
      </c>
      <c r="CI574" s="186">
        <f t="shared" si="459"/>
        <v>0.7</v>
      </c>
      <c r="CJ574" s="189">
        <f>CJ575</f>
        <v>2250</v>
      </c>
      <c r="CK574" s="186">
        <f t="shared" si="460"/>
        <v>0.75</v>
      </c>
      <c r="CL574" s="189">
        <f>CL575</f>
        <v>2400</v>
      </c>
      <c r="CM574" s="186">
        <f t="shared" si="461"/>
        <v>0.8</v>
      </c>
      <c r="CN574" s="189">
        <f>CN575</f>
        <v>2850</v>
      </c>
      <c r="CO574" s="186">
        <f t="shared" si="462"/>
        <v>0.95</v>
      </c>
      <c r="CP574" s="213" t="str">
        <f t="shared" si="475"/>
        <v>Đạt</v>
      </c>
      <c r="CQ574" s="213" t="str">
        <f t="shared" si="476"/>
        <v>Đạt</v>
      </c>
      <c r="CR574" s="213"/>
      <c r="CS574" s="213"/>
      <c r="CT574" s="231"/>
      <c r="CU574" s="163"/>
      <c r="CW574" s="195"/>
      <c r="CX574" s="196"/>
      <c r="CY574" s="196"/>
      <c r="CZ574" s="197"/>
      <c r="DA574" s="196"/>
      <c r="DB574" s="196"/>
      <c r="DC574" s="196"/>
      <c r="DE574" s="199"/>
      <c r="DF574" s="200"/>
      <c r="DG574" s="181"/>
    </row>
    <row r="575" spans="1:111" s="324" customFormat="1" outlineLevel="1" x14ac:dyDescent="0.25">
      <c r="A575" s="305" t="s">
        <v>34</v>
      </c>
      <c r="B575" s="306" t="s">
        <v>376</v>
      </c>
      <c r="C575" s="306"/>
      <c r="D575" s="307">
        <f>E575+F575</f>
        <v>3000</v>
      </c>
      <c r="E575" s="307"/>
      <c r="F575" s="307">
        <f>G575+H575+K575+M575</f>
        <v>3000</v>
      </c>
      <c r="G575" s="303">
        <v>3000</v>
      </c>
      <c r="H575" s="303"/>
      <c r="I575" s="235"/>
      <c r="J575" s="235"/>
      <c r="K575" s="303"/>
      <c r="L575" s="235"/>
      <c r="M575" s="223"/>
      <c r="N575" s="223"/>
      <c r="O575" s="303">
        <f t="shared" si="494"/>
        <v>3000</v>
      </c>
      <c r="P575" s="303">
        <v>0</v>
      </c>
      <c r="Q575" s="308">
        <f t="shared" si="474"/>
        <v>0</v>
      </c>
      <c r="R575" s="303"/>
      <c r="S575" s="309">
        <v>0</v>
      </c>
      <c r="T575" s="309">
        <v>0</v>
      </c>
      <c r="U575" s="303"/>
      <c r="V575" s="309">
        <v>0</v>
      </c>
      <c r="W575" s="309">
        <v>0</v>
      </c>
      <c r="X575" s="303"/>
      <c r="Y575" s="309">
        <v>0</v>
      </c>
      <c r="Z575" s="309">
        <v>0</v>
      </c>
      <c r="AA575" s="303"/>
      <c r="AB575" s="309">
        <v>0</v>
      </c>
      <c r="AC575" s="309">
        <v>0</v>
      </c>
      <c r="AD575" s="303"/>
      <c r="AE575" s="309">
        <v>0</v>
      </c>
      <c r="AF575" s="309">
        <v>0</v>
      </c>
      <c r="AG575" s="303"/>
      <c r="AH575" s="309">
        <v>0</v>
      </c>
      <c r="AI575" s="309">
        <v>0</v>
      </c>
      <c r="AJ575" s="188"/>
      <c r="AK575" s="309">
        <v>0</v>
      </c>
      <c r="AL575" s="309">
        <v>0</v>
      </c>
      <c r="AM575" s="303"/>
      <c r="AN575" s="309">
        <v>0</v>
      </c>
      <c r="AO575" s="309">
        <v>0</v>
      </c>
      <c r="AP575" s="309"/>
      <c r="AQ575" s="303"/>
      <c r="AR575" s="309">
        <v>0</v>
      </c>
      <c r="AS575" s="309">
        <v>0</v>
      </c>
      <c r="AT575" s="303"/>
      <c r="AU575" s="309">
        <v>0</v>
      </c>
      <c r="AV575" s="309">
        <v>0</v>
      </c>
      <c r="AW575" s="309"/>
      <c r="AX575" s="309"/>
      <c r="AY575" s="309"/>
      <c r="AZ575" s="309"/>
      <c r="BA575" s="309"/>
      <c r="BB575" s="309"/>
      <c r="BC575" s="303"/>
      <c r="BD575" s="309">
        <v>0</v>
      </c>
      <c r="BE575" s="309">
        <v>0</v>
      </c>
      <c r="BF575" s="351"/>
      <c r="BG575" s="351">
        <v>184</v>
      </c>
      <c r="BH575" s="309">
        <v>6.133333333333333E-2</v>
      </c>
      <c r="BI575" s="309">
        <v>6.4561403508771931E-2</v>
      </c>
      <c r="BJ575" s="349">
        <f t="shared" si="467"/>
        <v>2850</v>
      </c>
      <c r="BK575" s="349">
        <v>1637.4480000000001</v>
      </c>
      <c r="BL575" s="309">
        <f t="shared" si="469"/>
        <v>0.54581600000000008</v>
      </c>
      <c r="BM575" s="309">
        <f t="shared" si="477"/>
        <v>0.57454315789473687</v>
      </c>
      <c r="BN575" s="205">
        <f t="shared" si="465"/>
        <v>1637.4480000000001</v>
      </c>
      <c r="BO575" s="205"/>
      <c r="BP575" s="310"/>
      <c r="BQ575" s="308">
        <f t="shared" si="470"/>
        <v>0</v>
      </c>
      <c r="BR575" s="310"/>
      <c r="BS575" s="308">
        <f t="shared" si="471"/>
        <v>0</v>
      </c>
      <c r="BT575" s="310">
        <f>$F575*0.1</f>
        <v>300</v>
      </c>
      <c r="BU575" s="308">
        <f t="shared" si="472"/>
        <v>0.1</v>
      </c>
      <c r="BV575" s="310">
        <f>$F575*0.2</f>
        <v>600</v>
      </c>
      <c r="BW575" s="308">
        <f t="shared" si="454"/>
        <v>0.2</v>
      </c>
      <c r="BX575" s="310">
        <f>$F575*0.3</f>
        <v>900</v>
      </c>
      <c r="BY575" s="308">
        <f t="shared" si="455"/>
        <v>0.3</v>
      </c>
      <c r="BZ575" s="310">
        <f>$F575*0.4</f>
        <v>1200</v>
      </c>
      <c r="CA575" s="308">
        <f t="shared" si="456"/>
        <v>0.4</v>
      </c>
      <c r="CB575" s="310">
        <f>$F575*0.5</f>
        <v>1500</v>
      </c>
      <c r="CC575" s="308">
        <f t="shared" si="483"/>
        <v>0.5</v>
      </c>
      <c r="CD575" s="310">
        <f>$F575*0.55</f>
        <v>1650.0000000000002</v>
      </c>
      <c r="CE575" s="308">
        <f t="shared" si="457"/>
        <v>0.55000000000000004</v>
      </c>
      <c r="CF575" s="310">
        <v>2100</v>
      </c>
      <c r="CG575" s="308">
        <f t="shared" si="458"/>
        <v>0.7</v>
      </c>
      <c r="CH575" s="310">
        <f>$F575*0.7</f>
        <v>2100</v>
      </c>
      <c r="CI575" s="308">
        <f t="shared" si="459"/>
        <v>0.7</v>
      </c>
      <c r="CJ575" s="310">
        <f>$F575*0.75</f>
        <v>2250</v>
      </c>
      <c r="CK575" s="308">
        <f t="shared" si="460"/>
        <v>0.75</v>
      </c>
      <c r="CL575" s="310">
        <f>$F575*0.8</f>
        <v>2400</v>
      </c>
      <c r="CM575" s="308">
        <f t="shared" si="461"/>
        <v>0.8</v>
      </c>
      <c r="CN575" s="310">
        <f>$F575*0.95</f>
        <v>2850</v>
      </c>
      <c r="CO575" s="308">
        <f t="shared" si="462"/>
        <v>0.95</v>
      </c>
      <c r="CP575" s="213" t="str">
        <f t="shared" si="475"/>
        <v>Đạt</v>
      </c>
      <c r="CQ575" s="213" t="str">
        <f t="shared" si="476"/>
        <v>Đạt</v>
      </c>
      <c r="CR575" s="312"/>
      <c r="CS575" s="312"/>
      <c r="CT575" s="235"/>
      <c r="CU575" s="163"/>
      <c r="CV575" s="323"/>
      <c r="CW575" s="195"/>
      <c r="CX575" s="196"/>
      <c r="CY575" s="196"/>
      <c r="CZ575" s="197"/>
      <c r="DA575" s="196"/>
      <c r="DB575" s="196"/>
      <c r="DC575" s="196"/>
      <c r="DE575" s="199"/>
      <c r="DF575" s="200"/>
      <c r="DG575" s="181"/>
    </row>
    <row r="576" spans="1:111" ht="18" customHeight="1" x14ac:dyDescent="0.25">
      <c r="A576" s="213">
        <f>MAX(A$243:A574)+1</f>
        <v>93</v>
      </c>
      <c r="B576" s="240" t="s">
        <v>510</v>
      </c>
      <c r="C576" s="240"/>
      <c r="D576" s="188">
        <f t="shared" ref="D576:I576" si="498">D577</f>
        <v>3000</v>
      </c>
      <c r="E576" s="188">
        <f t="shared" si="498"/>
        <v>0</v>
      </c>
      <c r="F576" s="188">
        <f t="shared" si="498"/>
        <v>3000</v>
      </c>
      <c r="G576" s="188">
        <f t="shared" si="498"/>
        <v>3000</v>
      </c>
      <c r="H576" s="188">
        <f t="shared" si="498"/>
        <v>0</v>
      </c>
      <c r="I576" s="188">
        <f t="shared" si="498"/>
        <v>0</v>
      </c>
      <c r="J576" s="188"/>
      <c r="K576" s="188">
        <f>K577</f>
        <v>0</v>
      </c>
      <c r="L576" s="188">
        <f>L577</f>
        <v>0</v>
      </c>
      <c r="M576" s="231"/>
      <c r="N576" s="231"/>
      <c r="O576" s="188">
        <f t="shared" si="494"/>
        <v>3000</v>
      </c>
      <c r="P576" s="188">
        <v>0</v>
      </c>
      <c r="Q576" s="186">
        <f t="shared" si="474"/>
        <v>0</v>
      </c>
      <c r="R576" s="188">
        <v>0</v>
      </c>
      <c r="S576" s="185">
        <v>0</v>
      </c>
      <c r="T576" s="185">
        <v>0</v>
      </c>
      <c r="U576" s="188">
        <v>725.32400000000007</v>
      </c>
      <c r="V576" s="185">
        <v>0.24177466666666669</v>
      </c>
      <c r="W576" s="185">
        <v>0.25449964912280704</v>
      </c>
      <c r="X576" s="188">
        <v>725.32400000000007</v>
      </c>
      <c r="Y576" s="185">
        <v>0.24177466666666669</v>
      </c>
      <c r="Z576" s="185">
        <v>0.25449964912280704</v>
      </c>
      <c r="AA576" s="188">
        <v>725.32400000000007</v>
      </c>
      <c r="AB576" s="185">
        <v>0.24177466666666669</v>
      </c>
      <c r="AC576" s="185">
        <v>0.25449964912280704</v>
      </c>
      <c r="AD576" s="188">
        <v>725.32400000000007</v>
      </c>
      <c r="AE576" s="185">
        <v>0.24177466666666669</v>
      </c>
      <c r="AF576" s="185">
        <v>0.25449964912280704</v>
      </c>
      <c r="AG576" s="188">
        <v>725.32400000000007</v>
      </c>
      <c r="AH576" s="185">
        <v>0.24177466666666669</v>
      </c>
      <c r="AI576" s="185">
        <v>0.25449964912280704</v>
      </c>
      <c r="AJ576" s="303">
        <v>725.32400000000007</v>
      </c>
      <c r="AK576" s="185">
        <v>0.24177466666666669</v>
      </c>
      <c r="AL576" s="185">
        <v>0.25449964912280704</v>
      </c>
      <c r="AM576" s="188">
        <v>725.32400000000007</v>
      </c>
      <c r="AN576" s="185">
        <v>0.24177466666666669</v>
      </c>
      <c r="AO576" s="185">
        <v>0.25449964912280704</v>
      </c>
      <c r="AP576" s="185"/>
      <c r="AQ576" s="188">
        <v>725.32400000000007</v>
      </c>
      <c r="AR576" s="185">
        <v>0.24177466666666669</v>
      </c>
      <c r="AS576" s="185">
        <v>0.25449964912280704</v>
      </c>
      <c r="AT576" s="188">
        <v>725.32400000000007</v>
      </c>
      <c r="AU576" s="185">
        <v>0.24177466666666669</v>
      </c>
      <c r="AV576" s="185">
        <v>0.25449964912280704</v>
      </c>
      <c r="AW576" s="185"/>
      <c r="AX576" s="185"/>
      <c r="AY576" s="185"/>
      <c r="AZ576" s="185"/>
      <c r="BA576" s="185"/>
      <c r="BB576" s="185"/>
      <c r="BC576" s="188">
        <v>725.32400000000007</v>
      </c>
      <c r="BD576" s="185">
        <v>0.24177466666666669</v>
      </c>
      <c r="BE576" s="185">
        <v>0.25449964912280704</v>
      </c>
      <c r="BF576" s="352"/>
      <c r="BG576" s="352">
        <v>1237.441</v>
      </c>
      <c r="BH576" s="185">
        <v>0.41248033333333334</v>
      </c>
      <c r="BI576" s="185">
        <v>0.43418982456140354</v>
      </c>
      <c r="BJ576" s="374">
        <f t="shared" si="467"/>
        <v>2850</v>
      </c>
      <c r="BK576" s="374">
        <v>2307.9</v>
      </c>
      <c r="BL576" s="185">
        <f t="shared" si="469"/>
        <v>0.76929999999999998</v>
      </c>
      <c r="BM576" s="185">
        <f t="shared" si="477"/>
        <v>0.8097894736842105</v>
      </c>
      <c r="BN576" s="205">
        <f t="shared" si="465"/>
        <v>1582.576</v>
      </c>
      <c r="BO576" s="205"/>
      <c r="BP576" s="189">
        <f>BP577</f>
        <v>0</v>
      </c>
      <c r="BQ576" s="186">
        <f t="shared" si="470"/>
        <v>0</v>
      </c>
      <c r="BR576" s="189">
        <f>BR577</f>
        <v>0</v>
      </c>
      <c r="BS576" s="186">
        <f t="shared" si="471"/>
        <v>0</v>
      </c>
      <c r="BT576" s="189">
        <f>BT577</f>
        <v>300</v>
      </c>
      <c r="BU576" s="186">
        <f t="shared" si="472"/>
        <v>0.1</v>
      </c>
      <c r="BV576" s="189">
        <f>BV577</f>
        <v>600</v>
      </c>
      <c r="BW576" s="186">
        <f t="shared" si="454"/>
        <v>0.2</v>
      </c>
      <c r="BX576" s="189">
        <f>BX577</f>
        <v>900</v>
      </c>
      <c r="BY576" s="186">
        <f t="shared" si="455"/>
        <v>0.3</v>
      </c>
      <c r="BZ576" s="189">
        <f>BZ577</f>
        <v>1200</v>
      </c>
      <c r="CA576" s="186">
        <f t="shared" si="456"/>
        <v>0.4</v>
      </c>
      <c r="CB576" s="189">
        <f>CB577</f>
        <v>1500</v>
      </c>
      <c r="CC576" s="186">
        <f t="shared" si="483"/>
        <v>0.5</v>
      </c>
      <c r="CD576" s="189">
        <f>CD577</f>
        <v>1650.0000000000002</v>
      </c>
      <c r="CE576" s="186">
        <f t="shared" si="457"/>
        <v>0.55000000000000004</v>
      </c>
      <c r="CF576" s="189">
        <f>CF577</f>
        <v>2100</v>
      </c>
      <c r="CG576" s="186">
        <f t="shared" si="458"/>
        <v>0.7</v>
      </c>
      <c r="CH576" s="189">
        <f>CH577</f>
        <v>2100</v>
      </c>
      <c r="CI576" s="186">
        <f t="shared" si="459"/>
        <v>0.7</v>
      </c>
      <c r="CJ576" s="189">
        <f>CJ577</f>
        <v>2250</v>
      </c>
      <c r="CK576" s="186">
        <f t="shared" si="460"/>
        <v>0.75</v>
      </c>
      <c r="CL576" s="189">
        <f>CL577</f>
        <v>2400</v>
      </c>
      <c r="CM576" s="186">
        <f t="shared" si="461"/>
        <v>0.8</v>
      </c>
      <c r="CN576" s="189">
        <f>CN577</f>
        <v>2850</v>
      </c>
      <c r="CO576" s="186">
        <f t="shared" si="462"/>
        <v>0.95</v>
      </c>
      <c r="CP576" s="213" t="str">
        <f t="shared" si="475"/>
        <v>Đạt</v>
      </c>
      <c r="CQ576" s="213" t="str">
        <f t="shared" si="476"/>
        <v>Đạt</v>
      </c>
      <c r="CR576" s="213"/>
      <c r="CS576" s="213"/>
      <c r="CT576" s="231"/>
      <c r="CU576" s="163"/>
      <c r="CW576" s="195"/>
      <c r="CX576" s="196"/>
      <c r="CY576" s="196"/>
      <c r="CZ576" s="197"/>
      <c r="DA576" s="196"/>
      <c r="DB576" s="196"/>
      <c r="DC576" s="196"/>
      <c r="DE576" s="199"/>
      <c r="DF576" s="200"/>
      <c r="DG576" s="181"/>
    </row>
    <row r="577" spans="1:111" s="324" customFormat="1" outlineLevel="1" x14ac:dyDescent="0.25">
      <c r="A577" s="305" t="s">
        <v>34</v>
      </c>
      <c r="B577" s="306" t="s">
        <v>376</v>
      </c>
      <c r="C577" s="306"/>
      <c r="D577" s="307">
        <f t="shared" ref="D577:D588" si="499">E577+F577</f>
        <v>3000</v>
      </c>
      <c r="E577" s="307"/>
      <c r="F577" s="307">
        <f>G577+H577+K577+M577</f>
        <v>3000</v>
      </c>
      <c r="G577" s="303">
        <v>3000</v>
      </c>
      <c r="H577" s="303"/>
      <c r="I577" s="235"/>
      <c r="J577" s="235"/>
      <c r="K577" s="303"/>
      <c r="L577" s="235"/>
      <c r="M577" s="223"/>
      <c r="N577" s="223"/>
      <c r="O577" s="303">
        <f t="shared" si="494"/>
        <v>3000</v>
      </c>
      <c r="P577" s="303">
        <v>0</v>
      </c>
      <c r="Q577" s="308">
        <f t="shared" si="474"/>
        <v>0</v>
      </c>
      <c r="R577" s="303"/>
      <c r="S577" s="309">
        <v>0</v>
      </c>
      <c r="T577" s="309">
        <v>0</v>
      </c>
      <c r="U577" s="303">
        <v>725.32400000000007</v>
      </c>
      <c r="V577" s="309">
        <v>0.24177466666666669</v>
      </c>
      <c r="W577" s="309">
        <v>0.25449964912280704</v>
      </c>
      <c r="X577" s="303">
        <v>725.32400000000007</v>
      </c>
      <c r="Y577" s="309">
        <v>0.24177466666666669</v>
      </c>
      <c r="Z577" s="309">
        <v>0.25449964912280704</v>
      </c>
      <c r="AA577" s="303">
        <v>725.32400000000007</v>
      </c>
      <c r="AB577" s="309">
        <v>0.24177466666666669</v>
      </c>
      <c r="AC577" s="309">
        <v>0.25449964912280704</v>
      </c>
      <c r="AD577" s="303">
        <v>725.32400000000007</v>
      </c>
      <c r="AE577" s="309">
        <v>0.24177466666666669</v>
      </c>
      <c r="AF577" s="309">
        <v>0.25449964912280704</v>
      </c>
      <c r="AG577" s="303">
        <v>725.32400000000007</v>
      </c>
      <c r="AH577" s="309">
        <v>0.24177466666666669</v>
      </c>
      <c r="AI577" s="309">
        <v>0.25449964912280704</v>
      </c>
      <c r="AJ577" s="189">
        <v>725.32400000000007</v>
      </c>
      <c r="AK577" s="309">
        <v>0.24177466666666669</v>
      </c>
      <c r="AL577" s="309">
        <v>0.25449964912280704</v>
      </c>
      <c r="AM577" s="303">
        <v>725.32400000000007</v>
      </c>
      <c r="AN577" s="309">
        <v>0.24177466666666669</v>
      </c>
      <c r="AO577" s="309">
        <v>0.25449964912280704</v>
      </c>
      <c r="AP577" s="309"/>
      <c r="AQ577" s="303">
        <v>725.32400000000007</v>
      </c>
      <c r="AR577" s="309">
        <v>0.24177466666666669</v>
      </c>
      <c r="AS577" s="309">
        <v>0.25449964912280704</v>
      </c>
      <c r="AT577" s="303">
        <v>725.32400000000007</v>
      </c>
      <c r="AU577" s="309">
        <v>0.24177466666666669</v>
      </c>
      <c r="AV577" s="309">
        <v>0.25449964912280704</v>
      </c>
      <c r="AW577" s="309"/>
      <c r="AX577" s="309"/>
      <c r="AY577" s="309"/>
      <c r="AZ577" s="309"/>
      <c r="BA577" s="309"/>
      <c r="BB577" s="309"/>
      <c r="BC577" s="303">
        <v>725.32400000000007</v>
      </c>
      <c r="BD577" s="309">
        <v>0.24177466666666669</v>
      </c>
      <c r="BE577" s="309">
        <v>0.25449964912280704</v>
      </c>
      <c r="BF577" s="351"/>
      <c r="BG577" s="351">
        <v>1237.441</v>
      </c>
      <c r="BH577" s="309">
        <v>0.41248033333333334</v>
      </c>
      <c r="BI577" s="309">
        <v>0.43418982456140354</v>
      </c>
      <c r="BJ577" s="349">
        <f t="shared" si="467"/>
        <v>2850</v>
      </c>
      <c r="BK577" s="349">
        <v>1460.441</v>
      </c>
      <c r="BL577" s="309">
        <f t="shared" si="469"/>
        <v>0.4868136666666667</v>
      </c>
      <c r="BM577" s="309">
        <f t="shared" si="477"/>
        <v>0.51243543859649121</v>
      </c>
      <c r="BN577" s="205">
        <f t="shared" si="465"/>
        <v>735.11699999999996</v>
      </c>
      <c r="BO577" s="205"/>
      <c r="BP577" s="310"/>
      <c r="BQ577" s="308">
        <f t="shared" si="470"/>
        <v>0</v>
      </c>
      <c r="BR577" s="310"/>
      <c r="BS577" s="308">
        <f t="shared" si="471"/>
        <v>0</v>
      </c>
      <c r="BT577" s="310">
        <f>$F577*0.1</f>
        <v>300</v>
      </c>
      <c r="BU577" s="308">
        <f t="shared" si="472"/>
        <v>0.1</v>
      </c>
      <c r="BV577" s="310">
        <f>$F577*0.2</f>
        <v>600</v>
      </c>
      <c r="BW577" s="308">
        <f t="shared" si="454"/>
        <v>0.2</v>
      </c>
      <c r="BX577" s="310">
        <f>$F577*0.3</f>
        <v>900</v>
      </c>
      <c r="BY577" s="308">
        <f t="shared" si="455"/>
        <v>0.3</v>
      </c>
      <c r="BZ577" s="310">
        <f>$F577*0.4</f>
        <v>1200</v>
      </c>
      <c r="CA577" s="308">
        <f t="shared" si="456"/>
        <v>0.4</v>
      </c>
      <c r="CB577" s="310">
        <f>$F577*0.5</f>
        <v>1500</v>
      </c>
      <c r="CC577" s="308">
        <f t="shared" si="483"/>
        <v>0.5</v>
      </c>
      <c r="CD577" s="310">
        <f>$F577*0.55</f>
        <v>1650.0000000000002</v>
      </c>
      <c r="CE577" s="308">
        <f t="shared" si="457"/>
        <v>0.55000000000000004</v>
      </c>
      <c r="CF577" s="310">
        <v>2100</v>
      </c>
      <c r="CG577" s="308">
        <f t="shared" si="458"/>
        <v>0.7</v>
      </c>
      <c r="CH577" s="310">
        <f>$F577*0.7</f>
        <v>2100</v>
      </c>
      <c r="CI577" s="308">
        <f t="shared" si="459"/>
        <v>0.7</v>
      </c>
      <c r="CJ577" s="310">
        <f>$F577*0.75</f>
        <v>2250</v>
      </c>
      <c r="CK577" s="308">
        <f t="shared" si="460"/>
        <v>0.75</v>
      </c>
      <c r="CL577" s="310">
        <f>$F577*0.8</f>
        <v>2400</v>
      </c>
      <c r="CM577" s="308">
        <f t="shared" si="461"/>
        <v>0.8</v>
      </c>
      <c r="CN577" s="310">
        <f>$F577*0.95</f>
        <v>2850</v>
      </c>
      <c r="CO577" s="308">
        <f t="shared" si="462"/>
        <v>0.95</v>
      </c>
      <c r="CP577" s="213" t="str">
        <f t="shared" si="475"/>
        <v>Đạt</v>
      </c>
      <c r="CQ577" s="213" t="str">
        <f t="shared" si="476"/>
        <v>Đạt</v>
      </c>
      <c r="CR577" s="312"/>
      <c r="CS577" s="312"/>
      <c r="CT577" s="235"/>
      <c r="CU577" s="163"/>
      <c r="CV577" s="323"/>
      <c r="CW577" s="195"/>
      <c r="CX577" s="196"/>
      <c r="CY577" s="196"/>
      <c r="CZ577" s="197"/>
      <c r="DA577" s="196"/>
      <c r="DB577" s="196"/>
      <c r="DC577" s="196"/>
      <c r="DE577" s="199"/>
      <c r="DF577" s="200"/>
      <c r="DG577" s="181"/>
    </row>
    <row r="578" spans="1:111" ht="18" customHeight="1" x14ac:dyDescent="0.25">
      <c r="A578" s="213">
        <f>MAX(A$243:A576)+1</f>
        <v>94</v>
      </c>
      <c r="B578" s="240" t="s">
        <v>511</v>
      </c>
      <c r="C578" s="240"/>
      <c r="D578" s="188">
        <f t="shared" ref="D578:I578" si="500">D579+D582+D583</f>
        <v>28550</v>
      </c>
      <c r="E578" s="188">
        <f t="shared" si="500"/>
        <v>0</v>
      </c>
      <c r="F578" s="188">
        <f t="shared" si="500"/>
        <v>28550</v>
      </c>
      <c r="G578" s="188">
        <f t="shared" si="500"/>
        <v>26000</v>
      </c>
      <c r="H578" s="188">
        <f t="shared" si="500"/>
        <v>2550</v>
      </c>
      <c r="I578" s="188">
        <f t="shared" si="500"/>
        <v>0</v>
      </c>
      <c r="J578" s="188"/>
      <c r="K578" s="188">
        <f>K579+K582+K583</f>
        <v>0</v>
      </c>
      <c r="L578" s="188">
        <f>L579+L582+L583</f>
        <v>0</v>
      </c>
      <c r="M578" s="188">
        <f>M579+M582+M583</f>
        <v>0</v>
      </c>
      <c r="N578" s="188">
        <f>N579+N582+N583</f>
        <v>0</v>
      </c>
      <c r="O578" s="188">
        <f>O579+O582+O583</f>
        <v>26000</v>
      </c>
      <c r="P578" s="188">
        <v>2439</v>
      </c>
      <c r="Q578" s="186">
        <f t="shared" si="474"/>
        <v>8.5429071803852896E-2</v>
      </c>
      <c r="R578" s="189">
        <v>7463.9420440000004</v>
      </c>
      <c r="S578" s="185">
        <v>0.26143404707530649</v>
      </c>
      <c r="T578" s="185">
        <v>0.2751937337634805</v>
      </c>
      <c r="U578" s="189">
        <v>7463.9420440000004</v>
      </c>
      <c r="V578" s="185">
        <v>0.26143404707530649</v>
      </c>
      <c r="W578" s="185">
        <v>0.2751937337634805</v>
      </c>
      <c r="X578" s="189">
        <v>7463.9420440000004</v>
      </c>
      <c r="Y578" s="185">
        <v>0.26143404707530649</v>
      </c>
      <c r="Z578" s="185">
        <v>0.2751937337634805</v>
      </c>
      <c r="AA578" s="189">
        <v>7463.9420440000004</v>
      </c>
      <c r="AB578" s="185">
        <v>0.26143404707530649</v>
      </c>
      <c r="AC578" s="185">
        <v>0.2751937337634805</v>
      </c>
      <c r="AD578" s="189">
        <v>8400</v>
      </c>
      <c r="AE578" s="185">
        <v>0.29422066549912435</v>
      </c>
      <c r="AF578" s="185">
        <v>0.30970596368328879</v>
      </c>
      <c r="AG578" s="189">
        <v>8400</v>
      </c>
      <c r="AH578" s="185">
        <v>0.29422066549912435</v>
      </c>
      <c r="AI578" s="185">
        <v>0.30970596368328879</v>
      </c>
      <c r="AJ578" s="307">
        <v>8400</v>
      </c>
      <c r="AK578" s="185">
        <v>0.29422066549912435</v>
      </c>
      <c r="AL578" s="185">
        <v>0.30970596368328879</v>
      </c>
      <c r="AM578" s="189">
        <v>8400</v>
      </c>
      <c r="AN578" s="185">
        <v>0.29422066549912435</v>
      </c>
      <c r="AO578" s="185">
        <v>0.30970596368328879</v>
      </c>
      <c r="AP578" s="185"/>
      <c r="AQ578" s="189">
        <v>11326</v>
      </c>
      <c r="AR578" s="185">
        <v>0.39670753064798597</v>
      </c>
      <c r="AS578" s="185">
        <v>0.41758687436630104</v>
      </c>
      <c r="AT578" s="189">
        <v>11326</v>
      </c>
      <c r="AU578" s="185">
        <v>0.39670753064798597</v>
      </c>
      <c r="AV578" s="185">
        <v>0.41758687436630104</v>
      </c>
      <c r="AW578" s="185"/>
      <c r="AX578" s="185"/>
      <c r="AY578" s="185"/>
      <c r="AZ578" s="185"/>
      <c r="BA578" s="185"/>
      <c r="BB578" s="185"/>
      <c r="BC578" s="189">
        <v>11326</v>
      </c>
      <c r="BD578" s="185">
        <v>0.39670753064798597</v>
      </c>
      <c r="BE578" s="185">
        <v>0.41758687436630104</v>
      </c>
      <c r="BF578" s="352"/>
      <c r="BG578" s="352">
        <v>12293</v>
      </c>
      <c r="BH578" s="185">
        <v>0.43057793345008755</v>
      </c>
      <c r="BI578" s="185">
        <v>0.4532399299474606</v>
      </c>
      <c r="BJ578" s="374">
        <f t="shared" si="467"/>
        <v>27122.5</v>
      </c>
      <c r="BK578" s="374">
        <v>16808</v>
      </c>
      <c r="BL578" s="185">
        <f t="shared" si="469"/>
        <v>0.58872154115586695</v>
      </c>
      <c r="BM578" s="185">
        <f t="shared" si="477"/>
        <v>0.61970688542722829</v>
      </c>
      <c r="BN578" s="205">
        <f t="shared" si="465"/>
        <v>8408</v>
      </c>
      <c r="BO578" s="205"/>
      <c r="BP578" s="189">
        <f>BP579+BP582+BP583</f>
        <v>0</v>
      </c>
      <c r="BQ578" s="186">
        <f t="shared" si="470"/>
        <v>0</v>
      </c>
      <c r="BR578" s="189">
        <f>BR579+BR582+BR583</f>
        <v>0</v>
      </c>
      <c r="BS578" s="186">
        <f t="shared" si="471"/>
        <v>0</v>
      </c>
      <c r="BT578" s="189">
        <f>BT579+BT582+BT583</f>
        <v>12750</v>
      </c>
      <c r="BU578" s="186">
        <f t="shared" si="472"/>
        <v>0.44658493870402804</v>
      </c>
      <c r="BV578" s="189">
        <f>BV579+BV582+BV583</f>
        <v>12750</v>
      </c>
      <c r="BW578" s="186">
        <f t="shared" si="454"/>
        <v>0.44658493870402804</v>
      </c>
      <c r="BX578" s="189">
        <f>BX579+BX582+BX583</f>
        <v>12750</v>
      </c>
      <c r="BY578" s="186">
        <f t="shared" si="455"/>
        <v>0.44658493870402804</v>
      </c>
      <c r="BZ578" s="189">
        <f>BZ579+BZ582+BZ583</f>
        <v>19350</v>
      </c>
      <c r="CA578" s="186">
        <f t="shared" si="456"/>
        <v>0.67775831873905434</v>
      </c>
      <c r="CB578" s="189">
        <f>CB579+CB582+CB583</f>
        <v>19350</v>
      </c>
      <c r="CC578" s="186">
        <f t="shared" si="483"/>
        <v>0.67775831873905434</v>
      </c>
      <c r="CD578" s="189">
        <f>CD579+CD582+CD583</f>
        <v>23850</v>
      </c>
      <c r="CE578" s="186">
        <f t="shared" si="457"/>
        <v>0.83537653239929943</v>
      </c>
      <c r="CF578" s="189">
        <f>CF579+CF582+CF583</f>
        <v>27122</v>
      </c>
      <c r="CG578" s="186">
        <f t="shared" si="458"/>
        <v>0.94998248686514886</v>
      </c>
      <c r="CH578" s="189">
        <f>CH579+CH582+CH583</f>
        <v>27122</v>
      </c>
      <c r="CI578" s="186">
        <f t="shared" si="459"/>
        <v>0.94998248686514886</v>
      </c>
      <c r="CJ578" s="189">
        <f>CJ579+CJ582+CJ583</f>
        <v>27122</v>
      </c>
      <c r="CK578" s="186">
        <f t="shared" si="460"/>
        <v>0.94998248686514886</v>
      </c>
      <c r="CL578" s="189">
        <f>CL579+CL582+CL583</f>
        <v>27122</v>
      </c>
      <c r="CM578" s="186">
        <f t="shared" si="461"/>
        <v>0.94998248686514886</v>
      </c>
      <c r="CN578" s="189">
        <f>CN579+CN582+CN583</f>
        <v>27122</v>
      </c>
      <c r="CO578" s="186">
        <f t="shared" si="462"/>
        <v>0.94998248686514886</v>
      </c>
      <c r="CP578" s="213" t="str">
        <f t="shared" si="475"/>
        <v>Đạt</v>
      </c>
      <c r="CQ578" s="213" t="str">
        <f t="shared" si="476"/>
        <v>Đạt</v>
      </c>
      <c r="CR578" s="213"/>
      <c r="CS578" s="213"/>
      <c r="CT578" s="231"/>
      <c r="CU578" s="163"/>
      <c r="CW578" s="195"/>
      <c r="CX578" s="196"/>
      <c r="CY578" s="196"/>
      <c r="CZ578" s="197"/>
      <c r="DA578" s="196"/>
      <c r="DB578" s="196"/>
      <c r="DC578" s="196"/>
      <c r="DE578" s="199"/>
      <c r="DF578" s="200"/>
      <c r="DG578" s="181"/>
    </row>
    <row r="579" spans="1:111" s="381" customFormat="1" outlineLevel="1" x14ac:dyDescent="0.25">
      <c r="A579" s="305" t="s">
        <v>34</v>
      </c>
      <c r="B579" s="318" t="s">
        <v>381</v>
      </c>
      <c r="C579" s="306"/>
      <c r="D579" s="317">
        <f t="shared" ref="D579:I579" si="501">SUM(D580:D581)</f>
        <v>23000</v>
      </c>
      <c r="E579" s="317">
        <f t="shared" si="501"/>
        <v>0</v>
      </c>
      <c r="F579" s="317">
        <f t="shared" si="501"/>
        <v>23000</v>
      </c>
      <c r="G579" s="317">
        <f t="shared" si="501"/>
        <v>23000</v>
      </c>
      <c r="H579" s="317">
        <f t="shared" si="501"/>
        <v>0</v>
      </c>
      <c r="I579" s="214">
        <f t="shared" si="501"/>
        <v>0</v>
      </c>
      <c r="J579" s="214"/>
      <c r="K579" s="317">
        <f>SUM(K580:K581)</f>
        <v>0</v>
      </c>
      <c r="L579" s="214">
        <f>SUM(L580:L581)</f>
        <v>0</v>
      </c>
      <c r="M579" s="223"/>
      <c r="N579" s="223"/>
      <c r="O579" s="317">
        <f t="shared" si="494"/>
        <v>23000</v>
      </c>
      <c r="P579" s="317">
        <v>0</v>
      </c>
      <c r="Q579" s="319">
        <f t="shared" si="474"/>
        <v>0</v>
      </c>
      <c r="R579" s="307">
        <v>7463.9420440000004</v>
      </c>
      <c r="S579" s="320">
        <v>0.32451921930434785</v>
      </c>
      <c r="T579" s="320">
        <v>0.34159917821510299</v>
      </c>
      <c r="U579" s="307">
        <v>7463.9420440000004</v>
      </c>
      <c r="V579" s="320">
        <v>0.32451921930434785</v>
      </c>
      <c r="W579" s="320">
        <v>0.34159917821510299</v>
      </c>
      <c r="X579" s="307">
        <v>7463.9420440000004</v>
      </c>
      <c r="Y579" s="320">
        <v>0.32451921930434785</v>
      </c>
      <c r="Z579" s="320">
        <v>0.34159917821510299</v>
      </c>
      <c r="AA579" s="307">
        <v>7463.9420440000004</v>
      </c>
      <c r="AB579" s="320">
        <v>0.32451921930434785</v>
      </c>
      <c r="AC579" s="320">
        <v>0.34159917821510299</v>
      </c>
      <c r="AD579" s="307">
        <v>7978.5990439999996</v>
      </c>
      <c r="AE579" s="320">
        <v>0.34689561060869561</v>
      </c>
      <c r="AF579" s="320">
        <v>0.36515327432494277</v>
      </c>
      <c r="AG579" s="307">
        <v>7978.5990439999996</v>
      </c>
      <c r="AH579" s="320">
        <v>0.34689561060869561</v>
      </c>
      <c r="AI579" s="320">
        <v>0.36515327432494277</v>
      </c>
      <c r="AJ579" s="214">
        <v>7978.5990439999996</v>
      </c>
      <c r="AK579" s="320">
        <v>0.34689561060869561</v>
      </c>
      <c r="AL579" s="320">
        <v>0.36515327432494277</v>
      </c>
      <c r="AM579" s="307">
        <v>7978.5990439999996</v>
      </c>
      <c r="AN579" s="320">
        <v>0.34689561060869561</v>
      </c>
      <c r="AO579" s="320">
        <v>0.36515327432494277</v>
      </c>
      <c r="AP579" s="320"/>
      <c r="AQ579" s="307">
        <v>10934</v>
      </c>
      <c r="AR579" s="320">
        <v>0.47539130434782606</v>
      </c>
      <c r="AS579" s="320">
        <v>0.50041189931350116</v>
      </c>
      <c r="AT579" s="307">
        <v>10934</v>
      </c>
      <c r="AU579" s="320">
        <v>0.47539130434782606</v>
      </c>
      <c r="AV579" s="320">
        <v>0.50041189931350116</v>
      </c>
      <c r="AW579" s="320"/>
      <c r="AX579" s="320"/>
      <c r="AY579" s="320"/>
      <c r="AZ579" s="320"/>
      <c r="BA579" s="320"/>
      <c r="BB579" s="320"/>
      <c r="BC579" s="307">
        <v>10934</v>
      </c>
      <c r="BD579" s="320">
        <v>0.47539130434782606</v>
      </c>
      <c r="BE579" s="320">
        <v>0.50041189931350116</v>
      </c>
      <c r="BF579" s="349"/>
      <c r="BG579" s="349">
        <v>10934</v>
      </c>
      <c r="BH579" s="320">
        <v>0.47539130434782606</v>
      </c>
      <c r="BI579" s="320">
        <v>0.50041189931350116</v>
      </c>
      <c r="BJ579" s="349">
        <f t="shared" si="467"/>
        <v>21850</v>
      </c>
      <c r="BK579" s="349">
        <v>14534</v>
      </c>
      <c r="BL579" s="320">
        <f t="shared" si="469"/>
        <v>0.63191304347826083</v>
      </c>
      <c r="BM579" s="320">
        <f t="shared" si="477"/>
        <v>0.66517162471395885</v>
      </c>
      <c r="BN579" s="205">
        <f t="shared" si="465"/>
        <v>6555.4009560000004</v>
      </c>
      <c r="BO579" s="205"/>
      <c r="BP579" s="307">
        <f>SUM(BP580:BP581)</f>
        <v>0</v>
      </c>
      <c r="BQ579" s="322">
        <f t="shared" si="470"/>
        <v>0</v>
      </c>
      <c r="BR579" s="307">
        <f>SUM(BR580:BR581)</f>
        <v>0</v>
      </c>
      <c r="BS579" s="322">
        <f t="shared" si="471"/>
        <v>0</v>
      </c>
      <c r="BT579" s="307">
        <f>SUM(BT580:BT581)</f>
        <v>12350</v>
      </c>
      <c r="BU579" s="319">
        <f t="shared" si="472"/>
        <v>0.53695652173913044</v>
      </c>
      <c r="BV579" s="307">
        <f>SUM(BV580:BV581)</f>
        <v>12350</v>
      </c>
      <c r="BW579" s="322">
        <f t="shared" si="454"/>
        <v>0.53695652173913044</v>
      </c>
      <c r="BX579" s="307">
        <f>SUM(BX580:BX581)</f>
        <v>12350</v>
      </c>
      <c r="BY579" s="322">
        <f t="shared" si="455"/>
        <v>0.53695652173913044</v>
      </c>
      <c r="BZ579" s="307">
        <f>SUM(BZ580:BZ581)</f>
        <v>17350</v>
      </c>
      <c r="CA579" s="322">
        <f t="shared" si="456"/>
        <v>0.7543478260869565</v>
      </c>
      <c r="CB579" s="307">
        <f>SUM(CB580:CB581)</f>
        <v>17350</v>
      </c>
      <c r="CC579" s="322">
        <f t="shared" si="483"/>
        <v>0.7543478260869565</v>
      </c>
      <c r="CD579" s="307">
        <f>SUM(CD580:CD581)</f>
        <v>21850</v>
      </c>
      <c r="CE579" s="322">
        <f t="shared" si="457"/>
        <v>0.95</v>
      </c>
      <c r="CF579" s="307">
        <f>SUM(CF580:CF581)</f>
        <v>21850</v>
      </c>
      <c r="CG579" s="322">
        <f t="shared" si="458"/>
        <v>0.95</v>
      </c>
      <c r="CH579" s="307">
        <f>SUM(CH580:CH581)</f>
        <v>21850</v>
      </c>
      <c r="CI579" s="322">
        <f t="shared" si="459"/>
        <v>0.95</v>
      </c>
      <c r="CJ579" s="307">
        <f>SUM(CJ580:CJ581)</f>
        <v>21850</v>
      </c>
      <c r="CK579" s="322">
        <f t="shared" si="460"/>
        <v>0.95</v>
      </c>
      <c r="CL579" s="307">
        <f>SUM(CL580:CL581)</f>
        <v>21850</v>
      </c>
      <c r="CM579" s="322">
        <f t="shared" si="461"/>
        <v>0.95</v>
      </c>
      <c r="CN579" s="307">
        <f>SUM(CN580:CN581)</f>
        <v>21850</v>
      </c>
      <c r="CO579" s="322">
        <f t="shared" si="462"/>
        <v>0.95</v>
      </c>
      <c r="CP579" s="213" t="str">
        <f t="shared" si="475"/>
        <v>Đạt</v>
      </c>
      <c r="CQ579" s="213" t="str">
        <f t="shared" si="476"/>
        <v>Đạt</v>
      </c>
      <c r="CR579" s="312"/>
      <c r="CS579" s="312"/>
      <c r="CT579" s="235"/>
      <c r="CU579" s="163"/>
      <c r="CV579" s="380"/>
      <c r="CW579" s="195"/>
      <c r="CX579" s="196"/>
      <c r="CY579" s="196"/>
      <c r="CZ579" s="197"/>
      <c r="DA579" s="196"/>
      <c r="DB579" s="196"/>
      <c r="DC579" s="196"/>
      <c r="DE579" s="199"/>
      <c r="DF579" s="200"/>
      <c r="DG579" s="181"/>
    </row>
    <row r="580" spans="1:111" outlineLevel="1" x14ac:dyDescent="0.25">
      <c r="A580" s="192"/>
      <c r="B580" s="269" t="s">
        <v>512</v>
      </c>
      <c r="C580" s="269">
        <v>7902730</v>
      </c>
      <c r="D580" s="214">
        <f t="shared" si="499"/>
        <v>13000</v>
      </c>
      <c r="E580" s="215"/>
      <c r="F580" s="214">
        <f>G580+H580+K580+M580</f>
        <v>13000</v>
      </c>
      <c r="G580" s="257">
        <v>13000</v>
      </c>
      <c r="H580" s="223"/>
      <c r="I580" s="235"/>
      <c r="J580" s="235"/>
      <c r="K580" s="223"/>
      <c r="L580" s="235"/>
      <c r="M580" s="223"/>
      <c r="N580" s="223"/>
      <c r="O580" s="223">
        <f t="shared" si="494"/>
        <v>13000</v>
      </c>
      <c r="P580" s="223">
        <v>2439</v>
      </c>
      <c r="Q580" s="224">
        <f t="shared" si="474"/>
        <v>0.18761538461538463</v>
      </c>
      <c r="R580" s="223">
        <v>4463.9420440000004</v>
      </c>
      <c r="S580" s="326">
        <v>0.34338015723076926</v>
      </c>
      <c r="T580" s="326">
        <v>0.36145279708502026</v>
      </c>
      <c r="U580" s="223">
        <v>4463.9420440000004</v>
      </c>
      <c r="V580" s="326">
        <v>0.34338015723076926</v>
      </c>
      <c r="W580" s="326">
        <v>0.36145279708502026</v>
      </c>
      <c r="X580" s="223">
        <v>4463.9420440000004</v>
      </c>
      <c r="Y580" s="326">
        <v>0.34338015723076926</v>
      </c>
      <c r="Z580" s="326">
        <v>0.36145279708502026</v>
      </c>
      <c r="AA580" s="223">
        <v>4463.9420440000004</v>
      </c>
      <c r="AB580" s="326">
        <v>0.34338015723076926</v>
      </c>
      <c r="AC580" s="326">
        <v>0.36145279708502026</v>
      </c>
      <c r="AD580" s="223">
        <v>4978.5990439999996</v>
      </c>
      <c r="AE580" s="326">
        <v>0.38296915723076919</v>
      </c>
      <c r="AF580" s="326">
        <v>0.40312542866396756</v>
      </c>
      <c r="AG580" s="214">
        <v>4978.5990439999996</v>
      </c>
      <c r="AH580" s="326">
        <v>0.38296915723076919</v>
      </c>
      <c r="AI580" s="326">
        <v>0.40312542866396756</v>
      </c>
      <c r="AJ580" s="214">
        <v>4978.5990439999996</v>
      </c>
      <c r="AK580" s="326">
        <v>0.38296915723076919</v>
      </c>
      <c r="AL580" s="326">
        <v>0.40312542866396756</v>
      </c>
      <c r="AM580" s="214">
        <v>4978.5990439999996</v>
      </c>
      <c r="AN580" s="326">
        <v>0.38296915723076919</v>
      </c>
      <c r="AO580" s="326">
        <v>0.40312542866396756</v>
      </c>
      <c r="AP580" s="326"/>
      <c r="AQ580" s="214">
        <v>5398</v>
      </c>
      <c r="AR580" s="326">
        <v>0.41523076923076924</v>
      </c>
      <c r="AS580" s="326">
        <v>0.43708502024291496</v>
      </c>
      <c r="AT580" s="214">
        <v>5398</v>
      </c>
      <c r="AU580" s="326">
        <v>0.41523076923076924</v>
      </c>
      <c r="AV580" s="326">
        <v>0.43708502024291496</v>
      </c>
      <c r="AW580" s="326"/>
      <c r="AX580" s="326"/>
      <c r="AY580" s="326"/>
      <c r="AZ580" s="326"/>
      <c r="BA580" s="326"/>
      <c r="BB580" s="326"/>
      <c r="BC580" s="214">
        <v>5398</v>
      </c>
      <c r="BD580" s="326">
        <v>0.41523076923076924</v>
      </c>
      <c r="BE580" s="326">
        <v>0.43708502024291496</v>
      </c>
      <c r="BF580" s="350"/>
      <c r="BG580" s="350">
        <v>5398</v>
      </c>
      <c r="BH580" s="326">
        <v>0.41523076923076924</v>
      </c>
      <c r="BI580" s="326">
        <v>0.43708502024291496</v>
      </c>
      <c r="BJ580" s="402">
        <f t="shared" si="467"/>
        <v>12350</v>
      </c>
      <c r="BK580" s="402">
        <v>5398</v>
      </c>
      <c r="BL580" s="326">
        <f t="shared" si="469"/>
        <v>0.41523076923076924</v>
      </c>
      <c r="BM580" s="326">
        <f t="shared" si="477"/>
        <v>0.43708502024291496</v>
      </c>
      <c r="BN580" s="205">
        <f t="shared" si="465"/>
        <v>419.40095600000041</v>
      </c>
      <c r="BO580" s="205"/>
      <c r="BP580" s="227"/>
      <c r="BQ580" s="327">
        <f t="shared" si="470"/>
        <v>0</v>
      </c>
      <c r="BR580" s="227"/>
      <c r="BS580" s="327">
        <f t="shared" si="471"/>
        <v>0</v>
      </c>
      <c r="BT580" s="227">
        <v>12350</v>
      </c>
      <c r="BU580" s="224">
        <f t="shared" si="472"/>
        <v>0.95</v>
      </c>
      <c r="BV580" s="227">
        <v>12350</v>
      </c>
      <c r="BW580" s="327">
        <f t="shared" si="454"/>
        <v>0.95</v>
      </c>
      <c r="BX580" s="227">
        <v>12350</v>
      </c>
      <c r="BY580" s="327">
        <f t="shared" si="455"/>
        <v>0.95</v>
      </c>
      <c r="BZ580" s="227">
        <v>12350</v>
      </c>
      <c r="CA580" s="327">
        <f t="shared" si="456"/>
        <v>0.95</v>
      </c>
      <c r="CB580" s="227">
        <v>12350</v>
      </c>
      <c r="CC580" s="327">
        <f t="shared" si="483"/>
        <v>0.95</v>
      </c>
      <c r="CD580" s="227">
        <v>12350</v>
      </c>
      <c r="CE580" s="327">
        <f t="shared" si="457"/>
        <v>0.95</v>
      </c>
      <c r="CF580" s="227">
        <v>12350</v>
      </c>
      <c r="CG580" s="327">
        <f t="shared" si="458"/>
        <v>0.95</v>
      </c>
      <c r="CH580" s="227">
        <v>12350</v>
      </c>
      <c r="CI580" s="327">
        <f t="shared" si="459"/>
        <v>0.95</v>
      </c>
      <c r="CJ580" s="227">
        <v>12350</v>
      </c>
      <c r="CK580" s="327">
        <f t="shared" si="460"/>
        <v>0.95</v>
      </c>
      <c r="CL580" s="227">
        <v>12350</v>
      </c>
      <c r="CM580" s="327">
        <f t="shared" si="461"/>
        <v>0.95</v>
      </c>
      <c r="CN580" s="227">
        <v>12350</v>
      </c>
      <c r="CO580" s="327">
        <f t="shared" si="462"/>
        <v>0.95</v>
      </c>
      <c r="CP580" s="213" t="str">
        <f t="shared" si="475"/>
        <v>Đạt</v>
      </c>
      <c r="CQ580" s="213" t="str">
        <f t="shared" si="476"/>
        <v>Không đạt</v>
      </c>
      <c r="CR580" s="192"/>
      <c r="CS580" s="192"/>
      <c r="CT580" s="223"/>
      <c r="CU580" s="163"/>
      <c r="CW580" s="195"/>
      <c r="CX580" s="196"/>
      <c r="CY580" s="196"/>
      <c r="CZ580" s="197"/>
      <c r="DA580" s="196"/>
      <c r="DB580" s="196"/>
      <c r="DC580" s="196"/>
      <c r="DE580" s="199"/>
      <c r="DF580" s="200"/>
      <c r="DG580" s="181"/>
    </row>
    <row r="581" spans="1:111" ht="25.5" outlineLevel="1" x14ac:dyDescent="0.25">
      <c r="A581" s="192"/>
      <c r="B581" s="269" t="s">
        <v>513</v>
      </c>
      <c r="C581" s="269">
        <v>7902731</v>
      </c>
      <c r="D581" s="214">
        <f t="shared" si="499"/>
        <v>10000</v>
      </c>
      <c r="E581" s="215"/>
      <c r="F581" s="214">
        <f>G581+H581+K581+M581</f>
        <v>10000</v>
      </c>
      <c r="G581" s="257">
        <v>10000</v>
      </c>
      <c r="H581" s="223"/>
      <c r="I581" s="235"/>
      <c r="J581" s="235"/>
      <c r="K581" s="223"/>
      <c r="L581" s="235"/>
      <c r="M581" s="223"/>
      <c r="N581" s="223"/>
      <c r="O581" s="223">
        <f t="shared" si="494"/>
        <v>10000</v>
      </c>
      <c r="P581" s="223">
        <v>0</v>
      </c>
      <c r="Q581" s="224">
        <f t="shared" si="474"/>
        <v>0</v>
      </c>
      <c r="R581" s="223">
        <v>3000</v>
      </c>
      <c r="S581" s="326">
        <v>0.3</v>
      </c>
      <c r="T581" s="326">
        <v>0.31578947368421051</v>
      </c>
      <c r="U581" s="223">
        <v>3000</v>
      </c>
      <c r="V581" s="326">
        <v>0.3</v>
      </c>
      <c r="W581" s="326">
        <v>0.31578947368421051</v>
      </c>
      <c r="X581" s="223">
        <v>3000</v>
      </c>
      <c r="Y581" s="326">
        <v>0.3</v>
      </c>
      <c r="Z581" s="326">
        <v>0.31578947368421051</v>
      </c>
      <c r="AA581" s="223">
        <v>3000</v>
      </c>
      <c r="AB581" s="326">
        <v>0.3</v>
      </c>
      <c r="AC581" s="326">
        <v>0.31578947368421051</v>
      </c>
      <c r="AD581" s="223">
        <v>3000</v>
      </c>
      <c r="AE581" s="326">
        <v>0.3</v>
      </c>
      <c r="AF581" s="326">
        <v>0.31578947368421051</v>
      </c>
      <c r="AG581" s="214">
        <v>3000</v>
      </c>
      <c r="AH581" s="326">
        <v>0.3</v>
      </c>
      <c r="AI581" s="326">
        <v>0.31578947368421051</v>
      </c>
      <c r="AJ581" s="307">
        <v>3000</v>
      </c>
      <c r="AK581" s="326">
        <v>0.3</v>
      </c>
      <c r="AL581" s="326">
        <v>0.31578947368421051</v>
      </c>
      <c r="AM581" s="214">
        <v>3000</v>
      </c>
      <c r="AN581" s="326">
        <v>0.3</v>
      </c>
      <c r="AO581" s="326">
        <v>0.31578947368421051</v>
      </c>
      <c r="AP581" s="326"/>
      <c r="AQ581" s="214">
        <v>5536</v>
      </c>
      <c r="AR581" s="326">
        <v>0.55359999999999998</v>
      </c>
      <c r="AS581" s="326">
        <v>0.58273684210526311</v>
      </c>
      <c r="AT581" s="214">
        <v>5536</v>
      </c>
      <c r="AU581" s="326">
        <v>0.55359999999999998</v>
      </c>
      <c r="AV581" s="326">
        <v>0.58273684210526311</v>
      </c>
      <c r="AW581" s="326"/>
      <c r="AX581" s="326"/>
      <c r="AY581" s="326"/>
      <c r="AZ581" s="326"/>
      <c r="BA581" s="326"/>
      <c r="BB581" s="326"/>
      <c r="BC581" s="214">
        <v>5536</v>
      </c>
      <c r="BD581" s="326">
        <v>0.55359999999999998</v>
      </c>
      <c r="BE581" s="326">
        <v>0.58273684210526311</v>
      </c>
      <c r="BF581" s="350"/>
      <c r="BG581" s="350">
        <v>5536</v>
      </c>
      <c r="BH581" s="326">
        <v>0.55359999999999998</v>
      </c>
      <c r="BI581" s="326">
        <v>0.58273684210526311</v>
      </c>
      <c r="BJ581" s="402">
        <f t="shared" si="467"/>
        <v>9500</v>
      </c>
      <c r="BK581" s="402">
        <v>9136</v>
      </c>
      <c r="BL581" s="326">
        <f t="shared" si="469"/>
        <v>0.91359999999999997</v>
      </c>
      <c r="BM581" s="326">
        <f t="shared" si="477"/>
        <v>0.96168421052631581</v>
      </c>
      <c r="BN581" s="205">
        <f t="shared" si="465"/>
        <v>6136</v>
      </c>
      <c r="BO581" s="205"/>
      <c r="BP581" s="227"/>
      <c r="BQ581" s="327">
        <f t="shared" si="470"/>
        <v>0</v>
      </c>
      <c r="BR581" s="227"/>
      <c r="BS581" s="327">
        <f t="shared" si="471"/>
        <v>0</v>
      </c>
      <c r="BT581" s="227"/>
      <c r="BU581" s="224">
        <f t="shared" si="472"/>
        <v>0</v>
      </c>
      <c r="BV581" s="227"/>
      <c r="BW581" s="327">
        <f t="shared" ref="BW581:BW589" si="502">BV581/$D581</f>
        <v>0</v>
      </c>
      <c r="BX581" s="227"/>
      <c r="BY581" s="327">
        <f t="shared" ref="BY581:BY589" si="503">BX581/$D581</f>
        <v>0</v>
      </c>
      <c r="BZ581" s="227">
        <v>5000</v>
      </c>
      <c r="CA581" s="327">
        <f t="shared" ref="CA581:CA589" si="504">BZ581/$D581</f>
        <v>0.5</v>
      </c>
      <c r="CB581" s="227">
        <v>5000</v>
      </c>
      <c r="CC581" s="327">
        <f t="shared" si="483"/>
        <v>0.5</v>
      </c>
      <c r="CD581" s="227">
        <v>9500</v>
      </c>
      <c r="CE581" s="327">
        <f t="shared" ref="CE581:CE589" si="505">CD581/$D581</f>
        <v>0.95</v>
      </c>
      <c r="CF581" s="227">
        <v>9500</v>
      </c>
      <c r="CG581" s="327">
        <f t="shared" ref="CG581:CG589" si="506">CF581/$D581</f>
        <v>0.95</v>
      </c>
      <c r="CH581" s="227">
        <v>9500</v>
      </c>
      <c r="CI581" s="327">
        <f t="shared" ref="CI581:CI589" si="507">CH581/$D581</f>
        <v>0.95</v>
      </c>
      <c r="CJ581" s="227">
        <v>9500</v>
      </c>
      <c r="CK581" s="327">
        <f t="shared" ref="CK581:CK589" si="508">CJ581/$D581</f>
        <v>0.95</v>
      </c>
      <c r="CL581" s="227">
        <v>9500</v>
      </c>
      <c r="CM581" s="327">
        <f t="shared" ref="CM581:CM589" si="509">CL581/$D581</f>
        <v>0.95</v>
      </c>
      <c r="CN581" s="227">
        <v>9500</v>
      </c>
      <c r="CO581" s="327">
        <f t="shared" ref="CO581:CO589" si="510">CN581/$D581</f>
        <v>0.95</v>
      </c>
      <c r="CP581" s="213" t="str">
        <f t="shared" si="475"/>
        <v>Đạt</v>
      </c>
      <c r="CQ581" s="213" t="str">
        <f t="shared" si="476"/>
        <v>Đạt</v>
      </c>
      <c r="CR581" s="192"/>
      <c r="CS581" s="192"/>
      <c r="CT581" s="223"/>
      <c r="CU581" s="163"/>
      <c r="CW581" s="195"/>
      <c r="CX581" s="196"/>
      <c r="CY581" s="196"/>
      <c r="CZ581" s="197"/>
      <c r="DA581" s="196"/>
      <c r="DB581" s="196"/>
      <c r="DC581" s="196"/>
      <c r="DE581" s="199"/>
      <c r="DF581" s="200"/>
      <c r="DG581" s="181"/>
    </row>
    <row r="582" spans="1:111" s="381" customFormat="1" outlineLevel="1" x14ac:dyDescent="0.25">
      <c r="A582" s="305" t="s">
        <v>34</v>
      </c>
      <c r="B582" s="318" t="s">
        <v>376</v>
      </c>
      <c r="C582" s="306"/>
      <c r="D582" s="307">
        <f t="shared" si="499"/>
        <v>3000</v>
      </c>
      <c r="E582" s="307"/>
      <c r="F582" s="307">
        <f>G582+H582+K582+M582</f>
        <v>3000</v>
      </c>
      <c r="G582" s="307">
        <v>3000</v>
      </c>
      <c r="H582" s="303"/>
      <c r="I582" s="235"/>
      <c r="J582" s="235"/>
      <c r="K582" s="303"/>
      <c r="L582" s="235"/>
      <c r="M582" s="223"/>
      <c r="N582" s="223"/>
      <c r="O582" s="303">
        <f t="shared" si="494"/>
        <v>3000</v>
      </c>
      <c r="P582" s="303">
        <v>0</v>
      </c>
      <c r="Q582" s="308">
        <f t="shared" si="474"/>
        <v>0</v>
      </c>
      <c r="R582" s="303"/>
      <c r="S582" s="313">
        <v>0</v>
      </c>
      <c r="T582" s="313">
        <v>0</v>
      </c>
      <c r="U582" s="303"/>
      <c r="V582" s="313">
        <v>0</v>
      </c>
      <c r="W582" s="313">
        <v>0</v>
      </c>
      <c r="X582" s="303"/>
      <c r="Y582" s="313">
        <v>0</v>
      </c>
      <c r="Z582" s="313">
        <v>0</v>
      </c>
      <c r="AA582" s="303"/>
      <c r="AB582" s="313">
        <v>0</v>
      </c>
      <c r="AC582" s="313">
        <v>0</v>
      </c>
      <c r="AD582" s="303">
        <v>421.40095600000041</v>
      </c>
      <c r="AE582" s="313">
        <v>0.14046698533333346</v>
      </c>
      <c r="AF582" s="313">
        <v>0.14785998456140365</v>
      </c>
      <c r="AG582" s="307">
        <v>421.40095600000041</v>
      </c>
      <c r="AH582" s="313">
        <v>0.14046698533333346</v>
      </c>
      <c r="AI582" s="313">
        <v>0.14785998456140365</v>
      </c>
      <c r="AJ582" s="303">
        <v>421.40095600000041</v>
      </c>
      <c r="AK582" s="313">
        <v>0.14046698533333346</v>
      </c>
      <c r="AL582" s="313">
        <v>0.14785998456140365</v>
      </c>
      <c r="AM582" s="307">
        <v>421.40095600000041</v>
      </c>
      <c r="AN582" s="313">
        <v>0.14046698533333346</v>
      </c>
      <c r="AO582" s="313">
        <v>0.14785998456140365</v>
      </c>
      <c r="AP582" s="313"/>
      <c r="AQ582" s="307">
        <v>392</v>
      </c>
      <c r="AR582" s="313">
        <v>0.13066666666666665</v>
      </c>
      <c r="AS582" s="313">
        <v>0.1375438596491228</v>
      </c>
      <c r="AT582" s="307">
        <v>392</v>
      </c>
      <c r="AU582" s="313">
        <v>0.13066666666666665</v>
      </c>
      <c r="AV582" s="313">
        <v>0.1375438596491228</v>
      </c>
      <c r="AW582" s="313"/>
      <c r="AX582" s="313"/>
      <c r="AY582" s="313"/>
      <c r="AZ582" s="313"/>
      <c r="BA582" s="313"/>
      <c r="BB582" s="313"/>
      <c r="BC582" s="307">
        <v>392</v>
      </c>
      <c r="BD582" s="313">
        <v>0.13066666666666665</v>
      </c>
      <c r="BE582" s="313">
        <v>0.1375438596491228</v>
      </c>
      <c r="BF582" s="351"/>
      <c r="BG582" s="351">
        <v>1359</v>
      </c>
      <c r="BH582" s="313">
        <v>0.45300000000000001</v>
      </c>
      <c r="BI582" s="313">
        <v>0.4768421052631579</v>
      </c>
      <c r="BJ582" s="349">
        <f t="shared" si="467"/>
        <v>2850</v>
      </c>
      <c r="BK582" s="349">
        <v>1359</v>
      </c>
      <c r="BL582" s="313">
        <f t="shared" si="469"/>
        <v>0.45300000000000001</v>
      </c>
      <c r="BM582" s="313">
        <f t="shared" si="477"/>
        <v>0.4768421052631579</v>
      </c>
      <c r="BN582" s="205">
        <f t="shared" si="465"/>
        <v>937.59904399999959</v>
      </c>
      <c r="BO582" s="205"/>
      <c r="BP582" s="310"/>
      <c r="BQ582" s="311">
        <f t="shared" si="470"/>
        <v>0</v>
      </c>
      <c r="BR582" s="310"/>
      <c r="BS582" s="311">
        <f t="shared" si="471"/>
        <v>0</v>
      </c>
      <c r="BT582" s="310">
        <v>400</v>
      </c>
      <c r="BU582" s="308">
        <f t="shared" si="472"/>
        <v>0.13333333333333333</v>
      </c>
      <c r="BV582" s="310">
        <v>400</v>
      </c>
      <c r="BW582" s="311">
        <f t="shared" si="502"/>
        <v>0.13333333333333333</v>
      </c>
      <c r="BX582" s="310">
        <v>400</v>
      </c>
      <c r="BY582" s="311">
        <f t="shared" si="503"/>
        <v>0.13333333333333333</v>
      </c>
      <c r="BZ582" s="310">
        <v>2000</v>
      </c>
      <c r="CA582" s="311">
        <f t="shared" si="504"/>
        <v>0.66666666666666663</v>
      </c>
      <c r="CB582" s="310">
        <v>2000</v>
      </c>
      <c r="CC582" s="311">
        <f t="shared" si="483"/>
        <v>0.66666666666666663</v>
      </c>
      <c r="CD582" s="310">
        <v>2000</v>
      </c>
      <c r="CE582" s="311">
        <f t="shared" si="505"/>
        <v>0.66666666666666663</v>
      </c>
      <c r="CF582" s="310">
        <v>2850</v>
      </c>
      <c r="CG582" s="311">
        <f t="shared" si="506"/>
        <v>0.95</v>
      </c>
      <c r="CH582" s="310">
        <v>2850</v>
      </c>
      <c r="CI582" s="311">
        <f t="shared" si="507"/>
        <v>0.95</v>
      </c>
      <c r="CJ582" s="310">
        <v>2850</v>
      </c>
      <c r="CK582" s="311">
        <f t="shared" si="508"/>
        <v>0.95</v>
      </c>
      <c r="CL582" s="310">
        <v>2850</v>
      </c>
      <c r="CM582" s="311">
        <f t="shared" si="509"/>
        <v>0.95</v>
      </c>
      <c r="CN582" s="310">
        <v>2850</v>
      </c>
      <c r="CO582" s="311">
        <f t="shared" si="510"/>
        <v>0.95</v>
      </c>
      <c r="CP582" s="213" t="str">
        <f t="shared" si="475"/>
        <v>Đạt</v>
      </c>
      <c r="CQ582" s="213" t="str">
        <f t="shared" si="476"/>
        <v>Đạt</v>
      </c>
      <c r="CR582" s="312"/>
      <c r="CS582" s="312"/>
      <c r="CT582" s="235"/>
      <c r="CU582" s="163"/>
      <c r="CV582" s="380"/>
      <c r="CW582" s="195"/>
      <c r="CX582" s="196"/>
      <c r="CY582" s="196"/>
      <c r="CZ582" s="197"/>
      <c r="DA582" s="196"/>
      <c r="DB582" s="196"/>
      <c r="DC582" s="196"/>
      <c r="DE582" s="199"/>
      <c r="DF582" s="200"/>
      <c r="DG582" s="181"/>
    </row>
    <row r="583" spans="1:111" ht="25.5" outlineLevel="1" x14ac:dyDescent="0.25">
      <c r="A583" s="305" t="s">
        <v>34</v>
      </c>
      <c r="B583" s="306" t="s">
        <v>377</v>
      </c>
      <c r="C583" s="306"/>
      <c r="D583" s="307">
        <f>E583+F583</f>
        <v>2550</v>
      </c>
      <c r="E583" s="307"/>
      <c r="F583" s="307">
        <f>G583+H583+K583+M583</f>
        <v>2550</v>
      </c>
      <c r="G583" s="307"/>
      <c r="H583" s="307">
        <v>2550</v>
      </c>
      <c r="I583" s="235"/>
      <c r="J583" s="235"/>
      <c r="K583" s="303"/>
      <c r="L583" s="235"/>
      <c r="M583" s="223"/>
      <c r="N583" s="223"/>
      <c r="O583" s="303"/>
      <c r="P583" s="303">
        <v>0</v>
      </c>
      <c r="Q583" s="308">
        <f t="shared" si="474"/>
        <v>0</v>
      </c>
      <c r="R583" s="303"/>
      <c r="S583" s="313">
        <v>0</v>
      </c>
      <c r="T583" s="313">
        <v>0</v>
      </c>
      <c r="U583" s="303"/>
      <c r="V583" s="313">
        <v>0</v>
      </c>
      <c r="W583" s="313">
        <v>0</v>
      </c>
      <c r="X583" s="303"/>
      <c r="Y583" s="313">
        <v>0</v>
      </c>
      <c r="Z583" s="313">
        <v>0</v>
      </c>
      <c r="AA583" s="303"/>
      <c r="AB583" s="313">
        <v>0</v>
      </c>
      <c r="AC583" s="313">
        <v>0</v>
      </c>
      <c r="AD583" s="303"/>
      <c r="AE583" s="313">
        <v>0</v>
      </c>
      <c r="AF583" s="313">
        <v>0</v>
      </c>
      <c r="AG583" s="303"/>
      <c r="AH583" s="313">
        <v>0</v>
      </c>
      <c r="AI583" s="313">
        <v>0</v>
      </c>
      <c r="AJ583" s="188"/>
      <c r="AK583" s="313">
        <v>0</v>
      </c>
      <c r="AL583" s="313">
        <v>0</v>
      </c>
      <c r="AM583" s="303"/>
      <c r="AN583" s="313">
        <v>0</v>
      </c>
      <c r="AO583" s="313">
        <v>0</v>
      </c>
      <c r="AP583" s="313"/>
      <c r="AQ583" s="303"/>
      <c r="AR583" s="313">
        <v>0</v>
      </c>
      <c r="AS583" s="313">
        <v>0</v>
      </c>
      <c r="AT583" s="303"/>
      <c r="AU583" s="313">
        <v>0</v>
      </c>
      <c r="AV583" s="313">
        <v>0</v>
      </c>
      <c r="AW583" s="313"/>
      <c r="AX583" s="313"/>
      <c r="AY583" s="313"/>
      <c r="AZ583" s="313"/>
      <c r="BA583" s="313"/>
      <c r="BB583" s="313"/>
      <c r="BC583" s="303"/>
      <c r="BD583" s="313">
        <v>0</v>
      </c>
      <c r="BE583" s="313">
        <v>0</v>
      </c>
      <c r="BF583" s="351"/>
      <c r="BG583" s="351">
        <v>0</v>
      </c>
      <c r="BH583" s="313">
        <v>0</v>
      </c>
      <c r="BI583" s="313">
        <v>0</v>
      </c>
      <c r="BJ583" s="349">
        <f t="shared" si="467"/>
        <v>2422.5</v>
      </c>
      <c r="BK583" s="349">
        <v>0</v>
      </c>
      <c r="BL583" s="313">
        <f t="shared" si="469"/>
        <v>0</v>
      </c>
      <c r="BM583" s="313">
        <f t="shared" si="477"/>
        <v>0</v>
      </c>
      <c r="BN583" s="205">
        <f t="shared" si="465"/>
        <v>0</v>
      </c>
      <c r="BO583" s="205"/>
      <c r="BP583" s="310"/>
      <c r="BQ583" s="311">
        <f t="shared" si="470"/>
        <v>0</v>
      </c>
      <c r="BR583" s="310"/>
      <c r="BS583" s="311">
        <f t="shared" si="471"/>
        <v>0</v>
      </c>
      <c r="BT583" s="310"/>
      <c r="BU583" s="308">
        <f t="shared" si="472"/>
        <v>0</v>
      </c>
      <c r="BV583" s="310"/>
      <c r="BW583" s="311">
        <f t="shared" si="502"/>
        <v>0</v>
      </c>
      <c r="BX583" s="310"/>
      <c r="BY583" s="311">
        <f t="shared" si="503"/>
        <v>0</v>
      </c>
      <c r="BZ583" s="310"/>
      <c r="CA583" s="311">
        <f t="shared" si="504"/>
        <v>0</v>
      </c>
      <c r="CB583" s="310"/>
      <c r="CC583" s="311">
        <f t="shared" si="483"/>
        <v>0</v>
      </c>
      <c r="CD583" s="310"/>
      <c r="CE583" s="311">
        <f t="shared" si="505"/>
        <v>0</v>
      </c>
      <c r="CF583" s="310">
        <v>2422</v>
      </c>
      <c r="CG583" s="311">
        <f t="shared" si="506"/>
        <v>0.94980392156862747</v>
      </c>
      <c r="CH583" s="310">
        <v>2422</v>
      </c>
      <c r="CI583" s="311">
        <f t="shared" si="507"/>
        <v>0.94980392156862747</v>
      </c>
      <c r="CJ583" s="310">
        <v>2422</v>
      </c>
      <c r="CK583" s="311">
        <f t="shared" si="508"/>
        <v>0.94980392156862747</v>
      </c>
      <c r="CL583" s="310">
        <v>2422</v>
      </c>
      <c r="CM583" s="311">
        <f t="shared" si="509"/>
        <v>0.94980392156862747</v>
      </c>
      <c r="CN583" s="310">
        <v>2422</v>
      </c>
      <c r="CO583" s="311">
        <f t="shared" si="510"/>
        <v>0.94980392156862747</v>
      </c>
      <c r="CP583" s="213" t="str">
        <f t="shared" si="475"/>
        <v>Không đạt</v>
      </c>
      <c r="CQ583" s="213" t="str">
        <f t="shared" si="476"/>
        <v>Không đạt</v>
      </c>
      <c r="CR583" s="312"/>
      <c r="CS583" s="312"/>
      <c r="CT583" s="235"/>
      <c r="CU583" s="163"/>
      <c r="CW583" s="195"/>
      <c r="CX583" s="196"/>
      <c r="CY583" s="196"/>
      <c r="CZ583" s="197"/>
      <c r="DA583" s="196"/>
      <c r="DB583" s="196"/>
      <c r="DC583" s="196"/>
      <c r="DE583" s="199"/>
      <c r="DF583" s="200"/>
      <c r="DG583" s="181"/>
    </row>
    <row r="584" spans="1:111" ht="18" customHeight="1" x14ac:dyDescent="0.25">
      <c r="A584" s="213">
        <f>MAX(A$243:A581)+1</f>
        <v>95</v>
      </c>
      <c r="B584" s="240" t="s">
        <v>514</v>
      </c>
      <c r="C584" s="240"/>
      <c r="D584" s="188">
        <f t="shared" ref="D584:I584" si="511">D585+D586</f>
        <v>5125</v>
      </c>
      <c r="E584" s="188">
        <f t="shared" si="511"/>
        <v>0</v>
      </c>
      <c r="F584" s="188">
        <f t="shared" si="511"/>
        <v>5125</v>
      </c>
      <c r="G584" s="188">
        <f t="shared" si="511"/>
        <v>3000</v>
      </c>
      <c r="H584" s="188">
        <f t="shared" si="511"/>
        <v>2125</v>
      </c>
      <c r="I584" s="188">
        <f t="shared" si="511"/>
        <v>0</v>
      </c>
      <c r="J584" s="188"/>
      <c r="K584" s="188">
        <f>K585+K586</f>
        <v>0</v>
      </c>
      <c r="L584" s="188">
        <f>L585+L586</f>
        <v>0</v>
      </c>
      <c r="M584" s="188">
        <f>M585+M586</f>
        <v>0</v>
      </c>
      <c r="N584" s="188">
        <f>N585+N586</f>
        <v>0</v>
      </c>
      <c r="O584" s="188">
        <f>O585+O586</f>
        <v>3000</v>
      </c>
      <c r="P584" s="188">
        <v>0</v>
      </c>
      <c r="Q584" s="186">
        <f t="shared" si="474"/>
        <v>0</v>
      </c>
      <c r="R584" s="188">
        <v>0</v>
      </c>
      <c r="S584" s="185">
        <v>0</v>
      </c>
      <c r="T584" s="185">
        <v>0</v>
      </c>
      <c r="U584" s="188">
        <v>0</v>
      </c>
      <c r="V584" s="185">
        <v>0</v>
      </c>
      <c r="W584" s="185">
        <v>0</v>
      </c>
      <c r="X584" s="188">
        <v>0</v>
      </c>
      <c r="Y584" s="185">
        <v>0</v>
      </c>
      <c r="Z584" s="185">
        <v>0</v>
      </c>
      <c r="AA584" s="188">
        <v>0</v>
      </c>
      <c r="AB584" s="185">
        <v>0</v>
      </c>
      <c r="AC584" s="185">
        <v>0</v>
      </c>
      <c r="AD584" s="188">
        <v>0</v>
      </c>
      <c r="AE584" s="185">
        <v>0</v>
      </c>
      <c r="AF584" s="185">
        <v>0</v>
      </c>
      <c r="AG584" s="188">
        <v>0</v>
      </c>
      <c r="AH584" s="185">
        <v>0</v>
      </c>
      <c r="AI584" s="185">
        <v>0</v>
      </c>
      <c r="AJ584" s="303">
        <v>0</v>
      </c>
      <c r="AK584" s="185">
        <v>0</v>
      </c>
      <c r="AL584" s="185">
        <v>0</v>
      </c>
      <c r="AM584" s="188">
        <v>0</v>
      </c>
      <c r="AN584" s="185">
        <v>0</v>
      </c>
      <c r="AO584" s="185">
        <v>0</v>
      </c>
      <c r="AP584" s="185"/>
      <c r="AQ584" s="188">
        <v>878</v>
      </c>
      <c r="AR584" s="185">
        <v>0.17131707317073172</v>
      </c>
      <c r="AS584" s="185">
        <v>0.18033376123234918</v>
      </c>
      <c r="AT584" s="188">
        <v>878</v>
      </c>
      <c r="AU584" s="185">
        <v>0.17131707317073172</v>
      </c>
      <c r="AV584" s="185">
        <v>0.18033376123234918</v>
      </c>
      <c r="AW584" s="185"/>
      <c r="AX584" s="185"/>
      <c r="AY584" s="185"/>
      <c r="AZ584" s="185"/>
      <c r="BA584" s="185"/>
      <c r="BB584" s="185"/>
      <c r="BC584" s="188">
        <v>878</v>
      </c>
      <c r="BD584" s="185">
        <v>0.17131707317073172</v>
      </c>
      <c r="BE584" s="185">
        <v>0.18033376123234918</v>
      </c>
      <c r="BF584" s="352"/>
      <c r="BG584" s="352">
        <v>1740.5889999999999</v>
      </c>
      <c r="BH584" s="185">
        <v>0.33962712195121952</v>
      </c>
      <c r="BI584" s="185">
        <v>0.35750223363286265</v>
      </c>
      <c r="BJ584" s="374">
        <f t="shared" si="467"/>
        <v>4868.75</v>
      </c>
      <c r="BK584" s="374">
        <v>2204.3490000000002</v>
      </c>
      <c r="BL584" s="185">
        <f t="shared" si="469"/>
        <v>0.43011687804878052</v>
      </c>
      <c r="BM584" s="185">
        <f t="shared" si="477"/>
        <v>0.45275460847240057</v>
      </c>
      <c r="BN584" s="205">
        <f t="shared" si="465"/>
        <v>2204.3490000000002</v>
      </c>
      <c r="BO584" s="205"/>
      <c r="BP584" s="189">
        <f>BP585+BP586</f>
        <v>0</v>
      </c>
      <c r="BQ584" s="186">
        <f t="shared" si="470"/>
        <v>0</v>
      </c>
      <c r="BR584" s="189">
        <f>BR585+BR586</f>
        <v>0</v>
      </c>
      <c r="BS584" s="186">
        <f t="shared" si="471"/>
        <v>0</v>
      </c>
      <c r="BT584" s="189">
        <f>BT585+BT586</f>
        <v>512.5</v>
      </c>
      <c r="BU584" s="186">
        <f t="shared" si="472"/>
        <v>0.1</v>
      </c>
      <c r="BV584" s="189">
        <f>BV585+BV586</f>
        <v>1025</v>
      </c>
      <c r="BW584" s="186">
        <f t="shared" si="502"/>
        <v>0.2</v>
      </c>
      <c r="BX584" s="189">
        <f>BX585+BX586</f>
        <v>1537.5</v>
      </c>
      <c r="BY584" s="186">
        <f t="shared" si="503"/>
        <v>0.3</v>
      </c>
      <c r="BZ584" s="189">
        <f>BZ585+BZ586</f>
        <v>2050</v>
      </c>
      <c r="CA584" s="186">
        <f t="shared" si="504"/>
        <v>0.4</v>
      </c>
      <c r="CB584" s="189">
        <f>CB585+CB586</f>
        <v>2562.5</v>
      </c>
      <c r="CC584" s="186">
        <f t="shared" si="483"/>
        <v>0.5</v>
      </c>
      <c r="CD584" s="189">
        <f>CD585+CD586</f>
        <v>2818.75</v>
      </c>
      <c r="CE584" s="186">
        <f t="shared" si="505"/>
        <v>0.55000000000000004</v>
      </c>
      <c r="CF584" s="189">
        <f>CF585+CF586</f>
        <v>3587.5</v>
      </c>
      <c r="CG584" s="186">
        <f t="shared" si="506"/>
        <v>0.7</v>
      </c>
      <c r="CH584" s="189">
        <f>CH585+CH586</f>
        <v>3587.5</v>
      </c>
      <c r="CI584" s="186">
        <f t="shared" si="507"/>
        <v>0.7</v>
      </c>
      <c r="CJ584" s="189">
        <f>CJ585+CJ586</f>
        <v>3843.75</v>
      </c>
      <c r="CK584" s="186">
        <f t="shared" si="508"/>
        <v>0.75</v>
      </c>
      <c r="CL584" s="189">
        <f>CL585+CL586</f>
        <v>4100</v>
      </c>
      <c r="CM584" s="186">
        <f t="shared" si="509"/>
        <v>0.8</v>
      </c>
      <c r="CN584" s="189">
        <f>CN585+CN586</f>
        <v>4868.75</v>
      </c>
      <c r="CO584" s="186">
        <f t="shared" si="510"/>
        <v>0.95</v>
      </c>
      <c r="CP584" s="213" t="str">
        <f t="shared" si="475"/>
        <v>Đạt</v>
      </c>
      <c r="CQ584" s="213" t="str">
        <f t="shared" si="476"/>
        <v>Đạt</v>
      </c>
      <c r="CR584" s="213"/>
      <c r="CS584" s="213"/>
      <c r="CT584" s="231"/>
      <c r="CU584" s="163"/>
      <c r="CW584" s="195"/>
      <c r="CX584" s="196"/>
      <c r="CY584" s="196"/>
      <c r="CZ584" s="197"/>
      <c r="DA584" s="196"/>
      <c r="DB584" s="196"/>
      <c r="DC584" s="196"/>
      <c r="DE584" s="199"/>
      <c r="DF584" s="200"/>
      <c r="DG584" s="181"/>
    </row>
    <row r="585" spans="1:111" s="324" customFormat="1" outlineLevel="1" x14ac:dyDescent="0.25">
      <c r="A585" s="305" t="s">
        <v>34</v>
      </c>
      <c r="B585" s="306" t="s">
        <v>376</v>
      </c>
      <c r="C585" s="306"/>
      <c r="D585" s="307">
        <f t="shared" si="499"/>
        <v>3000</v>
      </c>
      <c r="E585" s="307"/>
      <c r="F585" s="307">
        <f>G585+H585+K585+M585</f>
        <v>3000</v>
      </c>
      <c r="G585" s="303">
        <v>3000</v>
      </c>
      <c r="H585" s="303"/>
      <c r="I585" s="235"/>
      <c r="J585" s="235"/>
      <c r="K585" s="303"/>
      <c r="L585" s="235"/>
      <c r="M585" s="223"/>
      <c r="N585" s="223"/>
      <c r="O585" s="303">
        <f t="shared" si="494"/>
        <v>3000</v>
      </c>
      <c r="P585" s="303">
        <v>0</v>
      </c>
      <c r="Q585" s="308">
        <f t="shared" si="474"/>
        <v>0</v>
      </c>
      <c r="R585" s="303"/>
      <c r="S585" s="309">
        <v>0</v>
      </c>
      <c r="T585" s="309">
        <v>0</v>
      </c>
      <c r="U585" s="303"/>
      <c r="V585" s="309">
        <v>0</v>
      </c>
      <c r="W585" s="309">
        <v>0</v>
      </c>
      <c r="X585" s="303"/>
      <c r="Y585" s="309">
        <v>0</v>
      </c>
      <c r="Z585" s="309">
        <v>0</v>
      </c>
      <c r="AA585" s="303"/>
      <c r="AB585" s="309">
        <v>0</v>
      </c>
      <c r="AC585" s="309">
        <v>0</v>
      </c>
      <c r="AD585" s="303"/>
      <c r="AE585" s="309">
        <v>0</v>
      </c>
      <c r="AF585" s="309">
        <v>0</v>
      </c>
      <c r="AG585" s="303"/>
      <c r="AH585" s="309">
        <v>0</v>
      </c>
      <c r="AI585" s="309">
        <v>0</v>
      </c>
      <c r="AJ585" s="303"/>
      <c r="AK585" s="309">
        <v>0</v>
      </c>
      <c r="AL585" s="309">
        <v>0</v>
      </c>
      <c r="AM585" s="303"/>
      <c r="AN585" s="309">
        <v>0</v>
      </c>
      <c r="AO585" s="309">
        <v>0</v>
      </c>
      <c r="AP585" s="309"/>
      <c r="AQ585" s="303">
        <v>878</v>
      </c>
      <c r="AR585" s="309">
        <v>0.29266666666666669</v>
      </c>
      <c r="AS585" s="309">
        <v>0.30807017543859649</v>
      </c>
      <c r="AT585" s="303">
        <v>878</v>
      </c>
      <c r="AU585" s="309">
        <v>0.29266666666666669</v>
      </c>
      <c r="AV585" s="309">
        <v>0.30807017543859649</v>
      </c>
      <c r="AW585" s="309"/>
      <c r="AX585" s="309"/>
      <c r="AY585" s="309"/>
      <c r="AZ585" s="309"/>
      <c r="BA585" s="309"/>
      <c r="BB585" s="309"/>
      <c r="BC585" s="303">
        <v>878</v>
      </c>
      <c r="BD585" s="309">
        <v>0.29266666666666669</v>
      </c>
      <c r="BE585" s="309">
        <v>0.30807017543859649</v>
      </c>
      <c r="BF585" s="351"/>
      <c r="BG585" s="351">
        <v>1740.5889999999999</v>
      </c>
      <c r="BH585" s="309">
        <v>0.58019633333333331</v>
      </c>
      <c r="BI585" s="309">
        <v>0.61073298245614038</v>
      </c>
      <c r="BJ585" s="349">
        <f t="shared" si="467"/>
        <v>2850</v>
      </c>
      <c r="BK585" s="349">
        <v>2204.3490000000002</v>
      </c>
      <c r="BL585" s="309">
        <f t="shared" si="469"/>
        <v>0.73478300000000007</v>
      </c>
      <c r="BM585" s="309">
        <f t="shared" si="477"/>
        <v>0.77345578947368432</v>
      </c>
      <c r="BN585" s="205">
        <f t="shared" si="465"/>
        <v>2204.3490000000002</v>
      </c>
      <c r="BO585" s="205"/>
      <c r="BP585" s="310"/>
      <c r="BQ585" s="308">
        <f t="shared" si="470"/>
        <v>0</v>
      </c>
      <c r="BR585" s="310"/>
      <c r="BS585" s="308">
        <f t="shared" si="471"/>
        <v>0</v>
      </c>
      <c r="BT585" s="310">
        <f>$F585*0.1</f>
        <v>300</v>
      </c>
      <c r="BU585" s="308">
        <f t="shared" si="472"/>
        <v>0.1</v>
      </c>
      <c r="BV585" s="310">
        <f>$F585*0.2</f>
        <v>600</v>
      </c>
      <c r="BW585" s="308">
        <f t="shared" si="502"/>
        <v>0.2</v>
      </c>
      <c r="BX585" s="310">
        <f>$F585*0.3</f>
        <v>900</v>
      </c>
      <c r="BY585" s="308">
        <f t="shared" si="503"/>
        <v>0.3</v>
      </c>
      <c r="BZ585" s="310">
        <f>$F585*0.4</f>
        <v>1200</v>
      </c>
      <c r="CA585" s="308">
        <f t="shared" si="504"/>
        <v>0.4</v>
      </c>
      <c r="CB585" s="310">
        <f>$F585*0.5</f>
        <v>1500</v>
      </c>
      <c r="CC585" s="308">
        <f t="shared" si="483"/>
        <v>0.5</v>
      </c>
      <c r="CD585" s="310">
        <f>$F585*0.55</f>
        <v>1650.0000000000002</v>
      </c>
      <c r="CE585" s="308">
        <f t="shared" si="505"/>
        <v>0.55000000000000004</v>
      </c>
      <c r="CF585" s="310">
        <v>2100</v>
      </c>
      <c r="CG585" s="308">
        <f t="shared" si="506"/>
        <v>0.7</v>
      </c>
      <c r="CH585" s="310">
        <f>$F585*0.7</f>
        <v>2100</v>
      </c>
      <c r="CI585" s="308">
        <f t="shared" si="507"/>
        <v>0.7</v>
      </c>
      <c r="CJ585" s="310">
        <f>$F585*0.75</f>
        <v>2250</v>
      </c>
      <c r="CK585" s="308">
        <f t="shared" si="508"/>
        <v>0.75</v>
      </c>
      <c r="CL585" s="310">
        <f>$F585*0.8</f>
        <v>2400</v>
      </c>
      <c r="CM585" s="308">
        <f t="shared" si="509"/>
        <v>0.8</v>
      </c>
      <c r="CN585" s="310">
        <f>$F585*0.95</f>
        <v>2850</v>
      </c>
      <c r="CO585" s="308">
        <f t="shared" si="510"/>
        <v>0.95</v>
      </c>
      <c r="CP585" s="213" t="str">
        <f t="shared" si="475"/>
        <v>Đạt</v>
      </c>
      <c r="CQ585" s="213" t="str">
        <f t="shared" si="476"/>
        <v>Đạt</v>
      </c>
      <c r="CR585" s="312"/>
      <c r="CS585" s="312"/>
      <c r="CT585" s="235"/>
      <c r="CU585" s="163"/>
      <c r="CV585" s="323"/>
      <c r="CW585" s="195"/>
      <c r="CX585" s="196"/>
      <c r="CY585" s="196"/>
      <c r="CZ585" s="197"/>
      <c r="DA585" s="196"/>
      <c r="DB585" s="196"/>
      <c r="DC585" s="196"/>
      <c r="DE585" s="199"/>
      <c r="DF585" s="200"/>
      <c r="DG585" s="181"/>
    </row>
    <row r="586" spans="1:111" ht="25.5" outlineLevel="1" x14ac:dyDescent="0.25">
      <c r="A586" s="305" t="s">
        <v>34</v>
      </c>
      <c r="B586" s="306" t="s">
        <v>377</v>
      </c>
      <c r="C586" s="306"/>
      <c r="D586" s="307">
        <f>E586+F586</f>
        <v>2125</v>
      </c>
      <c r="E586" s="307"/>
      <c r="F586" s="307">
        <f>G586+H586+K586+M586</f>
        <v>2125</v>
      </c>
      <c r="G586" s="307"/>
      <c r="H586" s="307">
        <v>2125</v>
      </c>
      <c r="I586" s="235"/>
      <c r="J586" s="235"/>
      <c r="K586" s="303"/>
      <c r="L586" s="235"/>
      <c r="M586" s="223"/>
      <c r="N586" s="223"/>
      <c r="O586" s="303"/>
      <c r="P586" s="303">
        <v>0</v>
      </c>
      <c r="Q586" s="308">
        <f t="shared" si="474"/>
        <v>0</v>
      </c>
      <c r="R586" s="303"/>
      <c r="S586" s="309">
        <v>0</v>
      </c>
      <c r="T586" s="309">
        <v>0</v>
      </c>
      <c r="U586" s="303"/>
      <c r="V586" s="309">
        <v>0</v>
      </c>
      <c r="W586" s="309">
        <v>0</v>
      </c>
      <c r="X586" s="303"/>
      <c r="Y586" s="309">
        <v>0</v>
      </c>
      <c r="Z586" s="309">
        <v>0</v>
      </c>
      <c r="AA586" s="303"/>
      <c r="AB586" s="309">
        <v>0</v>
      </c>
      <c r="AC586" s="309">
        <v>0</v>
      </c>
      <c r="AD586" s="303"/>
      <c r="AE586" s="309">
        <v>0</v>
      </c>
      <c r="AF586" s="309">
        <v>0</v>
      </c>
      <c r="AG586" s="303"/>
      <c r="AH586" s="309">
        <v>0</v>
      </c>
      <c r="AI586" s="309">
        <v>0</v>
      </c>
      <c r="AJ586" s="188"/>
      <c r="AK586" s="309">
        <v>0</v>
      </c>
      <c r="AL586" s="309">
        <v>0</v>
      </c>
      <c r="AM586" s="303"/>
      <c r="AN586" s="309">
        <v>0</v>
      </c>
      <c r="AO586" s="309">
        <v>0</v>
      </c>
      <c r="AP586" s="309"/>
      <c r="AQ586" s="303"/>
      <c r="AR586" s="309">
        <v>0</v>
      </c>
      <c r="AS586" s="309">
        <v>0</v>
      </c>
      <c r="AT586" s="303"/>
      <c r="AU586" s="309">
        <v>0</v>
      </c>
      <c r="AV586" s="309">
        <v>0</v>
      </c>
      <c r="AW586" s="309"/>
      <c r="AX586" s="309"/>
      <c r="AY586" s="309"/>
      <c r="AZ586" s="309"/>
      <c r="BA586" s="309"/>
      <c r="BB586" s="309"/>
      <c r="BC586" s="303"/>
      <c r="BD586" s="309">
        <v>0</v>
      </c>
      <c r="BE586" s="309">
        <v>0</v>
      </c>
      <c r="BF586" s="351"/>
      <c r="BG586" s="351">
        <v>0</v>
      </c>
      <c r="BH586" s="309">
        <v>0</v>
      </c>
      <c r="BI586" s="309">
        <v>0</v>
      </c>
      <c r="BJ586" s="349">
        <f t="shared" si="467"/>
        <v>2018.75</v>
      </c>
      <c r="BK586" s="349">
        <v>0</v>
      </c>
      <c r="BL586" s="309">
        <f t="shared" si="469"/>
        <v>0</v>
      </c>
      <c r="BM586" s="309">
        <f t="shared" si="477"/>
        <v>0</v>
      </c>
      <c r="BN586" s="205">
        <f t="shared" si="465"/>
        <v>0</v>
      </c>
      <c r="BO586" s="205"/>
      <c r="BP586" s="310"/>
      <c r="BQ586" s="308">
        <f t="shared" si="470"/>
        <v>0</v>
      </c>
      <c r="BR586" s="310"/>
      <c r="BS586" s="308">
        <f t="shared" si="471"/>
        <v>0</v>
      </c>
      <c r="BT586" s="310">
        <f>$F586*0.1</f>
        <v>212.5</v>
      </c>
      <c r="BU586" s="308">
        <f t="shared" si="472"/>
        <v>0.1</v>
      </c>
      <c r="BV586" s="310">
        <f>$F586*0.2</f>
        <v>425</v>
      </c>
      <c r="BW586" s="308">
        <f t="shared" si="502"/>
        <v>0.2</v>
      </c>
      <c r="BX586" s="310">
        <f>$F586*0.3</f>
        <v>637.5</v>
      </c>
      <c r="BY586" s="308">
        <f t="shared" si="503"/>
        <v>0.3</v>
      </c>
      <c r="BZ586" s="310">
        <f>$F586*0.4</f>
        <v>850</v>
      </c>
      <c r="CA586" s="308">
        <f t="shared" si="504"/>
        <v>0.4</v>
      </c>
      <c r="CB586" s="310">
        <f>$F586*0.5</f>
        <v>1062.5</v>
      </c>
      <c r="CC586" s="308">
        <f t="shared" si="483"/>
        <v>0.5</v>
      </c>
      <c r="CD586" s="310">
        <f>$F586*0.55</f>
        <v>1168.75</v>
      </c>
      <c r="CE586" s="308">
        <f t="shared" si="505"/>
        <v>0.55000000000000004</v>
      </c>
      <c r="CF586" s="310">
        <v>1487.5</v>
      </c>
      <c r="CG586" s="308">
        <f t="shared" si="506"/>
        <v>0.7</v>
      </c>
      <c r="CH586" s="310">
        <f>$F586*0.7</f>
        <v>1487.5</v>
      </c>
      <c r="CI586" s="308">
        <f t="shared" si="507"/>
        <v>0.7</v>
      </c>
      <c r="CJ586" s="310">
        <f>$F586*0.75</f>
        <v>1593.75</v>
      </c>
      <c r="CK586" s="308">
        <f t="shared" si="508"/>
        <v>0.75</v>
      </c>
      <c r="CL586" s="310">
        <f>$F586*0.8</f>
        <v>1700</v>
      </c>
      <c r="CM586" s="308">
        <f t="shared" si="509"/>
        <v>0.8</v>
      </c>
      <c r="CN586" s="310">
        <f>$F586*0.95</f>
        <v>2018.75</v>
      </c>
      <c r="CO586" s="308">
        <f t="shared" si="510"/>
        <v>0.95</v>
      </c>
      <c r="CP586" s="213" t="str">
        <f t="shared" si="475"/>
        <v>Không đạt</v>
      </c>
      <c r="CQ586" s="213" t="str">
        <f t="shared" si="476"/>
        <v>Không đạt</v>
      </c>
      <c r="CR586" s="312"/>
      <c r="CS586" s="312"/>
      <c r="CT586" s="235"/>
      <c r="CU586" s="163"/>
      <c r="CW586" s="195"/>
      <c r="CX586" s="196"/>
      <c r="CY586" s="196"/>
      <c r="CZ586" s="197"/>
      <c r="DA586" s="196"/>
      <c r="DB586" s="196"/>
      <c r="DC586" s="196"/>
      <c r="DE586" s="199"/>
      <c r="DF586" s="200"/>
      <c r="DG586" s="181"/>
    </row>
    <row r="587" spans="1:111" ht="18" customHeight="1" x14ac:dyDescent="0.25">
      <c r="A587" s="213">
        <f>MAX(A$243:A584)+1</f>
        <v>96</v>
      </c>
      <c r="B587" s="240" t="s">
        <v>515</v>
      </c>
      <c r="C587" s="240"/>
      <c r="D587" s="188">
        <f t="shared" ref="D587:I587" si="512">D588+D589</f>
        <v>3136</v>
      </c>
      <c r="E587" s="188">
        <f t="shared" si="512"/>
        <v>0</v>
      </c>
      <c r="F587" s="188">
        <f t="shared" si="512"/>
        <v>3136</v>
      </c>
      <c r="G587" s="188">
        <f t="shared" si="512"/>
        <v>3000</v>
      </c>
      <c r="H587" s="188">
        <f t="shared" si="512"/>
        <v>136</v>
      </c>
      <c r="I587" s="188">
        <f t="shared" si="512"/>
        <v>0</v>
      </c>
      <c r="J587" s="188"/>
      <c r="K587" s="188">
        <f>K588+K589</f>
        <v>0</v>
      </c>
      <c r="L587" s="188">
        <f>L588+L589</f>
        <v>0</v>
      </c>
      <c r="M587" s="188">
        <f>M588+M589</f>
        <v>0</v>
      </c>
      <c r="N587" s="188">
        <f>N588+N589</f>
        <v>0</v>
      </c>
      <c r="O587" s="188">
        <f>O588+O589</f>
        <v>3000</v>
      </c>
      <c r="P587" s="188">
        <v>0</v>
      </c>
      <c r="Q587" s="186">
        <f t="shared" si="474"/>
        <v>0</v>
      </c>
      <c r="R587" s="188">
        <v>0</v>
      </c>
      <c r="S587" s="185">
        <v>0</v>
      </c>
      <c r="T587" s="185">
        <v>0</v>
      </c>
      <c r="U587" s="188">
        <v>0</v>
      </c>
      <c r="V587" s="185">
        <v>0</v>
      </c>
      <c r="W587" s="185">
        <v>0</v>
      </c>
      <c r="X587" s="188">
        <v>0</v>
      </c>
      <c r="Y587" s="185">
        <v>0</v>
      </c>
      <c r="Z587" s="185">
        <v>0</v>
      </c>
      <c r="AA587" s="188">
        <v>0</v>
      </c>
      <c r="AB587" s="185">
        <v>0</v>
      </c>
      <c r="AC587" s="185">
        <v>0</v>
      </c>
      <c r="AD587" s="188">
        <v>0</v>
      </c>
      <c r="AE587" s="185">
        <v>0</v>
      </c>
      <c r="AF587" s="185">
        <v>0</v>
      </c>
      <c r="AG587" s="188">
        <v>0</v>
      </c>
      <c r="AH587" s="185">
        <v>0</v>
      </c>
      <c r="AI587" s="185">
        <v>0</v>
      </c>
      <c r="AJ587" s="303">
        <v>0</v>
      </c>
      <c r="AK587" s="185">
        <v>0</v>
      </c>
      <c r="AL587" s="185">
        <v>0</v>
      </c>
      <c r="AM587" s="188">
        <v>0</v>
      </c>
      <c r="AN587" s="185">
        <v>0</v>
      </c>
      <c r="AO587" s="185">
        <v>0</v>
      </c>
      <c r="AP587" s="185"/>
      <c r="AQ587" s="188">
        <v>685.24199999999996</v>
      </c>
      <c r="AR587" s="185">
        <v>0.21850829081632653</v>
      </c>
      <c r="AS587" s="185">
        <v>0.23000872717508056</v>
      </c>
      <c r="AT587" s="188">
        <v>685.24199999999996</v>
      </c>
      <c r="AU587" s="185">
        <v>0.21850829081632653</v>
      </c>
      <c r="AV587" s="185">
        <v>0.23000872717508056</v>
      </c>
      <c r="AW587" s="185"/>
      <c r="AX587" s="185"/>
      <c r="AY587" s="185"/>
      <c r="AZ587" s="185"/>
      <c r="BA587" s="185"/>
      <c r="BB587" s="185"/>
      <c r="BC587" s="188">
        <v>685.24199999999996</v>
      </c>
      <c r="BD587" s="185">
        <v>0.21850829081632653</v>
      </c>
      <c r="BE587" s="185">
        <v>0.23000872717508056</v>
      </c>
      <c r="BF587" s="352"/>
      <c r="BG587" s="352">
        <v>892.84799999999996</v>
      </c>
      <c r="BH587" s="185">
        <v>0.28470918367346937</v>
      </c>
      <c r="BI587" s="185">
        <v>0.29969387755102039</v>
      </c>
      <c r="BJ587" s="374">
        <f t="shared" si="467"/>
        <v>2979.2</v>
      </c>
      <c r="BK587" s="374">
        <v>1949.771</v>
      </c>
      <c r="BL587" s="185">
        <f t="shared" si="469"/>
        <v>0.62173820153061221</v>
      </c>
      <c r="BM587" s="185">
        <f t="shared" si="477"/>
        <v>0.65446126476906552</v>
      </c>
      <c r="BN587" s="205">
        <f t="shared" si="465"/>
        <v>1949.771</v>
      </c>
      <c r="BO587" s="205"/>
      <c r="BP587" s="189">
        <f>BP588+BP589</f>
        <v>0</v>
      </c>
      <c r="BQ587" s="186">
        <f t="shared" si="470"/>
        <v>0</v>
      </c>
      <c r="BR587" s="189">
        <f>BR588+BR589</f>
        <v>0</v>
      </c>
      <c r="BS587" s="186">
        <f t="shared" si="471"/>
        <v>0</v>
      </c>
      <c r="BT587" s="189">
        <f>BT588+BT589</f>
        <v>313.60000000000002</v>
      </c>
      <c r="BU587" s="186">
        <f t="shared" si="472"/>
        <v>0.1</v>
      </c>
      <c r="BV587" s="189">
        <f>BV588+BV589</f>
        <v>627.20000000000005</v>
      </c>
      <c r="BW587" s="186">
        <f t="shared" si="502"/>
        <v>0.2</v>
      </c>
      <c r="BX587" s="189">
        <f>BX588+BX589</f>
        <v>940.8</v>
      </c>
      <c r="BY587" s="186">
        <f t="shared" si="503"/>
        <v>0.3</v>
      </c>
      <c r="BZ587" s="189">
        <f>BZ588+BZ589</f>
        <v>1254.4000000000001</v>
      </c>
      <c r="CA587" s="186">
        <f t="shared" si="504"/>
        <v>0.4</v>
      </c>
      <c r="CB587" s="189">
        <f>CB588+CB589</f>
        <v>1568</v>
      </c>
      <c r="CC587" s="186">
        <f t="shared" si="483"/>
        <v>0.5</v>
      </c>
      <c r="CD587" s="189">
        <f>CD588+CD589</f>
        <v>1724.8000000000002</v>
      </c>
      <c r="CE587" s="186">
        <f t="shared" si="505"/>
        <v>0.55000000000000004</v>
      </c>
      <c r="CF587" s="189">
        <f>CF588+CF589</f>
        <v>2195.1999999999998</v>
      </c>
      <c r="CG587" s="186">
        <f t="shared" si="506"/>
        <v>0.7</v>
      </c>
      <c r="CH587" s="189">
        <f>CH588+CH589</f>
        <v>2195.1999999999998</v>
      </c>
      <c r="CI587" s="186">
        <f t="shared" si="507"/>
        <v>0.7</v>
      </c>
      <c r="CJ587" s="189">
        <f>CJ588+CJ589</f>
        <v>2352</v>
      </c>
      <c r="CK587" s="186">
        <f t="shared" si="508"/>
        <v>0.75</v>
      </c>
      <c r="CL587" s="189">
        <f>CL588+CL589</f>
        <v>2508.8000000000002</v>
      </c>
      <c r="CM587" s="186">
        <f t="shared" si="509"/>
        <v>0.8</v>
      </c>
      <c r="CN587" s="189">
        <f>CN588+CN589</f>
        <v>2979.2</v>
      </c>
      <c r="CO587" s="186">
        <f t="shared" si="510"/>
        <v>0.95</v>
      </c>
      <c r="CP587" s="213" t="str">
        <f t="shared" si="475"/>
        <v>Đạt</v>
      </c>
      <c r="CQ587" s="213" t="str">
        <f t="shared" si="476"/>
        <v>Đạt</v>
      </c>
      <c r="CR587" s="213"/>
      <c r="CS587" s="213"/>
      <c r="CT587" s="231"/>
      <c r="CU587" s="163"/>
      <c r="CW587" s="195"/>
      <c r="CX587" s="196"/>
      <c r="CY587" s="196"/>
      <c r="CZ587" s="197"/>
      <c r="DA587" s="196"/>
      <c r="DB587" s="196"/>
      <c r="DC587" s="196"/>
      <c r="DE587" s="199"/>
      <c r="DF587" s="200"/>
      <c r="DG587" s="181"/>
    </row>
    <row r="588" spans="1:111" s="324" customFormat="1" outlineLevel="1" x14ac:dyDescent="0.25">
      <c r="A588" s="305" t="s">
        <v>34</v>
      </c>
      <c r="B588" s="306" t="s">
        <v>376</v>
      </c>
      <c r="C588" s="306"/>
      <c r="D588" s="307">
        <f t="shared" si="499"/>
        <v>3000</v>
      </c>
      <c r="E588" s="307"/>
      <c r="F588" s="307">
        <f>G588+H588+K588+M588</f>
        <v>3000</v>
      </c>
      <c r="G588" s="303">
        <v>3000</v>
      </c>
      <c r="H588" s="303"/>
      <c r="I588" s="235"/>
      <c r="J588" s="235"/>
      <c r="K588" s="303"/>
      <c r="L588" s="235"/>
      <c r="M588" s="223"/>
      <c r="N588" s="223"/>
      <c r="O588" s="303">
        <f t="shared" si="494"/>
        <v>3000</v>
      </c>
      <c r="P588" s="303">
        <v>0</v>
      </c>
      <c r="Q588" s="308">
        <f t="shared" si="474"/>
        <v>0</v>
      </c>
      <c r="R588" s="303"/>
      <c r="S588" s="309">
        <v>0</v>
      </c>
      <c r="T588" s="309">
        <v>0</v>
      </c>
      <c r="U588" s="303"/>
      <c r="V588" s="309">
        <v>0</v>
      </c>
      <c r="W588" s="309">
        <v>0</v>
      </c>
      <c r="X588" s="303"/>
      <c r="Y588" s="309">
        <v>0</v>
      </c>
      <c r="Z588" s="309">
        <v>0</v>
      </c>
      <c r="AA588" s="303"/>
      <c r="AB588" s="309">
        <v>0</v>
      </c>
      <c r="AC588" s="309">
        <v>0</v>
      </c>
      <c r="AD588" s="303"/>
      <c r="AE588" s="309">
        <v>0</v>
      </c>
      <c r="AF588" s="309">
        <v>0</v>
      </c>
      <c r="AG588" s="303"/>
      <c r="AH588" s="309">
        <v>0</v>
      </c>
      <c r="AI588" s="309">
        <v>0</v>
      </c>
      <c r="AJ588" s="303"/>
      <c r="AK588" s="309">
        <v>0</v>
      </c>
      <c r="AL588" s="309">
        <v>0</v>
      </c>
      <c r="AM588" s="303"/>
      <c r="AN588" s="309">
        <v>0</v>
      </c>
      <c r="AO588" s="309">
        <v>0</v>
      </c>
      <c r="AP588" s="309"/>
      <c r="AQ588" s="303">
        <v>685.24199999999996</v>
      </c>
      <c r="AR588" s="309">
        <v>0.22841399999999998</v>
      </c>
      <c r="AS588" s="309">
        <v>0.24043578947368419</v>
      </c>
      <c r="AT588" s="303">
        <v>685.24199999999996</v>
      </c>
      <c r="AU588" s="309">
        <v>0.22841399999999998</v>
      </c>
      <c r="AV588" s="309">
        <v>0.24043578947368419</v>
      </c>
      <c r="AW588" s="309"/>
      <c r="AX588" s="309"/>
      <c r="AY588" s="309"/>
      <c r="AZ588" s="309"/>
      <c r="BA588" s="309"/>
      <c r="BB588" s="309"/>
      <c r="BC588" s="303">
        <v>685.24199999999996</v>
      </c>
      <c r="BD588" s="309">
        <v>0.22841399999999998</v>
      </c>
      <c r="BE588" s="309">
        <v>0.24043578947368419</v>
      </c>
      <c r="BF588" s="351"/>
      <c r="BG588" s="351">
        <v>892.84799999999996</v>
      </c>
      <c r="BH588" s="309">
        <v>0.29761599999999999</v>
      </c>
      <c r="BI588" s="309">
        <v>0.31328</v>
      </c>
      <c r="BJ588" s="349">
        <f t="shared" si="467"/>
        <v>2850</v>
      </c>
      <c r="BK588" s="349">
        <v>1949.771</v>
      </c>
      <c r="BL588" s="309">
        <f t="shared" si="469"/>
        <v>0.64992366666666668</v>
      </c>
      <c r="BM588" s="309">
        <f t="shared" si="477"/>
        <v>0.68413017543859644</v>
      </c>
      <c r="BN588" s="303">
        <f>BK588-R588</f>
        <v>1949.771</v>
      </c>
      <c r="BO588" s="303"/>
      <c r="BP588" s="310"/>
      <c r="BQ588" s="308">
        <f t="shared" si="470"/>
        <v>0</v>
      </c>
      <c r="BR588" s="310"/>
      <c r="BS588" s="308">
        <f t="shared" si="471"/>
        <v>0</v>
      </c>
      <c r="BT588" s="310">
        <f>3000*0.1</f>
        <v>300</v>
      </c>
      <c r="BU588" s="308">
        <f t="shared" si="472"/>
        <v>0.1</v>
      </c>
      <c r="BV588" s="310">
        <f>3000*0.2</f>
        <v>600</v>
      </c>
      <c r="BW588" s="308">
        <f t="shared" si="502"/>
        <v>0.2</v>
      </c>
      <c r="BX588" s="310">
        <f>3000*0.3</f>
        <v>900</v>
      </c>
      <c r="BY588" s="308">
        <f t="shared" si="503"/>
        <v>0.3</v>
      </c>
      <c r="BZ588" s="310">
        <f>$F588*0.4</f>
        <v>1200</v>
      </c>
      <c r="CA588" s="308">
        <f t="shared" si="504"/>
        <v>0.4</v>
      </c>
      <c r="CB588" s="310">
        <f>$F588*0.5</f>
        <v>1500</v>
      </c>
      <c r="CC588" s="308">
        <f t="shared" si="483"/>
        <v>0.5</v>
      </c>
      <c r="CD588" s="310">
        <f>$F588*0.55</f>
        <v>1650.0000000000002</v>
      </c>
      <c r="CE588" s="308">
        <f t="shared" si="505"/>
        <v>0.55000000000000004</v>
      </c>
      <c r="CF588" s="310">
        <v>2100</v>
      </c>
      <c r="CG588" s="308">
        <f t="shared" si="506"/>
        <v>0.7</v>
      </c>
      <c r="CH588" s="310">
        <f>$F588*0.7</f>
        <v>2100</v>
      </c>
      <c r="CI588" s="308">
        <f t="shared" si="507"/>
        <v>0.7</v>
      </c>
      <c r="CJ588" s="310">
        <f>$F588*0.75</f>
        <v>2250</v>
      </c>
      <c r="CK588" s="308">
        <f t="shared" si="508"/>
        <v>0.75</v>
      </c>
      <c r="CL588" s="310">
        <f>$F588*0.8</f>
        <v>2400</v>
      </c>
      <c r="CM588" s="308">
        <f t="shared" si="509"/>
        <v>0.8</v>
      </c>
      <c r="CN588" s="310">
        <f>$F588*0.95</f>
        <v>2850</v>
      </c>
      <c r="CO588" s="308">
        <f t="shared" si="510"/>
        <v>0.95</v>
      </c>
      <c r="CP588" s="213" t="str">
        <f t="shared" si="475"/>
        <v>Đạt</v>
      </c>
      <c r="CQ588" s="213" t="str">
        <f t="shared" si="476"/>
        <v>Đạt</v>
      </c>
      <c r="CR588" s="312"/>
      <c r="CS588" s="312"/>
      <c r="CT588" s="235"/>
      <c r="CU588" s="163"/>
      <c r="CV588" s="323"/>
      <c r="CW588" s="382"/>
      <c r="CX588" s="197"/>
      <c r="CY588" s="197"/>
      <c r="CZ588" s="197"/>
      <c r="DA588" s="197"/>
      <c r="DB588" s="197"/>
      <c r="DC588" s="197"/>
      <c r="DE588" s="199"/>
      <c r="DF588" s="200"/>
      <c r="DG588" s="181"/>
    </row>
    <row r="589" spans="1:111" ht="41.25" customHeight="1" outlineLevel="1" x14ac:dyDescent="0.25">
      <c r="A589" s="305" t="s">
        <v>34</v>
      </c>
      <c r="B589" s="306" t="s">
        <v>377</v>
      </c>
      <c r="C589" s="306"/>
      <c r="D589" s="307">
        <f>E589+F589</f>
        <v>136</v>
      </c>
      <c r="E589" s="307"/>
      <c r="F589" s="307">
        <f>G589+H589+K589+M589</f>
        <v>136</v>
      </c>
      <c r="G589" s="307"/>
      <c r="H589" s="307">
        <v>136</v>
      </c>
      <c r="I589" s="235"/>
      <c r="J589" s="235"/>
      <c r="K589" s="303"/>
      <c r="L589" s="235"/>
      <c r="M589" s="223"/>
      <c r="N589" s="223"/>
      <c r="O589" s="303"/>
      <c r="P589" s="303">
        <v>0</v>
      </c>
      <c r="Q589" s="308">
        <f t="shared" si="474"/>
        <v>0</v>
      </c>
      <c r="R589" s="303"/>
      <c r="S589" s="309">
        <v>0</v>
      </c>
      <c r="T589" s="309">
        <v>0</v>
      </c>
      <c r="U589" s="303"/>
      <c r="V589" s="309">
        <v>0</v>
      </c>
      <c r="W589" s="309">
        <v>0</v>
      </c>
      <c r="X589" s="303"/>
      <c r="Y589" s="309">
        <v>0</v>
      </c>
      <c r="Z589" s="309">
        <v>0</v>
      </c>
      <c r="AA589" s="303"/>
      <c r="AB589" s="309">
        <v>0</v>
      </c>
      <c r="AC589" s="309">
        <v>0</v>
      </c>
      <c r="AD589" s="303"/>
      <c r="AE589" s="309">
        <v>0</v>
      </c>
      <c r="AF589" s="309">
        <v>0</v>
      </c>
      <c r="AG589" s="303"/>
      <c r="AH589" s="309">
        <v>0</v>
      </c>
      <c r="AI589" s="309">
        <v>0</v>
      </c>
      <c r="AJ589" s="383"/>
      <c r="AK589" s="309">
        <v>0</v>
      </c>
      <c r="AL589" s="309">
        <v>0</v>
      </c>
      <c r="AM589" s="303"/>
      <c r="AN589" s="309">
        <v>0</v>
      </c>
      <c r="AO589" s="309">
        <v>0</v>
      </c>
      <c r="AP589" s="309"/>
      <c r="AQ589" s="303"/>
      <c r="AR589" s="309">
        <v>0</v>
      </c>
      <c r="AS589" s="309">
        <v>0</v>
      </c>
      <c r="AT589" s="303"/>
      <c r="AU589" s="309">
        <v>0</v>
      </c>
      <c r="AV589" s="309">
        <v>0</v>
      </c>
      <c r="AW589" s="309"/>
      <c r="AX589" s="309"/>
      <c r="AY589" s="309"/>
      <c r="AZ589" s="309"/>
      <c r="BA589" s="309"/>
      <c r="BB589" s="309"/>
      <c r="BC589" s="303"/>
      <c r="BD589" s="309">
        <v>0</v>
      </c>
      <c r="BE589" s="309">
        <v>0</v>
      </c>
      <c r="BF589" s="351"/>
      <c r="BG589" s="351">
        <v>0</v>
      </c>
      <c r="BH589" s="309">
        <v>0</v>
      </c>
      <c r="BI589" s="309">
        <v>0</v>
      </c>
      <c r="BJ589" s="349">
        <f t="shared" si="467"/>
        <v>129.19999999999999</v>
      </c>
      <c r="BK589" s="349">
        <v>0</v>
      </c>
      <c r="BL589" s="309">
        <f t="shared" si="469"/>
        <v>0</v>
      </c>
      <c r="BM589" s="309">
        <f t="shared" si="477"/>
        <v>0</v>
      </c>
      <c r="BN589" s="303">
        <f>BK589-R589</f>
        <v>0</v>
      </c>
      <c r="BO589" s="303"/>
      <c r="BP589" s="310"/>
      <c r="BQ589" s="308">
        <f t="shared" si="470"/>
        <v>0</v>
      </c>
      <c r="BR589" s="310"/>
      <c r="BS589" s="308">
        <f t="shared" si="471"/>
        <v>0</v>
      </c>
      <c r="BT589" s="310">
        <f>136*0.1</f>
        <v>13.600000000000001</v>
      </c>
      <c r="BU589" s="308">
        <f t="shared" si="472"/>
        <v>0.1</v>
      </c>
      <c r="BV589" s="310">
        <f>136*0.2</f>
        <v>27.200000000000003</v>
      </c>
      <c r="BW589" s="308">
        <f t="shared" si="502"/>
        <v>0.2</v>
      </c>
      <c r="BX589" s="310">
        <f>136*0.3</f>
        <v>40.799999999999997</v>
      </c>
      <c r="BY589" s="308">
        <f t="shared" si="503"/>
        <v>0.3</v>
      </c>
      <c r="BZ589" s="310">
        <f>$F589*0.4</f>
        <v>54.400000000000006</v>
      </c>
      <c r="CA589" s="308">
        <f t="shared" si="504"/>
        <v>0.4</v>
      </c>
      <c r="CB589" s="310">
        <f>$F589*0.5</f>
        <v>68</v>
      </c>
      <c r="CC589" s="308">
        <f t="shared" si="483"/>
        <v>0.5</v>
      </c>
      <c r="CD589" s="310">
        <f>$F589*0.55</f>
        <v>74.800000000000011</v>
      </c>
      <c r="CE589" s="308">
        <f t="shared" si="505"/>
        <v>0.55000000000000004</v>
      </c>
      <c r="CF589" s="310">
        <v>95.199999999999989</v>
      </c>
      <c r="CG589" s="308">
        <f t="shared" si="506"/>
        <v>0.7</v>
      </c>
      <c r="CH589" s="310">
        <f>$F589*0.7</f>
        <v>95.199999999999989</v>
      </c>
      <c r="CI589" s="308">
        <f t="shared" si="507"/>
        <v>0.7</v>
      </c>
      <c r="CJ589" s="310">
        <f>$F589*0.75</f>
        <v>102</v>
      </c>
      <c r="CK589" s="308">
        <f t="shared" si="508"/>
        <v>0.75</v>
      </c>
      <c r="CL589" s="310">
        <f>$F589*0.8</f>
        <v>108.80000000000001</v>
      </c>
      <c r="CM589" s="308">
        <f t="shared" si="509"/>
        <v>0.8</v>
      </c>
      <c r="CN589" s="310">
        <f>$F589*0.95</f>
        <v>129.19999999999999</v>
      </c>
      <c r="CO589" s="308">
        <f t="shared" si="510"/>
        <v>0.95</v>
      </c>
      <c r="CP589" s="213" t="str">
        <f t="shared" si="475"/>
        <v>Không đạt</v>
      </c>
      <c r="CQ589" s="213" t="str">
        <f t="shared" si="476"/>
        <v>Không đạt</v>
      </c>
      <c r="CR589" s="312"/>
      <c r="CS589" s="312"/>
      <c r="CT589" s="235"/>
      <c r="CU589" s="163"/>
      <c r="CW589" s="382"/>
      <c r="CX589" s="197"/>
      <c r="CY589" s="197"/>
      <c r="CZ589" s="197"/>
      <c r="DA589" s="197"/>
      <c r="DB589" s="197"/>
      <c r="DC589" s="197"/>
      <c r="DE589" s="199"/>
      <c r="DF589" s="200"/>
      <c r="DG589" s="181"/>
    </row>
    <row r="590" spans="1:111" ht="11.45" customHeight="1" x14ac:dyDescent="0.25">
      <c r="A590" s="384"/>
      <c r="B590" s="385"/>
      <c r="C590" s="385"/>
      <c r="D590" s="383"/>
      <c r="E590" s="383"/>
      <c r="F590" s="383"/>
      <c r="G590" s="383"/>
      <c r="H590" s="383"/>
      <c r="I590" s="386"/>
      <c r="J590" s="386"/>
      <c r="K590" s="383"/>
      <c r="L590" s="386"/>
      <c r="M590" s="387"/>
      <c r="N590" s="387"/>
      <c r="O590" s="383"/>
      <c r="P590" s="383"/>
      <c r="Q590" s="388"/>
      <c r="R590" s="383"/>
      <c r="S590" s="389"/>
      <c r="T590" s="389"/>
      <c r="U590" s="383"/>
      <c r="V590" s="389"/>
      <c r="W590" s="389"/>
      <c r="X590" s="383"/>
      <c r="Y590" s="389"/>
      <c r="Z590" s="389"/>
      <c r="AA590" s="383"/>
      <c r="AB590" s="389"/>
      <c r="AC590" s="389"/>
      <c r="AD590" s="383"/>
      <c r="AE590" s="389"/>
      <c r="AF590" s="389"/>
      <c r="AG590" s="383"/>
      <c r="AH590" s="389"/>
      <c r="AI590" s="389"/>
      <c r="AJ590" s="179"/>
      <c r="AK590" s="389"/>
      <c r="AL590" s="389"/>
      <c r="AM590" s="383"/>
      <c r="AN590" s="389"/>
      <c r="AO590" s="389"/>
      <c r="AP590" s="389"/>
      <c r="AQ590" s="383"/>
      <c r="AR590" s="389"/>
      <c r="AS590" s="389"/>
      <c r="AT590" s="383"/>
      <c r="AU590" s="389"/>
      <c r="AV590" s="389"/>
      <c r="AW590" s="389"/>
      <c r="AX590" s="389"/>
      <c r="AY590" s="389"/>
      <c r="AZ590" s="389"/>
      <c r="BA590" s="389"/>
      <c r="BB590" s="389"/>
      <c r="BC590" s="383"/>
      <c r="BD590" s="389"/>
      <c r="BE590" s="389"/>
      <c r="BF590" s="383"/>
      <c r="BG590" s="383"/>
      <c r="BH590" s="389"/>
      <c r="BI590" s="389"/>
      <c r="BJ590" s="383">
        <f t="shared" si="467"/>
        <v>0</v>
      </c>
      <c r="BK590" s="383"/>
      <c r="BL590" s="389"/>
      <c r="BM590" s="389"/>
      <c r="BN590" s="383">
        <f>BK590-R590</f>
        <v>0</v>
      </c>
      <c r="BO590" s="383"/>
      <c r="BP590" s="390"/>
      <c r="BQ590" s="388"/>
      <c r="BR590" s="390"/>
      <c r="BS590" s="388"/>
      <c r="BT590" s="390"/>
      <c r="BU590" s="388"/>
      <c r="BV590" s="390"/>
      <c r="BW590" s="388"/>
      <c r="BX590" s="390"/>
      <c r="BY590" s="388"/>
      <c r="BZ590" s="390"/>
      <c r="CA590" s="388"/>
      <c r="CB590" s="390"/>
      <c r="CC590" s="388"/>
      <c r="CD590" s="390"/>
      <c r="CE590" s="388"/>
      <c r="CF590" s="390"/>
      <c r="CG590" s="388"/>
      <c r="CH590" s="390"/>
      <c r="CI590" s="388"/>
      <c r="CJ590" s="390"/>
      <c r="CK590" s="388"/>
      <c r="CL590" s="390"/>
      <c r="CM590" s="388"/>
      <c r="CN590" s="390"/>
      <c r="CO590" s="388"/>
      <c r="CP590" s="213"/>
      <c r="CQ590" s="213"/>
      <c r="CR590" s="384"/>
      <c r="CS590" s="384"/>
      <c r="CT590" s="387"/>
      <c r="CU590" s="163"/>
      <c r="CW590" s="382"/>
      <c r="CX590" s="197"/>
      <c r="CY590" s="197"/>
      <c r="CZ590" s="197"/>
      <c r="DA590" s="197"/>
      <c r="DB590" s="197"/>
      <c r="DC590" s="197"/>
      <c r="DE590" s="199"/>
      <c r="DF590" s="200"/>
      <c r="DG590" s="181"/>
    </row>
    <row r="591" spans="1:111" x14ac:dyDescent="0.25">
      <c r="A591" s="197"/>
      <c r="B591" s="217"/>
      <c r="C591" s="217"/>
      <c r="D591" s="219"/>
      <c r="E591" s="219"/>
      <c r="F591" s="219"/>
      <c r="G591" s="219"/>
      <c r="H591" s="219"/>
      <c r="I591" s="391"/>
      <c r="J591" s="391"/>
      <c r="K591" s="219"/>
      <c r="L591" s="391"/>
      <c r="M591" s="219"/>
      <c r="N591" s="391"/>
      <c r="O591" s="219"/>
      <c r="P591" s="219"/>
      <c r="Q591" s="219"/>
      <c r="R591" s="219"/>
      <c r="S591" s="219"/>
      <c r="T591" s="219"/>
      <c r="U591" s="219"/>
      <c r="V591" s="219"/>
      <c r="W591" s="219"/>
      <c r="X591" s="219"/>
      <c r="Y591" s="219"/>
      <c r="Z591" s="219"/>
      <c r="AA591" s="219"/>
      <c r="AB591" s="219"/>
      <c r="AC591" s="219"/>
      <c r="AD591" s="219"/>
      <c r="AE591" s="219"/>
      <c r="AF591" s="219"/>
      <c r="AG591" s="219"/>
      <c r="AH591" s="219"/>
      <c r="AI591" s="219"/>
      <c r="AJ591" s="219"/>
      <c r="AK591" s="219"/>
      <c r="AL591" s="219"/>
      <c r="AM591" s="219"/>
      <c r="AN591" s="219"/>
      <c r="AO591" s="219"/>
      <c r="AP591" s="219"/>
      <c r="AQ591" s="219"/>
      <c r="AR591" s="219"/>
      <c r="AS591" s="219"/>
      <c r="AT591" s="219"/>
      <c r="AU591" s="219"/>
      <c r="AV591" s="219"/>
      <c r="AW591" s="219"/>
      <c r="AX591" s="219"/>
      <c r="AY591" s="219"/>
      <c r="AZ591" s="219"/>
      <c r="BA591" s="219"/>
      <c r="BB591" s="219"/>
      <c r="BC591" s="219"/>
      <c r="BD591" s="219"/>
      <c r="BE591" s="219"/>
      <c r="BF591" s="219"/>
      <c r="BG591" s="219"/>
      <c r="BH591" s="219"/>
      <c r="BI591" s="219"/>
      <c r="BJ591" s="219"/>
      <c r="BK591" s="392"/>
      <c r="BL591" s="393"/>
      <c r="BM591" s="393"/>
      <c r="BN591" s="393"/>
      <c r="BO591" s="393"/>
      <c r="BP591" s="392"/>
      <c r="BQ591" s="394"/>
      <c r="BR591" s="395"/>
      <c r="BS591" s="395"/>
      <c r="BT591" s="395"/>
      <c r="BU591" s="395"/>
      <c r="BV591" s="395"/>
      <c r="BW591" s="395"/>
      <c r="BX591" s="395"/>
      <c r="BY591" s="395"/>
      <c r="BZ591" s="395"/>
      <c r="CA591" s="395"/>
      <c r="CB591" s="395"/>
      <c r="CC591" s="395"/>
      <c r="CD591" s="395"/>
      <c r="CE591" s="395"/>
      <c r="CF591" s="395"/>
      <c r="CG591" s="395"/>
      <c r="CH591" s="395"/>
      <c r="CI591" s="395"/>
      <c r="CJ591" s="395"/>
      <c r="CK591" s="395"/>
      <c r="CL591" s="395"/>
      <c r="CM591" s="395"/>
      <c r="CN591" s="395"/>
      <c r="CO591" s="395"/>
      <c r="CP591" s="197"/>
      <c r="CQ591" s="197"/>
      <c r="CR591" s="197"/>
      <c r="CS591" s="197"/>
      <c r="CT591" s="219"/>
      <c r="DG591" s="181" t="e">
        <f>VLOOKUP(C591,#REF!,10,1)/1000000</f>
        <v>#REF!</v>
      </c>
    </row>
  </sheetData>
  <autoFilter ref="A13:DG590" xr:uid="{00000000-0009-0000-0000-000002000000}"/>
  <mergeCells count="140">
    <mergeCell ref="CL11:CL13"/>
    <mergeCell ref="CM11:CM13"/>
    <mergeCell ref="CN11:CN13"/>
    <mergeCell ref="CO11:CO13"/>
    <mergeCell ref="BJ7:BJ13"/>
    <mergeCell ref="CQ7:CQ13"/>
    <mergeCell ref="CF11:CF13"/>
    <mergeCell ref="CG11:CG13"/>
    <mergeCell ref="CH11:CH13"/>
    <mergeCell ref="CI11:CI13"/>
    <mergeCell ref="CJ11:CJ13"/>
    <mergeCell ref="CK11:CK13"/>
    <mergeCell ref="BZ11:BZ13"/>
    <mergeCell ref="CA11:CA13"/>
    <mergeCell ref="CB11:CB13"/>
    <mergeCell ref="CC11:CC13"/>
    <mergeCell ref="CD11:CD13"/>
    <mergeCell ref="CE11:CE13"/>
    <mergeCell ref="BT11:BT13"/>
    <mergeCell ref="BU11:BU13"/>
    <mergeCell ref="BV11:BV13"/>
    <mergeCell ref="BW11:BW13"/>
    <mergeCell ref="BX11:BX13"/>
    <mergeCell ref="BY11:BY13"/>
    <mergeCell ref="BK11:BK13"/>
    <mergeCell ref="BL11:BL13"/>
    <mergeCell ref="BM11:BM13"/>
    <mergeCell ref="BP11:BP13"/>
    <mergeCell ref="BQ11:BQ13"/>
    <mergeCell ref="BB11:BB13"/>
    <mergeCell ref="BC11:BC13"/>
    <mergeCell ref="BD11:BD13"/>
    <mergeCell ref="BE11:BE13"/>
    <mergeCell ref="BG11:BG13"/>
    <mergeCell ref="BH11:BH13"/>
    <mergeCell ref="AK11:AK13"/>
    <mergeCell ref="AL11:AL13"/>
    <mergeCell ref="AM11:AM13"/>
    <mergeCell ref="AN11:AN13"/>
    <mergeCell ref="AO11:AO13"/>
    <mergeCell ref="AQ11:AQ13"/>
    <mergeCell ref="BI11:BI13"/>
    <mergeCell ref="AZ11:AZ13"/>
    <mergeCell ref="BA11:BA13"/>
    <mergeCell ref="D9:D13"/>
    <mergeCell ref="E9:N9"/>
    <mergeCell ref="CU9:CU13"/>
    <mergeCell ref="E10:E13"/>
    <mergeCell ref="F10:F13"/>
    <mergeCell ref="G10:N10"/>
    <mergeCell ref="G11:G13"/>
    <mergeCell ref="H11:H13"/>
    <mergeCell ref="I11:I13"/>
    <mergeCell ref="K11:K13"/>
    <mergeCell ref="CL8:CM10"/>
    <mergeCell ref="CN8:CO10"/>
    <mergeCell ref="BR11:BR13"/>
    <mergeCell ref="BS11:BS13"/>
    <mergeCell ref="AW7:AY10"/>
    <mergeCell ref="AZ7:BB10"/>
    <mergeCell ref="BC7:BE10"/>
    <mergeCell ref="BG7:BI10"/>
    <mergeCell ref="AE11:AE13"/>
    <mergeCell ref="AF11:AF13"/>
    <mergeCell ref="AG11:AG13"/>
    <mergeCell ref="AH11:AH13"/>
    <mergeCell ref="AI11:AI13"/>
    <mergeCell ref="AJ11:AJ13"/>
    <mergeCell ref="BP7:BS7"/>
    <mergeCell ref="BT7:BU10"/>
    <mergeCell ref="BV7:BW10"/>
    <mergeCell ref="CP7:CP13"/>
    <mergeCell ref="CS7:CS13"/>
    <mergeCell ref="CT7:CT13"/>
    <mergeCell ref="L11:L13"/>
    <mergeCell ref="M11:M13"/>
    <mergeCell ref="N11:N13"/>
    <mergeCell ref="R11:R13"/>
    <mergeCell ref="S11:S13"/>
    <mergeCell ref="T11:T13"/>
    <mergeCell ref="Y11:Y13"/>
    <mergeCell ref="Z11:Z13"/>
    <mergeCell ref="AA11:AA13"/>
    <mergeCell ref="AB11:AB13"/>
    <mergeCell ref="AC11:AC13"/>
    <mergeCell ref="AD11:AD13"/>
    <mergeCell ref="AR11:AR13"/>
    <mergeCell ref="AS11:AS13"/>
    <mergeCell ref="AT11:AT13"/>
    <mergeCell ref="AU11:AU13"/>
    <mergeCell ref="AV11:AV13"/>
    <mergeCell ref="AW11:AW13"/>
    <mergeCell ref="AD7:AF10"/>
    <mergeCell ref="AG7:AI10"/>
    <mergeCell ref="AJ7:AL10"/>
    <mergeCell ref="AM7:AO10"/>
    <mergeCell ref="AQ7:AS10"/>
    <mergeCell ref="AT7:AV10"/>
    <mergeCell ref="DF7:DF13"/>
    <mergeCell ref="BP8:BQ10"/>
    <mergeCell ref="BR8:BS10"/>
    <mergeCell ref="BX8:BY10"/>
    <mergeCell ref="BZ8:CA10"/>
    <mergeCell ref="CB8:CC10"/>
    <mergeCell ref="CD8:CE10"/>
    <mergeCell ref="CF8:CG10"/>
    <mergeCell ref="CH8:CI10"/>
    <mergeCell ref="CJ8:CK10"/>
    <mergeCell ref="CV7:CV13"/>
    <mergeCell ref="CW7:CW13"/>
    <mergeCell ref="CX7:CX13"/>
    <mergeCell ref="CY7:CY13"/>
    <mergeCell ref="DA7:DC9"/>
    <mergeCell ref="DE7:DE13"/>
    <mergeCell ref="DA10:DB11"/>
    <mergeCell ref="DC10:DC13"/>
    <mergeCell ref="A1:CT1"/>
    <mergeCell ref="A2:CT2"/>
    <mergeCell ref="A3:CT3"/>
    <mergeCell ref="A4:CT4"/>
    <mergeCell ref="A5:CT5"/>
    <mergeCell ref="A7:A13"/>
    <mergeCell ref="B7:B13"/>
    <mergeCell ref="C7:C13"/>
    <mergeCell ref="D7:N8"/>
    <mergeCell ref="O7:O13"/>
    <mergeCell ref="P7:P13"/>
    <mergeCell ref="Q7:Q13"/>
    <mergeCell ref="R7:T10"/>
    <mergeCell ref="U7:W10"/>
    <mergeCell ref="X7:Z10"/>
    <mergeCell ref="AA7:AC10"/>
    <mergeCell ref="U11:U13"/>
    <mergeCell ref="V11:V13"/>
    <mergeCell ref="W11:W13"/>
    <mergeCell ref="X11:X13"/>
    <mergeCell ref="BK7:BM10"/>
    <mergeCell ref="BN7:BN13"/>
    <mergeCell ref="AX11:AX13"/>
    <mergeCell ref="AY11:AY13"/>
  </mergeCells>
  <conditionalFormatting sqref="CW1:CW1048576">
    <cfRule type="containsText" dxfId="54" priority="12" operator="containsText" text="FALSE">
      <formula>NOT(ISERROR(SEARCH("FALSE",CW1)))</formula>
    </cfRule>
  </conditionalFormatting>
  <conditionalFormatting sqref="CX1:CX1048576 DA10">
    <cfRule type="containsText" dxfId="53" priority="11" operator="containsText" text="kiểm tra">
      <formula>NOT(ISERROR(SEARCH("kiểm tra",CX1)))</formula>
    </cfRule>
  </conditionalFormatting>
  <conditionalFormatting sqref="CY7:CZ13">
    <cfRule type="containsText" dxfId="52" priority="8" operator="containsText" text="0">
      <formula>NOT(ISERROR(SEARCH("0",CY7)))</formula>
    </cfRule>
    <cfRule type="containsText" dxfId="51" priority="9" operator="containsText" text="kiểm tra">
      <formula>NOT(ISERROR(SEARCH("kiểm tra",CY7)))</formula>
    </cfRule>
  </conditionalFormatting>
  <conditionalFormatting sqref="CY1:DC6 CY7:CZ13 DA10 CY14:DC1048576">
    <cfRule type="containsText" dxfId="50" priority="7" operator="containsText" text="trống">
      <formula>NOT(ISERROR(SEARCH("trống",CY1)))</formula>
    </cfRule>
  </conditionalFormatting>
  <conditionalFormatting sqref="DA10 CX1:CX1048576">
    <cfRule type="containsText" dxfId="49" priority="10" operator="containsText" text="0">
      <formula>NOT(ISERROR(SEARCH("0",CX1)))</formula>
    </cfRule>
  </conditionalFormatting>
  <conditionalFormatting sqref="DA13:DB13">
    <cfRule type="containsText" dxfId="48" priority="1" operator="containsText" text="trống">
      <formula>NOT(ISERROR(SEARCH("trống",DA13)))</formula>
    </cfRule>
    <cfRule type="containsText" dxfId="47" priority="2" operator="containsText" text="0">
      <formula>NOT(ISERROR(SEARCH("0",DA13)))</formula>
    </cfRule>
    <cfRule type="containsText" dxfId="46" priority="3" operator="containsText" text="kiểm tra">
      <formula>NOT(ISERROR(SEARCH("kiểm tra",DA13)))</formula>
    </cfRule>
  </conditionalFormatting>
  <conditionalFormatting sqref="DC10">
    <cfRule type="containsText" dxfId="45" priority="4" operator="containsText" text="trống">
      <formula>NOT(ISERROR(SEARCH("trống",DC10)))</formula>
    </cfRule>
    <cfRule type="containsText" dxfId="44" priority="5" operator="containsText" text="0">
      <formula>NOT(ISERROR(SEARCH("0",DC10)))</formula>
    </cfRule>
    <cfRule type="containsText" dxfId="43" priority="6" operator="containsText" text="kiểm tra">
      <formula>NOT(ISERROR(SEARCH("kiểm tra",DC10)))</formula>
    </cfRule>
  </conditionalFormatting>
  <pageMargins left="0.44" right="0.196850393700787" top="0.35" bottom="0.56000000000000005" header="0.31496062992126" footer="0.31496062992126"/>
  <pageSetup paperSize="9" scale="70" orientation="portrait" r:id="rId1"/>
  <headerFooter>
    <oddFooter>&amp;R&amp;P/&amp;N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587"/>
  <sheetViews>
    <sheetView zoomScale="85" zoomScaleNormal="85" workbookViewId="0">
      <pane xSplit="3" ySplit="13" topLeftCell="D14" activePane="bottomRight" state="frozen"/>
      <selection activeCell="A7" sqref="A7"/>
      <selection pane="topRight" activeCell="D7" sqref="D7"/>
      <selection pane="bottomLeft" activeCell="A14" sqref="A14"/>
      <selection pane="bottomRight" activeCell="D127" sqref="D127"/>
    </sheetView>
  </sheetViews>
  <sheetFormatPr defaultColWidth="9.140625" defaultRowHeight="15.75" outlineLevelRow="1" outlineLevelCol="1" x14ac:dyDescent="0.25"/>
  <cols>
    <col min="1" max="1" width="4.28515625" style="143" customWidth="1"/>
    <col min="2" max="2" width="35.7109375" style="142" customWidth="1"/>
    <col min="3" max="3" width="10.140625" style="142" hidden="1" customWidth="1" outlineLevel="1"/>
    <col min="4" max="4" width="10.85546875" style="144" customWidth="1" collapsed="1"/>
    <col min="5" max="6" width="10.85546875" style="144" customWidth="1"/>
    <col min="7" max="7" width="11" style="144" customWidth="1"/>
    <col min="8" max="8" width="11.42578125" style="144" customWidth="1"/>
    <col min="9" max="9" width="10.5703125" style="396" hidden="1" customWidth="1" outlineLevel="1"/>
    <col min="10" max="10" width="9.5703125" style="396" hidden="1" customWidth="1" outlineLevel="1"/>
    <col min="11" max="11" width="9.28515625" style="144" customWidth="1" collapsed="1"/>
    <col min="12" max="12" width="7.7109375" style="396" hidden="1" customWidth="1" outlineLevel="1"/>
    <col min="13" max="13" width="9.42578125" style="144" hidden="1" customWidth="1" outlineLevel="1"/>
    <col min="14" max="14" width="8.85546875" style="396" hidden="1" customWidth="1" outlineLevel="1"/>
    <col min="15" max="15" width="10.7109375" style="144" hidden="1" customWidth="1" outlineLevel="1" collapsed="1"/>
    <col min="16" max="16" width="9.5703125" style="144" hidden="1" customWidth="1" collapsed="1"/>
    <col min="17" max="17" width="7.42578125" style="144" hidden="1" customWidth="1"/>
    <col min="18" max="18" width="11.28515625" style="144" hidden="1" customWidth="1"/>
    <col min="19" max="19" width="7.42578125" style="144" hidden="1" customWidth="1" outlineLevel="1"/>
    <col min="20" max="23" width="9.28515625" style="144" hidden="1" customWidth="1" outlineLevel="1"/>
    <col min="24" max="24" width="10.28515625" style="144" hidden="1" customWidth="1" outlineLevel="1"/>
    <col min="25" max="29" width="9.28515625" style="144" hidden="1" customWidth="1" outlineLevel="1"/>
    <col min="30" max="30" width="10.85546875" style="144" hidden="1" customWidth="1" outlineLevel="1"/>
    <col min="31" max="42" width="9.28515625" style="144" hidden="1" customWidth="1" outlineLevel="1"/>
    <col min="43" max="43" width="11.85546875" style="144" hidden="1" customWidth="1" outlineLevel="1"/>
    <col min="44" max="47" width="9.28515625" style="144" hidden="1" customWidth="1" outlineLevel="1"/>
    <col min="48" max="48" width="8.28515625" style="144" hidden="1" customWidth="1" outlineLevel="1"/>
    <col min="49" max="49" width="9.85546875" style="144" hidden="1" customWidth="1" outlineLevel="1"/>
    <col min="50" max="51" width="8.28515625" style="144" hidden="1" customWidth="1" outlineLevel="1"/>
    <col min="52" max="52" width="9.85546875" style="144" hidden="1" customWidth="1" outlineLevel="1"/>
    <col min="53" max="54" width="8.28515625" style="144" hidden="1" customWidth="1" outlineLevel="1"/>
    <col min="55" max="55" width="12.28515625" style="144" hidden="1" customWidth="1" outlineLevel="1"/>
    <col min="56" max="57" width="8.28515625" style="144" hidden="1" customWidth="1" outlineLevel="1"/>
    <col min="58" max="61" width="9.7109375" style="144" hidden="1" customWidth="1" outlineLevel="1"/>
    <col min="62" max="62" width="11.28515625" style="144" customWidth="1" outlineLevel="1"/>
    <col min="63" max="63" width="11.140625" style="397" customWidth="1"/>
    <col min="64" max="64" width="8.28515625" style="398" customWidth="1"/>
    <col min="65" max="65" width="10" style="398" customWidth="1"/>
    <col min="66" max="67" width="9.28515625" style="398" hidden="1" customWidth="1"/>
    <col min="68" max="68" width="9" style="397" hidden="1" customWidth="1"/>
    <col min="69" max="69" width="6.7109375" style="399" hidden="1" customWidth="1"/>
    <col min="70" max="70" width="10.28515625" style="400" hidden="1" customWidth="1"/>
    <col min="71" max="71" width="6.7109375" style="400" hidden="1" customWidth="1"/>
    <col min="72" max="72" width="9.140625" style="400" hidden="1" customWidth="1"/>
    <col min="73" max="73" width="8.140625" style="400" hidden="1" customWidth="1"/>
    <col min="74" max="74" width="11.42578125" style="400" hidden="1" customWidth="1"/>
    <col min="75" max="75" width="6.7109375" style="400" hidden="1" customWidth="1"/>
    <col min="76" max="76" width="11.7109375" style="400" hidden="1" customWidth="1"/>
    <col min="77" max="77" width="6.7109375" style="400" hidden="1" customWidth="1"/>
    <col min="78" max="78" width="11.7109375" style="400" hidden="1" customWidth="1"/>
    <col min="79" max="79" width="7.7109375" style="400" hidden="1" customWidth="1"/>
    <col min="80" max="80" width="11" style="400" hidden="1" customWidth="1"/>
    <col min="81" max="81" width="7.7109375" style="400" hidden="1" customWidth="1"/>
    <col min="82" max="82" width="11.140625" style="400" hidden="1" customWidth="1"/>
    <col min="83" max="83" width="7.7109375" style="400" hidden="1" customWidth="1"/>
    <col min="84" max="84" width="10.85546875" style="400" hidden="1" customWidth="1"/>
    <col min="85" max="85" width="7.7109375" style="400" hidden="1" customWidth="1"/>
    <col min="86" max="86" width="11" style="400" hidden="1" customWidth="1"/>
    <col min="87" max="87" width="7.7109375" style="400" hidden="1" customWidth="1"/>
    <col min="88" max="88" width="11" style="400" hidden="1" customWidth="1"/>
    <col min="89" max="89" width="8.7109375" style="400" hidden="1" customWidth="1"/>
    <col min="90" max="90" width="11" style="400" hidden="1" customWidth="1"/>
    <col min="91" max="91" width="8.7109375" style="400" hidden="1" customWidth="1"/>
    <col min="92" max="92" width="11" style="400" hidden="1" customWidth="1"/>
    <col min="93" max="93" width="7" style="400" hidden="1" customWidth="1"/>
    <col min="94" max="96" width="13.140625" style="143" customWidth="1"/>
    <col min="97" max="97" width="13.140625" style="143" hidden="1" customWidth="1"/>
    <col min="98" max="98" width="10.42578125" style="144" hidden="1" customWidth="1"/>
    <col min="99" max="99" width="11.28515625" style="141" hidden="1" customWidth="1"/>
    <col min="100" max="100" width="25.28515625" style="142" hidden="1" customWidth="1"/>
    <col min="101" max="101" width="9.140625" style="143" hidden="1" customWidth="1"/>
    <col min="102" max="102" width="11" style="143" hidden="1" customWidth="1"/>
    <col min="103" max="108" width="9.140625" style="144" hidden="1" customWidth="1"/>
    <col min="109" max="109" width="10.5703125" style="144" hidden="1" customWidth="1"/>
    <col min="110" max="110" width="9.140625" style="144" hidden="1" customWidth="1"/>
    <col min="111" max="111" width="15.42578125" style="144" customWidth="1"/>
    <col min="112" max="112" width="14.28515625" style="144" customWidth="1"/>
    <col min="113" max="16384" width="9.140625" style="144"/>
  </cols>
  <sheetData>
    <row r="1" spans="1:113" ht="18.75" x14ac:dyDescent="0.25">
      <c r="A1" s="457" t="s">
        <v>82</v>
      </c>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c r="AR1" s="457"/>
      <c r="AS1" s="457"/>
      <c r="AT1" s="457"/>
      <c r="AU1" s="457"/>
      <c r="AV1" s="457"/>
      <c r="AW1" s="457"/>
      <c r="AX1" s="457"/>
      <c r="AY1" s="457"/>
      <c r="AZ1" s="457"/>
      <c r="BA1" s="457"/>
      <c r="BB1" s="457"/>
      <c r="BC1" s="457"/>
      <c r="BD1" s="457"/>
      <c r="BE1" s="457"/>
      <c r="BF1" s="457"/>
      <c r="BG1" s="457"/>
      <c r="BH1" s="457"/>
      <c r="BI1" s="457"/>
      <c r="BJ1" s="457"/>
      <c r="BK1" s="457"/>
      <c r="BL1" s="457"/>
      <c r="BM1" s="457"/>
      <c r="BN1" s="457"/>
      <c r="BO1" s="457"/>
      <c r="BP1" s="457"/>
      <c r="BQ1" s="457"/>
      <c r="BR1" s="457"/>
      <c r="BS1" s="457"/>
      <c r="BT1" s="457"/>
      <c r="BU1" s="457"/>
      <c r="BV1" s="457"/>
      <c r="BW1" s="457"/>
      <c r="BX1" s="457"/>
      <c r="BY1" s="457"/>
      <c r="BZ1" s="457"/>
      <c r="CA1" s="457"/>
      <c r="CB1" s="457"/>
      <c r="CC1" s="457"/>
      <c r="CD1" s="457"/>
      <c r="CE1" s="457"/>
      <c r="CF1" s="457"/>
      <c r="CG1" s="457"/>
      <c r="CH1" s="457"/>
      <c r="CI1" s="457"/>
      <c r="CJ1" s="457"/>
      <c r="CK1" s="457"/>
      <c r="CL1" s="457"/>
      <c r="CM1" s="457"/>
      <c r="CN1" s="457"/>
      <c r="CO1" s="457"/>
      <c r="CP1" s="457"/>
      <c r="CQ1" s="457"/>
      <c r="CR1" s="457"/>
      <c r="CS1" s="457"/>
      <c r="CT1" s="457"/>
    </row>
    <row r="2" spans="1:113" ht="20.25" x14ac:dyDescent="0.25">
      <c r="A2" s="458" t="s">
        <v>6</v>
      </c>
      <c r="B2" s="458"/>
      <c r="C2" s="458"/>
      <c r="D2" s="458"/>
      <c r="E2" s="458"/>
      <c r="F2" s="458"/>
      <c r="G2" s="458"/>
      <c r="H2" s="458"/>
      <c r="I2" s="458"/>
      <c r="J2" s="458"/>
      <c r="K2" s="458"/>
      <c r="L2" s="458"/>
      <c r="M2" s="458"/>
      <c r="N2" s="458"/>
      <c r="O2" s="458"/>
      <c r="P2" s="458"/>
      <c r="Q2" s="458"/>
      <c r="R2" s="458"/>
      <c r="S2" s="458"/>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c r="BQ2" s="458"/>
      <c r="BR2" s="458"/>
      <c r="BS2" s="458"/>
      <c r="BT2" s="458"/>
      <c r="BU2" s="458"/>
      <c r="BV2" s="458"/>
      <c r="BW2" s="458"/>
      <c r="BX2" s="458"/>
      <c r="BY2" s="458"/>
      <c r="BZ2" s="458"/>
      <c r="CA2" s="458"/>
      <c r="CB2" s="458"/>
      <c r="CC2" s="458"/>
      <c r="CD2" s="458"/>
      <c r="CE2" s="458"/>
      <c r="CF2" s="458"/>
      <c r="CG2" s="458"/>
      <c r="CH2" s="458"/>
      <c r="CI2" s="458"/>
      <c r="CJ2" s="458"/>
      <c r="CK2" s="458"/>
      <c r="CL2" s="458"/>
      <c r="CM2" s="458"/>
      <c r="CN2" s="458"/>
      <c r="CO2" s="458"/>
      <c r="CP2" s="458"/>
      <c r="CQ2" s="458"/>
      <c r="CR2" s="458"/>
      <c r="CS2" s="458"/>
      <c r="CT2" s="458"/>
    </row>
    <row r="3" spans="1:113" ht="18.75" x14ac:dyDescent="0.25">
      <c r="A3" s="457" t="s">
        <v>83</v>
      </c>
      <c r="B3" s="457"/>
      <c r="C3" s="457"/>
      <c r="D3" s="457"/>
      <c r="E3" s="457"/>
      <c r="F3" s="457"/>
      <c r="G3" s="457"/>
      <c r="H3" s="457"/>
      <c r="I3" s="457"/>
      <c r="J3" s="457"/>
      <c r="K3" s="457"/>
      <c r="L3" s="457"/>
      <c r="M3" s="457"/>
      <c r="N3" s="457"/>
      <c r="O3" s="457"/>
      <c r="P3" s="457"/>
      <c r="Q3" s="457"/>
      <c r="R3" s="457"/>
      <c r="S3" s="457"/>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c r="BC3" s="457"/>
      <c r="BD3" s="457"/>
      <c r="BE3" s="457"/>
      <c r="BF3" s="457"/>
      <c r="BG3" s="457"/>
      <c r="BH3" s="457"/>
      <c r="BI3" s="457"/>
      <c r="BJ3" s="457"/>
      <c r="BK3" s="457"/>
      <c r="BL3" s="457"/>
      <c r="BM3" s="457"/>
      <c r="BN3" s="457"/>
      <c r="BO3" s="457"/>
      <c r="BP3" s="457"/>
      <c r="BQ3" s="457"/>
      <c r="BR3" s="457"/>
      <c r="BS3" s="457"/>
      <c r="BT3" s="457"/>
      <c r="BU3" s="457"/>
      <c r="BV3" s="457"/>
      <c r="BW3" s="457"/>
      <c r="BX3" s="457"/>
      <c r="BY3" s="457"/>
      <c r="BZ3" s="457"/>
      <c r="CA3" s="457"/>
      <c r="CB3" s="457"/>
      <c r="CC3" s="457"/>
      <c r="CD3" s="457"/>
      <c r="CE3" s="457"/>
      <c r="CF3" s="457"/>
      <c r="CG3" s="457"/>
      <c r="CH3" s="457"/>
      <c r="CI3" s="457"/>
      <c r="CJ3" s="457"/>
      <c r="CK3" s="457"/>
      <c r="CL3" s="457"/>
      <c r="CM3" s="457"/>
      <c r="CN3" s="457"/>
      <c r="CO3" s="457"/>
      <c r="CP3" s="457"/>
      <c r="CQ3" s="457"/>
      <c r="CR3" s="457"/>
      <c r="CS3" s="457"/>
      <c r="CT3" s="457"/>
      <c r="DC3" s="144">
        <f>96+14</f>
        <v>110</v>
      </c>
    </row>
    <row r="4" spans="1:113" ht="18.75" x14ac:dyDescent="0.25">
      <c r="A4" s="459" t="s">
        <v>537</v>
      </c>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59"/>
      <c r="CM4" s="459"/>
      <c r="CN4" s="459"/>
      <c r="CO4" s="459"/>
      <c r="CP4" s="459"/>
      <c r="CQ4" s="459"/>
      <c r="CR4" s="459"/>
      <c r="CS4" s="459"/>
      <c r="CT4" s="459"/>
      <c r="DA4" s="144">
        <v>33</v>
      </c>
      <c r="DB4" s="144">
        <v>38</v>
      </c>
    </row>
    <row r="5" spans="1:113" ht="13.15" customHeight="1" x14ac:dyDescent="0.25">
      <c r="A5" s="460" t="s">
        <v>84</v>
      </c>
      <c r="B5" s="460"/>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row>
    <row r="6" spans="1:113" ht="9.6" customHeight="1" x14ac:dyDescent="0.25">
      <c r="A6" s="145"/>
      <c r="B6" s="146"/>
      <c r="C6" s="146"/>
      <c r="D6" s="145"/>
      <c r="E6" s="145"/>
      <c r="F6" s="147"/>
      <c r="G6" s="148"/>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9"/>
      <c r="BL6" s="150"/>
      <c r="BM6" s="150"/>
      <c r="BN6" s="150"/>
      <c r="BO6" s="150"/>
      <c r="BP6" s="149"/>
      <c r="BQ6" s="151"/>
      <c r="BR6" s="145"/>
      <c r="BS6" s="145"/>
      <c r="BT6" s="145"/>
      <c r="BU6" s="145"/>
      <c r="BV6" s="145"/>
      <c r="BW6" s="145"/>
      <c r="BX6" s="145"/>
      <c r="BY6" s="145"/>
      <c r="BZ6" s="145"/>
      <c r="CA6" s="145"/>
      <c r="CB6" s="145"/>
      <c r="CC6" s="145"/>
      <c r="CD6" s="145"/>
      <c r="CE6" s="145"/>
      <c r="CF6" s="145"/>
      <c r="CG6" s="145"/>
      <c r="CH6" s="145"/>
      <c r="CI6" s="145"/>
      <c r="CJ6" s="145"/>
      <c r="CK6" s="145"/>
      <c r="CL6" s="145"/>
      <c r="CM6" s="145"/>
      <c r="CN6" s="145"/>
      <c r="CO6" s="145"/>
      <c r="CP6" s="152"/>
      <c r="CQ6" s="152"/>
      <c r="CR6" s="152"/>
      <c r="CS6" s="152"/>
      <c r="CT6" s="145"/>
    </row>
    <row r="7" spans="1:113" s="160" customFormat="1" ht="20.25" customHeight="1" x14ac:dyDescent="0.25">
      <c r="A7" s="461" t="s">
        <v>85</v>
      </c>
      <c r="B7" s="461" t="s">
        <v>86</v>
      </c>
      <c r="C7" s="462" t="s">
        <v>87</v>
      </c>
      <c r="D7" s="461" t="s">
        <v>88</v>
      </c>
      <c r="E7" s="461"/>
      <c r="F7" s="461"/>
      <c r="G7" s="461"/>
      <c r="H7" s="461"/>
      <c r="I7" s="461"/>
      <c r="J7" s="461"/>
      <c r="K7" s="461"/>
      <c r="L7" s="461"/>
      <c r="M7" s="461"/>
      <c r="N7" s="461"/>
      <c r="O7" s="462" t="s">
        <v>89</v>
      </c>
      <c r="P7" s="465" t="s">
        <v>90</v>
      </c>
      <c r="Q7" s="468" t="s">
        <v>91</v>
      </c>
      <c r="R7" s="461" t="s">
        <v>92</v>
      </c>
      <c r="S7" s="461"/>
      <c r="T7" s="461"/>
      <c r="U7" s="471" t="s">
        <v>93</v>
      </c>
      <c r="V7" s="471"/>
      <c r="W7" s="471"/>
      <c r="X7" s="471" t="s">
        <v>94</v>
      </c>
      <c r="Y7" s="471"/>
      <c r="Z7" s="471"/>
      <c r="AA7" s="471" t="s">
        <v>95</v>
      </c>
      <c r="AB7" s="471"/>
      <c r="AC7" s="471"/>
      <c r="AD7" s="471" t="s">
        <v>96</v>
      </c>
      <c r="AE7" s="471"/>
      <c r="AF7" s="471"/>
      <c r="AG7" s="471" t="s">
        <v>97</v>
      </c>
      <c r="AH7" s="471"/>
      <c r="AI7" s="471"/>
      <c r="AJ7" s="471" t="s">
        <v>98</v>
      </c>
      <c r="AK7" s="471"/>
      <c r="AL7" s="471"/>
      <c r="AM7" s="471" t="s">
        <v>99</v>
      </c>
      <c r="AN7" s="471"/>
      <c r="AO7" s="471"/>
      <c r="AP7" s="153"/>
      <c r="AQ7" s="461" t="s">
        <v>100</v>
      </c>
      <c r="AR7" s="461"/>
      <c r="AS7" s="461"/>
      <c r="AT7" s="461" t="s">
        <v>101</v>
      </c>
      <c r="AU7" s="461"/>
      <c r="AV7" s="461"/>
      <c r="AW7" s="461" t="s">
        <v>102</v>
      </c>
      <c r="AX7" s="461"/>
      <c r="AY7" s="461"/>
      <c r="AZ7" s="461" t="s">
        <v>103</v>
      </c>
      <c r="BA7" s="461"/>
      <c r="BB7" s="461"/>
      <c r="BC7" s="484" t="s">
        <v>104</v>
      </c>
      <c r="BD7" s="485"/>
      <c r="BE7" s="486"/>
      <c r="BF7" s="154"/>
      <c r="BG7" s="465" t="s">
        <v>105</v>
      </c>
      <c r="BH7" s="474"/>
      <c r="BI7" s="468"/>
      <c r="BJ7" s="462" t="s">
        <v>516</v>
      </c>
      <c r="BK7" s="465" t="s">
        <v>521</v>
      </c>
      <c r="BL7" s="474"/>
      <c r="BM7" s="468"/>
      <c r="BN7" s="462" t="s">
        <v>107</v>
      </c>
      <c r="BO7" s="155"/>
      <c r="BP7" s="480" t="s">
        <v>108</v>
      </c>
      <c r="BQ7" s="481"/>
      <c r="BR7" s="481"/>
      <c r="BS7" s="482"/>
      <c r="BT7" s="465" t="s">
        <v>109</v>
      </c>
      <c r="BU7" s="468"/>
      <c r="BV7" s="465" t="s">
        <v>110</v>
      </c>
      <c r="BW7" s="468"/>
      <c r="BX7" s="156"/>
      <c r="BY7" s="156"/>
      <c r="BZ7" s="156"/>
      <c r="CA7" s="156"/>
      <c r="CB7" s="156"/>
      <c r="CC7" s="156"/>
      <c r="CD7" s="156"/>
      <c r="CE7" s="156"/>
      <c r="CF7" s="156"/>
      <c r="CG7" s="156"/>
      <c r="CH7" s="156"/>
      <c r="CI7" s="156"/>
      <c r="CJ7" s="156"/>
      <c r="CK7" s="156"/>
      <c r="CL7" s="156"/>
      <c r="CM7" s="156"/>
      <c r="CN7" s="156"/>
      <c r="CO7" s="157"/>
      <c r="CP7" s="462" t="s">
        <v>523</v>
      </c>
      <c r="CQ7" s="462" t="s">
        <v>522</v>
      </c>
      <c r="CR7" s="405"/>
      <c r="CS7" s="462" t="s">
        <v>111</v>
      </c>
      <c r="CT7" s="461" t="s">
        <v>17</v>
      </c>
      <c r="CU7" s="158"/>
      <c r="CV7" s="478" t="s">
        <v>112</v>
      </c>
      <c r="CW7" s="461" t="s">
        <v>113</v>
      </c>
      <c r="CX7" s="461" t="s">
        <v>114</v>
      </c>
      <c r="CY7" s="461" t="s">
        <v>115</v>
      </c>
      <c r="CZ7" s="159"/>
      <c r="DA7" s="479" t="s">
        <v>116</v>
      </c>
      <c r="DB7" s="479"/>
      <c r="DC7" s="479"/>
      <c r="DE7" s="477" t="s">
        <v>117</v>
      </c>
      <c r="DF7" s="477" t="s">
        <v>118</v>
      </c>
    </row>
    <row r="8" spans="1:113" s="165" customFormat="1" ht="11.45" customHeight="1" x14ac:dyDescent="0.25">
      <c r="A8" s="461"/>
      <c r="B8" s="461"/>
      <c r="C8" s="463"/>
      <c r="D8" s="461"/>
      <c r="E8" s="461"/>
      <c r="F8" s="461"/>
      <c r="G8" s="461"/>
      <c r="H8" s="461"/>
      <c r="I8" s="461"/>
      <c r="J8" s="461"/>
      <c r="K8" s="461"/>
      <c r="L8" s="461"/>
      <c r="M8" s="461"/>
      <c r="N8" s="461"/>
      <c r="O8" s="463"/>
      <c r="P8" s="466"/>
      <c r="Q8" s="469"/>
      <c r="R8" s="461"/>
      <c r="S8" s="461"/>
      <c r="T8" s="461"/>
      <c r="U8" s="471"/>
      <c r="V8" s="471"/>
      <c r="W8" s="471"/>
      <c r="X8" s="471"/>
      <c r="Y8" s="471"/>
      <c r="Z8" s="471"/>
      <c r="AA8" s="471"/>
      <c r="AB8" s="471"/>
      <c r="AC8" s="471"/>
      <c r="AD8" s="471"/>
      <c r="AE8" s="471"/>
      <c r="AF8" s="471"/>
      <c r="AG8" s="471"/>
      <c r="AH8" s="471"/>
      <c r="AI8" s="471"/>
      <c r="AJ8" s="471"/>
      <c r="AK8" s="471"/>
      <c r="AL8" s="471"/>
      <c r="AM8" s="471"/>
      <c r="AN8" s="471"/>
      <c r="AO8" s="471"/>
      <c r="AP8" s="153"/>
      <c r="AQ8" s="461"/>
      <c r="AR8" s="461"/>
      <c r="AS8" s="461"/>
      <c r="AT8" s="461"/>
      <c r="AU8" s="461"/>
      <c r="AV8" s="461"/>
      <c r="AW8" s="461"/>
      <c r="AX8" s="461"/>
      <c r="AY8" s="461"/>
      <c r="AZ8" s="461"/>
      <c r="BA8" s="461"/>
      <c r="BB8" s="461"/>
      <c r="BC8" s="487"/>
      <c r="BD8" s="488"/>
      <c r="BE8" s="489"/>
      <c r="BF8" s="161"/>
      <c r="BG8" s="466"/>
      <c r="BH8" s="475"/>
      <c r="BI8" s="469"/>
      <c r="BJ8" s="463"/>
      <c r="BK8" s="466"/>
      <c r="BL8" s="475"/>
      <c r="BM8" s="469"/>
      <c r="BN8" s="463"/>
      <c r="BO8" s="162"/>
      <c r="BP8" s="461" t="s">
        <v>119</v>
      </c>
      <c r="BQ8" s="461"/>
      <c r="BR8" s="461" t="s">
        <v>120</v>
      </c>
      <c r="BS8" s="461"/>
      <c r="BT8" s="466"/>
      <c r="BU8" s="469"/>
      <c r="BV8" s="466"/>
      <c r="BW8" s="469"/>
      <c r="BX8" s="461" t="s">
        <v>121</v>
      </c>
      <c r="BY8" s="461"/>
      <c r="BZ8" s="461" t="s">
        <v>122</v>
      </c>
      <c r="CA8" s="461"/>
      <c r="CB8" s="461" t="s">
        <v>123</v>
      </c>
      <c r="CC8" s="461"/>
      <c r="CD8" s="461" t="s">
        <v>124</v>
      </c>
      <c r="CE8" s="461"/>
      <c r="CF8" s="461" t="s">
        <v>125</v>
      </c>
      <c r="CG8" s="461"/>
      <c r="CH8" s="461" t="s">
        <v>126</v>
      </c>
      <c r="CI8" s="461"/>
      <c r="CJ8" s="461" t="s">
        <v>127</v>
      </c>
      <c r="CK8" s="461"/>
      <c r="CL8" s="461" t="s">
        <v>128</v>
      </c>
      <c r="CM8" s="461"/>
      <c r="CN8" s="461" t="s">
        <v>129</v>
      </c>
      <c r="CO8" s="461"/>
      <c r="CP8" s="463"/>
      <c r="CQ8" s="463"/>
      <c r="CR8" s="162"/>
      <c r="CS8" s="463"/>
      <c r="CT8" s="461"/>
      <c r="CU8" s="163"/>
      <c r="CV8" s="478"/>
      <c r="CW8" s="461"/>
      <c r="CX8" s="461"/>
      <c r="CY8" s="461"/>
      <c r="CZ8" s="159"/>
      <c r="DA8" s="479"/>
      <c r="DB8" s="479"/>
      <c r="DC8" s="479"/>
      <c r="DD8" s="164"/>
      <c r="DE8" s="477"/>
      <c r="DF8" s="477"/>
    </row>
    <row r="9" spans="1:113" s="165" customFormat="1" ht="17.45" customHeight="1" x14ac:dyDescent="0.25">
      <c r="A9" s="461"/>
      <c r="B9" s="461"/>
      <c r="C9" s="463"/>
      <c r="D9" s="461" t="s">
        <v>130</v>
      </c>
      <c r="E9" s="461" t="s">
        <v>131</v>
      </c>
      <c r="F9" s="461"/>
      <c r="G9" s="461"/>
      <c r="H9" s="461"/>
      <c r="I9" s="461"/>
      <c r="J9" s="461"/>
      <c r="K9" s="461"/>
      <c r="L9" s="461"/>
      <c r="M9" s="461"/>
      <c r="N9" s="461"/>
      <c r="O9" s="463"/>
      <c r="P9" s="466"/>
      <c r="Q9" s="469"/>
      <c r="R9" s="461"/>
      <c r="S9" s="461"/>
      <c r="T9" s="461"/>
      <c r="U9" s="471"/>
      <c r="V9" s="471"/>
      <c r="W9" s="471"/>
      <c r="X9" s="471"/>
      <c r="Y9" s="471"/>
      <c r="Z9" s="471"/>
      <c r="AA9" s="471"/>
      <c r="AB9" s="471"/>
      <c r="AC9" s="471"/>
      <c r="AD9" s="471"/>
      <c r="AE9" s="471"/>
      <c r="AF9" s="471"/>
      <c r="AG9" s="471"/>
      <c r="AH9" s="471"/>
      <c r="AI9" s="471"/>
      <c r="AJ9" s="471"/>
      <c r="AK9" s="471"/>
      <c r="AL9" s="471"/>
      <c r="AM9" s="471"/>
      <c r="AN9" s="471"/>
      <c r="AO9" s="471"/>
      <c r="AP9" s="153"/>
      <c r="AQ9" s="461"/>
      <c r="AR9" s="461"/>
      <c r="AS9" s="461"/>
      <c r="AT9" s="461"/>
      <c r="AU9" s="461"/>
      <c r="AV9" s="461"/>
      <c r="AW9" s="461"/>
      <c r="AX9" s="461"/>
      <c r="AY9" s="461"/>
      <c r="AZ9" s="461"/>
      <c r="BA9" s="461"/>
      <c r="BB9" s="461"/>
      <c r="BC9" s="487"/>
      <c r="BD9" s="488"/>
      <c r="BE9" s="489"/>
      <c r="BF9" s="161"/>
      <c r="BG9" s="466"/>
      <c r="BH9" s="475"/>
      <c r="BI9" s="469"/>
      <c r="BJ9" s="463"/>
      <c r="BK9" s="466"/>
      <c r="BL9" s="475"/>
      <c r="BM9" s="469"/>
      <c r="BN9" s="463"/>
      <c r="BO9" s="162"/>
      <c r="BP9" s="461"/>
      <c r="BQ9" s="461"/>
      <c r="BR9" s="461"/>
      <c r="BS9" s="461"/>
      <c r="BT9" s="466"/>
      <c r="BU9" s="469"/>
      <c r="BV9" s="466"/>
      <c r="BW9" s="469"/>
      <c r="BX9" s="461"/>
      <c r="BY9" s="461"/>
      <c r="BZ9" s="461"/>
      <c r="CA9" s="461"/>
      <c r="CB9" s="461"/>
      <c r="CC9" s="461"/>
      <c r="CD9" s="461"/>
      <c r="CE9" s="461"/>
      <c r="CF9" s="461"/>
      <c r="CG9" s="461"/>
      <c r="CH9" s="461"/>
      <c r="CI9" s="461"/>
      <c r="CJ9" s="461"/>
      <c r="CK9" s="461"/>
      <c r="CL9" s="461"/>
      <c r="CM9" s="461"/>
      <c r="CN9" s="461"/>
      <c r="CO9" s="461"/>
      <c r="CP9" s="463"/>
      <c r="CQ9" s="463"/>
      <c r="CR9" s="162"/>
      <c r="CS9" s="463"/>
      <c r="CT9" s="461"/>
      <c r="CU9" s="483" t="s">
        <v>132</v>
      </c>
      <c r="CV9" s="478"/>
      <c r="CW9" s="461"/>
      <c r="CX9" s="461"/>
      <c r="CY9" s="461"/>
      <c r="CZ9" s="159"/>
      <c r="DA9" s="479"/>
      <c r="DB9" s="479"/>
      <c r="DC9" s="479"/>
      <c r="DD9" s="166"/>
      <c r="DE9" s="477"/>
      <c r="DF9" s="477"/>
    </row>
    <row r="10" spans="1:113" s="165" customFormat="1" ht="20.25" customHeight="1" x14ac:dyDescent="0.25">
      <c r="A10" s="461"/>
      <c r="B10" s="461"/>
      <c r="C10" s="463"/>
      <c r="D10" s="461"/>
      <c r="E10" s="461" t="s">
        <v>133</v>
      </c>
      <c r="F10" s="461" t="s">
        <v>134</v>
      </c>
      <c r="G10" s="461" t="s">
        <v>135</v>
      </c>
      <c r="H10" s="461"/>
      <c r="I10" s="461"/>
      <c r="J10" s="461"/>
      <c r="K10" s="461"/>
      <c r="L10" s="461"/>
      <c r="M10" s="461"/>
      <c r="N10" s="461"/>
      <c r="O10" s="463"/>
      <c r="P10" s="466"/>
      <c r="Q10" s="469"/>
      <c r="R10" s="461"/>
      <c r="S10" s="461"/>
      <c r="T10" s="461"/>
      <c r="U10" s="471"/>
      <c r="V10" s="471"/>
      <c r="W10" s="471"/>
      <c r="X10" s="471"/>
      <c r="Y10" s="471"/>
      <c r="Z10" s="471"/>
      <c r="AA10" s="471"/>
      <c r="AB10" s="471"/>
      <c r="AC10" s="471"/>
      <c r="AD10" s="471"/>
      <c r="AE10" s="471"/>
      <c r="AF10" s="471"/>
      <c r="AG10" s="471"/>
      <c r="AH10" s="471"/>
      <c r="AI10" s="471"/>
      <c r="AJ10" s="471"/>
      <c r="AK10" s="471"/>
      <c r="AL10" s="471"/>
      <c r="AM10" s="471"/>
      <c r="AN10" s="471"/>
      <c r="AO10" s="471"/>
      <c r="AP10" s="153"/>
      <c r="AQ10" s="461"/>
      <c r="AR10" s="461"/>
      <c r="AS10" s="461"/>
      <c r="AT10" s="461"/>
      <c r="AU10" s="461"/>
      <c r="AV10" s="461"/>
      <c r="AW10" s="461"/>
      <c r="AX10" s="461"/>
      <c r="AY10" s="461"/>
      <c r="AZ10" s="461"/>
      <c r="BA10" s="461"/>
      <c r="BB10" s="461"/>
      <c r="BC10" s="490"/>
      <c r="BD10" s="491"/>
      <c r="BE10" s="492"/>
      <c r="BF10" s="167"/>
      <c r="BG10" s="467"/>
      <c r="BH10" s="476"/>
      <c r="BI10" s="470"/>
      <c r="BJ10" s="463"/>
      <c r="BK10" s="467"/>
      <c r="BL10" s="476"/>
      <c r="BM10" s="470"/>
      <c r="BN10" s="463"/>
      <c r="BO10" s="162"/>
      <c r="BP10" s="461"/>
      <c r="BQ10" s="461"/>
      <c r="BR10" s="461"/>
      <c r="BS10" s="461"/>
      <c r="BT10" s="467"/>
      <c r="BU10" s="470"/>
      <c r="BV10" s="467"/>
      <c r="BW10" s="470"/>
      <c r="BX10" s="461"/>
      <c r="BY10" s="461"/>
      <c r="BZ10" s="461"/>
      <c r="CA10" s="461"/>
      <c r="CB10" s="461"/>
      <c r="CC10" s="461"/>
      <c r="CD10" s="461"/>
      <c r="CE10" s="461"/>
      <c r="CF10" s="461"/>
      <c r="CG10" s="461"/>
      <c r="CH10" s="461"/>
      <c r="CI10" s="461"/>
      <c r="CJ10" s="461"/>
      <c r="CK10" s="461"/>
      <c r="CL10" s="461"/>
      <c r="CM10" s="461"/>
      <c r="CN10" s="461"/>
      <c r="CO10" s="461"/>
      <c r="CP10" s="463"/>
      <c r="CQ10" s="463"/>
      <c r="CR10" s="162"/>
      <c r="CS10" s="463"/>
      <c r="CT10" s="461"/>
      <c r="CU10" s="483"/>
      <c r="CV10" s="478"/>
      <c r="CW10" s="461"/>
      <c r="CX10" s="461"/>
      <c r="CY10" s="461"/>
      <c r="CZ10" s="159"/>
      <c r="DA10" s="465" t="s">
        <v>136</v>
      </c>
      <c r="DB10" s="468"/>
      <c r="DC10" s="461" t="s">
        <v>137</v>
      </c>
      <c r="DE10" s="477"/>
      <c r="DF10" s="477"/>
    </row>
    <row r="11" spans="1:113" s="165" customFormat="1" ht="20.25" customHeight="1" x14ac:dyDescent="0.25">
      <c r="A11" s="461"/>
      <c r="B11" s="461"/>
      <c r="C11" s="463"/>
      <c r="D11" s="461"/>
      <c r="E11" s="461"/>
      <c r="F11" s="461"/>
      <c r="G11" s="461" t="s">
        <v>7</v>
      </c>
      <c r="H11" s="461" t="s">
        <v>138</v>
      </c>
      <c r="I11" s="461" t="s">
        <v>139</v>
      </c>
      <c r="J11" s="168"/>
      <c r="K11" s="461" t="s">
        <v>9</v>
      </c>
      <c r="L11" s="461" t="s">
        <v>140</v>
      </c>
      <c r="M11" s="462" t="s">
        <v>141</v>
      </c>
      <c r="N11" s="462" t="s">
        <v>142</v>
      </c>
      <c r="O11" s="463"/>
      <c r="P11" s="466"/>
      <c r="Q11" s="469"/>
      <c r="R11" s="472" t="s">
        <v>18</v>
      </c>
      <c r="S11" s="473" t="s">
        <v>143</v>
      </c>
      <c r="T11" s="473" t="s">
        <v>144</v>
      </c>
      <c r="U11" s="472" t="s">
        <v>18</v>
      </c>
      <c r="V11" s="473" t="s">
        <v>143</v>
      </c>
      <c r="W11" s="473" t="s">
        <v>144</v>
      </c>
      <c r="X11" s="472" t="s">
        <v>18</v>
      </c>
      <c r="Y11" s="473" t="s">
        <v>143</v>
      </c>
      <c r="Z11" s="473" t="s">
        <v>144</v>
      </c>
      <c r="AA11" s="472" t="s">
        <v>18</v>
      </c>
      <c r="AB11" s="473" t="s">
        <v>143</v>
      </c>
      <c r="AC11" s="473" t="s">
        <v>144</v>
      </c>
      <c r="AD11" s="472" t="s">
        <v>18</v>
      </c>
      <c r="AE11" s="473" t="s">
        <v>143</v>
      </c>
      <c r="AF11" s="473" t="s">
        <v>144</v>
      </c>
      <c r="AG11" s="493" t="s">
        <v>18</v>
      </c>
      <c r="AH11" s="473" t="s">
        <v>143</v>
      </c>
      <c r="AI11" s="473" t="s">
        <v>144</v>
      </c>
      <c r="AJ11" s="493" t="s">
        <v>18</v>
      </c>
      <c r="AK11" s="473" t="s">
        <v>143</v>
      </c>
      <c r="AL11" s="473" t="s">
        <v>144</v>
      </c>
      <c r="AM11" s="493" t="s">
        <v>18</v>
      </c>
      <c r="AN11" s="473" t="s">
        <v>143</v>
      </c>
      <c r="AO11" s="473" t="s">
        <v>144</v>
      </c>
      <c r="AP11" s="169"/>
      <c r="AQ11" s="472" t="s">
        <v>18</v>
      </c>
      <c r="AR11" s="473" t="s">
        <v>143</v>
      </c>
      <c r="AS11" s="473" t="s">
        <v>144</v>
      </c>
      <c r="AT11" s="472" t="s">
        <v>18</v>
      </c>
      <c r="AU11" s="473" t="s">
        <v>143</v>
      </c>
      <c r="AV11" s="473" t="s">
        <v>144</v>
      </c>
      <c r="AW11" s="472" t="s">
        <v>18</v>
      </c>
      <c r="AX11" s="473" t="s">
        <v>143</v>
      </c>
      <c r="AY11" s="473" t="s">
        <v>144</v>
      </c>
      <c r="AZ11" s="472" t="s">
        <v>18</v>
      </c>
      <c r="BA11" s="473" t="s">
        <v>143</v>
      </c>
      <c r="BB11" s="473" t="s">
        <v>144</v>
      </c>
      <c r="BC11" s="497" t="s">
        <v>18</v>
      </c>
      <c r="BD11" s="494" t="s">
        <v>143</v>
      </c>
      <c r="BE11" s="494" t="s">
        <v>144</v>
      </c>
      <c r="BF11" s="170"/>
      <c r="BG11" s="497" t="s">
        <v>18</v>
      </c>
      <c r="BH11" s="494" t="s">
        <v>143</v>
      </c>
      <c r="BI11" s="494" t="s">
        <v>144</v>
      </c>
      <c r="BJ11" s="463"/>
      <c r="BK11" s="497" t="s">
        <v>18</v>
      </c>
      <c r="BL11" s="494" t="s">
        <v>143</v>
      </c>
      <c r="BM11" s="494" t="s">
        <v>144</v>
      </c>
      <c r="BN11" s="463"/>
      <c r="BO11" s="162"/>
      <c r="BP11" s="500" t="s">
        <v>18</v>
      </c>
      <c r="BQ11" s="501" t="s">
        <v>145</v>
      </c>
      <c r="BR11" s="461" t="s">
        <v>18</v>
      </c>
      <c r="BS11" s="461" t="s">
        <v>145</v>
      </c>
      <c r="BT11" s="461" t="s">
        <v>18</v>
      </c>
      <c r="BU11" s="461" t="s">
        <v>145</v>
      </c>
      <c r="BV11" s="461" t="s">
        <v>18</v>
      </c>
      <c r="BW11" s="461" t="s">
        <v>145</v>
      </c>
      <c r="BX11" s="461" t="s">
        <v>18</v>
      </c>
      <c r="BY11" s="461" t="s">
        <v>145</v>
      </c>
      <c r="BZ11" s="461" t="s">
        <v>18</v>
      </c>
      <c r="CA11" s="461" t="s">
        <v>145</v>
      </c>
      <c r="CB11" s="461" t="s">
        <v>18</v>
      </c>
      <c r="CC11" s="461" t="s">
        <v>145</v>
      </c>
      <c r="CD11" s="461" t="s">
        <v>18</v>
      </c>
      <c r="CE11" s="461" t="s">
        <v>145</v>
      </c>
      <c r="CF11" s="461" t="s">
        <v>18</v>
      </c>
      <c r="CG11" s="461" t="s">
        <v>145</v>
      </c>
      <c r="CH11" s="461" t="s">
        <v>18</v>
      </c>
      <c r="CI11" s="461" t="s">
        <v>145</v>
      </c>
      <c r="CJ11" s="461" t="s">
        <v>18</v>
      </c>
      <c r="CK11" s="461" t="s">
        <v>145</v>
      </c>
      <c r="CL11" s="461" t="s">
        <v>18</v>
      </c>
      <c r="CM11" s="461" t="s">
        <v>145</v>
      </c>
      <c r="CN11" s="461" t="s">
        <v>18</v>
      </c>
      <c r="CO11" s="461" t="s">
        <v>145</v>
      </c>
      <c r="CP11" s="463"/>
      <c r="CQ11" s="463"/>
      <c r="CR11" s="162"/>
      <c r="CS11" s="463"/>
      <c r="CT11" s="461"/>
      <c r="CU11" s="483"/>
      <c r="CV11" s="478"/>
      <c r="CW11" s="461"/>
      <c r="CX11" s="461"/>
      <c r="CY11" s="461"/>
      <c r="CZ11" s="159"/>
      <c r="DA11" s="467"/>
      <c r="DB11" s="470"/>
      <c r="DC11" s="461"/>
      <c r="DE11" s="477"/>
      <c r="DF11" s="477"/>
    </row>
    <row r="12" spans="1:113" s="165" customFormat="1" ht="20.25" customHeight="1" x14ac:dyDescent="0.25">
      <c r="A12" s="461"/>
      <c r="B12" s="461"/>
      <c r="C12" s="463"/>
      <c r="D12" s="461"/>
      <c r="E12" s="461"/>
      <c r="F12" s="461"/>
      <c r="G12" s="461"/>
      <c r="H12" s="461"/>
      <c r="I12" s="461"/>
      <c r="J12" s="168"/>
      <c r="K12" s="461"/>
      <c r="L12" s="461"/>
      <c r="M12" s="463"/>
      <c r="N12" s="463"/>
      <c r="O12" s="463"/>
      <c r="P12" s="466"/>
      <c r="Q12" s="469"/>
      <c r="R12" s="472"/>
      <c r="S12" s="473"/>
      <c r="T12" s="473"/>
      <c r="U12" s="472"/>
      <c r="V12" s="473"/>
      <c r="W12" s="473"/>
      <c r="X12" s="472"/>
      <c r="Y12" s="473"/>
      <c r="Z12" s="473"/>
      <c r="AA12" s="472"/>
      <c r="AB12" s="473"/>
      <c r="AC12" s="473"/>
      <c r="AD12" s="472"/>
      <c r="AE12" s="473"/>
      <c r="AF12" s="473"/>
      <c r="AG12" s="493"/>
      <c r="AH12" s="473"/>
      <c r="AI12" s="473"/>
      <c r="AJ12" s="493"/>
      <c r="AK12" s="473"/>
      <c r="AL12" s="473"/>
      <c r="AM12" s="493"/>
      <c r="AN12" s="473"/>
      <c r="AO12" s="473"/>
      <c r="AP12" s="169"/>
      <c r="AQ12" s="472"/>
      <c r="AR12" s="473"/>
      <c r="AS12" s="473"/>
      <c r="AT12" s="472"/>
      <c r="AU12" s="473"/>
      <c r="AV12" s="473"/>
      <c r="AW12" s="472"/>
      <c r="AX12" s="473"/>
      <c r="AY12" s="473"/>
      <c r="AZ12" s="472"/>
      <c r="BA12" s="473"/>
      <c r="BB12" s="473"/>
      <c r="BC12" s="498"/>
      <c r="BD12" s="495"/>
      <c r="BE12" s="495"/>
      <c r="BF12" s="171"/>
      <c r="BG12" s="498"/>
      <c r="BH12" s="495"/>
      <c r="BI12" s="495"/>
      <c r="BJ12" s="463"/>
      <c r="BK12" s="498"/>
      <c r="BL12" s="495"/>
      <c r="BM12" s="495"/>
      <c r="BN12" s="463"/>
      <c r="BO12" s="162"/>
      <c r="BP12" s="500"/>
      <c r="BQ12" s="501"/>
      <c r="BR12" s="461"/>
      <c r="BS12" s="461"/>
      <c r="BT12" s="461"/>
      <c r="BU12" s="461"/>
      <c r="BV12" s="461"/>
      <c r="BW12" s="461"/>
      <c r="BX12" s="461"/>
      <c r="BY12" s="461"/>
      <c r="BZ12" s="461"/>
      <c r="CA12" s="461"/>
      <c r="CB12" s="461"/>
      <c r="CC12" s="461"/>
      <c r="CD12" s="461"/>
      <c r="CE12" s="461"/>
      <c r="CF12" s="461"/>
      <c r="CG12" s="461"/>
      <c r="CH12" s="461"/>
      <c r="CI12" s="461"/>
      <c r="CJ12" s="461"/>
      <c r="CK12" s="461"/>
      <c r="CL12" s="461"/>
      <c r="CM12" s="461"/>
      <c r="CN12" s="461"/>
      <c r="CO12" s="461"/>
      <c r="CP12" s="463"/>
      <c r="CQ12" s="463"/>
      <c r="CR12" s="162"/>
      <c r="CS12" s="463"/>
      <c r="CT12" s="461"/>
      <c r="CU12" s="483"/>
      <c r="CV12" s="478"/>
      <c r="CW12" s="461"/>
      <c r="CX12" s="461"/>
      <c r="CY12" s="461"/>
      <c r="CZ12" s="159"/>
      <c r="DA12" s="172"/>
      <c r="DB12" s="173"/>
      <c r="DC12" s="461"/>
      <c r="DE12" s="477"/>
      <c r="DF12" s="477"/>
    </row>
    <row r="13" spans="1:113" s="165" customFormat="1" ht="26.45" customHeight="1" x14ac:dyDescent="0.25">
      <c r="A13" s="461"/>
      <c r="B13" s="461"/>
      <c r="C13" s="464"/>
      <c r="D13" s="461"/>
      <c r="E13" s="461"/>
      <c r="F13" s="461"/>
      <c r="G13" s="461"/>
      <c r="H13" s="461"/>
      <c r="I13" s="461"/>
      <c r="J13" s="168"/>
      <c r="K13" s="461"/>
      <c r="L13" s="461"/>
      <c r="M13" s="464"/>
      <c r="N13" s="464"/>
      <c r="O13" s="464"/>
      <c r="P13" s="467"/>
      <c r="Q13" s="470"/>
      <c r="R13" s="472"/>
      <c r="S13" s="473"/>
      <c r="T13" s="473"/>
      <c r="U13" s="472"/>
      <c r="V13" s="473"/>
      <c r="W13" s="473"/>
      <c r="X13" s="472"/>
      <c r="Y13" s="473"/>
      <c r="Z13" s="473"/>
      <c r="AA13" s="472"/>
      <c r="AB13" s="473"/>
      <c r="AC13" s="473"/>
      <c r="AD13" s="472"/>
      <c r="AE13" s="473"/>
      <c r="AF13" s="473"/>
      <c r="AG13" s="493"/>
      <c r="AH13" s="473"/>
      <c r="AI13" s="473"/>
      <c r="AJ13" s="493"/>
      <c r="AK13" s="473"/>
      <c r="AL13" s="473"/>
      <c r="AM13" s="493"/>
      <c r="AN13" s="473"/>
      <c r="AO13" s="473"/>
      <c r="AP13" s="169"/>
      <c r="AQ13" s="472"/>
      <c r="AR13" s="473"/>
      <c r="AS13" s="473"/>
      <c r="AT13" s="472"/>
      <c r="AU13" s="473"/>
      <c r="AV13" s="473"/>
      <c r="AW13" s="472"/>
      <c r="AX13" s="473"/>
      <c r="AY13" s="473"/>
      <c r="AZ13" s="472"/>
      <c r="BA13" s="473"/>
      <c r="BB13" s="473"/>
      <c r="BC13" s="499"/>
      <c r="BD13" s="496"/>
      <c r="BE13" s="496"/>
      <c r="BF13" s="174"/>
      <c r="BG13" s="499"/>
      <c r="BH13" s="496"/>
      <c r="BI13" s="496"/>
      <c r="BJ13" s="464"/>
      <c r="BK13" s="499"/>
      <c r="BL13" s="496"/>
      <c r="BM13" s="496"/>
      <c r="BN13" s="464"/>
      <c r="BO13" s="175"/>
      <c r="BP13" s="500"/>
      <c r="BQ13" s="501"/>
      <c r="BR13" s="461"/>
      <c r="BS13" s="461"/>
      <c r="BT13" s="461"/>
      <c r="BU13" s="461"/>
      <c r="BV13" s="461"/>
      <c r="BW13" s="461"/>
      <c r="BX13" s="461"/>
      <c r="BY13" s="461"/>
      <c r="BZ13" s="461"/>
      <c r="CA13" s="461"/>
      <c r="CB13" s="461"/>
      <c r="CC13" s="461"/>
      <c r="CD13" s="461"/>
      <c r="CE13" s="461"/>
      <c r="CF13" s="461"/>
      <c r="CG13" s="461"/>
      <c r="CH13" s="461"/>
      <c r="CI13" s="461"/>
      <c r="CJ13" s="461"/>
      <c r="CK13" s="461"/>
      <c r="CL13" s="461"/>
      <c r="CM13" s="461"/>
      <c r="CN13" s="461"/>
      <c r="CO13" s="461"/>
      <c r="CP13" s="464"/>
      <c r="CQ13" s="464"/>
      <c r="CR13" s="175"/>
      <c r="CS13" s="464"/>
      <c r="CT13" s="461"/>
      <c r="CU13" s="483"/>
      <c r="CV13" s="478"/>
      <c r="CW13" s="461"/>
      <c r="CX13" s="461"/>
      <c r="CY13" s="461"/>
      <c r="CZ13" s="159"/>
      <c r="DA13" s="176" t="s">
        <v>146</v>
      </c>
      <c r="DB13" s="176" t="s">
        <v>147</v>
      </c>
      <c r="DC13" s="461"/>
      <c r="DE13" s="477"/>
      <c r="DF13" s="477"/>
    </row>
    <row r="14" spans="1:113" s="165" customFormat="1" ht="30" customHeight="1" x14ac:dyDescent="0.25">
      <c r="A14" s="191">
        <v>1</v>
      </c>
      <c r="B14" s="210" t="s">
        <v>153</v>
      </c>
      <c r="C14" s="210"/>
      <c r="D14" s="205">
        <f t="shared" ref="D14:M14" si="0">D18+D38+D16+D15</f>
        <v>1781215.3910000001</v>
      </c>
      <c r="E14" s="205">
        <f t="shared" si="0"/>
        <v>50000</v>
      </c>
      <c r="F14" s="205">
        <f t="shared" si="0"/>
        <v>1731215.3910000001</v>
      </c>
      <c r="G14" s="205">
        <f t="shared" si="0"/>
        <v>1016382</v>
      </c>
      <c r="H14" s="205">
        <f t="shared" si="0"/>
        <v>714833.39100000006</v>
      </c>
      <c r="I14" s="205">
        <f t="shared" si="0"/>
        <v>147950</v>
      </c>
      <c r="J14" s="205">
        <f t="shared" si="0"/>
        <v>0</v>
      </c>
      <c r="K14" s="205">
        <f t="shared" si="0"/>
        <v>0</v>
      </c>
      <c r="L14" s="205">
        <f t="shared" si="0"/>
        <v>0</v>
      </c>
      <c r="M14" s="205">
        <f t="shared" si="0"/>
        <v>0</v>
      </c>
      <c r="N14" s="205">
        <f>N18+N38+N16</f>
        <v>0</v>
      </c>
      <c r="O14" s="205">
        <f>O18+O38+O16</f>
        <v>1160892</v>
      </c>
      <c r="P14" s="205">
        <v>28382.410251999998</v>
      </c>
      <c r="Q14" s="186">
        <f t="shared" ref="Q14:Q78" si="1">P14/$D14</f>
        <v>1.5934294300065363E-2</v>
      </c>
      <c r="R14" s="205">
        <v>109697.32821199998</v>
      </c>
      <c r="S14" s="211">
        <v>6.1704829961840763E-2</v>
      </c>
      <c r="T14" s="211">
        <v>6.4856447852211424E-2</v>
      </c>
      <c r="U14" s="205">
        <v>112854.77096000001</v>
      </c>
      <c r="V14" s="211">
        <v>6.3480893892067611E-2</v>
      </c>
      <c r="W14" s="211">
        <v>6.6723225505503483E-2</v>
      </c>
      <c r="X14" s="205">
        <v>114811.51996000002</v>
      </c>
      <c r="Y14" s="211">
        <v>6.4581566682289634E-2</v>
      </c>
      <c r="Z14" s="211">
        <v>6.7880115937995214E-2</v>
      </c>
      <c r="AA14" s="205">
        <v>115425.985629</v>
      </c>
      <c r="AB14" s="211">
        <v>6.4927204085141937E-2</v>
      </c>
      <c r="AC14" s="211">
        <v>6.8243407015982582E-2</v>
      </c>
      <c r="AD14" s="205">
        <v>189129.65762899999</v>
      </c>
      <c r="AE14" s="211">
        <v>0.10638557524559636</v>
      </c>
      <c r="AF14" s="211">
        <v>0.11181929384475207</v>
      </c>
      <c r="AG14" s="205">
        <v>200562.174271</v>
      </c>
      <c r="AH14" s="211">
        <v>0.11281637449047127</v>
      </c>
      <c r="AI14" s="211">
        <v>0.1185785507154249</v>
      </c>
      <c r="AJ14" s="205">
        <v>200562.174271</v>
      </c>
      <c r="AK14" s="211">
        <v>0.11281637449047127</v>
      </c>
      <c r="AL14" s="211">
        <v>0.1185785507154249</v>
      </c>
      <c r="AM14" s="205">
        <v>210179.65294599999</v>
      </c>
      <c r="AN14" s="211">
        <v>0.11822621350820577</v>
      </c>
      <c r="AO14" s="211">
        <v>0.12426470109230034</v>
      </c>
      <c r="AP14" s="211"/>
      <c r="AQ14" s="205">
        <v>328308.48786399991</v>
      </c>
      <c r="AR14" s="211">
        <v>0.18467377235958143</v>
      </c>
      <c r="AS14" s="211">
        <v>0.19410611607093478</v>
      </c>
      <c r="AT14" s="205">
        <v>328335.72886399995</v>
      </c>
      <c r="AU14" s="211">
        <v>0.18468909544265366</v>
      </c>
      <c r="AV14" s="211">
        <v>0.19412222179132688</v>
      </c>
      <c r="AW14" s="205">
        <v>335512.77871099999</v>
      </c>
      <c r="AX14" s="211">
        <v>0.18872619140164484</v>
      </c>
      <c r="AY14" s="211">
        <v>0.19836551528554128</v>
      </c>
      <c r="AZ14" s="205">
        <f>AZ18+AZ38+AZ16+AZ15</f>
        <v>339579.185711</v>
      </c>
      <c r="BA14" s="211">
        <v>0.19058840958453466</v>
      </c>
      <c r="BB14" s="211">
        <v>0.20032350643489402</v>
      </c>
      <c r="BC14" s="205">
        <v>383848.50755400001</v>
      </c>
      <c r="BD14" s="211">
        <v>0.21549808602232093</v>
      </c>
      <c r="BE14" s="211">
        <v>0.22650544995744745</v>
      </c>
      <c r="BF14" s="205"/>
      <c r="BG14" s="205">
        <v>524443.535776</v>
      </c>
      <c r="BH14" s="211">
        <v>0.29443016180180759</v>
      </c>
      <c r="BI14" s="211">
        <v>0.30946927423315884</v>
      </c>
      <c r="BJ14" s="205">
        <f t="shared" ref="BJ14:BJ76" si="2">E14+(F14*0.95)</f>
        <v>1694654.62145</v>
      </c>
      <c r="BK14" s="205">
        <v>593217</v>
      </c>
      <c r="BL14" s="211">
        <f t="shared" ref="BL14:BL38" si="3">BK14/$D14</f>
        <v>0.3330405761130098</v>
      </c>
      <c r="BM14" s="211">
        <f t="shared" ref="BM14:BM56" si="4">BK14/(E14+0.95*F14)</f>
        <v>0.35005185864505228</v>
      </c>
      <c r="BN14" s="205">
        <f>BK14-AD14</f>
        <v>404087.34237099998</v>
      </c>
      <c r="BO14" s="205"/>
      <c r="BP14" s="189">
        <f>BP18+BP38+BP16</f>
        <v>0</v>
      </c>
      <c r="BQ14" s="212">
        <f t="shared" ref="BQ14:BQ77" si="5">BP14/$D14</f>
        <v>0</v>
      </c>
      <c r="BR14" s="189">
        <f>BR18+BR38+BR16</f>
        <v>19795</v>
      </c>
      <c r="BS14" s="212">
        <f t="shared" ref="BS14:BS38" si="6">BR14/$D14</f>
        <v>1.1113198381295595E-2</v>
      </c>
      <c r="BT14" s="189">
        <f>BT18+BT38+BT16</f>
        <v>135182.25</v>
      </c>
      <c r="BU14" s="186">
        <f t="shared" ref="BU14:BU38" si="7">BT14/$D14</f>
        <v>7.5893264050512568E-2</v>
      </c>
      <c r="BV14" s="189">
        <f>BV18+BV38+BV16</f>
        <v>285322.25</v>
      </c>
      <c r="BW14" s="212">
        <f t="shared" ref="BW14:BW38" si="8">BV14/$D14</f>
        <v>0.1601840245944742</v>
      </c>
      <c r="BX14" s="189">
        <f>BX18+BX38+BX16</f>
        <v>413777.25</v>
      </c>
      <c r="BY14" s="212">
        <f t="shared" ref="BY14:BY38" si="9">BX14/$D14</f>
        <v>0.23230051350931763</v>
      </c>
      <c r="BZ14" s="189">
        <f>BZ18+BZ38+BZ16</f>
        <v>921795.25</v>
      </c>
      <c r="CA14" s="212">
        <f t="shared" ref="CA14:CA38" si="10">BZ14/$D14</f>
        <v>0.51750914272220094</v>
      </c>
      <c r="CB14" s="189">
        <f>CB18+CB38+CB16</f>
        <v>1048250.25</v>
      </c>
      <c r="CC14" s="212">
        <f t="shared" ref="CC14:CC38" si="11">CB14/$D14</f>
        <v>0.58850280280336964</v>
      </c>
      <c r="CD14" s="189">
        <f>CD18+CD38+CD16</f>
        <v>1192722.25</v>
      </c>
      <c r="CE14" s="212">
        <f t="shared" ref="CE14:CE38" si="12">CD14/$D14</f>
        <v>0.66961146643269709</v>
      </c>
      <c r="CF14" s="189">
        <f>CF18+CF38+CF16</f>
        <v>1339822.25</v>
      </c>
      <c r="CG14" s="212">
        <f t="shared" ref="CG14:CG38" si="13">CF14/$D14</f>
        <v>0.75219552714947313</v>
      </c>
      <c r="CH14" s="189">
        <f>CH18+CH38+CH16</f>
        <v>1451004.25</v>
      </c>
      <c r="CI14" s="212">
        <f t="shared" ref="CI14:CI38" si="14">CH14/$D14</f>
        <v>0.81461470484228482</v>
      </c>
      <c r="CJ14" s="189">
        <f>CJ18+CJ38+CJ16</f>
        <v>1550434.25</v>
      </c>
      <c r="CK14" s="212">
        <f t="shared" ref="CK14:CK38" si="15">CJ14/$D14</f>
        <v>0.87043614030842376</v>
      </c>
      <c r="CL14" s="189">
        <f>CL18+CL38+CL16</f>
        <v>1672676.25</v>
      </c>
      <c r="CM14" s="212">
        <f t="shared" ref="CM14:CM38" si="16">CL14/$D14</f>
        <v>0.93906456145145667</v>
      </c>
      <c r="CN14" s="189">
        <f>CN18+CN38+CN16</f>
        <v>1688126.25</v>
      </c>
      <c r="CO14" s="212">
        <f t="shared" ref="CO14:CO38" si="17">CN14/$D14</f>
        <v>0.94773841419159388</v>
      </c>
      <c r="CP14" s="213" t="str">
        <f>IF(BM14&gt;34.7%,"Đạt","Không đạt")</f>
        <v>Đạt</v>
      </c>
      <c r="CQ14" s="213" t="str">
        <f>IF(BM14&gt;43.8%,"Đạt","Không đạt")</f>
        <v>Không đạt</v>
      </c>
      <c r="CR14" s="213"/>
      <c r="CS14" s="205">
        <f t="shared" ref="CS14:CS77" si="18">BK14-AZ14</f>
        <v>253637.814289</v>
      </c>
      <c r="CT14" s="213"/>
      <c r="CU14" s="163"/>
      <c r="CV14" s="208"/>
      <c r="CW14" s="195"/>
      <c r="CX14" s="196"/>
      <c r="CY14" s="196"/>
      <c r="CZ14" s="197"/>
      <c r="DA14" s="196"/>
      <c r="DB14" s="196"/>
      <c r="DC14" s="196"/>
      <c r="DE14" s="199"/>
      <c r="DF14" s="200"/>
      <c r="DG14" s="200"/>
      <c r="DH14" s="209"/>
      <c r="DI14" s="209"/>
    </row>
    <row r="15" spans="1:113" s="165" customFormat="1" ht="22.9" hidden="1" customHeight="1" x14ac:dyDescent="0.25">
      <c r="A15" s="191" t="s">
        <v>29</v>
      </c>
      <c r="B15" s="210" t="s">
        <v>154</v>
      </c>
      <c r="C15" s="210"/>
      <c r="D15" s="214">
        <f t="shared" ref="D15:D64" si="19">E15+F15</f>
        <v>3440</v>
      </c>
      <c r="E15" s="205"/>
      <c r="F15" s="214">
        <f>G15+H15+K15+M15</f>
        <v>3440</v>
      </c>
      <c r="G15" s="205">
        <v>3440</v>
      </c>
      <c r="H15" s="205"/>
      <c r="I15" s="205"/>
      <c r="J15" s="205"/>
      <c r="K15" s="205"/>
      <c r="L15" s="205"/>
      <c r="M15" s="205"/>
      <c r="N15" s="205"/>
      <c r="O15" s="205"/>
      <c r="P15" s="205"/>
      <c r="Q15" s="186"/>
      <c r="R15" s="205"/>
      <c r="S15" s="211"/>
      <c r="T15" s="211"/>
      <c r="U15" s="205"/>
      <c r="V15" s="211"/>
      <c r="W15" s="211"/>
      <c r="X15" s="205"/>
      <c r="Y15" s="211"/>
      <c r="Z15" s="211"/>
      <c r="AA15" s="205"/>
      <c r="AB15" s="211"/>
      <c r="AC15" s="211"/>
      <c r="AD15" s="205"/>
      <c r="AE15" s="211"/>
      <c r="AF15" s="211"/>
      <c r="AG15" s="205"/>
      <c r="AH15" s="211"/>
      <c r="AI15" s="211"/>
      <c r="AJ15" s="205"/>
      <c r="AK15" s="211"/>
      <c r="AL15" s="211"/>
      <c r="AM15" s="205"/>
      <c r="AN15" s="211"/>
      <c r="AO15" s="211"/>
      <c r="AP15" s="211"/>
      <c r="AQ15" s="205"/>
      <c r="AR15" s="211"/>
      <c r="AS15" s="211"/>
      <c r="AT15" s="205"/>
      <c r="AU15" s="211"/>
      <c r="AV15" s="211"/>
      <c r="AW15" s="205"/>
      <c r="AX15" s="211"/>
      <c r="AY15" s="211"/>
      <c r="AZ15" s="205">
        <v>458</v>
      </c>
      <c r="BA15" s="211">
        <v>1</v>
      </c>
      <c r="BB15" s="211"/>
      <c r="BC15" s="205">
        <v>3440</v>
      </c>
      <c r="BD15" s="211">
        <v>1</v>
      </c>
      <c r="BE15" s="211"/>
      <c r="BF15" s="205"/>
      <c r="BG15" s="205">
        <v>3440</v>
      </c>
      <c r="BH15" s="211">
        <v>1</v>
      </c>
      <c r="BI15" s="211"/>
      <c r="BJ15" s="205">
        <f t="shared" si="2"/>
        <v>3268</v>
      </c>
      <c r="BK15" s="205">
        <v>3440</v>
      </c>
      <c r="BL15" s="211">
        <f t="shared" si="3"/>
        <v>1</v>
      </c>
      <c r="BM15" s="211"/>
      <c r="BN15" s="205"/>
      <c r="BO15" s="205"/>
      <c r="BP15" s="189"/>
      <c r="BQ15" s="212"/>
      <c r="BR15" s="189"/>
      <c r="BS15" s="212"/>
      <c r="BT15" s="189"/>
      <c r="BU15" s="186"/>
      <c r="BV15" s="189"/>
      <c r="BW15" s="212"/>
      <c r="BX15" s="189"/>
      <c r="BY15" s="212"/>
      <c r="BZ15" s="189"/>
      <c r="CA15" s="212"/>
      <c r="CB15" s="189"/>
      <c r="CC15" s="212"/>
      <c r="CD15" s="189"/>
      <c r="CE15" s="212"/>
      <c r="CF15" s="189"/>
      <c r="CG15" s="212"/>
      <c r="CH15" s="189"/>
      <c r="CI15" s="212"/>
      <c r="CJ15" s="189"/>
      <c r="CK15" s="212"/>
      <c r="CL15" s="189"/>
      <c r="CM15" s="212"/>
      <c r="CN15" s="189"/>
      <c r="CO15" s="212"/>
      <c r="CP15" s="213" t="str">
        <f t="shared" ref="CP15:CP78" si="20">IF(BM15&gt;34.7%,"Đạt","Không đạt")</f>
        <v>Không đạt</v>
      </c>
      <c r="CQ15" s="213" t="str">
        <f t="shared" ref="CQ15:CQ78" si="21">IF(BM15&gt;43.8%,"Đạt","Không đạt")</f>
        <v>Không đạt</v>
      </c>
      <c r="CR15" s="213"/>
      <c r="CS15" s="205">
        <f t="shared" si="18"/>
        <v>2982</v>
      </c>
      <c r="CT15" s="213"/>
      <c r="CU15" s="163"/>
      <c r="CV15" s="208"/>
      <c r="CW15" s="195"/>
      <c r="CX15" s="196"/>
      <c r="CY15" s="196"/>
      <c r="CZ15" s="197"/>
      <c r="DA15" s="196"/>
      <c r="DB15" s="196"/>
      <c r="DC15" s="196"/>
      <c r="DE15" s="199"/>
      <c r="DF15" s="200"/>
      <c r="DG15" s="200"/>
      <c r="DH15" s="209"/>
      <c r="DI15" s="209"/>
    </row>
    <row r="16" spans="1:113" s="219" customFormat="1" ht="30" hidden="1" customHeight="1" outlineLevel="1" x14ac:dyDescent="0.25">
      <c r="A16" s="191" t="s">
        <v>29</v>
      </c>
      <c r="B16" s="210" t="s">
        <v>155</v>
      </c>
      <c r="C16" s="210"/>
      <c r="D16" s="205">
        <f t="shared" ref="D16:I16" si="22">D17</f>
        <v>50000</v>
      </c>
      <c r="E16" s="205">
        <f t="shared" si="22"/>
        <v>50000</v>
      </c>
      <c r="F16" s="205">
        <f t="shared" si="22"/>
        <v>0</v>
      </c>
      <c r="G16" s="205">
        <f t="shared" si="22"/>
        <v>0</v>
      </c>
      <c r="H16" s="205">
        <f t="shared" si="22"/>
        <v>0</v>
      </c>
      <c r="I16" s="205">
        <f t="shared" si="22"/>
        <v>0</v>
      </c>
      <c r="J16" s="205"/>
      <c r="K16" s="205">
        <f>K17</f>
        <v>0</v>
      </c>
      <c r="L16" s="205">
        <f>L17</f>
        <v>0</v>
      </c>
      <c r="M16" s="205">
        <f>M17</f>
        <v>0</v>
      </c>
      <c r="N16" s="205">
        <f>N17</f>
        <v>0</v>
      </c>
      <c r="O16" s="205">
        <f>O17</f>
        <v>0</v>
      </c>
      <c r="P16" s="205">
        <v>638.42499999999995</v>
      </c>
      <c r="Q16" s="186">
        <f t="shared" si="1"/>
        <v>1.2768499999999999E-2</v>
      </c>
      <c r="R16" s="205">
        <v>638.42499999999995</v>
      </c>
      <c r="S16" s="211">
        <v>1.2768499999999999E-2</v>
      </c>
      <c r="T16" s="211">
        <v>1.2768499999999999E-2</v>
      </c>
      <c r="U16" s="205">
        <v>638.42499999999995</v>
      </c>
      <c r="V16" s="211">
        <v>1.2768499999999999E-2</v>
      </c>
      <c r="W16" s="211">
        <v>1.2768499999999999E-2</v>
      </c>
      <c r="X16" s="205">
        <v>638.42499999999995</v>
      </c>
      <c r="Y16" s="211">
        <v>1.2768499999999999E-2</v>
      </c>
      <c r="Z16" s="211">
        <v>1.2768499999999999E-2</v>
      </c>
      <c r="AA16" s="205">
        <v>638.42499999999995</v>
      </c>
      <c r="AB16" s="211">
        <v>1.2768499999999999E-2</v>
      </c>
      <c r="AC16" s="211">
        <v>1.2768499999999999E-2</v>
      </c>
      <c r="AD16" s="205">
        <v>50000</v>
      </c>
      <c r="AE16" s="211">
        <v>1</v>
      </c>
      <c r="AF16" s="211">
        <v>1</v>
      </c>
      <c r="AG16" s="205">
        <v>50000</v>
      </c>
      <c r="AH16" s="211">
        <v>1</v>
      </c>
      <c r="AI16" s="211">
        <v>1</v>
      </c>
      <c r="AJ16" s="215">
        <v>50000</v>
      </c>
      <c r="AK16" s="211">
        <v>1</v>
      </c>
      <c r="AL16" s="211">
        <v>1</v>
      </c>
      <c r="AM16" s="205">
        <v>50000</v>
      </c>
      <c r="AN16" s="211">
        <v>1</v>
      </c>
      <c r="AO16" s="211">
        <v>1</v>
      </c>
      <c r="AP16" s="211"/>
      <c r="AQ16" s="205">
        <v>50000</v>
      </c>
      <c r="AR16" s="211">
        <v>1</v>
      </c>
      <c r="AS16" s="211">
        <v>1</v>
      </c>
      <c r="AT16" s="205">
        <v>50000</v>
      </c>
      <c r="AU16" s="211">
        <v>1</v>
      </c>
      <c r="AV16" s="211">
        <v>1</v>
      </c>
      <c r="AW16" s="205">
        <v>50000</v>
      </c>
      <c r="AX16" s="211">
        <v>1</v>
      </c>
      <c r="AY16" s="211">
        <v>1</v>
      </c>
      <c r="AZ16" s="205">
        <v>50000</v>
      </c>
      <c r="BA16" s="211">
        <v>1</v>
      </c>
      <c r="BB16" s="211">
        <v>1</v>
      </c>
      <c r="BC16" s="205">
        <v>50000</v>
      </c>
      <c r="BD16" s="211">
        <v>1</v>
      </c>
      <c r="BE16" s="211">
        <v>1</v>
      </c>
      <c r="BF16" s="205"/>
      <c r="BG16" s="205">
        <v>50000</v>
      </c>
      <c r="BH16" s="211">
        <v>1</v>
      </c>
      <c r="BI16" s="211">
        <v>1</v>
      </c>
      <c r="BJ16" s="205">
        <f t="shared" si="2"/>
        <v>50000</v>
      </c>
      <c r="BK16" s="205">
        <f>BK17</f>
        <v>50000</v>
      </c>
      <c r="BL16" s="211">
        <f t="shared" si="3"/>
        <v>1</v>
      </c>
      <c r="BM16" s="211">
        <f t="shared" si="4"/>
        <v>1</v>
      </c>
      <c r="BN16" s="205">
        <f t="shared" ref="BN16:BN66" si="23">BK16-AD16</f>
        <v>0</v>
      </c>
      <c r="BO16" s="205"/>
      <c r="BP16" s="189">
        <f>BP17</f>
        <v>0</v>
      </c>
      <c r="BQ16" s="212">
        <f t="shared" si="5"/>
        <v>0</v>
      </c>
      <c r="BR16" s="189">
        <f>BR17</f>
        <v>0</v>
      </c>
      <c r="BS16" s="212">
        <f t="shared" si="6"/>
        <v>0</v>
      </c>
      <c r="BT16" s="189">
        <f>BT17</f>
        <v>0</v>
      </c>
      <c r="BU16" s="186">
        <f t="shared" si="7"/>
        <v>0</v>
      </c>
      <c r="BV16" s="189">
        <f>BV17</f>
        <v>0</v>
      </c>
      <c r="BW16" s="212">
        <f t="shared" si="8"/>
        <v>0</v>
      </c>
      <c r="BX16" s="189">
        <f>BX17</f>
        <v>0</v>
      </c>
      <c r="BY16" s="212">
        <f t="shared" si="9"/>
        <v>0</v>
      </c>
      <c r="BZ16" s="189">
        <f>BZ17</f>
        <v>0</v>
      </c>
      <c r="CA16" s="212">
        <f t="shared" si="10"/>
        <v>0</v>
      </c>
      <c r="CB16" s="189">
        <f>CB17</f>
        <v>0</v>
      </c>
      <c r="CC16" s="212">
        <f t="shared" si="11"/>
        <v>0</v>
      </c>
      <c r="CD16" s="189">
        <f>CD17</f>
        <v>0</v>
      </c>
      <c r="CE16" s="212">
        <f t="shared" si="12"/>
        <v>0</v>
      </c>
      <c r="CF16" s="189">
        <f>CF17</f>
        <v>0</v>
      </c>
      <c r="CG16" s="212">
        <f t="shared" si="13"/>
        <v>0</v>
      </c>
      <c r="CH16" s="189">
        <f>CH17</f>
        <v>0</v>
      </c>
      <c r="CI16" s="212">
        <f t="shared" si="14"/>
        <v>0</v>
      </c>
      <c r="CJ16" s="189">
        <f>CJ17</f>
        <v>10000</v>
      </c>
      <c r="CK16" s="212">
        <f t="shared" si="15"/>
        <v>0.2</v>
      </c>
      <c r="CL16" s="189">
        <f>CL17</f>
        <v>40000</v>
      </c>
      <c r="CM16" s="212">
        <f t="shared" si="16"/>
        <v>0.8</v>
      </c>
      <c r="CN16" s="189">
        <f>CN17</f>
        <v>50000</v>
      </c>
      <c r="CO16" s="212">
        <f t="shared" si="17"/>
        <v>1</v>
      </c>
      <c r="CP16" s="213" t="str">
        <f t="shared" si="20"/>
        <v>Đạt</v>
      </c>
      <c r="CQ16" s="213" t="str">
        <f t="shared" si="21"/>
        <v>Đạt</v>
      </c>
      <c r="CR16" s="213"/>
      <c r="CS16" s="205">
        <f t="shared" si="18"/>
        <v>0</v>
      </c>
      <c r="CT16" s="213"/>
      <c r="CU16" s="216"/>
      <c r="CV16" s="217"/>
      <c r="CW16" s="218"/>
      <c r="CX16" s="196"/>
      <c r="CY16" s="196"/>
      <c r="CZ16" s="197"/>
      <c r="DA16" s="196"/>
      <c r="DB16" s="196"/>
      <c r="DC16" s="196"/>
      <c r="DE16" s="199"/>
      <c r="DF16" s="200"/>
      <c r="DG16" s="200"/>
      <c r="DH16" s="220"/>
    </row>
    <row r="17" spans="1:111" s="165" customFormat="1" ht="30" hidden="1" customHeight="1" outlineLevel="1" x14ac:dyDescent="0.25">
      <c r="A17" s="221">
        <v>1</v>
      </c>
      <c r="B17" s="222" t="s">
        <v>156</v>
      </c>
      <c r="C17" s="222">
        <v>8084230</v>
      </c>
      <c r="D17" s="214">
        <f t="shared" si="19"/>
        <v>50000</v>
      </c>
      <c r="E17" s="215">
        <v>50000</v>
      </c>
      <c r="F17" s="215"/>
      <c r="G17" s="215"/>
      <c r="H17" s="215"/>
      <c r="I17" s="215"/>
      <c r="J17" s="215"/>
      <c r="K17" s="215"/>
      <c r="L17" s="215"/>
      <c r="M17" s="223"/>
      <c r="N17" s="223"/>
      <c r="O17" s="215"/>
      <c r="P17" s="215">
        <v>638.42499999999995</v>
      </c>
      <c r="Q17" s="224">
        <f t="shared" si="1"/>
        <v>1.2768499999999999E-2</v>
      </c>
      <c r="R17" s="215">
        <v>638.42499999999995</v>
      </c>
      <c r="S17" s="225">
        <v>1.2768499999999999E-2</v>
      </c>
      <c r="T17" s="225">
        <v>1.2768499999999999E-2</v>
      </c>
      <c r="U17" s="215">
        <v>638.42499999999995</v>
      </c>
      <c r="V17" s="225">
        <v>1.2768499999999999E-2</v>
      </c>
      <c r="W17" s="225">
        <v>1.2768499999999999E-2</v>
      </c>
      <c r="X17" s="215">
        <v>638.42499999999995</v>
      </c>
      <c r="Y17" s="225">
        <v>1.2768499999999999E-2</v>
      </c>
      <c r="Z17" s="225">
        <v>1.2768499999999999E-2</v>
      </c>
      <c r="AA17" s="215">
        <v>638.42499999999995</v>
      </c>
      <c r="AB17" s="225">
        <v>1.2768499999999999E-2</v>
      </c>
      <c r="AC17" s="225">
        <v>1.2768499999999999E-2</v>
      </c>
      <c r="AD17" s="215">
        <v>50000</v>
      </c>
      <c r="AE17" s="225">
        <v>1</v>
      </c>
      <c r="AF17" s="225">
        <v>1</v>
      </c>
      <c r="AG17" s="215">
        <v>50000</v>
      </c>
      <c r="AH17" s="225">
        <v>1</v>
      </c>
      <c r="AI17" s="225">
        <v>1</v>
      </c>
      <c r="AJ17" s="226">
        <v>50000</v>
      </c>
      <c r="AK17" s="225">
        <v>1</v>
      </c>
      <c r="AL17" s="225">
        <v>1</v>
      </c>
      <c r="AM17" s="215">
        <v>50000</v>
      </c>
      <c r="AN17" s="225">
        <v>1</v>
      </c>
      <c r="AO17" s="225">
        <v>1</v>
      </c>
      <c r="AP17" s="225"/>
      <c r="AQ17" s="215">
        <v>50000</v>
      </c>
      <c r="AR17" s="225">
        <v>1</v>
      </c>
      <c r="AS17" s="225">
        <v>1</v>
      </c>
      <c r="AT17" s="215">
        <v>50000</v>
      </c>
      <c r="AU17" s="225">
        <v>1</v>
      </c>
      <c r="AV17" s="225">
        <v>1</v>
      </c>
      <c r="AW17" s="215">
        <v>50000</v>
      </c>
      <c r="AX17" s="225">
        <v>1</v>
      </c>
      <c r="AY17" s="225">
        <v>1</v>
      </c>
      <c r="AZ17" s="215">
        <v>50000</v>
      </c>
      <c r="BA17" s="225">
        <v>1</v>
      </c>
      <c r="BB17" s="225">
        <v>1</v>
      </c>
      <c r="BC17" s="215">
        <v>50000</v>
      </c>
      <c r="BD17" s="225">
        <v>1</v>
      </c>
      <c r="BE17" s="225">
        <v>1</v>
      </c>
      <c r="BF17" s="215"/>
      <c r="BG17" s="215">
        <v>50000</v>
      </c>
      <c r="BH17" s="225">
        <v>1</v>
      </c>
      <c r="BI17" s="225">
        <v>1</v>
      </c>
      <c r="BJ17" s="215">
        <f t="shared" si="2"/>
        <v>50000</v>
      </c>
      <c r="BK17" s="215">
        <v>50000</v>
      </c>
      <c r="BL17" s="225">
        <f t="shared" si="3"/>
        <v>1</v>
      </c>
      <c r="BM17" s="225">
        <f t="shared" si="4"/>
        <v>1</v>
      </c>
      <c r="BN17" s="205">
        <f t="shared" si="23"/>
        <v>0</v>
      </c>
      <c r="BO17" s="205"/>
      <c r="BP17" s="227"/>
      <c r="BQ17" s="224">
        <f t="shared" si="5"/>
        <v>0</v>
      </c>
      <c r="BR17" s="227"/>
      <c r="BS17" s="224">
        <f t="shared" si="6"/>
        <v>0</v>
      </c>
      <c r="BT17" s="227"/>
      <c r="BU17" s="224">
        <f t="shared" si="7"/>
        <v>0</v>
      </c>
      <c r="BV17" s="227"/>
      <c r="BW17" s="224">
        <f t="shared" si="8"/>
        <v>0</v>
      </c>
      <c r="BX17" s="227"/>
      <c r="BY17" s="224">
        <f t="shared" si="9"/>
        <v>0</v>
      </c>
      <c r="BZ17" s="227"/>
      <c r="CA17" s="224">
        <f t="shared" si="10"/>
        <v>0</v>
      </c>
      <c r="CB17" s="227"/>
      <c r="CC17" s="224">
        <f t="shared" si="11"/>
        <v>0</v>
      </c>
      <c r="CD17" s="227"/>
      <c r="CE17" s="224">
        <f t="shared" si="12"/>
        <v>0</v>
      </c>
      <c r="CF17" s="227"/>
      <c r="CG17" s="224">
        <f t="shared" si="13"/>
        <v>0</v>
      </c>
      <c r="CH17" s="227"/>
      <c r="CI17" s="224">
        <f t="shared" si="14"/>
        <v>0</v>
      </c>
      <c r="CJ17" s="227">
        <v>10000</v>
      </c>
      <c r="CK17" s="224">
        <f t="shared" si="15"/>
        <v>0.2</v>
      </c>
      <c r="CL17" s="227">
        <v>40000</v>
      </c>
      <c r="CM17" s="224">
        <f t="shared" si="16"/>
        <v>0.8</v>
      </c>
      <c r="CN17" s="227">
        <v>50000</v>
      </c>
      <c r="CO17" s="224">
        <f t="shared" si="17"/>
        <v>1</v>
      </c>
      <c r="CP17" s="213" t="str">
        <f t="shared" si="20"/>
        <v>Đạt</v>
      </c>
      <c r="CQ17" s="213" t="str">
        <f t="shared" si="21"/>
        <v>Đạt</v>
      </c>
      <c r="CR17" s="192"/>
      <c r="CS17" s="215">
        <f t="shared" si="18"/>
        <v>0</v>
      </c>
      <c r="CT17" s="192"/>
      <c r="CU17" s="163"/>
      <c r="CV17" s="228"/>
      <c r="CW17" s="195"/>
      <c r="CX17" s="196"/>
      <c r="CY17" s="196"/>
      <c r="CZ17" s="197"/>
      <c r="DA17" s="196"/>
      <c r="DB17" s="196"/>
      <c r="DC17" s="196"/>
      <c r="DE17" s="199"/>
      <c r="DF17" s="200"/>
      <c r="DG17" s="181"/>
    </row>
    <row r="18" spans="1:111" s="234" customFormat="1" ht="19.5" hidden="1" customHeight="1" outlineLevel="1" x14ac:dyDescent="0.25">
      <c r="A18" s="191" t="s">
        <v>29</v>
      </c>
      <c r="B18" s="210" t="s">
        <v>157</v>
      </c>
      <c r="C18" s="210"/>
      <c r="D18" s="226">
        <f t="shared" ref="D18:I18" si="24">SUM(D19:D37)</f>
        <v>1525070.3910000001</v>
      </c>
      <c r="E18" s="226">
        <f t="shared" si="24"/>
        <v>0</v>
      </c>
      <c r="F18" s="226">
        <f t="shared" si="24"/>
        <v>1525070.3910000001</v>
      </c>
      <c r="G18" s="226">
        <f t="shared" si="24"/>
        <v>951763</v>
      </c>
      <c r="H18" s="226">
        <f t="shared" si="24"/>
        <v>573307.39100000006</v>
      </c>
      <c r="I18" s="229">
        <f t="shared" si="24"/>
        <v>135950</v>
      </c>
      <c r="J18" s="229"/>
      <c r="K18" s="226">
        <f>SUM(K19:K37)</f>
        <v>0</v>
      </c>
      <c r="L18" s="229">
        <f>SUM(L19:L37)</f>
        <v>0</v>
      </c>
      <c r="M18" s="223"/>
      <c r="N18" s="223"/>
      <c r="O18" s="229">
        <f>SUM(O19:O37)</f>
        <v>1087713</v>
      </c>
      <c r="P18" s="229">
        <f>SUM(P19:P37)</f>
        <v>27078.295252</v>
      </c>
      <c r="Q18" s="212">
        <f t="shared" si="1"/>
        <v>1.7755439625474965E-2</v>
      </c>
      <c r="R18" s="226">
        <v>101166.46121199998</v>
      </c>
      <c r="S18" s="211">
        <v>6.6244166719944209E-2</v>
      </c>
      <c r="T18" s="211">
        <v>6.9730701810467588E-2</v>
      </c>
      <c r="U18" s="226">
        <v>103643.24996</v>
      </c>
      <c r="V18" s="211">
        <v>6.7865976999625446E-2</v>
      </c>
      <c r="W18" s="211">
        <v>7.1437870525921529E-2</v>
      </c>
      <c r="X18" s="226">
        <v>105599.99896000001</v>
      </c>
      <c r="Y18" s="211">
        <v>6.9147263361055561E-2</v>
      </c>
      <c r="Z18" s="211">
        <v>7.2786593011637438E-2</v>
      </c>
      <c r="AA18" s="226">
        <v>106214.46462899999</v>
      </c>
      <c r="AB18" s="211">
        <v>6.9549617715782053E-2</v>
      </c>
      <c r="AC18" s="211">
        <v>7.3210123911349539E-2</v>
      </c>
      <c r="AD18" s="226">
        <v>130556.561629</v>
      </c>
      <c r="AE18" s="211">
        <v>8.5488911357791783E-2</v>
      </c>
      <c r="AF18" s="211">
        <v>8.9988327745043978E-2</v>
      </c>
      <c r="AG18" s="226">
        <v>141989.07827100001</v>
      </c>
      <c r="AH18" s="211">
        <v>9.2974964832313753E-2</v>
      </c>
      <c r="AI18" s="211">
        <v>9.7868384034014475E-2</v>
      </c>
      <c r="AJ18" s="214">
        <v>141989.07827100001</v>
      </c>
      <c r="AK18" s="211">
        <v>9.2974964832313753E-2</v>
      </c>
      <c r="AL18" s="211">
        <v>9.7868384034014475E-2</v>
      </c>
      <c r="AM18" s="226">
        <v>151145.92194599999</v>
      </c>
      <c r="AN18" s="211">
        <v>9.8970899371963475E-2</v>
      </c>
      <c r="AO18" s="211">
        <v>0.10417989407575104</v>
      </c>
      <c r="AP18" s="211"/>
      <c r="AQ18" s="226">
        <v>269274.75686399994</v>
      </c>
      <c r="AR18" s="211">
        <v>0.17632209008271005</v>
      </c>
      <c r="AS18" s="211">
        <v>0.18560220008706321</v>
      </c>
      <c r="AT18" s="226">
        <v>269301.99786399992</v>
      </c>
      <c r="AU18" s="211">
        <v>0.17633992758857905</v>
      </c>
      <c r="AV18" s="211">
        <v>0.18562097640903061</v>
      </c>
      <c r="AW18" s="226">
        <v>276479.04771099996</v>
      </c>
      <c r="AX18" s="211">
        <v>0.18103948592961577</v>
      </c>
      <c r="AY18" s="211">
        <v>0.19056787992591134</v>
      </c>
      <c r="AZ18" s="226">
        <f>SUM(AZ19:AZ37)</f>
        <v>280087.45471099997</v>
      </c>
      <c r="BA18" s="211">
        <v>0.18110599760901985</v>
      </c>
      <c r="BB18" s="211">
        <v>0.19063789222002092</v>
      </c>
      <c r="BC18" s="226">
        <v>321374.77655399998</v>
      </c>
      <c r="BD18" s="211">
        <v>0.21043737245108604</v>
      </c>
      <c r="BE18" s="211">
        <v>0.22151302363272218</v>
      </c>
      <c r="BF18" s="226"/>
      <c r="BG18" s="226">
        <v>459933.63477599999</v>
      </c>
      <c r="BH18" s="211">
        <v>0.30158190565513376</v>
      </c>
      <c r="BI18" s="211">
        <v>0.31745463753171976</v>
      </c>
      <c r="BJ18" s="226">
        <f t="shared" si="2"/>
        <v>1448816.87145</v>
      </c>
      <c r="BK18" s="226">
        <f>SUM(BK19:BK37)</f>
        <v>488219.96124599996</v>
      </c>
      <c r="BL18" s="211">
        <f t="shared" si="3"/>
        <v>0.32012946033649664</v>
      </c>
      <c r="BM18" s="211">
        <f t="shared" si="4"/>
        <v>0.33697837930157543</v>
      </c>
      <c r="BN18" s="205">
        <f t="shared" si="23"/>
        <v>357663.39961699996</v>
      </c>
      <c r="BO18" s="205"/>
      <c r="BP18" s="230">
        <f>SUM(BP19:BP37)</f>
        <v>0</v>
      </c>
      <c r="BQ18" s="212">
        <f t="shared" si="5"/>
        <v>0</v>
      </c>
      <c r="BR18" s="230">
        <f>SUM(BR19:BR37)</f>
        <v>11200</v>
      </c>
      <c r="BS18" s="212">
        <f t="shared" si="6"/>
        <v>7.3439233140288537E-3</v>
      </c>
      <c r="BT18" s="230">
        <f>SUM(BT19:BT37)</f>
        <v>88680.25</v>
      </c>
      <c r="BU18" s="212">
        <f t="shared" si="7"/>
        <v>5.8148299595438144E-2</v>
      </c>
      <c r="BV18" s="230">
        <f>SUM(BV19:BV37)</f>
        <v>212330.25</v>
      </c>
      <c r="BW18" s="212">
        <f t="shared" si="8"/>
        <v>0.13922652439719418</v>
      </c>
      <c r="BX18" s="230">
        <f>SUM(BX19:BX37)</f>
        <v>329459.25</v>
      </c>
      <c r="BY18" s="212">
        <f t="shared" si="9"/>
        <v>0.21602888099084469</v>
      </c>
      <c r="BZ18" s="230">
        <f>SUM(BZ19:BZ37)</f>
        <v>821574.25</v>
      </c>
      <c r="CA18" s="212">
        <f t="shared" si="10"/>
        <v>0.53871234721256878</v>
      </c>
      <c r="CB18" s="230">
        <f>SUM(CB19:CB37)</f>
        <v>935785.25</v>
      </c>
      <c r="CC18" s="212">
        <f t="shared" si="11"/>
        <v>0.61360134949993927</v>
      </c>
      <c r="CD18" s="230">
        <f>SUM(CD19:CD37)</f>
        <v>1066485.25</v>
      </c>
      <c r="CE18" s="212">
        <f t="shared" si="12"/>
        <v>0.69930231174490098</v>
      </c>
      <c r="CF18" s="230">
        <f>SUM(CF19:CF37)</f>
        <v>1194735.25</v>
      </c>
      <c r="CG18" s="212">
        <f t="shared" si="13"/>
        <v>0.78339679076491886</v>
      </c>
      <c r="CH18" s="230">
        <f>SUM(CH19:CH37)</f>
        <v>1298224.25</v>
      </c>
      <c r="CI18" s="212">
        <f t="shared" si="14"/>
        <v>0.85125529789398424</v>
      </c>
      <c r="CJ18" s="230">
        <f>SUM(CJ19:CJ37)</f>
        <v>1379874.25</v>
      </c>
      <c r="CK18" s="212">
        <f t="shared" si="15"/>
        <v>0.90479381026813199</v>
      </c>
      <c r="CL18" s="230">
        <f>SUM(CL19:CL37)</f>
        <v>1450816.25</v>
      </c>
      <c r="CM18" s="212">
        <f t="shared" si="16"/>
        <v>0.95131100738811725</v>
      </c>
      <c r="CN18" s="230">
        <f>SUM(CN19:CN37)</f>
        <v>1450816.25</v>
      </c>
      <c r="CO18" s="212">
        <f t="shared" si="17"/>
        <v>0.95131100738811725</v>
      </c>
      <c r="CP18" s="213" t="str">
        <f t="shared" si="20"/>
        <v>Không đạt</v>
      </c>
      <c r="CQ18" s="213" t="str">
        <f t="shared" si="21"/>
        <v>Không đạt</v>
      </c>
      <c r="CR18" s="213"/>
      <c r="CS18" s="226">
        <f t="shared" si="18"/>
        <v>208132.50653499999</v>
      </c>
      <c r="CT18" s="231"/>
      <c r="CU18" s="163"/>
      <c r="CV18" s="232"/>
      <c r="CW18" s="195"/>
      <c r="CX18" s="196"/>
      <c r="CY18" s="196"/>
      <c r="CZ18" s="197"/>
      <c r="DA18" s="196"/>
      <c r="DB18" s="196"/>
      <c r="DC18" s="196"/>
      <c r="DD18" s="233"/>
      <c r="DE18" s="199"/>
      <c r="DF18" s="200"/>
      <c r="DG18" s="181"/>
    </row>
    <row r="19" spans="1:111" s="233" customFormat="1" ht="25.5" hidden="1" outlineLevel="1" x14ac:dyDescent="0.25">
      <c r="A19" s="192">
        <f>MAX(A$14:$B18)+1</f>
        <v>2</v>
      </c>
      <c r="B19" s="222" t="s">
        <v>158</v>
      </c>
      <c r="C19" s="222">
        <v>7366586</v>
      </c>
      <c r="D19" s="214">
        <f t="shared" si="19"/>
        <v>7000</v>
      </c>
      <c r="E19" s="214"/>
      <c r="F19" s="214">
        <f t="shared" ref="F19:F37" si="25">G19+H19+K19+M19</f>
        <v>7000</v>
      </c>
      <c r="G19" s="214">
        <v>7000</v>
      </c>
      <c r="H19" s="214"/>
      <c r="I19" s="235"/>
      <c r="J19" s="235"/>
      <c r="K19" s="223"/>
      <c r="L19" s="235"/>
      <c r="M19" s="223"/>
      <c r="N19" s="223"/>
      <c r="O19" s="214">
        <f t="shared" ref="O19:O85" si="26">G19+I19+L19+N19</f>
        <v>7000</v>
      </c>
      <c r="P19" s="214">
        <v>0</v>
      </c>
      <c r="Q19" s="224">
        <f t="shared" si="1"/>
        <v>0</v>
      </c>
      <c r="R19" s="214"/>
      <c r="S19" s="225">
        <v>0</v>
      </c>
      <c r="T19" s="225">
        <v>0</v>
      </c>
      <c r="U19" s="214"/>
      <c r="V19" s="225">
        <v>0</v>
      </c>
      <c r="W19" s="225">
        <v>0</v>
      </c>
      <c r="X19" s="214"/>
      <c r="Y19" s="225">
        <v>0</v>
      </c>
      <c r="Z19" s="225">
        <v>0</v>
      </c>
      <c r="AA19" s="214"/>
      <c r="AB19" s="225">
        <v>0</v>
      </c>
      <c r="AC19" s="225">
        <v>0</v>
      </c>
      <c r="AD19" s="214"/>
      <c r="AE19" s="225">
        <v>0</v>
      </c>
      <c r="AF19" s="225">
        <v>0</v>
      </c>
      <c r="AG19" s="214"/>
      <c r="AH19" s="225">
        <v>0</v>
      </c>
      <c r="AI19" s="225">
        <v>0</v>
      </c>
      <c r="AJ19" s="214"/>
      <c r="AK19" s="225">
        <v>0</v>
      </c>
      <c r="AL19" s="225">
        <v>0</v>
      </c>
      <c r="AM19" s="214"/>
      <c r="AN19" s="225">
        <v>0</v>
      </c>
      <c r="AO19" s="225">
        <v>0</v>
      </c>
      <c r="AP19" s="225"/>
      <c r="AQ19" s="214"/>
      <c r="AR19" s="225">
        <v>0</v>
      </c>
      <c r="AS19" s="225">
        <v>0</v>
      </c>
      <c r="AT19" s="214"/>
      <c r="AU19" s="225">
        <v>0</v>
      </c>
      <c r="AV19" s="225">
        <v>0</v>
      </c>
      <c r="AW19" s="214"/>
      <c r="AX19" s="225">
        <v>0</v>
      </c>
      <c r="AY19" s="225">
        <v>0</v>
      </c>
      <c r="AZ19" s="214"/>
      <c r="BA19" s="225">
        <v>0</v>
      </c>
      <c r="BB19" s="225">
        <v>0</v>
      </c>
      <c r="BC19" s="214"/>
      <c r="BD19" s="225">
        <v>0</v>
      </c>
      <c r="BE19" s="225">
        <v>0</v>
      </c>
      <c r="BF19" s="214"/>
      <c r="BG19" s="214"/>
      <c r="BH19" s="225">
        <v>0</v>
      </c>
      <c r="BI19" s="225">
        <v>0</v>
      </c>
      <c r="BJ19" s="214">
        <f t="shared" si="2"/>
        <v>6650</v>
      </c>
      <c r="BK19" s="214"/>
      <c r="BL19" s="225">
        <f t="shared" si="3"/>
        <v>0</v>
      </c>
      <c r="BM19" s="225">
        <f t="shared" si="4"/>
        <v>0</v>
      </c>
      <c r="BN19" s="205">
        <f t="shared" si="23"/>
        <v>0</v>
      </c>
      <c r="BO19" s="205"/>
      <c r="BP19" s="227"/>
      <c r="BQ19" s="224">
        <f t="shared" si="5"/>
        <v>0</v>
      </c>
      <c r="BR19" s="227"/>
      <c r="BS19" s="224">
        <f t="shared" si="6"/>
        <v>0</v>
      </c>
      <c r="BT19" s="227"/>
      <c r="BU19" s="224">
        <f t="shared" si="7"/>
        <v>0</v>
      </c>
      <c r="BV19" s="227">
        <v>1000</v>
      </c>
      <c r="BW19" s="224">
        <f t="shared" si="8"/>
        <v>0.14285714285714285</v>
      </c>
      <c r="BX19" s="227">
        <v>2000</v>
      </c>
      <c r="BY19" s="224">
        <f t="shared" si="9"/>
        <v>0.2857142857142857</v>
      </c>
      <c r="BZ19" s="227">
        <v>2500</v>
      </c>
      <c r="CA19" s="224">
        <f t="shared" si="10"/>
        <v>0.35714285714285715</v>
      </c>
      <c r="CB19" s="227">
        <v>3000</v>
      </c>
      <c r="CC19" s="224">
        <f t="shared" si="11"/>
        <v>0.42857142857142855</v>
      </c>
      <c r="CD19" s="227">
        <v>4000</v>
      </c>
      <c r="CE19" s="224">
        <f t="shared" si="12"/>
        <v>0.5714285714285714</v>
      </c>
      <c r="CF19" s="227">
        <v>5500</v>
      </c>
      <c r="CG19" s="224">
        <f t="shared" si="13"/>
        <v>0.7857142857142857</v>
      </c>
      <c r="CH19" s="227">
        <v>6000</v>
      </c>
      <c r="CI19" s="224">
        <f t="shared" si="14"/>
        <v>0.8571428571428571</v>
      </c>
      <c r="CJ19" s="227">
        <v>6500</v>
      </c>
      <c r="CK19" s="224">
        <f t="shared" si="15"/>
        <v>0.9285714285714286</v>
      </c>
      <c r="CL19" s="227">
        <v>6650</v>
      </c>
      <c r="CM19" s="224">
        <f t="shared" si="16"/>
        <v>0.95</v>
      </c>
      <c r="CN19" s="227">
        <v>6650</v>
      </c>
      <c r="CO19" s="224">
        <f t="shared" si="17"/>
        <v>0.95</v>
      </c>
      <c r="CP19" s="213" t="str">
        <f t="shared" si="20"/>
        <v>Không đạt</v>
      </c>
      <c r="CQ19" s="213" t="str">
        <f t="shared" si="21"/>
        <v>Không đạt</v>
      </c>
      <c r="CR19" s="192"/>
      <c r="CS19" s="214">
        <f t="shared" si="18"/>
        <v>0</v>
      </c>
      <c r="CT19" s="223"/>
      <c r="CU19" s="163"/>
      <c r="CV19" s="232"/>
      <c r="CW19" s="195"/>
      <c r="CX19" s="196"/>
      <c r="CY19" s="196"/>
      <c r="CZ19" s="197"/>
      <c r="DA19" s="196"/>
      <c r="DB19" s="196"/>
      <c r="DC19" s="196"/>
      <c r="DE19" s="199"/>
      <c r="DF19" s="200"/>
      <c r="DG19" s="181"/>
    </row>
    <row r="20" spans="1:111" s="233" customFormat="1" ht="63.75" hidden="1" outlineLevel="1" x14ac:dyDescent="0.25">
      <c r="A20" s="192">
        <f>MAX(A$14:$B19)+1</f>
        <v>3</v>
      </c>
      <c r="B20" s="222" t="s">
        <v>159</v>
      </c>
      <c r="C20" s="222">
        <v>7395927</v>
      </c>
      <c r="D20" s="214">
        <f t="shared" si="19"/>
        <v>3000</v>
      </c>
      <c r="E20" s="214"/>
      <c r="F20" s="214">
        <f t="shared" si="25"/>
        <v>3000</v>
      </c>
      <c r="G20" s="214">
        <v>3000</v>
      </c>
      <c r="H20" s="214"/>
      <c r="I20" s="235"/>
      <c r="J20" s="235"/>
      <c r="K20" s="223"/>
      <c r="L20" s="235"/>
      <c r="M20" s="223"/>
      <c r="N20" s="223"/>
      <c r="O20" s="214">
        <f t="shared" si="26"/>
        <v>3000</v>
      </c>
      <c r="P20" s="214">
        <v>0</v>
      </c>
      <c r="Q20" s="224">
        <f t="shared" si="1"/>
        <v>0</v>
      </c>
      <c r="R20" s="214"/>
      <c r="S20" s="225">
        <v>0</v>
      </c>
      <c r="T20" s="225">
        <v>0</v>
      </c>
      <c r="U20" s="214"/>
      <c r="V20" s="225">
        <v>0</v>
      </c>
      <c r="W20" s="225">
        <v>0</v>
      </c>
      <c r="X20" s="214"/>
      <c r="Y20" s="225">
        <v>0</v>
      </c>
      <c r="Z20" s="225">
        <v>0</v>
      </c>
      <c r="AA20" s="214"/>
      <c r="AB20" s="225">
        <v>0</v>
      </c>
      <c r="AC20" s="225">
        <v>0</v>
      </c>
      <c r="AD20" s="214"/>
      <c r="AE20" s="225">
        <v>0</v>
      </c>
      <c r="AF20" s="225">
        <v>0</v>
      </c>
      <c r="AG20" s="214"/>
      <c r="AH20" s="225">
        <v>0</v>
      </c>
      <c r="AI20" s="225">
        <v>0</v>
      </c>
      <c r="AJ20" s="214"/>
      <c r="AK20" s="225">
        <v>0</v>
      </c>
      <c r="AL20" s="225">
        <v>0</v>
      </c>
      <c r="AM20" s="214"/>
      <c r="AN20" s="225">
        <v>0</v>
      </c>
      <c r="AO20" s="225">
        <v>0</v>
      </c>
      <c r="AP20" s="225"/>
      <c r="AQ20" s="214"/>
      <c r="AR20" s="225">
        <v>0</v>
      </c>
      <c r="AS20" s="225">
        <v>0</v>
      </c>
      <c r="AT20" s="214"/>
      <c r="AU20" s="225">
        <v>0</v>
      </c>
      <c r="AV20" s="225">
        <v>0</v>
      </c>
      <c r="AW20" s="214"/>
      <c r="AX20" s="225">
        <v>0</v>
      </c>
      <c r="AY20" s="225">
        <v>0</v>
      </c>
      <c r="AZ20" s="214"/>
      <c r="BA20" s="225">
        <v>0</v>
      </c>
      <c r="BB20" s="225">
        <v>0</v>
      </c>
      <c r="BC20" s="214"/>
      <c r="BD20" s="225">
        <v>0</v>
      </c>
      <c r="BE20" s="225">
        <v>0</v>
      </c>
      <c r="BF20" s="214"/>
      <c r="BG20" s="214"/>
      <c r="BH20" s="225">
        <v>0</v>
      </c>
      <c r="BI20" s="225">
        <v>0</v>
      </c>
      <c r="BJ20" s="214">
        <f t="shared" si="2"/>
        <v>2850</v>
      </c>
      <c r="BK20" s="214"/>
      <c r="BL20" s="225">
        <f t="shared" si="3"/>
        <v>0</v>
      </c>
      <c r="BM20" s="225">
        <f t="shared" si="4"/>
        <v>0</v>
      </c>
      <c r="BN20" s="205">
        <f t="shared" si="23"/>
        <v>0</v>
      </c>
      <c r="BO20" s="205"/>
      <c r="BP20" s="227"/>
      <c r="BQ20" s="224">
        <f t="shared" si="5"/>
        <v>0</v>
      </c>
      <c r="BR20" s="227"/>
      <c r="BS20" s="224">
        <f t="shared" si="6"/>
        <v>0</v>
      </c>
      <c r="BT20" s="227"/>
      <c r="BU20" s="224">
        <f t="shared" si="7"/>
        <v>0</v>
      </c>
      <c r="BV20" s="227">
        <f>3000*0.95</f>
        <v>2850</v>
      </c>
      <c r="BW20" s="224">
        <f t="shared" si="8"/>
        <v>0.95</v>
      </c>
      <c r="BX20" s="227">
        <v>2850</v>
      </c>
      <c r="BY20" s="224">
        <f t="shared" si="9"/>
        <v>0.95</v>
      </c>
      <c r="BZ20" s="227">
        <v>2850</v>
      </c>
      <c r="CA20" s="224">
        <f t="shared" si="10"/>
        <v>0.95</v>
      </c>
      <c r="CB20" s="227">
        <v>2850</v>
      </c>
      <c r="CC20" s="224">
        <f t="shared" si="11"/>
        <v>0.95</v>
      </c>
      <c r="CD20" s="227">
        <v>2850</v>
      </c>
      <c r="CE20" s="224">
        <f t="shared" si="12"/>
        <v>0.95</v>
      </c>
      <c r="CF20" s="227">
        <v>2850</v>
      </c>
      <c r="CG20" s="224">
        <f t="shared" si="13"/>
        <v>0.95</v>
      </c>
      <c r="CH20" s="227">
        <v>2850</v>
      </c>
      <c r="CI20" s="224">
        <f t="shared" si="14"/>
        <v>0.95</v>
      </c>
      <c r="CJ20" s="227">
        <v>2850</v>
      </c>
      <c r="CK20" s="224">
        <f t="shared" si="15"/>
        <v>0.95</v>
      </c>
      <c r="CL20" s="227">
        <v>2850</v>
      </c>
      <c r="CM20" s="224">
        <f t="shared" si="16"/>
        <v>0.95</v>
      </c>
      <c r="CN20" s="227">
        <v>2850</v>
      </c>
      <c r="CO20" s="224">
        <f t="shared" si="17"/>
        <v>0.95</v>
      </c>
      <c r="CP20" s="213" t="str">
        <f t="shared" si="20"/>
        <v>Không đạt</v>
      </c>
      <c r="CQ20" s="213" t="str">
        <f t="shared" si="21"/>
        <v>Không đạt</v>
      </c>
      <c r="CR20" s="192"/>
      <c r="CS20" s="214">
        <f t="shared" si="18"/>
        <v>0</v>
      </c>
      <c r="CT20" s="223"/>
      <c r="CU20" s="163"/>
      <c r="CV20" s="232"/>
      <c r="CW20" s="195"/>
      <c r="CX20" s="196"/>
      <c r="CY20" s="196"/>
      <c r="CZ20" s="197"/>
      <c r="DA20" s="196"/>
      <c r="DB20" s="196"/>
      <c r="DC20" s="196"/>
      <c r="DE20" s="199"/>
      <c r="DF20" s="200"/>
      <c r="DG20" s="181"/>
    </row>
    <row r="21" spans="1:111" s="233" customFormat="1" ht="39.6" hidden="1" customHeight="1" outlineLevel="1" x14ac:dyDescent="0.25">
      <c r="A21" s="236">
        <f>MAX(A$14:$B20)+1</f>
        <v>4</v>
      </c>
      <c r="B21" s="237" t="s">
        <v>160</v>
      </c>
      <c r="C21" s="222">
        <v>7241654</v>
      </c>
      <c r="D21" s="238">
        <f t="shared" si="19"/>
        <v>20000</v>
      </c>
      <c r="E21" s="214"/>
      <c r="F21" s="214">
        <f>G21+H21+K21+M21</f>
        <v>20000</v>
      </c>
      <c r="G21" s="214">
        <v>5000</v>
      </c>
      <c r="H21" s="214">
        <v>15000</v>
      </c>
      <c r="I21" s="235"/>
      <c r="J21" s="235"/>
      <c r="K21" s="223"/>
      <c r="L21" s="235"/>
      <c r="M21" s="223"/>
      <c r="N21" s="223"/>
      <c r="O21" s="214">
        <f t="shared" si="26"/>
        <v>5000</v>
      </c>
      <c r="P21" s="214">
        <v>0</v>
      </c>
      <c r="Q21" s="224">
        <f t="shared" si="1"/>
        <v>0</v>
      </c>
      <c r="R21" s="214"/>
      <c r="S21" s="225">
        <v>0</v>
      </c>
      <c r="T21" s="225">
        <v>0</v>
      </c>
      <c r="U21" s="214"/>
      <c r="V21" s="225">
        <v>0</v>
      </c>
      <c r="W21" s="225">
        <v>0</v>
      </c>
      <c r="X21" s="214"/>
      <c r="Y21" s="225">
        <v>0</v>
      </c>
      <c r="Z21" s="225">
        <v>0</v>
      </c>
      <c r="AA21" s="214"/>
      <c r="AB21" s="225">
        <v>0</v>
      </c>
      <c r="AC21" s="225">
        <v>0</v>
      </c>
      <c r="AD21" s="214"/>
      <c r="AE21" s="225">
        <v>0</v>
      </c>
      <c r="AF21" s="225">
        <v>0</v>
      </c>
      <c r="AG21" s="214"/>
      <c r="AH21" s="225">
        <v>0</v>
      </c>
      <c r="AI21" s="225">
        <v>0</v>
      </c>
      <c r="AJ21" s="214"/>
      <c r="AK21" s="225">
        <v>0</v>
      </c>
      <c r="AL21" s="225">
        <v>0</v>
      </c>
      <c r="AM21" s="214"/>
      <c r="AN21" s="225">
        <v>0</v>
      </c>
      <c r="AO21" s="225">
        <v>0</v>
      </c>
      <c r="AP21" s="225"/>
      <c r="AQ21" s="214"/>
      <c r="AR21" s="225">
        <v>0</v>
      </c>
      <c r="AS21" s="225">
        <v>0</v>
      </c>
      <c r="AT21" s="214"/>
      <c r="AU21" s="225">
        <v>0</v>
      </c>
      <c r="AV21" s="225">
        <v>0</v>
      </c>
      <c r="AW21" s="214"/>
      <c r="AX21" s="225">
        <v>0</v>
      </c>
      <c r="AY21" s="225">
        <v>0</v>
      </c>
      <c r="AZ21" s="214"/>
      <c r="BA21" s="225">
        <v>0</v>
      </c>
      <c r="BB21" s="225">
        <v>0</v>
      </c>
      <c r="BC21" s="214"/>
      <c r="BD21" s="225">
        <v>0</v>
      </c>
      <c r="BE21" s="225">
        <v>0</v>
      </c>
      <c r="BF21" s="214"/>
      <c r="BG21" s="214"/>
      <c r="BH21" s="225">
        <v>0</v>
      </c>
      <c r="BI21" s="225">
        <v>0</v>
      </c>
      <c r="BJ21" s="214">
        <f t="shared" si="2"/>
        <v>19000</v>
      </c>
      <c r="BK21" s="214"/>
      <c r="BL21" s="225">
        <f t="shared" si="3"/>
        <v>0</v>
      </c>
      <c r="BM21" s="225">
        <f t="shared" si="4"/>
        <v>0</v>
      </c>
      <c r="BN21" s="205">
        <f t="shared" si="23"/>
        <v>0</v>
      </c>
      <c r="BO21" s="205"/>
      <c r="BP21" s="227"/>
      <c r="BQ21" s="224">
        <f t="shared" si="5"/>
        <v>0</v>
      </c>
      <c r="BR21" s="227"/>
      <c r="BS21" s="224">
        <f t="shared" si="6"/>
        <v>0</v>
      </c>
      <c r="BT21" s="227">
        <v>1000</v>
      </c>
      <c r="BU21" s="224">
        <f t="shared" si="7"/>
        <v>0.05</v>
      </c>
      <c r="BV21" s="227">
        <v>3000</v>
      </c>
      <c r="BW21" s="224">
        <f t="shared" si="8"/>
        <v>0.15</v>
      </c>
      <c r="BX21" s="227">
        <v>5000</v>
      </c>
      <c r="BY21" s="224">
        <f t="shared" si="9"/>
        <v>0.25</v>
      </c>
      <c r="BZ21" s="227">
        <v>7000</v>
      </c>
      <c r="CA21" s="224">
        <f t="shared" si="10"/>
        <v>0.35</v>
      </c>
      <c r="CB21" s="227">
        <v>8000</v>
      </c>
      <c r="CC21" s="224">
        <f t="shared" si="11"/>
        <v>0.4</v>
      </c>
      <c r="CD21" s="227">
        <v>10000</v>
      </c>
      <c r="CE21" s="224">
        <f t="shared" si="12"/>
        <v>0.5</v>
      </c>
      <c r="CF21" s="227">
        <v>12000</v>
      </c>
      <c r="CG21" s="224">
        <f t="shared" si="13"/>
        <v>0.6</v>
      </c>
      <c r="CH21" s="227">
        <v>15000</v>
      </c>
      <c r="CI21" s="224">
        <f t="shared" si="14"/>
        <v>0.75</v>
      </c>
      <c r="CJ21" s="227">
        <v>17000</v>
      </c>
      <c r="CK21" s="224">
        <f t="shared" si="15"/>
        <v>0.85</v>
      </c>
      <c r="CL21" s="227">
        <v>19000</v>
      </c>
      <c r="CM21" s="224">
        <f t="shared" si="16"/>
        <v>0.95</v>
      </c>
      <c r="CN21" s="227">
        <v>19000</v>
      </c>
      <c r="CO21" s="224">
        <f t="shared" si="17"/>
        <v>0.95</v>
      </c>
      <c r="CP21" s="213" t="str">
        <f t="shared" si="20"/>
        <v>Không đạt</v>
      </c>
      <c r="CQ21" s="213" t="str">
        <f t="shared" si="21"/>
        <v>Không đạt</v>
      </c>
      <c r="CR21" s="192"/>
      <c r="CS21" s="214">
        <f t="shared" si="18"/>
        <v>0</v>
      </c>
      <c r="CT21" s="223"/>
      <c r="CU21" s="163"/>
      <c r="CV21" s="232"/>
      <c r="CW21" s="195"/>
      <c r="CX21" s="196"/>
      <c r="CY21" s="196"/>
      <c r="CZ21" s="197"/>
      <c r="DA21" s="196"/>
      <c r="DB21" s="196"/>
      <c r="DC21" s="196"/>
      <c r="DE21" s="199"/>
      <c r="DF21" s="200"/>
      <c r="DG21" s="181"/>
    </row>
    <row r="22" spans="1:111" s="233" customFormat="1" ht="22.15" hidden="1" customHeight="1" outlineLevel="1" x14ac:dyDescent="0.25">
      <c r="A22" s="192">
        <f>MAX(A$14:$B21)+1</f>
        <v>5</v>
      </c>
      <c r="B22" s="222" t="s">
        <v>161</v>
      </c>
      <c r="C22" s="222">
        <v>7678250</v>
      </c>
      <c r="D22" s="214">
        <f t="shared" si="19"/>
        <v>31000</v>
      </c>
      <c r="E22" s="214"/>
      <c r="F22" s="214">
        <f t="shared" si="25"/>
        <v>31000</v>
      </c>
      <c r="G22" s="214">
        <v>31000</v>
      </c>
      <c r="H22" s="214"/>
      <c r="I22" s="235"/>
      <c r="J22" s="235"/>
      <c r="K22" s="223"/>
      <c r="L22" s="235"/>
      <c r="M22" s="223"/>
      <c r="N22" s="223"/>
      <c r="O22" s="214">
        <f t="shared" si="26"/>
        <v>31000</v>
      </c>
      <c r="P22" s="214">
        <v>14959.112999999999</v>
      </c>
      <c r="Q22" s="224">
        <f t="shared" si="1"/>
        <v>0.48255203225806448</v>
      </c>
      <c r="R22" s="214">
        <v>14959.112999999999</v>
      </c>
      <c r="S22" s="225">
        <v>0.48255203225806448</v>
      </c>
      <c r="T22" s="225">
        <v>0.50794950764006785</v>
      </c>
      <c r="U22" s="214">
        <v>14959.112999999999</v>
      </c>
      <c r="V22" s="225">
        <v>0.48255203225806448</v>
      </c>
      <c r="W22" s="225">
        <v>0.50794950764006785</v>
      </c>
      <c r="X22" s="214">
        <v>14959.112999999999</v>
      </c>
      <c r="Y22" s="225">
        <v>0.48255203225806448</v>
      </c>
      <c r="Z22" s="225">
        <v>0.50794950764006785</v>
      </c>
      <c r="AA22" s="214">
        <v>14959.112999999999</v>
      </c>
      <c r="AB22" s="225">
        <v>0.48255203225806448</v>
      </c>
      <c r="AC22" s="225">
        <v>0.50794950764006785</v>
      </c>
      <c r="AD22" s="214">
        <v>14959.112999999999</v>
      </c>
      <c r="AE22" s="225">
        <v>0.48255203225806448</v>
      </c>
      <c r="AF22" s="225">
        <v>0.50794950764006785</v>
      </c>
      <c r="AG22" s="214">
        <v>14959.112999999999</v>
      </c>
      <c r="AH22" s="225">
        <v>0.48255203225806448</v>
      </c>
      <c r="AI22" s="225">
        <v>0.50794950764006785</v>
      </c>
      <c r="AJ22" s="214">
        <v>14959.112999999999</v>
      </c>
      <c r="AK22" s="225">
        <v>0.48255203225806448</v>
      </c>
      <c r="AL22" s="225">
        <v>0.50794950764006785</v>
      </c>
      <c r="AM22" s="214">
        <v>14959.112999999999</v>
      </c>
      <c r="AN22" s="225">
        <v>0.48255203225806448</v>
      </c>
      <c r="AO22" s="225">
        <v>0.50794950764006785</v>
      </c>
      <c r="AP22" s="225"/>
      <c r="AQ22" s="214">
        <v>20885.322</v>
      </c>
      <c r="AR22" s="225">
        <v>0.67372006451612909</v>
      </c>
      <c r="AS22" s="225">
        <v>0.70917901528013583</v>
      </c>
      <c r="AT22" s="214">
        <v>20885.322</v>
      </c>
      <c r="AU22" s="225">
        <v>0.67372006451612909</v>
      </c>
      <c r="AV22" s="225">
        <v>0.70917901528013583</v>
      </c>
      <c r="AW22" s="214">
        <v>20885.322</v>
      </c>
      <c r="AX22" s="225">
        <v>0.67372006451612909</v>
      </c>
      <c r="AY22" s="225">
        <v>0.70917901528013583</v>
      </c>
      <c r="AZ22" s="214">
        <v>20885.322</v>
      </c>
      <c r="BA22" s="225">
        <v>0.67372006451612909</v>
      </c>
      <c r="BB22" s="225">
        <v>0.70917901528013583</v>
      </c>
      <c r="BC22" s="214">
        <v>21181.091</v>
      </c>
      <c r="BD22" s="225">
        <v>0.68326100000000001</v>
      </c>
      <c r="BE22" s="225">
        <v>0.71922210526315788</v>
      </c>
      <c r="BF22" s="214"/>
      <c r="BG22" s="214">
        <v>25219.940999999999</v>
      </c>
      <c r="BH22" s="225">
        <v>0.81354648387096773</v>
      </c>
      <c r="BI22" s="225">
        <v>0.8563647198641765</v>
      </c>
      <c r="BJ22" s="214">
        <f t="shared" si="2"/>
        <v>29450</v>
      </c>
      <c r="BK22" s="214">
        <v>25219.940999999999</v>
      </c>
      <c r="BL22" s="225">
        <f t="shared" si="3"/>
        <v>0.81354648387096773</v>
      </c>
      <c r="BM22" s="225">
        <f t="shared" si="4"/>
        <v>0.8563647198641765</v>
      </c>
      <c r="BN22" s="205">
        <f t="shared" si="23"/>
        <v>10260.828</v>
      </c>
      <c r="BO22" s="205"/>
      <c r="BP22" s="227"/>
      <c r="BQ22" s="224">
        <f t="shared" si="5"/>
        <v>0</v>
      </c>
      <c r="BR22" s="227"/>
      <c r="BS22" s="224">
        <f t="shared" si="6"/>
        <v>0</v>
      </c>
      <c r="BT22" s="227">
        <v>3000</v>
      </c>
      <c r="BU22" s="224">
        <f t="shared" si="7"/>
        <v>9.6774193548387094E-2</v>
      </c>
      <c r="BV22" s="227">
        <v>5000</v>
      </c>
      <c r="BW22" s="224">
        <f t="shared" si="8"/>
        <v>0.16129032258064516</v>
      </c>
      <c r="BX22" s="227">
        <v>8000</v>
      </c>
      <c r="BY22" s="224">
        <f t="shared" si="9"/>
        <v>0.25806451612903225</v>
      </c>
      <c r="BZ22" s="227">
        <v>14000</v>
      </c>
      <c r="CA22" s="224">
        <f t="shared" si="10"/>
        <v>0.45161290322580644</v>
      </c>
      <c r="CB22" s="227">
        <v>19000</v>
      </c>
      <c r="CC22" s="224">
        <f t="shared" si="11"/>
        <v>0.61290322580645162</v>
      </c>
      <c r="CD22" s="227">
        <v>25000</v>
      </c>
      <c r="CE22" s="224">
        <f t="shared" si="12"/>
        <v>0.80645161290322576</v>
      </c>
      <c r="CF22" s="227">
        <f>31000*0.95</f>
        <v>29450</v>
      </c>
      <c r="CG22" s="224">
        <f t="shared" si="13"/>
        <v>0.95</v>
      </c>
      <c r="CH22" s="227">
        <f>31000*0.95</f>
        <v>29450</v>
      </c>
      <c r="CI22" s="224">
        <f t="shared" si="14"/>
        <v>0.95</v>
      </c>
      <c r="CJ22" s="227">
        <f>31000*0.95</f>
        <v>29450</v>
      </c>
      <c r="CK22" s="224">
        <f t="shared" si="15"/>
        <v>0.95</v>
      </c>
      <c r="CL22" s="227">
        <f>31000*0.95</f>
        <v>29450</v>
      </c>
      <c r="CM22" s="224">
        <f t="shared" si="16"/>
        <v>0.95</v>
      </c>
      <c r="CN22" s="227">
        <f>31000*0.95</f>
        <v>29450</v>
      </c>
      <c r="CO22" s="224">
        <f t="shared" si="17"/>
        <v>0.95</v>
      </c>
      <c r="CP22" s="213" t="str">
        <f t="shared" si="20"/>
        <v>Đạt</v>
      </c>
      <c r="CQ22" s="213" t="str">
        <f t="shared" si="21"/>
        <v>Đạt</v>
      </c>
      <c r="CR22" s="192"/>
      <c r="CS22" s="214">
        <f t="shared" si="18"/>
        <v>4334.6189999999988</v>
      </c>
      <c r="CT22" s="223"/>
      <c r="CU22" s="163"/>
      <c r="CV22" s="232"/>
      <c r="CW22" s="195"/>
      <c r="CX22" s="196"/>
      <c r="CY22" s="196"/>
      <c r="CZ22" s="197"/>
      <c r="DA22" s="196"/>
      <c r="DB22" s="196"/>
      <c r="DC22" s="196"/>
      <c r="DE22" s="199"/>
      <c r="DF22" s="200"/>
      <c r="DG22" s="181"/>
    </row>
    <row r="23" spans="1:111" s="233" customFormat="1" ht="25.5" hidden="1" outlineLevel="1" x14ac:dyDescent="0.25">
      <c r="A23" s="192">
        <f>MAX(A$14:$B22)+1</f>
        <v>6</v>
      </c>
      <c r="B23" s="222" t="s">
        <v>162</v>
      </c>
      <c r="C23" s="222">
        <v>7720895</v>
      </c>
      <c r="D23" s="214">
        <f t="shared" si="19"/>
        <v>110000</v>
      </c>
      <c r="E23" s="214"/>
      <c r="F23" s="214">
        <f t="shared" si="25"/>
        <v>110000</v>
      </c>
      <c r="G23" s="214">
        <v>80000</v>
      </c>
      <c r="H23" s="214">
        <v>30000</v>
      </c>
      <c r="I23" s="235"/>
      <c r="J23" s="235"/>
      <c r="K23" s="223"/>
      <c r="L23" s="235"/>
      <c r="M23" s="223"/>
      <c r="N23" s="223"/>
      <c r="O23" s="214">
        <f t="shared" si="26"/>
        <v>80000</v>
      </c>
      <c r="P23" s="214">
        <v>478.91699999999997</v>
      </c>
      <c r="Q23" s="224">
        <f t="shared" si="1"/>
        <v>4.3537909090909091E-3</v>
      </c>
      <c r="R23" s="214">
        <v>478.91699999999997</v>
      </c>
      <c r="S23" s="225">
        <v>4.3537909090909091E-3</v>
      </c>
      <c r="T23" s="225">
        <v>4.5829377990430622E-3</v>
      </c>
      <c r="U23" s="214">
        <v>478.91699999999997</v>
      </c>
      <c r="V23" s="225">
        <v>4.3537909090909091E-3</v>
      </c>
      <c r="W23" s="225">
        <v>4.5829377990430622E-3</v>
      </c>
      <c r="X23" s="214">
        <v>478.91699999999997</v>
      </c>
      <c r="Y23" s="225">
        <v>4.3537909090909091E-3</v>
      </c>
      <c r="Z23" s="225">
        <v>4.5829377990430622E-3</v>
      </c>
      <c r="AA23" s="214">
        <v>492</v>
      </c>
      <c r="AB23" s="225">
        <v>4.4727272727272723E-3</v>
      </c>
      <c r="AC23" s="225">
        <v>4.7081339712918661E-3</v>
      </c>
      <c r="AD23" s="214">
        <v>492</v>
      </c>
      <c r="AE23" s="225">
        <v>4.4727272727272723E-3</v>
      </c>
      <c r="AF23" s="225">
        <v>4.7081339712918661E-3</v>
      </c>
      <c r="AG23" s="214">
        <v>492</v>
      </c>
      <c r="AH23" s="225">
        <v>4.4727272727272723E-3</v>
      </c>
      <c r="AI23" s="225">
        <v>4.7081339712918661E-3</v>
      </c>
      <c r="AJ23" s="214">
        <v>492</v>
      </c>
      <c r="AK23" s="225">
        <v>4.4727272727272723E-3</v>
      </c>
      <c r="AL23" s="225">
        <v>4.7081339712918661E-3</v>
      </c>
      <c r="AM23" s="214">
        <v>973.97078799999997</v>
      </c>
      <c r="AN23" s="225">
        <v>8.8542798909090909E-3</v>
      </c>
      <c r="AO23" s="225">
        <v>9.3202946220095687E-3</v>
      </c>
      <c r="AP23" s="225"/>
      <c r="AQ23" s="214">
        <v>43894.886225999988</v>
      </c>
      <c r="AR23" s="225">
        <v>0.39904442023636355</v>
      </c>
      <c r="AS23" s="225">
        <v>0.42004675814354053</v>
      </c>
      <c r="AT23" s="214">
        <v>43894.886225999988</v>
      </c>
      <c r="AU23" s="225">
        <v>0.39904442023636355</v>
      </c>
      <c r="AV23" s="225">
        <v>0.42004675814354053</v>
      </c>
      <c r="AW23" s="214">
        <v>45833.528546000001</v>
      </c>
      <c r="AX23" s="225">
        <v>0.41666844132727276</v>
      </c>
      <c r="AY23" s="225">
        <v>0.43859835929186602</v>
      </c>
      <c r="AZ23" s="214">
        <v>45833.528546000001</v>
      </c>
      <c r="BA23" s="225">
        <v>0.41666844132727276</v>
      </c>
      <c r="BB23" s="225">
        <v>0.43859835929186602</v>
      </c>
      <c r="BC23" s="214">
        <v>45833.528546000001</v>
      </c>
      <c r="BD23" s="225">
        <v>0.41666844132727276</v>
      </c>
      <c r="BE23" s="225">
        <v>0.43859835929186602</v>
      </c>
      <c r="BF23" s="214">
        <f>BK23-G23</f>
        <v>19600.200123999995</v>
      </c>
      <c r="BG23" s="214">
        <v>89450.802746000001</v>
      </c>
      <c r="BH23" s="225">
        <v>0.81318911587272724</v>
      </c>
      <c r="BI23" s="225">
        <v>0.85598854302392346</v>
      </c>
      <c r="BJ23" s="214">
        <f t="shared" si="2"/>
        <v>104500</v>
      </c>
      <c r="BK23" s="214">
        <v>99600.200123999995</v>
      </c>
      <c r="BL23" s="225">
        <f t="shared" si="3"/>
        <v>0.90545636476363633</v>
      </c>
      <c r="BM23" s="225">
        <f t="shared" si="4"/>
        <v>0.95311196290909084</v>
      </c>
      <c r="BN23" s="205">
        <f t="shared" si="23"/>
        <v>99108.200123999995</v>
      </c>
      <c r="BO23" s="205"/>
      <c r="BP23" s="227"/>
      <c r="BQ23" s="224">
        <f t="shared" si="5"/>
        <v>0</v>
      </c>
      <c r="BR23" s="227"/>
      <c r="BS23" s="224">
        <f t="shared" si="6"/>
        <v>0</v>
      </c>
      <c r="BT23" s="227">
        <v>2000</v>
      </c>
      <c r="BU23" s="224">
        <f t="shared" si="7"/>
        <v>1.8181818181818181E-2</v>
      </c>
      <c r="BV23" s="227">
        <v>10000</v>
      </c>
      <c r="BW23" s="224">
        <f t="shared" si="8"/>
        <v>9.0909090909090912E-2</v>
      </c>
      <c r="BX23" s="227">
        <v>30000</v>
      </c>
      <c r="BY23" s="224">
        <f t="shared" si="9"/>
        <v>0.27272727272727271</v>
      </c>
      <c r="BZ23" s="227">
        <v>54600</v>
      </c>
      <c r="CA23" s="224">
        <f t="shared" si="10"/>
        <v>0.49636363636363634</v>
      </c>
      <c r="CB23" s="227">
        <v>60000</v>
      </c>
      <c r="CC23" s="224">
        <f t="shared" si="11"/>
        <v>0.54545454545454541</v>
      </c>
      <c r="CD23" s="227">
        <v>70000</v>
      </c>
      <c r="CE23" s="224">
        <f t="shared" si="12"/>
        <v>0.63636363636363635</v>
      </c>
      <c r="CF23" s="227">
        <v>85000</v>
      </c>
      <c r="CG23" s="224">
        <f t="shared" si="13"/>
        <v>0.77272727272727271</v>
      </c>
      <c r="CH23" s="227">
        <v>95000</v>
      </c>
      <c r="CI23" s="224">
        <f t="shared" si="14"/>
        <v>0.86363636363636365</v>
      </c>
      <c r="CJ23" s="227">
        <v>102000</v>
      </c>
      <c r="CK23" s="224">
        <f t="shared" si="15"/>
        <v>0.92727272727272725</v>
      </c>
      <c r="CL23" s="227">
        <f>110000*0.95</f>
        <v>104500</v>
      </c>
      <c r="CM23" s="224">
        <f t="shared" si="16"/>
        <v>0.95</v>
      </c>
      <c r="CN23" s="227">
        <f>110000*0.95</f>
        <v>104500</v>
      </c>
      <c r="CO23" s="224">
        <f t="shared" si="17"/>
        <v>0.95</v>
      </c>
      <c r="CP23" s="213" t="str">
        <f t="shared" si="20"/>
        <v>Đạt</v>
      </c>
      <c r="CQ23" s="213" t="str">
        <f t="shared" si="21"/>
        <v>Đạt</v>
      </c>
      <c r="CR23" s="192"/>
      <c r="CS23" s="214">
        <f t="shared" si="18"/>
        <v>53766.671577999994</v>
      </c>
      <c r="CT23" s="223"/>
      <c r="CU23" s="163"/>
      <c r="CV23" s="232"/>
      <c r="CW23" s="195"/>
      <c r="CX23" s="196"/>
      <c r="CY23" s="196"/>
      <c r="CZ23" s="197"/>
      <c r="DA23" s="196"/>
      <c r="DB23" s="196"/>
      <c r="DC23" s="196"/>
      <c r="DE23" s="199"/>
      <c r="DF23" s="200"/>
      <c r="DG23" s="181"/>
    </row>
    <row r="24" spans="1:111" s="233" customFormat="1" ht="25.5" hidden="1" outlineLevel="1" x14ac:dyDescent="0.25">
      <c r="A24" s="192">
        <f>MAX(A$14:$B23)+1</f>
        <v>7</v>
      </c>
      <c r="B24" s="222" t="s">
        <v>163</v>
      </c>
      <c r="C24" s="222">
        <v>7807448</v>
      </c>
      <c r="D24" s="214">
        <f t="shared" si="19"/>
        <v>110000</v>
      </c>
      <c r="E24" s="214"/>
      <c r="F24" s="214">
        <f t="shared" si="25"/>
        <v>110000</v>
      </c>
      <c r="G24" s="214">
        <v>110000</v>
      </c>
      <c r="H24" s="214"/>
      <c r="I24" s="235"/>
      <c r="J24" s="235"/>
      <c r="K24" s="223"/>
      <c r="L24" s="235"/>
      <c r="M24" s="223"/>
      <c r="N24" s="223"/>
      <c r="O24" s="214">
        <f t="shared" si="26"/>
        <v>110000</v>
      </c>
      <c r="P24" s="214">
        <v>1565.2660000000001</v>
      </c>
      <c r="Q24" s="224">
        <f t="shared" si="1"/>
        <v>1.422969090909091E-2</v>
      </c>
      <c r="R24" s="214">
        <v>3813.7170000000001</v>
      </c>
      <c r="S24" s="225">
        <v>3.4670154545454544E-2</v>
      </c>
      <c r="T24" s="225">
        <v>3.64948995215311E-2</v>
      </c>
      <c r="U24" s="214">
        <v>3813.7170000000001</v>
      </c>
      <c r="V24" s="225">
        <v>3.4670154545454544E-2</v>
      </c>
      <c r="W24" s="225">
        <v>3.64948995215311E-2</v>
      </c>
      <c r="X24" s="214">
        <v>3813.7170000000001</v>
      </c>
      <c r="Y24" s="225">
        <v>3.4670154545454544E-2</v>
      </c>
      <c r="Z24" s="225">
        <v>3.64948995215311E-2</v>
      </c>
      <c r="AA24" s="214">
        <v>4083</v>
      </c>
      <c r="AB24" s="225">
        <v>3.7118181818181821E-2</v>
      </c>
      <c r="AC24" s="225">
        <v>3.907177033492823E-2</v>
      </c>
      <c r="AD24" s="214">
        <v>8925.2019999999993</v>
      </c>
      <c r="AE24" s="225">
        <v>8.1138199999999994E-2</v>
      </c>
      <c r="AF24" s="225">
        <v>8.5408631578947361E-2</v>
      </c>
      <c r="AG24" s="214">
        <v>8925.2019999999993</v>
      </c>
      <c r="AH24" s="225">
        <v>8.1138199999999994E-2</v>
      </c>
      <c r="AI24" s="225">
        <v>8.5408631578947361E-2</v>
      </c>
      <c r="AJ24" s="214">
        <v>8925.2019999999993</v>
      </c>
      <c r="AK24" s="225">
        <v>8.1138199999999994E-2</v>
      </c>
      <c r="AL24" s="225">
        <v>8.5408631578947361E-2</v>
      </c>
      <c r="AM24" s="214">
        <v>8925.2019999999993</v>
      </c>
      <c r="AN24" s="225">
        <v>8.1138199999999994E-2</v>
      </c>
      <c r="AO24" s="225">
        <v>8.5408631578947361E-2</v>
      </c>
      <c r="AP24" s="225"/>
      <c r="AQ24" s="214">
        <v>9529.655999999999</v>
      </c>
      <c r="AR24" s="225">
        <v>8.6633236363636359E-2</v>
      </c>
      <c r="AS24" s="225">
        <v>9.1192880382775107E-2</v>
      </c>
      <c r="AT24" s="214">
        <v>9529.655999999999</v>
      </c>
      <c r="AU24" s="225">
        <v>8.6633236363636359E-2</v>
      </c>
      <c r="AV24" s="225">
        <v>9.1192880382775107E-2</v>
      </c>
      <c r="AW24" s="214">
        <v>9529.655999999999</v>
      </c>
      <c r="AX24" s="225">
        <v>8.6633236363636359E-2</v>
      </c>
      <c r="AY24" s="225">
        <v>9.1192880382775107E-2</v>
      </c>
      <c r="AZ24" s="214">
        <v>13036.488000000001</v>
      </c>
      <c r="BA24" s="225">
        <v>8.6633236363636359E-2</v>
      </c>
      <c r="BB24" s="225">
        <v>9.1192880382775107E-2</v>
      </c>
      <c r="BC24" s="214">
        <v>13036.488000000001</v>
      </c>
      <c r="BD24" s="225">
        <v>0.11851352727272728</v>
      </c>
      <c r="BE24" s="225">
        <v>0.12475108133971292</v>
      </c>
      <c r="BF24" s="214"/>
      <c r="BG24" s="214">
        <v>18997.155802000001</v>
      </c>
      <c r="BH24" s="225">
        <v>0.17270141638181818</v>
      </c>
      <c r="BI24" s="225">
        <v>0.18179096461244021</v>
      </c>
      <c r="BJ24" s="214">
        <f t="shared" si="2"/>
        <v>104500</v>
      </c>
      <c r="BK24" s="214">
        <v>21696.420802000001</v>
      </c>
      <c r="BL24" s="225">
        <f t="shared" si="3"/>
        <v>0.19724018910909091</v>
      </c>
      <c r="BM24" s="225">
        <f t="shared" si="4"/>
        <v>0.2076212516937799</v>
      </c>
      <c r="BN24" s="205">
        <f t="shared" si="23"/>
        <v>12771.218802000001</v>
      </c>
      <c r="BO24" s="205"/>
      <c r="BP24" s="227"/>
      <c r="BQ24" s="224">
        <f t="shared" si="5"/>
        <v>0</v>
      </c>
      <c r="BR24" s="227"/>
      <c r="BS24" s="224">
        <f t="shared" si="6"/>
        <v>0</v>
      </c>
      <c r="BT24" s="227"/>
      <c r="BU24" s="224">
        <f t="shared" si="7"/>
        <v>0</v>
      </c>
      <c r="BV24" s="227">
        <v>10000</v>
      </c>
      <c r="BW24" s="224">
        <f t="shared" si="8"/>
        <v>9.0909090909090912E-2</v>
      </c>
      <c r="BX24" s="227">
        <v>15000</v>
      </c>
      <c r="BY24" s="224">
        <f t="shared" si="9"/>
        <v>0.13636363636363635</v>
      </c>
      <c r="BZ24" s="227">
        <v>20000</v>
      </c>
      <c r="CA24" s="224">
        <f t="shared" si="10"/>
        <v>0.18181818181818182</v>
      </c>
      <c r="CB24" s="227">
        <v>40000</v>
      </c>
      <c r="CC24" s="224">
        <f t="shared" si="11"/>
        <v>0.36363636363636365</v>
      </c>
      <c r="CD24" s="227">
        <v>60000</v>
      </c>
      <c r="CE24" s="224">
        <f t="shared" si="12"/>
        <v>0.54545454545454541</v>
      </c>
      <c r="CF24" s="227">
        <v>70000</v>
      </c>
      <c r="CG24" s="224">
        <f t="shared" si="13"/>
        <v>0.63636363636363635</v>
      </c>
      <c r="CH24" s="227">
        <v>80000</v>
      </c>
      <c r="CI24" s="224">
        <f t="shared" si="14"/>
        <v>0.72727272727272729</v>
      </c>
      <c r="CJ24" s="227">
        <v>90000</v>
      </c>
      <c r="CK24" s="224">
        <f t="shared" si="15"/>
        <v>0.81818181818181823</v>
      </c>
      <c r="CL24" s="227">
        <f>110000*0.95</f>
        <v>104500</v>
      </c>
      <c r="CM24" s="224">
        <f t="shared" si="16"/>
        <v>0.95</v>
      </c>
      <c r="CN24" s="227">
        <f>110000*0.95</f>
        <v>104500</v>
      </c>
      <c r="CO24" s="224">
        <f t="shared" si="17"/>
        <v>0.95</v>
      </c>
      <c r="CP24" s="213" t="str">
        <f t="shared" si="20"/>
        <v>Không đạt</v>
      </c>
      <c r="CQ24" s="213" t="str">
        <f t="shared" si="21"/>
        <v>Không đạt</v>
      </c>
      <c r="CR24" s="192"/>
      <c r="CS24" s="214">
        <f t="shared" si="18"/>
        <v>8659.9328019999994</v>
      </c>
      <c r="CT24" s="223"/>
      <c r="CU24" s="163"/>
      <c r="CV24" s="232"/>
      <c r="CW24" s="195"/>
      <c r="CX24" s="196"/>
      <c r="CY24" s="196"/>
      <c r="CZ24" s="197"/>
      <c r="DA24" s="196"/>
      <c r="DB24" s="196"/>
      <c r="DC24" s="196"/>
      <c r="DE24" s="199"/>
      <c r="DF24" s="200"/>
      <c r="DG24" s="181"/>
    </row>
    <row r="25" spans="1:111" s="233" customFormat="1" ht="38.25" hidden="1" outlineLevel="1" x14ac:dyDescent="0.25">
      <c r="A25" s="192">
        <f>MAX(A$14:$B24)+1</f>
        <v>8</v>
      </c>
      <c r="B25" s="222" t="s">
        <v>164</v>
      </c>
      <c r="C25" s="222">
        <v>7919972</v>
      </c>
      <c r="D25" s="214">
        <f t="shared" si="19"/>
        <v>130000</v>
      </c>
      <c r="E25" s="214"/>
      <c r="F25" s="214">
        <f t="shared" si="25"/>
        <v>130000</v>
      </c>
      <c r="G25" s="214">
        <v>130000</v>
      </c>
      <c r="H25" s="214"/>
      <c r="I25" s="235"/>
      <c r="J25" s="235"/>
      <c r="K25" s="223"/>
      <c r="L25" s="235"/>
      <c r="M25" s="223"/>
      <c r="N25" s="223"/>
      <c r="O25" s="214">
        <f t="shared" si="26"/>
        <v>130000</v>
      </c>
      <c r="P25" s="214">
        <v>0</v>
      </c>
      <c r="Q25" s="224">
        <f t="shared" si="1"/>
        <v>0</v>
      </c>
      <c r="R25" s="214">
        <v>10592.240629</v>
      </c>
      <c r="S25" s="225">
        <v>8.1478774069230764E-2</v>
      </c>
      <c r="T25" s="225">
        <v>8.5767130599190278E-2</v>
      </c>
      <c r="U25" s="214">
        <v>11120.865629</v>
      </c>
      <c r="V25" s="225">
        <v>8.554512022307692E-2</v>
      </c>
      <c r="W25" s="225">
        <v>9.0047494971659925E-2</v>
      </c>
      <c r="X25" s="214">
        <v>11120.865629</v>
      </c>
      <c r="Y25" s="225">
        <v>8.554512022307692E-2</v>
      </c>
      <c r="Z25" s="225">
        <v>9.0047494971659925E-2</v>
      </c>
      <c r="AA25" s="214">
        <v>11120.865629</v>
      </c>
      <c r="AB25" s="225">
        <v>8.554512022307692E-2</v>
      </c>
      <c r="AC25" s="225">
        <v>9.0047494971659925E-2</v>
      </c>
      <c r="AD25" s="214">
        <v>14881.270629000001</v>
      </c>
      <c r="AE25" s="225">
        <v>0.11447131253076924</v>
      </c>
      <c r="AF25" s="225">
        <v>0.1204961184534413</v>
      </c>
      <c r="AG25" s="214">
        <v>18018.170629</v>
      </c>
      <c r="AH25" s="225">
        <v>0.13860131253076924</v>
      </c>
      <c r="AI25" s="225">
        <v>0.1458961184534413</v>
      </c>
      <c r="AJ25" s="214">
        <v>18018.170629</v>
      </c>
      <c r="AK25" s="225">
        <v>0.13860131253076924</v>
      </c>
      <c r="AL25" s="225">
        <v>0.1458961184534413</v>
      </c>
      <c r="AM25" s="214">
        <v>18018.170629</v>
      </c>
      <c r="AN25" s="225">
        <v>0.13860131253076924</v>
      </c>
      <c r="AO25" s="225">
        <v>0.1458961184534413</v>
      </c>
      <c r="AP25" s="225"/>
      <c r="AQ25" s="214">
        <v>21309.170629</v>
      </c>
      <c r="AR25" s="225">
        <v>0.16391669714615384</v>
      </c>
      <c r="AS25" s="225">
        <v>0.17254389173279353</v>
      </c>
      <c r="AT25" s="214">
        <v>21309.170629</v>
      </c>
      <c r="AU25" s="225">
        <v>0.16391669714615384</v>
      </c>
      <c r="AV25" s="225">
        <v>0.17254389173279353</v>
      </c>
      <c r="AW25" s="214">
        <v>26547.578156</v>
      </c>
      <c r="AX25" s="225">
        <v>0.20421213966153845</v>
      </c>
      <c r="AY25" s="225">
        <v>0.21496014701214575</v>
      </c>
      <c r="AZ25" s="214">
        <v>26547.578156</v>
      </c>
      <c r="BA25" s="225">
        <v>0.20421213966153845</v>
      </c>
      <c r="BB25" s="225">
        <v>0.21496014701214575</v>
      </c>
      <c r="BC25" s="214">
        <v>28304.401156</v>
      </c>
      <c r="BD25" s="225">
        <v>0.21772616273846154</v>
      </c>
      <c r="BE25" s="225">
        <v>0.22918543446153847</v>
      </c>
      <c r="BF25" s="214"/>
      <c r="BG25" s="214">
        <v>39110.904910999998</v>
      </c>
      <c r="BH25" s="225">
        <v>0.30085311469999998</v>
      </c>
      <c r="BI25" s="225">
        <v>0.31668748915789474</v>
      </c>
      <c r="BJ25" s="214">
        <f t="shared" si="2"/>
        <v>123500</v>
      </c>
      <c r="BK25" s="214">
        <v>44518.854714000001</v>
      </c>
      <c r="BL25" s="225">
        <f t="shared" si="3"/>
        <v>0.34245272856923076</v>
      </c>
      <c r="BM25" s="225">
        <f t="shared" si="4"/>
        <v>0.36047655638866399</v>
      </c>
      <c r="BN25" s="205">
        <f t="shared" si="23"/>
        <v>29637.584085000002</v>
      </c>
      <c r="BO25" s="205"/>
      <c r="BP25" s="227"/>
      <c r="BQ25" s="224">
        <f t="shared" si="5"/>
        <v>0</v>
      </c>
      <c r="BR25" s="227"/>
      <c r="BS25" s="224">
        <f t="shared" si="6"/>
        <v>0</v>
      </c>
      <c r="BT25" s="227">
        <v>6500</v>
      </c>
      <c r="BU25" s="224">
        <f t="shared" si="7"/>
        <v>0.05</v>
      </c>
      <c r="BV25" s="227">
        <v>13000</v>
      </c>
      <c r="BW25" s="224">
        <f t="shared" si="8"/>
        <v>0.1</v>
      </c>
      <c r="BX25" s="227">
        <v>19500</v>
      </c>
      <c r="BY25" s="224">
        <f t="shared" si="9"/>
        <v>0.15</v>
      </c>
      <c r="BZ25" s="227">
        <v>39000</v>
      </c>
      <c r="CA25" s="224">
        <f t="shared" si="10"/>
        <v>0.3</v>
      </c>
      <c r="CB25" s="227">
        <v>58500</v>
      </c>
      <c r="CC25" s="224">
        <f t="shared" si="11"/>
        <v>0.45</v>
      </c>
      <c r="CD25" s="227">
        <v>78000</v>
      </c>
      <c r="CE25" s="224">
        <f t="shared" si="12"/>
        <v>0.6</v>
      </c>
      <c r="CF25" s="227">
        <v>91000</v>
      </c>
      <c r="CG25" s="224">
        <f t="shared" si="13"/>
        <v>0.7</v>
      </c>
      <c r="CH25" s="227">
        <v>104000</v>
      </c>
      <c r="CI25" s="224">
        <f t="shared" si="14"/>
        <v>0.8</v>
      </c>
      <c r="CJ25" s="227">
        <v>117000</v>
      </c>
      <c r="CK25" s="224">
        <f t="shared" si="15"/>
        <v>0.9</v>
      </c>
      <c r="CL25" s="227">
        <f>130000*0.95</f>
        <v>123500</v>
      </c>
      <c r="CM25" s="224">
        <f t="shared" si="16"/>
        <v>0.95</v>
      </c>
      <c r="CN25" s="227">
        <f>130000*0.95</f>
        <v>123500</v>
      </c>
      <c r="CO25" s="224">
        <f t="shared" si="17"/>
        <v>0.95</v>
      </c>
      <c r="CP25" s="213" t="str">
        <f t="shared" si="20"/>
        <v>Đạt</v>
      </c>
      <c r="CQ25" s="213" t="str">
        <f t="shared" si="21"/>
        <v>Không đạt</v>
      </c>
      <c r="CR25" s="192"/>
      <c r="CS25" s="214">
        <f t="shared" si="18"/>
        <v>17971.276558000001</v>
      </c>
      <c r="CT25" s="223"/>
      <c r="CU25" s="163"/>
      <c r="CV25" s="232"/>
      <c r="CW25" s="195"/>
      <c r="CX25" s="196"/>
      <c r="CY25" s="196"/>
      <c r="CZ25" s="197"/>
      <c r="DA25" s="196"/>
      <c r="DB25" s="196"/>
      <c r="DC25" s="196"/>
      <c r="DE25" s="199"/>
      <c r="DF25" s="200"/>
      <c r="DG25" s="181"/>
    </row>
    <row r="26" spans="1:111" s="233" customFormat="1" ht="25.5" hidden="1" outlineLevel="1" x14ac:dyDescent="0.25">
      <c r="A26" s="192">
        <f>MAX(A$14:$B25)+1</f>
        <v>9</v>
      </c>
      <c r="B26" s="222" t="s">
        <v>165</v>
      </c>
      <c r="C26" s="222">
        <v>7564310</v>
      </c>
      <c r="D26" s="214">
        <f t="shared" si="19"/>
        <v>26000</v>
      </c>
      <c r="E26" s="214"/>
      <c r="F26" s="214">
        <f t="shared" si="25"/>
        <v>26000</v>
      </c>
      <c r="G26" s="214">
        <v>5000</v>
      </c>
      <c r="H26" s="214">
        <v>21000</v>
      </c>
      <c r="I26" s="235"/>
      <c r="J26" s="235"/>
      <c r="K26" s="223"/>
      <c r="L26" s="235"/>
      <c r="M26" s="223"/>
      <c r="N26" s="223"/>
      <c r="O26" s="214">
        <f t="shared" si="26"/>
        <v>5000</v>
      </c>
      <c r="P26" s="214">
        <v>0</v>
      </c>
      <c r="Q26" s="224">
        <f t="shared" si="1"/>
        <v>0</v>
      </c>
      <c r="R26" s="214"/>
      <c r="S26" s="225">
        <v>0</v>
      </c>
      <c r="T26" s="225">
        <v>0</v>
      </c>
      <c r="U26" s="214"/>
      <c r="V26" s="225">
        <v>0</v>
      </c>
      <c r="W26" s="225">
        <v>0</v>
      </c>
      <c r="X26" s="214"/>
      <c r="Y26" s="225">
        <v>0</v>
      </c>
      <c r="Z26" s="225">
        <v>0</v>
      </c>
      <c r="AA26" s="214"/>
      <c r="AB26" s="225">
        <v>0</v>
      </c>
      <c r="AC26" s="225">
        <v>0</v>
      </c>
      <c r="AD26" s="214"/>
      <c r="AE26" s="225">
        <v>0</v>
      </c>
      <c r="AF26" s="225">
        <v>0</v>
      </c>
      <c r="AG26" s="214"/>
      <c r="AH26" s="225">
        <v>0</v>
      </c>
      <c r="AI26" s="225">
        <v>0</v>
      </c>
      <c r="AJ26" s="214"/>
      <c r="AK26" s="225">
        <v>0</v>
      </c>
      <c r="AL26" s="225">
        <v>0</v>
      </c>
      <c r="AM26" s="214"/>
      <c r="AN26" s="225">
        <v>0</v>
      </c>
      <c r="AO26" s="225">
        <v>0</v>
      </c>
      <c r="AP26" s="225"/>
      <c r="AQ26" s="214"/>
      <c r="AR26" s="225">
        <v>0</v>
      </c>
      <c r="AS26" s="225">
        <v>0</v>
      </c>
      <c r="AT26" s="214"/>
      <c r="AU26" s="225">
        <v>0</v>
      </c>
      <c r="AV26" s="225">
        <v>0</v>
      </c>
      <c r="AW26" s="214"/>
      <c r="AX26" s="225">
        <v>0</v>
      </c>
      <c r="AY26" s="225">
        <v>0</v>
      </c>
      <c r="AZ26" s="214"/>
      <c r="BA26" s="225">
        <v>0</v>
      </c>
      <c r="BB26" s="225">
        <v>0</v>
      </c>
      <c r="BC26" s="214"/>
      <c r="BD26" s="225">
        <v>0</v>
      </c>
      <c r="BE26" s="225">
        <v>0</v>
      </c>
      <c r="BF26" s="214"/>
      <c r="BG26" s="214"/>
      <c r="BH26" s="225">
        <v>0</v>
      </c>
      <c r="BI26" s="225">
        <v>0</v>
      </c>
      <c r="BJ26" s="214">
        <f t="shared" si="2"/>
        <v>24700</v>
      </c>
      <c r="BK26" s="214"/>
      <c r="BL26" s="225">
        <f t="shared" si="3"/>
        <v>0</v>
      </c>
      <c r="BM26" s="225">
        <f t="shared" si="4"/>
        <v>0</v>
      </c>
      <c r="BN26" s="205">
        <f t="shared" si="23"/>
        <v>0</v>
      </c>
      <c r="BO26" s="205"/>
      <c r="BP26" s="227"/>
      <c r="BQ26" s="224">
        <f t="shared" si="5"/>
        <v>0</v>
      </c>
      <c r="BR26" s="227"/>
      <c r="BS26" s="224">
        <f t="shared" si="6"/>
        <v>0</v>
      </c>
      <c r="BT26" s="227">
        <v>1000</v>
      </c>
      <c r="BU26" s="224">
        <f t="shared" si="7"/>
        <v>3.8461538461538464E-2</v>
      </c>
      <c r="BV26" s="227">
        <v>3000</v>
      </c>
      <c r="BW26" s="224">
        <f t="shared" si="8"/>
        <v>0.11538461538461539</v>
      </c>
      <c r="BX26" s="227">
        <v>5000</v>
      </c>
      <c r="BY26" s="224">
        <f t="shared" si="9"/>
        <v>0.19230769230769232</v>
      </c>
      <c r="BZ26" s="227">
        <v>8000</v>
      </c>
      <c r="CA26" s="224">
        <f t="shared" si="10"/>
        <v>0.30769230769230771</v>
      </c>
      <c r="CB26" s="227">
        <v>9000</v>
      </c>
      <c r="CC26" s="224">
        <f t="shared" si="11"/>
        <v>0.34615384615384615</v>
      </c>
      <c r="CD26" s="227">
        <v>15000</v>
      </c>
      <c r="CE26" s="224">
        <f t="shared" si="12"/>
        <v>0.57692307692307687</v>
      </c>
      <c r="CF26" s="227">
        <v>20000</v>
      </c>
      <c r="CG26" s="224">
        <f t="shared" si="13"/>
        <v>0.76923076923076927</v>
      </c>
      <c r="CH26" s="227">
        <v>22000</v>
      </c>
      <c r="CI26" s="224">
        <f t="shared" si="14"/>
        <v>0.84615384615384615</v>
      </c>
      <c r="CJ26" s="227">
        <v>24000</v>
      </c>
      <c r="CK26" s="224">
        <f t="shared" si="15"/>
        <v>0.92307692307692313</v>
      </c>
      <c r="CL26" s="227">
        <f>26000*0.95</f>
        <v>24700</v>
      </c>
      <c r="CM26" s="224">
        <f t="shared" si="16"/>
        <v>0.95</v>
      </c>
      <c r="CN26" s="227">
        <f>26000*0.95</f>
        <v>24700</v>
      </c>
      <c r="CO26" s="224">
        <f t="shared" si="17"/>
        <v>0.95</v>
      </c>
      <c r="CP26" s="213" t="str">
        <f t="shared" si="20"/>
        <v>Không đạt</v>
      </c>
      <c r="CQ26" s="213" t="str">
        <f t="shared" si="21"/>
        <v>Không đạt</v>
      </c>
      <c r="CR26" s="192"/>
      <c r="CS26" s="214">
        <f t="shared" si="18"/>
        <v>0</v>
      </c>
      <c r="CT26" s="223"/>
      <c r="CU26" s="163"/>
      <c r="CV26" s="232"/>
      <c r="CW26" s="195"/>
      <c r="CX26" s="196"/>
      <c r="CY26" s="196"/>
      <c r="CZ26" s="197"/>
      <c r="DA26" s="196"/>
      <c r="DB26" s="196"/>
      <c r="DC26" s="196"/>
      <c r="DE26" s="199"/>
      <c r="DF26" s="200"/>
      <c r="DG26" s="181"/>
    </row>
    <row r="27" spans="1:111" s="233" customFormat="1" ht="15" hidden="1" outlineLevel="1" x14ac:dyDescent="0.25">
      <c r="A27" s="192">
        <f>MAX(A$14:$B26)+1</f>
        <v>10</v>
      </c>
      <c r="B27" s="222" t="s">
        <v>166</v>
      </c>
      <c r="C27" s="222">
        <v>7602659</v>
      </c>
      <c r="D27" s="214">
        <f t="shared" si="19"/>
        <v>7000</v>
      </c>
      <c r="E27" s="214"/>
      <c r="F27" s="214">
        <f t="shared" si="25"/>
        <v>7000</v>
      </c>
      <c r="G27" s="214">
        <v>7000</v>
      </c>
      <c r="H27" s="214"/>
      <c r="I27" s="235"/>
      <c r="J27" s="235"/>
      <c r="K27" s="223"/>
      <c r="L27" s="235"/>
      <c r="M27" s="223"/>
      <c r="N27" s="223"/>
      <c r="O27" s="214">
        <f t="shared" si="26"/>
        <v>7000</v>
      </c>
      <c r="P27" s="214">
        <v>0</v>
      </c>
      <c r="Q27" s="224">
        <f t="shared" si="1"/>
        <v>0</v>
      </c>
      <c r="R27" s="214"/>
      <c r="S27" s="225">
        <v>0</v>
      </c>
      <c r="T27" s="225">
        <v>0</v>
      </c>
      <c r="U27" s="214"/>
      <c r="V27" s="225">
        <v>0</v>
      </c>
      <c r="W27" s="225">
        <v>0</v>
      </c>
      <c r="X27" s="214"/>
      <c r="Y27" s="225">
        <v>0</v>
      </c>
      <c r="Z27" s="225">
        <v>0</v>
      </c>
      <c r="AA27" s="214"/>
      <c r="AB27" s="225">
        <v>0</v>
      </c>
      <c r="AC27" s="225">
        <v>0</v>
      </c>
      <c r="AD27" s="214"/>
      <c r="AE27" s="225">
        <v>0</v>
      </c>
      <c r="AF27" s="225">
        <v>0</v>
      </c>
      <c r="AG27" s="214"/>
      <c r="AH27" s="225">
        <v>0</v>
      </c>
      <c r="AI27" s="225">
        <v>0</v>
      </c>
      <c r="AJ27" s="214"/>
      <c r="AK27" s="225">
        <v>0</v>
      </c>
      <c r="AL27" s="225">
        <v>0</v>
      </c>
      <c r="AM27" s="214"/>
      <c r="AN27" s="225">
        <v>0</v>
      </c>
      <c r="AO27" s="225">
        <v>0</v>
      </c>
      <c r="AP27" s="225"/>
      <c r="AQ27" s="214"/>
      <c r="AR27" s="225">
        <v>0</v>
      </c>
      <c r="AS27" s="225">
        <v>0</v>
      </c>
      <c r="AT27" s="214"/>
      <c r="AU27" s="225">
        <v>0</v>
      </c>
      <c r="AV27" s="225">
        <v>0</v>
      </c>
      <c r="AW27" s="214"/>
      <c r="AX27" s="225">
        <v>0</v>
      </c>
      <c r="AY27" s="225">
        <v>0</v>
      </c>
      <c r="AZ27" s="214"/>
      <c r="BA27" s="225">
        <v>0</v>
      </c>
      <c r="BB27" s="225">
        <v>0</v>
      </c>
      <c r="BC27" s="214"/>
      <c r="BD27" s="225">
        <v>0</v>
      </c>
      <c r="BE27" s="225">
        <v>0</v>
      </c>
      <c r="BF27" s="214"/>
      <c r="BG27" s="214"/>
      <c r="BH27" s="225">
        <v>0</v>
      </c>
      <c r="BI27" s="225">
        <v>0</v>
      </c>
      <c r="BJ27" s="214">
        <f t="shared" si="2"/>
        <v>6650</v>
      </c>
      <c r="BK27" s="214"/>
      <c r="BL27" s="225">
        <f t="shared" si="3"/>
        <v>0</v>
      </c>
      <c r="BM27" s="225">
        <f t="shared" si="4"/>
        <v>0</v>
      </c>
      <c r="BN27" s="205">
        <f t="shared" si="23"/>
        <v>0</v>
      </c>
      <c r="BO27" s="205"/>
      <c r="BP27" s="227"/>
      <c r="BQ27" s="224">
        <f t="shared" si="5"/>
        <v>0</v>
      </c>
      <c r="BR27" s="227"/>
      <c r="BS27" s="224">
        <f t="shared" si="6"/>
        <v>0</v>
      </c>
      <c r="BT27" s="227"/>
      <c r="BU27" s="224">
        <f t="shared" si="7"/>
        <v>0</v>
      </c>
      <c r="BV27" s="227"/>
      <c r="BW27" s="224">
        <f t="shared" si="8"/>
        <v>0</v>
      </c>
      <c r="BX27" s="227">
        <v>1200</v>
      </c>
      <c r="BY27" s="224">
        <f t="shared" si="9"/>
        <v>0.17142857142857143</v>
      </c>
      <c r="BZ27" s="227">
        <v>2000</v>
      </c>
      <c r="CA27" s="224">
        <f t="shared" si="10"/>
        <v>0.2857142857142857</v>
      </c>
      <c r="CB27" s="227">
        <v>2500</v>
      </c>
      <c r="CC27" s="224">
        <f t="shared" si="11"/>
        <v>0.35714285714285715</v>
      </c>
      <c r="CD27" s="227">
        <v>3700</v>
      </c>
      <c r="CE27" s="224">
        <f t="shared" si="12"/>
        <v>0.52857142857142858</v>
      </c>
      <c r="CF27" s="227">
        <v>4500</v>
      </c>
      <c r="CG27" s="224">
        <f t="shared" si="13"/>
        <v>0.6428571428571429</v>
      </c>
      <c r="CH27" s="227">
        <v>6000</v>
      </c>
      <c r="CI27" s="224">
        <f t="shared" si="14"/>
        <v>0.8571428571428571</v>
      </c>
      <c r="CJ27" s="227">
        <v>6650</v>
      </c>
      <c r="CK27" s="224">
        <f t="shared" si="15"/>
        <v>0.95</v>
      </c>
      <c r="CL27" s="227">
        <f>7000*0.95</f>
        <v>6650</v>
      </c>
      <c r="CM27" s="224">
        <f t="shared" si="16"/>
        <v>0.95</v>
      </c>
      <c r="CN27" s="227">
        <f>7000*0.95</f>
        <v>6650</v>
      </c>
      <c r="CO27" s="224">
        <f t="shared" si="17"/>
        <v>0.95</v>
      </c>
      <c r="CP27" s="213" t="str">
        <f t="shared" si="20"/>
        <v>Không đạt</v>
      </c>
      <c r="CQ27" s="213" t="str">
        <f t="shared" si="21"/>
        <v>Không đạt</v>
      </c>
      <c r="CR27" s="192"/>
      <c r="CS27" s="214">
        <f t="shared" si="18"/>
        <v>0</v>
      </c>
      <c r="CT27" s="223"/>
      <c r="CU27" s="163"/>
      <c r="CV27" s="232"/>
      <c r="CW27" s="195"/>
      <c r="CX27" s="196"/>
      <c r="CY27" s="196"/>
      <c r="CZ27" s="197"/>
      <c r="DA27" s="196"/>
      <c r="DB27" s="196"/>
      <c r="DC27" s="196"/>
      <c r="DE27" s="199"/>
      <c r="DF27" s="200"/>
      <c r="DG27" s="181"/>
    </row>
    <row r="28" spans="1:111" s="233" customFormat="1" ht="25.5" hidden="1" outlineLevel="1" x14ac:dyDescent="0.25">
      <c r="A28" s="192">
        <f>MAX(A$14:$B27)+1</f>
        <v>11</v>
      </c>
      <c r="B28" s="222" t="s">
        <v>167</v>
      </c>
      <c r="C28" s="222">
        <v>7782601</v>
      </c>
      <c r="D28" s="214">
        <f t="shared" si="19"/>
        <v>1175</v>
      </c>
      <c r="E28" s="214"/>
      <c r="F28" s="214">
        <f t="shared" si="25"/>
        <v>1175</v>
      </c>
      <c r="G28" s="214">
        <v>1175</v>
      </c>
      <c r="H28" s="214"/>
      <c r="I28" s="235"/>
      <c r="J28" s="235"/>
      <c r="K28" s="223"/>
      <c r="L28" s="235"/>
      <c r="M28" s="223"/>
      <c r="N28" s="223"/>
      <c r="O28" s="214">
        <f t="shared" si="26"/>
        <v>1175</v>
      </c>
      <c r="P28" s="214">
        <v>0</v>
      </c>
      <c r="Q28" s="224">
        <f t="shared" si="1"/>
        <v>0</v>
      </c>
      <c r="R28" s="214"/>
      <c r="S28" s="225">
        <v>0</v>
      </c>
      <c r="T28" s="225">
        <v>0</v>
      </c>
      <c r="U28" s="214"/>
      <c r="V28" s="225">
        <v>0</v>
      </c>
      <c r="W28" s="225">
        <v>0</v>
      </c>
      <c r="X28" s="214"/>
      <c r="Y28" s="225">
        <v>0</v>
      </c>
      <c r="Z28" s="225">
        <v>0</v>
      </c>
      <c r="AA28" s="214"/>
      <c r="AB28" s="225">
        <v>0</v>
      </c>
      <c r="AC28" s="225">
        <v>0</v>
      </c>
      <c r="AD28" s="214"/>
      <c r="AE28" s="225">
        <v>0</v>
      </c>
      <c r="AF28" s="225">
        <v>0</v>
      </c>
      <c r="AG28" s="214"/>
      <c r="AH28" s="225">
        <v>0</v>
      </c>
      <c r="AI28" s="225">
        <v>0</v>
      </c>
      <c r="AJ28" s="214"/>
      <c r="AK28" s="225">
        <v>0</v>
      </c>
      <c r="AL28" s="225">
        <v>0</v>
      </c>
      <c r="AM28" s="214"/>
      <c r="AN28" s="225">
        <v>0</v>
      </c>
      <c r="AO28" s="225">
        <v>0</v>
      </c>
      <c r="AP28" s="225"/>
      <c r="AQ28" s="214"/>
      <c r="AR28" s="225">
        <v>0</v>
      </c>
      <c r="AS28" s="225">
        <v>0</v>
      </c>
      <c r="AT28" s="214"/>
      <c r="AU28" s="225">
        <v>0</v>
      </c>
      <c r="AV28" s="225">
        <v>0</v>
      </c>
      <c r="AW28" s="214"/>
      <c r="AX28" s="225">
        <v>0</v>
      </c>
      <c r="AY28" s="225">
        <v>0</v>
      </c>
      <c r="AZ28" s="214"/>
      <c r="BA28" s="225">
        <v>0</v>
      </c>
      <c r="BB28" s="225">
        <v>0</v>
      </c>
      <c r="BC28" s="214"/>
      <c r="BD28" s="225">
        <v>0</v>
      </c>
      <c r="BE28" s="225">
        <v>0</v>
      </c>
      <c r="BF28" s="214"/>
      <c r="BG28" s="214"/>
      <c r="BH28" s="225">
        <v>0</v>
      </c>
      <c r="BI28" s="225">
        <v>0</v>
      </c>
      <c r="BJ28" s="214">
        <f t="shared" si="2"/>
        <v>1116.25</v>
      </c>
      <c r="BK28" s="214"/>
      <c r="BL28" s="225">
        <f t="shared" si="3"/>
        <v>0</v>
      </c>
      <c r="BM28" s="225">
        <f t="shared" si="4"/>
        <v>0</v>
      </c>
      <c r="BN28" s="205">
        <f t="shared" si="23"/>
        <v>0</v>
      </c>
      <c r="BO28" s="205"/>
      <c r="BP28" s="227"/>
      <c r="BQ28" s="224">
        <f t="shared" si="5"/>
        <v>0</v>
      </c>
      <c r="BR28" s="227"/>
      <c r="BS28" s="224">
        <f t="shared" si="6"/>
        <v>0</v>
      </c>
      <c r="BT28" s="227">
        <f>1175*0.95</f>
        <v>1116.25</v>
      </c>
      <c r="BU28" s="224">
        <f t="shared" si="7"/>
        <v>0.95</v>
      </c>
      <c r="BV28" s="227">
        <f>1175*0.95</f>
        <v>1116.25</v>
      </c>
      <c r="BW28" s="224">
        <f t="shared" si="8"/>
        <v>0.95</v>
      </c>
      <c r="BX28" s="227">
        <f>1175*0.95</f>
        <v>1116.25</v>
      </c>
      <c r="BY28" s="224">
        <f t="shared" si="9"/>
        <v>0.95</v>
      </c>
      <c r="BZ28" s="227">
        <f>1175*0.95</f>
        <v>1116.25</v>
      </c>
      <c r="CA28" s="224">
        <f t="shared" si="10"/>
        <v>0.95</v>
      </c>
      <c r="CB28" s="227">
        <f>1175*0.95</f>
        <v>1116.25</v>
      </c>
      <c r="CC28" s="224">
        <f t="shared" si="11"/>
        <v>0.95</v>
      </c>
      <c r="CD28" s="227">
        <f>1175*0.95</f>
        <v>1116.25</v>
      </c>
      <c r="CE28" s="224">
        <f t="shared" si="12"/>
        <v>0.95</v>
      </c>
      <c r="CF28" s="227">
        <f>1175*0.95</f>
        <v>1116.25</v>
      </c>
      <c r="CG28" s="224">
        <f t="shared" si="13"/>
        <v>0.95</v>
      </c>
      <c r="CH28" s="227">
        <f>1175*0.95</f>
        <v>1116.25</v>
      </c>
      <c r="CI28" s="224">
        <f t="shared" si="14"/>
        <v>0.95</v>
      </c>
      <c r="CJ28" s="227">
        <f>1175*0.95</f>
        <v>1116.25</v>
      </c>
      <c r="CK28" s="224">
        <f t="shared" si="15"/>
        <v>0.95</v>
      </c>
      <c r="CL28" s="227">
        <f>1175*0.95</f>
        <v>1116.25</v>
      </c>
      <c r="CM28" s="224">
        <f t="shared" si="16"/>
        <v>0.95</v>
      </c>
      <c r="CN28" s="227">
        <f>1175*0.95</f>
        <v>1116.25</v>
      </c>
      <c r="CO28" s="224">
        <f t="shared" si="17"/>
        <v>0.95</v>
      </c>
      <c r="CP28" s="213" t="str">
        <f t="shared" si="20"/>
        <v>Không đạt</v>
      </c>
      <c r="CQ28" s="213" t="str">
        <f t="shared" si="21"/>
        <v>Không đạt</v>
      </c>
      <c r="CR28" s="192"/>
      <c r="CS28" s="214">
        <f t="shared" si="18"/>
        <v>0</v>
      </c>
      <c r="CT28" s="223"/>
      <c r="CU28" s="163"/>
      <c r="CV28" s="232"/>
      <c r="CW28" s="195"/>
      <c r="CX28" s="196"/>
      <c r="CY28" s="196"/>
      <c r="CZ28" s="197"/>
      <c r="DA28" s="196"/>
      <c r="DB28" s="196"/>
      <c r="DC28" s="196"/>
      <c r="DE28" s="199"/>
      <c r="DF28" s="200"/>
      <c r="DG28" s="181"/>
    </row>
    <row r="29" spans="1:111" s="233" customFormat="1" ht="26.45" hidden="1" customHeight="1" outlineLevel="1" x14ac:dyDescent="0.25">
      <c r="A29" s="192">
        <f>MAX(A$14:$B28)+1</f>
        <v>12</v>
      </c>
      <c r="B29" s="222" t="s">
        <v>168</v>
      </c>
      <c r="C29" s="222">
        <v>7922805</v>
      </c>
      <c r="D29" s="214">
        <f t="shared" si="19"/>
        <v>415474</v>
      </c>
      <c r="E29" s="214"/>
      <c r="F29" s="214">
        <f t="shared" si="25"/>
        <v>415474</v>
      </c>
      <c r="G29" s="214"/>
      <c r="H29" s="214">
        <f>330000+85474</f>
        <v>415474</v>
      </c>
      <c r="I29" s="235">
        <v>115000</v>
      </c>
      <c r="J29" s="214">
        <v>115000</v>
      </c>
      <c r="K29" s="223"/>
      <c r="L29" s="235"/>
      <c r="M29" s="223"/>
      <c r="N29" s="223"/>
      <c r="O29" s="214">
        <f t="shared" si="26"/>
        <v>115000</v>
      </c>
      <c r="P29" s="214">
        <v>4988</v>
      </c>
      <c r="Q29" s="224">
        <f t="shared" si="1"/>
        <v>1.2005564728478798E-2</v>
      </c>
      <c r="R29" s="214">
        <v>39944.377399999998</v>
      </c>
      <c r="S29" s="225">
        <v>0.12104356787878787</v>
      </c>
      <c r="T29" s="225">
        <v>0.12741428197767143</v>
      </c>
      <c r="U29" s="214">
        <v>39944.377399999998</v>
      </c>
      <c r="V29" s="225">
        <v>0.12104356787878787</v>
      </c>
      <c r="W29" s="225">
        <v>0.12741428197767143</v>
      </c>
      <c r="X29" s="214">
        <v>41901.126400000001</v>
      </c>
      <c r="Y29" s="225">
        <v>0.1269731103030303</v>
      </c>
      <c r="Z29" s="225">
        <v>0.13365590558213716</v>
      </c>
      <c r="AA29" s="214">
        <v>42081</v>
      </c>
      <c r="AB29" s="225">
        <v>0.12751818181818181</v>
      </c>
      <c r="AC29" s="225">
        <v>0.13422966507177034</v>
      </c>
      <c r="AD29" s="214">
        <v>57767</v>
      </c>
      <c r="AE29" s="225">
        <v>0.17505151515151515</v>
      </c>
      <c r="AF29" s="225">
        <v>0.18426475279106858</v>
      </c>
      <c r="AG29" s="214">
        <v>65309.149710999998</v>
      </c>
      <c r="AH29" s="225">
        <v>0.19790651427575756</v>
      </c>
      <c r="AI29" s="225">
        <v>0.20832264660606059</v>
      </c>
      <c r="AJ29" s="214">
        <v>65309.149710999998</v>
      </c>
      <c r="AK29" s="225">
        <v>0.19790651427575756</v>
      </c>
      <c r="AL29" s="225">
        <v>0.20832264660606059</v>
      </c>
      <c r="AM29" s="214">
        <v>67903.180345999994</v>
      </c>
      <c r="AN29" s="225">
        <v>0.20576721316969696</v>
      </c>
      <c r="AO29" s="225">
        <v>0.21659706649441784</v>
      </c>
      <c r="AP29" s="225"/>
      <c r="AQ29" s="214">
        <v>115000</v>
      </c>
      <c r="AR29" s="225">
        <v>0.34848484848484851</v>
      </c>
      <c r="AS29" s="225">
        <v>0.3668261562998405</v>
      </c>
      <c r="AT29" s="214">
        <v>115000</v>
      </c>
      <c r="AU29" s="225">
        <v>0.34848484848484851</v>
      </c>
      <c r="AV29" s="225">
        <v>0.3668261562998405</v>
      </c>
      <c r="AW29" s="214">
        <v>115000</v>
      </c>
      <c r="AX29" s="225">
        <v>0.34848484848484851</v>
      </c>
      <c r="AY29" s="225">
        <v>0.3668261562998405</v>
      </c>
      <c r="AZ29" s="214">
        <v>115000</v>
      </c>
      <c r="BA29" s="225">
        <v>0.34848484848484851</v>
      </c>
      <c r="BB29" s="225">
        <v>0.3668261562998405</v>
      </c>
      <c r="BC29" s="214">
        <v>149768.83277400001</v>
      </c>
      <c r="BD29" s="225">
        <v>0.45384494780000001</v>
      </c>
      <c r="BE29" s="225">
        <v>0.47773152400000002</v>
      </c>
      <c r="BF29" s="214">
        <v>205000</v>
      </c>
      <c r="BG29" s="214">
        <v>205000</v>
      </c>
      <c r="BH29" s="225">
        <v>0.49341234349201152</v>
      </c>
      <c r="BI29" s="225">
        <v>0.51938141420211736</v>
      </c>
      <c r="BJ29" s="214">
        <f t="shared" si="2"/>
        <v>394700.3</v>
      </c>
      <c r="BK29" s="214">
        <v>208604.21340199999</v>
      </c>
      <c r="BL29" s="225">
        <f t="shared" si="3"/>
        <v>0.50208728681457804</v>
      </c>
      <c r="BM29" s="225">
        <f t="shared" si="4"/>
        <v>0.5285129334890295</v>
      </c>
      <c r="BN29" s="205">
        <f t="shared" si="23"/>
        <v>150837.21340199999</v>
      </c>
      <c r="BO29" s="205"/>
      <c r="BP29" s="227"/>
      <c r="BQ29" s="224">
        <f t="shared" si="5"/>
        <v>0</v>
      </c>
      <c r="BR29" s="227"/>
      <c r="BS29" s="224">
        <f t="shared" si="6"/>
        <v>0</v>
      </c>
      <c r="BT29" s="227">
        <v>33000</v>
      </c>
      <c r="BU29" s="224">
        <f t="shared" si="7"/>
        <v>7.9427352854811617E-2</v>
      </c>
      <c r="BV29" s="227">
        <v>66000</v>
      </c>
      <c r="BW29" s="224">
        <f t="shared" si="8"/>
        <v>0.15885470570962323</v>
      </c>
      <c r="BX29" s="227">
        <v>115500</v>
      </c>
      <c r="BY29" s="224">
        <f t="shared" si="9"/>
        <v>0.27799573499184066</v>
      </c>
      <c r="BZ29" s="227">
        <v>165000</v>
      </c>
      <c r="CA29" s="224">
        <f t="shared" si="10"/>
        <v>0.39713676427405809</v>
      </c>
      <c r="CB29" s="227">
        <v>198000</v>
      </c>
      <c r="CC29" s="224">
        <f t="shared" si="11"/>
        <v>0.4765641171288697</v>
      </c>
      <c r="CD29" s="227">
        <v>231000</v>
      </c>
      <c r="CE29" s="224">
        <f t="shared" si="12"/>
        <v>0.55599146998368132</v>
      </c>
      <c r="CF29" s="227">
        <v>264000</v>
      </c>
      <c r="CG29" s="224">
        <f t="shared" si="13"/>
        <v>0.63541882283849294</v>
      </c>
      <c r="CH29" s="227">
        <v>297000</v>
      </c>
      <c r="CI29" s="224">
        <f t="shared" si="14"/>
        <v>0.71484617569330455</v>
      </c>
      <c r="CJ29" s="227">
        <v>313500</v>
      </c>
      <c r="CK29" s="224">
        <f t="shared" si="15"/>
        <v>0.75455985212071031</v>
      </c>
      <c r="CL29" s="227">
        <f>330000*0.95</f>
        <v>313500</v>
      </c>
      <c r="CM29" s="224">
        <f t="shared" si="16"/>
        <v>0.75455985212071031</v>
      </c>
      <c r="CN29" s="227">
        <f>330000*0.95</f>
        <v>313500</v>
      </c>
      <c r="CO29" s="224">
        <f t="shared" si="17"/>
        <v>0.75455985212071031</v>
      </c>
      <c r="CP29" s="213" t="str">
        <f t="shared" si="20"/>
        <v>Đạt</v>
      </c>
      <c r="CQ29" s="213" t="str">
        <f t="shared" si="21"/>
        <v>Đạt</v>
      </c>
      <c r="CR29" s="192"/>
      <c r="CS29" s="214">
        <f t="shared" si="18"/>
        <v>93604.213401999994</v>
      </c>
      <c r="CT29" s="223"/>
      <c r="CU29" s="163"/>
      <c r="CV29" s="232"/>
      <c r="CW29" s="195"/>
      <c r="CX29" s="196"/>
      <c r="CY29" s="196"/>
      <c r="CZ29" s="197"/>
      <c r="DA29" s="196"/>
      <c r="DB29" s="196"/>
      <c r="DC29" s="196"/>
      <c r="DE29" s="199"/>
      <c r="DF29" s="200"/>
      <c r="DG29" s="181"/>
    </row>
    <row r="30" spans="1:111" s="233" customFormat="1" ht="38.25" hidden="1" outlineLevel="1" x14ac:dyDescent="0.25">
      <c r="A30" s="192">
        <f>MAX(A$14:$B29)+1</f>
        <v>13</v>
      </c>
      <c r="B30" s="222" t="s">
        <v>169</v>
      </c>
      <c r="C30" s="222">
        <v>7946654</v>
      </c>
      <c r="D30" s="214">
        <f t="shared" si="19"/>
        <v>100000</v>
      </c>
      <c r="E30" s="214"/>
      <c r="F30" s="214">
        <f t="shared" si="25"/>
        <v>100000</v>
      </c>
      <c r="G30" s="214">
        <v>100000</v>
      </c>
      <c r="H30" s="214"/>
      <c r="I30" s="235"/>
      <c r="J30" s="214"/>
      <c r="K30" s="223"/>
      <c r="L30" s="235"/>
      <c r="M30" s="223"/>
      <c r="N30" s="223"/>
      <c r="O30" s="214">
        <f t="shared" si="26"/>
        <v>100000</v>
      </c>
      <c r="P30" s="214">
        <v>0</v>
      </c>
      <c r="Q30" s="224">
        <f t="shared" si="1"/>
        <v>0</v>
      </c>
      <c r="R30" s="214">
        <v>5907.7039999999997</v>
      </c>
      <c r="S30" s="225">
        <v>5.9077039999999997E-2</v>
      </c>
      <c r="T30" s="225">
        <v>6.2186357894736838E-2</v>
      </c>
      <c r="U30" s="214">
        <v>6251.4859999999999</v>
      </c>
      <c r="V30" s="225">
        <v>6.2514860000000005E-2</v>
      </c>
      <c r="W30" s="225">
        <v>6.5805115789473678E-2</v>
      </c>
      <c r="X30" s="214">
        <v>6251.4859999999999</v>
      </c>
      <c r="Y30" s="225">
        <v>6.2514860000000005E-2</v>
      </c>
      <c r="Z30" s="225">
        <v>6.5805115789473678E-2</v>
      </c>
      <c r="AA30" s="214">
        <v>6251.4859999999999</v>
      </c>
      <c r="AB30" s="225">
        <v>6.2514860000000005E-2</v>
      </c>
      <c r="AC30" s="225">
        <v>6.5805115789473678E-2</v>
      </c>
      <c r="AD30" s="214">
        <v>6304.9759999999997</v>
      </c>
      <c r="AE30" s="225">
        <v>6.3049759999999996E-2</v>
      </c>
      <c r="AF30" s="225">
        <v>6.6368168421052628E-2</v>
      </c>
      <c r="AG30" s="214">
        <v>6887.4390000000003</v>
      </c>
      <c r="AH30" s="225">
        <v>6.8874390000000008E-2</v>
      </c>
      <c r="AI30" s="225">
        <v>7.2499357894736841E-2</v>
      </c>
      <c r="AJ30" s="214">
        <v>6887.4390000000003</v>
      </c>
      <c r="AK30" s="225">
        <v>6.8874390000000008E-2</v>
      </c>
      <c r="AL30" s="225">
        <v>7.2499357894736841E-2</v>
      </c>
      <c r="AM30" s="214">
        <v>9331.6319999999996</v>
      </c>
      <c r="AN30" s="225">
        <v>9.3316319999999994E-2</v>
      </c>
      <c r="AO30" s="225">
        <v>9.8227705263157897E-2</v>
      </c>
      <c r="AP30" s="225"/>
      <c r="AQ30" s="214">
        <v>13673.620999999999</v>
      </c>
      <c r="AR30" s="225">
        <v>0.13673621</v>
      </c>
      <c r="AS30" s="225">
        <v>0.14393285263157893</v>
      </c>
      <c r="AT30" s="214">
        <v>13673.620999999999</v>
      </c>
      <c r="AU30" s="225">
        <v>0.13673621</v>
      </c>
      <c r="AV30" s="225">
        <v>0.14393285263157893</v>
      </c>
      <c r="AW30" s="214">
        <v>13673.620999999999</v>
      </c>
      <c r="AX30" s="225">
        <v>0.13673621</v>
      </c>
      <c r="AY30" s="225">
        <v>0.14393285263157893</v>
      </c>
      <c r="AZ30" s="214">
        <v>13673.620999999999</v>
      </c>
      <c r="BA30" s="225">
        <v>0.13673621</v>
      </c>
      <c r="BB30" s="225">
        <v>0.14393285263157893</v>
      </c>
      <c r="BC30" s="214">
        <v>15394.029</v>
      </c>
      <c r="BD30" s="225">
        <v>0.15394029000000001</v>
      </c>
      <c r="BE30" s="225">
        <v>0.16204241052631579</v>
      </c>
      <c r="BF30" s="214"/>
      <c r="BG30" s="214">
        <v>20879.197</v>
      </c>
      <c r="BH30" s="225">
        <v>0.20879196999999999</v>
      </c>
      <c r="BI30" s="225">
        <v>0.21978102105263159</v>
      </c>
      <c r="BJ30" s="214">
        <f t="shared" si="2"/>
        <v>95000</v>
      </c>
      <c r="BK30" s="214">
        <v>21570.20824</v>
      </c>
      <c r="BL30" s="225">
        <f t="shared" si="3"/>
        <v>0.21570208239999999</v>
      </c>
      <c r="BM30" s="225">
        <f t="shared" si="4"/>
        <v>0.22705482357894738</v>
      </c>
      <c r="BN30" s="205">
        <f t="shared" si="23"/>
        <v>15265.232240000001</v>
      </c>
      <c r="BO30" s="205"/>
      <c r="BP30" s="227"/>
      <c r="BQ30" s="224">
        <f t="shared" si="5"/>
        <v>0</v>
      </c>
      <c r="BR30" s="227">
        <v>5500</v>
      </c>
      <c r="BS30" s="224">
        <f t="shared" si="6"/>
        <v>5.5E-2</v>
      </c>
      <c r="BT30" s="227">
        <v>19864</v>
      </c>
      <c r="BU30" s="224">
        <f t="shared" si="7"/>
        <v>0.19864000000000001</v>
      </c>
      <c r="BV30" s="227">
        <v>38364</v>
      </c>
      <c r="BW30" s="224">
        <f t="shared" si="8"/>
        <v>0.38363999999999998</v>
      </c>
      <c r="BX30" s="227">
        <v>52793</v>
      </c>
      <c r="BY30" s="224">
        <f t="shared" si="9"/>
        <v>0.52793000000000001</v>
      </c>
      <c r="BZ30" s="227">
        <v>67589</v>
      </c>
      <c r="CA30" s="224">
        <f t="shared" si="10"/>
        <v>0.67588999999999999</v>
      </c>
      <c r="CB30" s="227">
        <v>74400</v>
      </c>
      <c r="CC30" s="224">
        <f t="shared" si="11"/>
        <v>0.74399999999999999</v>
      </c>
      <c r="CD30" s="227">
        <v>79400</v>
      </c>
      <c r="CE30" s="224">
        <f t="shared" si="12"/>
        <v>0.79400000000000004</v>
      </c>
      <c r="CF30" s="227">
        <v>82400</v>
      </c>
      <c r="CG30" s="224">
        <f t="shared" si="13"/>
        <v>0.82399999999999995</v>
      </c>
      <c r="CH30" s="227">
        <v>85900</v>
      </c>
      <c r="CI30" s="224">
        <f t="shared" si="14"/>
        <v>0.85899999999999999</v>
      </c>
      <c r="CJ30" s="227">
        <v>85900</v>
      </c>
      <c r="CK30" s="224">
        <f t="shared" si="15"/>
        <v>0.85899999999999999</v>
      </c>
      <c r="CL30" s="227">
        <v>95000</v>
      </c>
      <c r="CM30" s="224">
        <f t="shared" si="16"/>
        <v>0.95</v>
      </c>
      <c r="CN30" s="227">
        <v>95000</v>
      </c>
      <c r="CO30" s="224">
        <f t="shared" si="17"/>
        <v>0.95</v>
      </c>
      <c r="CP30" s="213" t="str">
        <f t="shared" si="20"/>
        <v>Không đạt</v>
      </c>
      <c r="CQ30" s="213" t="str">
        <f t="shared" si="21"/>
        <v>Không đạt</v>
      </c>
      <c r="CR30" s="192"/>
      <c r="CS30" s="214">
        <f t="shared" si="18"/>
        <v>7896.5872400000007</v>
      </c>
      <c r="CT30" s="223"/>
      <c r="CU30" s="163"/>
      <c r="CV30" s="232"/>
      <c r="CW30" s="195"/>
      <c r="CX30" s="196"/>
      <c r="CY30" s="196"/>
      <c r="CZ30" s="197"/>
      <c r="DA30" s="196"/>
      <c r="DB30" s="196"/>
      <c r="DC30" s="196"/>
      <c r="DE30" s="199"/>
      <c r="DF30" s="200"/>
      <c r="DG30" s="181"/>
    </row>
    <row r="31" spans="1:111" s="233" customFormat="1" ht="33" hidden="1" customHeight="1" outlineLevel="1" x14ac:dyDescent="0.25">
      <c r="A31" s="192">
        <f>MAX(A$14:$B30)+1</f>
        <v>14</v>
      </c>
      <c r="B31" s="222" t="s">
        <v>170</v>
      </c>
      <c r="C31" s="222">
        <v>8056091</v>
      </c>
      <c r="D31" s="214">
        <f t="shared" si="19"/>
        <v>100000</v>
      </c>
      <c r="E31" s="214"/>
      <c r="F31" s="214">
        <f t="shared" si="25"/>
        <v>100000</v>
      </c>
      <c r="G31" s="214">
        <v>80000</v>
      </c>
      <c r="H31" s="214">
        <v>20000</v>
      </c>
      <c r="I31" s="235"/>
      <c r="J31" s="235"/>
      <c r="K31" s="223"/>
      <c r="L31" s="235"/>
      <c r="M31" s="223"/>
      <c r="N31" s="223"/>
      <c r="O31" s="214">
        <f t="shared" si="26"/>
        <v>80000</v>
      </c>
      <c r="P31" s="214">
        <v>1700</v>
      </c>
      <c r="Q31" s="224">
        <f t="shared" si="1"/>
        <v>1.7000000000000001E-2</v>
      </c>
      <c r="R31" s="214">
        <v>16209.013931</v>
      </c>
      <c r="S31" s="225">
        <v>0.16209013930999999</v>
      </c>
      <c r="T31" s="225">
        <v>0.17062119927368422</v>
      </c>
      <c r="U31" s="214">
        <v>16387.773931</v>
      </c>
      <c r="V31" s="225">
        <v>0.16387773930999999</v>
      </c>
      <c r="W31" s="225">
        <v>0.17250288348421053</v>
      </c>
      <c r="X31" s="214">
        <v>16387.773931</v>
      </c>
      <c r="Y31" s="225">
        <v>0.16387773930999999</v>
      </c>
      <c r="Z31" s="225">
        <v>0.17250288348421053</v>
      </c>
      <c r="AA31" s="214">
        <v>16540</v>
      </c>
      <c r="AB31" s="225">
        <v>0.16539999999999999</v>
      </c>
      <c r="AC31" s="225">
        <v>0.17410526315789474</v>
      </c>
      <c r="AD31" s="214">
        <v>16540</v>
      </c>
      <c r="AE31" s="225">
        <v>0.16539999999999999</v>
      </c>
      <c r="AF31" s="225">
        <v>0.17410526315789474</v>
      </c>
      <c r="AG31" s="214">
        <v>16711.003930999999</v>
      </c>
      <c r="AH31" s="225">
        <v>0.16711003930999999</v>
      </c>
      <c r="AI31" s="225">
        <v>0.17590530453684211</v>
      </c>
      <c r="AJ31" s="214">
        <v>16711.003930999999</v>
      </c>
      <c r="AK31" s="225">
        <v>0.16711003930999999</v>
      </c>
      <c r="AL31" s="225">
        <v>0.17590530453684211</v>
      </c>
      <c r="AM31" s="214">
        <v>18629.810931</v>
      </c>
      <c r="AN31" s="225">
        <v>0.18629810930999999</v>
      </c>
      <c r="AO31" s="225">
        <v>0.19610327295789473</v>
      </c>
      <c r="AP31" s="225"/>
      <c r="AQ31" s="214">
        <v>21807.707931000001</v>
      </c>
      <c r="AR31" s="225">
        <v>0.21807707931</v>
      </c>
      <c r="AS31" s="225">
        <v>0.2295548203263158</v>
      </c>
      <c r="AT31" s="214">
        <v>21834.948930999999</v>
      </c>
      <c r="AU31" s="225">
        <v>0.21834948930999998</v>
      </c>
      <c r="AV31" s="225">
        <v>0.22984156769473682</v>
      </c>
      <c r="AW31" s="214">
        <v>21834.948930999999</v>
      </c>
      <c r="AX31" s="225">
        <v>0.21834948930999998</v>
      </c>
      <c r="AY31" s="225">
        <v>0.22984156769473682</v>
      </c>
      <c r="AZ31" s="214">
        <v>21834.948930999999</v>
      </c>
      <c r="BA31" s="225">
        <v>0.21834948930999998</v>
      </c>
      <c r="BB31" s="225">
        <v>0.22984156769473682</v>
      </c>
      <c r="BC31" s="214">
        <v>24573</v>
      </c>
      <c r="BD31" s="225">
        <v>0.24573</v>
      </c>
      <c r="BE31" s="225">
        <v>0.25866315789473682</v>
      </c>
      <c r="BF31" s="214"/>
      <c r="BG31" s="214">
        <v>27531.365931</v>
      </c>
      <c r="BH31" s="225">
        <v>0.27531365931000001</v>
      </c>
      <c r="BI31" s="225">
        <v>0.28980385190526314</v>
      </c>
      <c r="BJ31" s="214">
        <f t="shared" si="2"/>
        <v>95000</v>
      </c>
      <c r="BK31" s="214">
        <v>27531.365931</v>
      </c>
      <c r="BL31" s="225">
        <f t="shared" si="3"/>
        <v>0.27531365931000001</v>
      </c>
      <c r="BM31" s="225">
        <f t="shared" si="4"/>
        <v>0.28980385190526314</v>
      </c>
      <c r="BN31" s="205">
        <f t="shared" si="23"/>
        <v>10991.365931</v>
      </c>
      <c r="BO31" s="205"/>
      <c r="BP31" s="227"/>
      <c r="BQ31" s="224">
        <f t="shared" si="5"/>
        <v>0</v>
      </c>
      <c r="BR31" s="227">
        <v>2000</v>
      </c>
      <c r="BS31" s="224">
        <f t="shared" si="6"/>
        <v>0.02</v>
      </c>
      <c r="BT31" s="227">
        <v>8000</v>
      </c>
      <c r="BU31" s="224">
        <f t="shared" si="7"/>
        <v>0.08</v>
      </c>
      <c r="BV31" s="227">
        <v>10000</v>
      </c>
      <c r="BW31" s="224">
        <f t="shared" si="8"/>
        <v>0.1</v>
      </c>
      <c r="BX31" s="227">
        <v>15000</v>
      </c>
      <c r="BY31" s="224">
        <f t="shared" si="9"/>
        <v>0.15</v>
      </c>
      <c r="BZ31" s="227">
        <v>30000</v>
      </c>
      <c r="CA31" s="224">
        <f t="shared" si="10"/>
        <v>0.3</v>
      </c>
      <c r="CB31" s="227">
        <v>35000</v>
      </c>
      <c r="CC31" s="224">
        <f t="shared" si="11"/>
        <v>0.35</v>
      </c>
      <c r="CD31" s="227">
        <v>40000</v>
      </c>
      <c r="CE31" s="224">
        <f t="shared" si="12"/>
        <v>0.4</v>
      </c>
      <c r="CF31" s="227">
        <v>50000</v>
      </c>
      <c r="CG31" s="224">
        <f t="shared" si="13"/>
        <v>0.5</v>
      </c>
      <c r="CH31" s="227">
        <v>60000</v>
      </c>
      <c r="CI31" s="224">
        <f t="shared" si="14"/>
        <v>0.6</v>
      </c>
      <c r="CJ31" s="227">
        <v>80000</v>
      </c>
      <c r="CK31" s="224">
        <f t="shared" si="15"/>
        <v>0.8</v>
      </c>
      <c r="CL31" s="227">
        <v>95000</v>
      </c>
      <c r="CM31" s="224">
        <f t="shared" si="16"/>
        <v>0.95</v>
      </c>
      <c r="CN31" s="227">
        <v>95000</v>
      </c>
      <c r="CO31" s="224">
        <f t="shared" si="17"/>
        <v>0.95</v>
      </c>
      <c r="CP31" s="213" t="str">
        <f t="shared" si="20"/>
        <v>Không đạt</v>
      </c>
      <c r="CQ31" s="213" t="str">
        <f t="shared" si="21"/>
        <v>Không đạt</v>
      </c>
      <c r="CR31" s="192"/>
      <c r="CS31" s="214">
        <f t="shared" si="18"/>
        <v>5696.4170000000013</v>
      </c>
      <c r="CT31" s="223"/>
      <c r="CU31" s="163"/>
      <c r="CV31" s="232"/>
      <c r="CW31" s="195"/>
      <c r="CX31" s="196"/>
      <c r="CY31" s="196"/>
      <c r="CZ31" s="197"/>
      <c r="DA31" s="196"/>
      <c r="DB31" s="196"/>
      <c r="DC31" s="196"/>
      <c r="DE31" s="199"/>
      <c r="DF31" s="200"/>
      <c r="DG31" s="181"/>
    </row>
    <row r="32" spans="1:111" s="233" customFormat="1" ht="19.899999999999999" hidden="1" customHeight="1" outlineLevel="1" x14ac:dyDescent="0.25">
      <c r="A32" s="192">
        <f>MAX(A$14:$B31)+1</f>
        <v>15</v>
      </c>
      <c r="B32" s="222" t="s">
        <v>171</v>
      </c>
      <c r="C32" s="222">
        <v>7987729</v>
      </c>
      <c r="D32" s="214">
        <f t="shared" si="19"/>
        <v>380000.39100000006</v>
      </c>
      <c r="E32" s="214"/>
      <c r="F32" s="214">
        <f t="shared" si="25"/>
        <v>380000.39100000006</v>
      </c>
      <c r="G32" s="214">
        <v>334167</v>
      </c>
      <c r="H32" s="214">
        <v>45833.391000000061</v>
      </c>
      <c r="I32" s="235"/>
      <c r="J32" s="235"/>
      <c r="K32" s="223"/>
      <c r="L32" s="235"/>
      <c r="M32" s="223"/>
      <c r="N32" s="223"/>
      <c r="O32" s="214">
        <f t="shared" si="26"/>
        <v>334167</v>
      </c>
      <c r="P32" s="214">
        <v>0</v>
      </c>
      <c r="Q32" s="224">
        <f t="shared" si="1"/>
        <v>0</v>
      </c>
      <c r="R32" s="214">
        <v>4300</v>
      </c>
      <c r="S32" s="225">
        <v>1.1315777830344388E-2</v>
      </c>
      <c r="T32" s="225">
        <v>1.1911345084573042E-2</v>
      </c>
      <c r="U32" s="214">
        <v>4300</v>
      </c>
      <c r="V32" s="225">
        <v>1.1315777830344388E-2</v>
      </c>
      <c r="W32" s="225">
        <v>1.1911345084573042E-2</v>
      </c>
      <c r="X32" s="214">
        <v>4300</v>
      </c>
      <c r="Y32" s="225">
        <v>1.1315777830344388E-2</v>
      </c>
      <c r="Z32" s="225">
        <v>1.1911345084573042E-2</v>
      </c>
      <c r="AA32" s="214">
        <v>4300</v>
      </c>
      <c r="AB32" s="225">
        <v>1.1315777830344388E-2</v>
      </c>
      <c r="AC32" s="225">
        <v>1.1911345084573042E-2</v>
      </c>
      <c r="AD32" s="214">
        <v>4300</v>
      </c>
      <c r="AE32" s="225">
        <v>1.1315777830344388E-2</v>
      </c>
      <c r="AF32" s="225">
        <v>1.1911345084573042E-2</v>
      </c>
      <c r="AG32" s="214">
        <v>4300</v>
      </c>
      <c r="AH32" s="225">
        <v>1.1315777830344388E-2</v>
      </c>
      <c r="AI32" s="225">
        <v>1.1911345084573042E-2</v>
      </c>
      <c r="AJ32" s="214">
        <v>4300</v>
      </c>
      <c r="AK32" s="225">
        <v>1.1315777830344388E-2</v>
      </c>
      <c r="AL32" s="225">
        <v>1.1911345084573042E-2</v>
      </c>
      <c r="AM32" s="214">
        <v>4300</v>
      </c>
      <c r="AN32" s="225">
        <v>1.1315777830344388E-2</v>
      </c>
      <c r="AO32" s="225">
        <v>1.1911345084573042E-2</v>
      </c>
      <c r="AP32" s="225"/>
      <c r="AQ32" s="214">
        <v>4600</v>
      </c>
      <c r="AR32" s="225">
        <v>1.2105250702228881E-2</v>
      </c>
      <c r="AS32" s="225">
        <v>1.2742369160240928E-2</v>
      </c>
      <c r="AT32" s="214">
        <v>4600</v>
      </c>
      <c r="AU32" s="225">
        <v>1.2105250702228881E-2</v>
      </c>
      <c r="AV32" s="225">
        <v>1.2742369160240928E-2</v>
      </c>
      <c r="AW32" s="214">
        <v>4600</v>
      </c>
      <c r="AX32" s="225">
        <v>1.2105250702228881E-2</v>
      </c>
      <c r="AY32" s="225">
        <v>1.2742369160240928E-2</v>
      </c>
      <c r="AZ32" s="214">
        <v>4701.5749999999998</v>
      </c>
      <c r="BA32" s="225">
        <v>1.2372553058767772E-2</v>
      </c>
      <c r="BB32" s="225">
        <v>1.3023740061860812E-2</v>
      </c>
      <c r="BC32" s="214">
        <v>4701.5749999999998</v>
      </c>
      <c r="BD32" s="225">
        <v>1.2372553058767772E-2</v>
      </c>
      <c r="BE32" s="225">
        <v>1.3023740061860812E-2</v>
      </c>
      <c r="BF32" s="214"/>
      <c r="BG32" s="214">
        <v>6011.9650000000001</v>
      </c>
      <c r="BH32" s="225">
        <v>1.5820944247396839E-2</v>
      </c>
      <c r="BI32" s="225">
        <v>1.6653625523575619E-2</v>
      </c>
      <c r="BJ32" s="214">
        <f t="shared" si="2"/>
        <v>361000.37145000004</v>
      </c>
      <c r="BK32" s="214">
        <v>7511.9650000000001</v>
      </c>
      <c r="BL32" s="225">
        <f t="shared" si="3"/>
        <v>1.9768308606819298E-2</v>
      </c>
      <c r="BM32" s="225">
        <f t="shared" si="4"/>
        <v>2.0808745901915053E-2</v>
      </c>
      <c r="BN32" s="205">
        <f t="shared" si="23"/>
        <v>3211.9650000000001</v>
      </c>
      <c r="BO32" s="205"/>
      <c r="BP32" s="227"/>
      <c r="BQ32" s="224">
        <f t="shared" si="5"/>
        <v>0</v>
      </c>
      <c r="BR32" s="227">
        <v>2000</v>
      </c>
      <c r="BS32" s="224">
        <f t="shared" si="6"/>
        <v>5.2631524792299484E-3</v>
      </c>
      <c r="BT32" s="227">
        <v>2000</v>
      </c>
      <c r="BU32" s="224">
        <f t="shared" si="7"/>
        <v>5.2631524792299484E-3</v>
      </c>
      <c r="BV32" s="227">
        <v>32000</v>
      </c>
      <c r="BW32" s="224">
        <f t="shared" si="8"/>
        <v>8.4210439667679174E-2</v>
      </c>
      <c r="BX32" s="227">
        <v>37000</v>
      </c>
      <c r="BY32" s="224">
        <f t="shared" si="9"/>
        <v>9.7368320865754046E-2</v>
      </c>
      <c r="BZ32" s="227">
        <v>361000</v>
      </c>
      <c r="CA32" s="224">
        <f t="shared" si="10"/>
        <v>0.94999902250100565</v>
      </c>
      <c r="CB32" s="227">
        <v>361000</v>
      </c>
      <c r="CC32" s="224">
        <f t="shared" si="11"/>
        <v>0.94999902250100565</v>
      </c>
      <c r="CD32" s="227">
        <v>361000</v>
      </c>
      <c r="CE32" s="224">
        <f t="shared" si="12"/>
        <v>0.94999902250100565</v>
      </c>
      <c r="CF32" s="227">
        <v>361000</v>
      </c>
      <c r="CG32" s="224">
        <f t="shared" si="13"/>
        <v>0.94999902250100565</v>
      </c>
      <c r="CH32" s="227">
        <v>361000</v>
      </c>
      <c r="CI32" s="224">
        <f t="shared" si="14"/>
        <v>0.94999902250100565</v>
      </c>
      <c r="CJ32" s="227">
        <v>361000</v>
      </c>
      <c r="CK32" s="224">
        <f t="shared" si="15"/>
        <v>0.94999902250100565</v>
      </c>
      <c r="CL32" s="227">
        <f>380000*0.95</f>
        <v>361000</v>
      </c>
      <c r="CM32" s="224">
        <f t="shared" si="16"/>
        <v>0.94999902250100565</v>
      </c>
      <c r="CN32" s="227">
        <v>361000</v>
      </c>
      <c r="CO32" s="224">
        <f t="shared" si="17"/>
        <v>0.94999902250100565</v>
      </c>
      <c r="CP32" s="213" t="str">
        <f t="shared" si="20"/>
        <v>Không đạt</v>
      </c>
      <c r="CQ32" s="213" t="str">
        <f t="shared" si="21"/>
        <v>Không đạt</v>
      </c>
      <c r="CR32" s="192"/>
      <c r="CS32" s="214">
        <f t="shared" si="18"/>
        <v>2810.3900000000003</v>
      </c>
      <c r="CT32" s="223"/>
      <c r="CU32" s="163"/>
      <c r="CV32" s="232"/>
      <c r="CW32" s="195"/>
      <c r="CX32" s="196"/>
      <c r="CY32" s="196"/>
      <c r="CZ32" s="197"/>
      <c r="DA32" s="196"/>
      <c r="DB32" s="196"/>
      <c r="DC32" s="196"/>
      <c r="DE32" s="199"/>
      <c r="DF32" s="200"/>
      <c r="DG32" s="181"/>
    </row>
    <row r="33" spans="1:111" s="233" customFormat="1" ht="38.25" hidden="1" outlineLevel="1" x14ac:dyDescent="0.25">
      <c r="A33" s="192">
        <f>MAX(A$14:$B32)+1</f>
        <v>16</v>
      </c>
      <c r="B33" s="222" t="s">
        <v>172</v>
      </c>
      <c r="C33" s="222">
        <v>7986394</v>
      </c>
      <c r="D33" s="214">
        <f t="shared" si="19"/>
        <v>10000</v>
      </c>
      <c r="E33" s="214"/>
      <c r="F33" s="214">
        <f t="shared" si="25"/>
        <v>10000</v>
      </c>
      <c r="G33" s="214">
        <f>90000-80000</f>
        <v>10000</v>
      </c>
      <c r="H33" s="214">
        <f>15000-15000</f>
        <v>0</v>
      </c>
      <c r="I33" s="235"/>
      <c r="J33" s="235"/>
      <c r="K33" s="223"/>
      <c r="L33" s="235"/>
      <c r="M33" s="223"/>
      <c r="N33" s="223"/>
      <c r="O33" s="214">
        <f t="shared" si="26"/>
        <v>10000</v>
      </c>
      <c r="P33" s="214">
        <v>0</v>
      </c>
      <c r="Q33" s="224">
        <f t="shared" si="1"/>
        <v>0</v>
      </c>
      <c r="R33" s="214"/>
      <c r="S33" s="225">
        <v>0</v>
      </c>
      <c r="T33" s="225">
        <v>0</v>
      </c>
      <c r="U33" s="214"/>
      <c r="V33" s="225">
        <v>0</v>
      </c>
      <c r="W33" s="225">
        <v>0</v>
      </c>
      <c r="X33" s="214"/>
      <c r="Y33" s="225">
        <v>0</v>
      </c>
      <c r="Z33" s="225">
        <v>0</v>
      </c>
      <c r="AA33" s="214"/>
      <c r="AB33" s="225">
        <v>0</v>
      </c>
      <c r="AC33" s="225">
        <v>0</v>
      </c>
      <c r="AD33" s="214"/>
      <c r="AE33" s="225">
        <v>0</v>
      </c>
      <c r="AF33" s="225">
        <v>0</v>
      </c>
      <c r="AG33" s="214"/>
      <c r="AH33" s="225">
        <v>0</v>
      </c>
      <c r="AI33" s="225">
        <v>0</v>
      </c>
      <c r="AJ33" s="214"/>
      <c r="AK33" s="225">
        <v>0</v>
      </c>
      <c r="AL33" s="225">
        <v>0</v>
      </c>
      <c r="AM33" s="214"/>
      <c r="AN33" s="225">
        <v>0</v>
      </c>
      <c r="AO33" s="225">
        <v>0</v>
      </c>
      <c r="AP33" s="225"/>
      <c r="AQ33" s="214"/>
      <c r="AR33" s="225">
        <v>0</v>
      </c>
      <c r="AS33" s="225">
        <v>0</v>
      </c>
      <c r="AT33" s="214"/>
      <c r="AU33" s="225">
        <v>0</v>
      </c>
      <c r="AV33" s="225">
        <v>0</v>
      </c>
      <c r="AW33" s="214"/>
      <c r="AX33" s="225">
        <v>0</v>
      </c>
      <c r="AY33" s="225">
        <v>0</v>
      </c>
      <c r="AZ33" s="214"/>
      <c r="BA33" s="225">
        <v>0</v>
      </c>
      <c r="BB33" s="225">
        <v>0</v>
      </c>
      <c r="BC33" s="214"/>
      <c r="BD33" s="225">
        <v>0</v>
      </c>
      <c r="BE33" s="225">
        <v>0</v>
      </c>
      <c r="BF33" s="214"/>
      <c r="BG33" s="214"/>
      <c r="BH33" s="225">
        <v>0</v>
      </c>
      <c r="BI33" s="225">
        <v>0</v>
      </c>
      <c r="BJ33" s="214">
        <f t="shared" si="2"/>
        <v>9500</v>
      </c>
      <c r="BK33" s="214"/>
      <c r="BL33" s="225">
        <f t="shared" si="3"/>
        <v>0</v>
      </c>
      <c r="BM33" s="225">
        <f t="shared" si="4"/>
        <v>0</v>
      </c>
      <c r="BN33" s="205">
        <f t="shared" si="23"/>
        <v>0</v>
      </c>
      <c r="BO33" s="205"/>
      <c r="BP33" s="227"/>
      <c r="BQ33" s="224">
        <f t="shared" si="5"/>
        <v>0</v>
      </c>
      <c r="BR33" s="227"/>
      <c r="BS33" s="224">
        <f t="shared" si="6"/>
        <v>0</v>
      </c>
      <c r="BT33" s="227"/>
      <c r="BU33" s="224">
        <f t="shared" si="7"/>
        <v>0</v>
      </c>
      <c r="BV33" s="227"/>
      <c r="BW33" s="224">
        <f t="shared" si="8"/>
        <v>0</v>
      </c>
      <c r="BX33" s="227"/>
      <c r="BY33" s="224">
        <f t="shared" si="9"/>
        <v>0</v>
      </c>
      <c r="BZ33" s="227">
        <v>10000</v>
      </c>
      <c r="CA33" s="224">
        <f t="shared" si="10"/>
        <v>1</v>
      </c>
      <c r="CB33" s="227">
        <v>25000</v>
      </c>
      <c r="CC33" s="224">
        <f t="shared" si="11"/>
        <v>2.5</v>
      </c>
      <c r="CD33" s="227">
        <v>40000</v>
      </c>
      <c r="CE33" s="224">
        <f t="shared" si="12"/>
        <v>4</v>
      </c>
      <c r="CF33" s="227">
        <v>60000</v>
      </c>
      <c r="CG33" s="224">
        <f t="shared" si="13"/>
        <v>6</v>
      </c>
      <c r="CH33" s="227">
        <v>75000</v>
      </c>
      <c r="CI33" s="224">
        <f t="shared" si="14"/>
        <v>7.5</v>
      </c>
      <c r="CJ33" s="227">
        <v>85000</v>
      </c>
      <c r="CK33" s="224">
        <f t="shared" si="15"/>
        <v>8.5</v>
      </c>
      <c r="CL33" s="227">
        <f>105000*0.95</f>
        <v>99750</v>
      </c>
      <c r="CM33" s="224">
        <f t="shared" si="16"/>
        <v>9.9749999999999996</v>
      </c>
      <c r="CN33" s="227">
        <f>105000*0.95</f>
        <v>99750</v>
      </c>
      <c r="CO33" s="224">
        <f t="shared" si="17"/>
        <v>9.9749999999999996</v>
      </c>
      <c r="CP33" s="213" t="str">
        <f t="shared" si="20"/>
        <v>Không đạt</v>
      </c>
      <c r="CQ33" s="213" t="str">
        <f t="shared" si="21"/>
        <v>Không đạt</v>
      </c>
      <c r="CR33" s="192"/>
      <c r="CS33" s="214">
        <f t="shared" si="18"/>
        <v>0</v>
      </c>
      <c r="CT33" s="223"/>
      <c r="CU33" s="163"/>
      <c r="CV33" s="232"/>
      <c r="CW33" s="195"/>
      <c r="CX33" s="196"/>
      <c r="CY33" s="196"/>
      <c r="CZ33" s="197"/>
      <c r="DA33" s="196"/>
      <c r="DB33" s="196"/>
      <c r="DC33" s="196"/>
      <c r="DE33" s="199"/>
      <c r="DF33" s="200"/>
      <c r="DG33" s="181"/>
    </row>
    <row r="34" spans="1:111" s="233" customFormat="1" ht="38.25" hidden="1" outlineLevel="1" x14ac:dyDescent="0.25">
      <c r="A34" s="192">
        <f>MAX(A$14:$B33)+1</f>
        <v>17</v>
      </c>
      <c r="B34" s="222" t="s">
        <v>173</v>
      </c>
      <c r="C34" s="222">
        <v>8049904</v>
      </c>
      <c r="D34" s="214">
        <f t="shared" si="19"/>
        <v>21053</v>
      </c>
      <c r="E34" s="214"/>
      <c r="F34" s="214">
        <f t="shared" si="25"/>
        <v>21053</v>
      </c>
      <c r="G34" s="214">
        <v>21053</v>
      </c>
      <c r="H34" s="214">
        <f>20000-20000</f>
        <v>0</v>
      </c>
      <c r="I34" s="235">
        <v>8500</v>
      </c>
      <c r="J34" s="214">
        <v>8317.6948260000008</v>
      </c>
      <c r="K34" s="223"/>
      <c r="L34" s="235"/>
      <c r="M34" s="223"/>
      <c r="N34" s="223"/>
      <c r="O34" s="214">
        <f t="shared" si="26"/>
        <v>29553</v>
      </c>
      <c r="P34" s="214">
        <v>0</v>
      </c>
      <c r="Q34" s="224">
        <f t="shared" si="1"/>
        <v>0</v>
      </c>
      <c r="R34" s="214"/>
      <c r="S34" s="225">
        <v>0</v>
      </c>
      <c r="T34" s="225">
        <v>0</v>
      </c>
      <c r="U34" s="214"/>
      <c r="V34" s="225">
        <v>0</v>
      </c>
      <c r="W34" s="225">
        <v>0</v>
      </c>
      <c r="X34" s="214"/>
      <c r="Y34" s="225">
        <v>0</v>
      </c>
      <c r="Z34" s="225">
        <v>0</v>
      </c>
      <c r="AA34" s="214"/>
      <c r="AB34" s="225">
        <v>0</v>
      </c>
      <c r="AC34" s="225">
        <v>0</v>
      </c>
      <c r="AD34" s="214"/>
      <c r="AE34" s="225">
        <v>0</v>
      </c>
      <c r="AF34" s="225">
        <v>0</v>
      </c>
      <c r="AG34" s="214"/>
      <c r="AH34" s="225">
        <v>0</v>
      </c>
      <c r="AI34" s="225">
        <v>0</v>
      </c>
      <c r="AJ34" s="214"/>
      <c r="AK34" s="225">
        <v>0</v>
      </c>
      <c r="AL34" s="225">
        <v>0</v>
      </c>
      <c r="AM34" s="214"/>
      <c r="AN34" s="225">
        <v>0</v>
      </c>
      <c r="AO34" s="225">
        <v>0</v>
      </c>
      <c r="AP34" s="225"/>
      <c r="AQ34" s="214">
        <v>8317.6948260000008</v>
      </c>
      <c r="AR34" s="225">
        <v>0.41588474130000003</v>
      </c>
      <c r="AS34" s="225">
        <v>0.4377734118947369</v>
      </c>
      <c r="AT34" s="214">
        <v>8317.6948260000008</v>
      </c>
      <c r="AU34" s="225">
        <v>0.41588474130000003</v>
      </c>
      <c r="AV34" s="225">
        <v>0.4377734118947369</v>
      </c>
      <c r="AW34" s="214">
        <v>8317.6948260000008</v>
      </c>
      <c r="AX34" s="225">
        <v>0.41588474130000003</v>
      </c>
      <c r="AY34" s="225">
        <v>0.4377734118947369</v>
      </c>
      <c r="AZ34" s="214">
        <v>8317.6948260000008</v>
      </c>
      <c r="BA34" s="225">
        <v>0.41588474130000003</v>
      </c>
      <c r="BB34" s="225">
        <v>0.4377734118947369</v>
      </c>
      <c r="BC34" s="214">
        <v>8325.1328260000009</v>
      </c>
      <c r="BD34" s="225">
        <v>0.41625664130000006</v>
      </c>
      <c r="BE34" s="225">
        <v>0.43816488557894739</v>
      </c>
      <c r="BF34" s="214"/>
      <c r="BG34" s="214">
        <v>11262.048826</v>
      </c>
      <c r="BH34" s="225">
        <v>0.53493795782073816</v>
      </c>
      <c r="BI34" s="225">
        <v>0.56309258717972444</v>
      </c>
      <c r="BJ34" s="214">
        <f t="shared" si="2"/>
        <v>20000.349999999999</v>
      </c>
      <c r="BK34" s="214">
        <v>11262.048826</v>
      </c>
      <c r="BL34" s="225">
        <f t="shared" si="3"/>
        <v>0.53493795782073816</v>
      </c>
      <c r="BM34" s="225">
        <f t="shared" si="4"/>
        <v>0.56309258717972444</v>
      </c>
      <c r="BN34" s="205">
        <f t="shared" si="23"/>
        <v>11262.048826</v>
      </c>
      <c r="BO34" s="205"/>
      <c r="BP34" s="227"/>
      <c r="BQ34" s="224">
        <f t="shared" si="5"/>
        <v>0</v>
      </c>
      <c r="BR34" s="227">
        <v>1200</v>
      </c>
      <c r="BS34" s="224">
        <f t="shared" si="6"/>
        <v>5.6999002517455946E-2</v>
      </c>
      <c r="BT34" s="227">
        <v>1200</v>
      </c>
      <c r="BU34" s="224">
        <f t="shared" si="7"/>
        <v>5.6999002517455946E-2</v>
      </c>
      <c r="BV34" s="227">
        <v>6000</v>
      </c>
      <c r="BW34" s="224">
        <f t="shared" si="8"/>
        <v>0.28499501258727972</v>
      </c>
      <c r="BX34" s="227">
        <v>7500</v>
      </c>
      <c r="BY34" s="224">
        <f t="shared" si="9"/>
        <v>0.35624376573409966</v>
      </c>
      <c r="BZ34" s="227">
        <v>12000</v>
      </c>
      <c r="CA34" s="224">
        <f t="shared" si="10"/>
        <v>0.56999002517455943</v>
      </c>
      <c r="CB34" s="227">
        <v>13500</v>
      </c>
      <c r="CC34" s="224">
        <f t="shared" si="11"/>
        <v>0.64123877832137932</v>
      </c>
      <c r="CD34" s="227">
        <v>18000</v>
      </c>
      <c r="CE34" s="224">
        <f t="shared" si="12"/>
        <v>0.85498503776183921</v>
      </c>
      <c r="CF34" s="227">
        <v>19000</v>
      </c>
      <c r="CG34" s="224">
        <f t="shared" si="13"/>
        <v>0.90248420652638583</v>
      </c>
      <c r="CH34" s="227">
        <v>19000</v>
      </c>
      <c r="CI34" s="224">
        <f t="shared" si="14"/>
        <v>0.90248420652638583</v>
      </c>
      <c r="CJ34" s="227">
        <v>19000</v>
      </c>
      <c r="CK34" s="224">
        <f t="shared" si="15"/>
        <v>0.90248420652638583</v>
      </c>
      <c r="CL34" s="227">
        <v>19000</v>
      </c>
      <c r="CM34" s="224">
        <f t="shared" si="16"/>
        <v>0.90248420652638583</v>
      </c>
      <c r="CN34" s="227">
        <v>19000</v>
      </c>
      <c r="CO34" s="224">
        <f t="shared" si="17"/>
        <v>0.90248420652638583</v>
      </c>
      <c r="CP34" s="213" t="str">
        <f t="shared" si="20"/>
        <v>Đạt</v>
      </c>
      <c r="CQ34" s="213" t="str">
        <f t="shared" si="21"/>
        <v>Đạt</v>
      </c>
      <c r="CR34" s="192"/>
      <c r="CS34" s="214">
        <f t="shared" si="18"/>
        <v>2944.3539999999994</v>
      </c>
      <c r="CT34" s="223"/>
      <c r="CU34" s="163"/>
      <c r="CV34" s="232"/>
      <c r="CW34" s="195"/>
      <c r="CX34" s="196"/>
      <c r="CY34" s="196"/>
      <c r="CZ34" s="197"/>
      <c r="DA34" s="196"/>
      <c r="DB34" s="196"/>
      <c r="DC34" s="196"/>
      <c r="DE34" s="199"/>
      <c r="DF34" s="200"/>
      <c r="DG34" s="181"/>
    </row>
    <row r="35" spans="1:111" s="233" customFormat="1" ht="25.5" hidden="1" outlineLevel="1" x14ac:dyDescent="0.25">
      <c r="A35" s="192">
        <f>MAX(A$14:$B34)+1</f>
        <v>18</v>
      </c>
      <c r="B35" s="222" t="s">
        <v>174</v>
      </c>
      <c r="C35" s="222">
        <v>7957777</v>
      </c>
      <c r="D35" s="214">
        <f t="shared" si="19"/>
        <v>27368</v>
      </c>
      <c r="E35" s="214"/>
      <c r="F35" s="214">
        <f t="shared" si="25"/>
        <v>27368</v>
      </c>
      <c r="G35" s="214">
        <v>27368</v>
      </c>
      <c r="H35" s="214">
        <f>26000-26000</f>
        <v>0</v>
      </c>
      <c r="I35" s="235">
        <v>1900</v>
      </c>
      <c r="J35" s="214">
        <v>511.82100000000003</v>
      </c>
      <c r="K35" s="223"/>
      <c r="L35" s="235"/>
      <c r="M35" s="223"/>
      <c r="N35" s="223"/>
      <c r="O35" s="214">
        <f t="shared" si="26"/>
        <v>29268</v>
      </c>
      <c r="P35" s="214">
        <v>0</v>
      </c>
      <c r="Q35" s="224">
        <f t="shared" si="1"/>
        <v>0</v>
      </c>
      <c r="R35" s="214"/>
      <c r="S35" s="225">
        <v>0</v>
      </c>
      <c r="T35" s="225">
        <v>0</v>
      </c>
      <c r="U35" s="214"/>
      <c r="V35" s="225">
        <v>0</v>
      </c>
      <c r="W35" s="225">
        <v>0</v>
      </c>
      <c r="X35" s="214"/>
      <c r="Y35" s="225">
        <v>0</v>
      </c>
      <c r="Z35" s="225">
        <v>0</v>
      </c>
      <c r="AA35" s="214"/>
      <c r="AB35" s="225">
        <v>0</v>
      </c>
      <c r="AC35" s="225">
        <v>0</v>
      </c>
      <c r="AD35" s="214"/>
      <c r="AE35" s="225">
        <v>0</v>
      </c>
      <c r="AF35" s="225">
        <v>0</v>
      </c>
      <c r="AG35" s="214"/>
      <c r="AH35" s="225">
        <v>0</v>
      </c>
      <c r="AI35" s="225">
        <v>0</v>
      </c>
      <c r="AJ35" s="214"/>
      <c r="AK35" s="225">
        <v>0</v>
      </c>
      <c r="AL35" s="225">
        <v>0</v>
      </c>
      <c r="AM35" s="214"/>
      <c r="AN35" s="225">
        <v>0</v>
      </c>
      <c r="AO35" s="225">
        <v>0</v>
      </c>
      <c r="AP35" s="225"/>
      <c r="AQ35" s="214">
        <v>511.82100000000003</v>
      </c>
      <c r="AR35" s="225">
        <v>1.968542307692308E-2</v>
      </c>
      <c r="AS35" s="225">
        <v>2.0721497975708502E-2</v>
      </c>
      <c r="AT35" s="214">
        <v>511.82100000000003</v>
      </c>
      <c r="AU35" s="225">
        <v>1.968542307692308E-2</v>
      </c>
      <c r="AV35" s="225">
        <v>2.0721497975708502E-2</v>
      </c>
      <c r="AW35" s="214">
        <v>511.82100000000003</v>
      </c>
      <c r="AX35" s="225">
        <v>1.968542307692308E-2</v>
      </c>
      <c r="AY35" s="225">
        <v>2.0721497975708502E-2</v>
      </c>
      <c r="AZ35" s="214">
        <v>511.82100000000003</v>
      </c>
      <c r="BA35" s="225">
        <v>1.968542307692308E-2</v>
      </c>
      <c r="BB35" s="225">
        <v>2.0721497975708502E-2</v>
      </c>
      <c r="BC35" s="214">
        <v>511.82100000000003</v>
      </c>
      <c r="BD35" s="225">
        <v>1.968542307692308E-2</v>
      </c>
      <c r="BE35" s="225">
        <v>2.0721497975708502E-2</v>
      </c>
      <c r="BF35" s="214"/>
      <c r="BG35" s="214">
        <v>585.30700000000002</v>
      </c>
      <c r="BH35" s="225">
        <v>2.1386546331482022E-2</v>
      </c>
      <c r="BI35" s="225">
        <v>2.2512154033138974E-2</v>
      </c>
      <c r="BJ35" s="214">
        <f t="shared" si="2"/>
        <v>25999.599999999999</v>
      </c>
      <c r="BK35" s="214">
        <v>585.30700000000002</v>
      </c>
      <c r="BL35" s="225">
        <f t="shared" si="3"/>
        <v>2.1386546331482022E-2</v>
      </c>
      <c r="BM35" s="225">
        <f t="shared" si="4"/>
        <v>2.2512154033138974E-2</v>
      </c>
      <c r="BN35" s="205">
        <f t="shared" si="23"/>
        <v>585.30700000000002</v>
      </c>
      <c r="BO35" s="205"/>
      <c r="BP35" s="227"/>
      <c r="BQ35" s="224">
        <f t="shared" si="5"/>
        <v>0</v>
      </c>
      <c r="BR35" s="227"/>
      <c r="BS35" s="224">
        <f t="shared" si="6"/>
        <v>0</v>
      </c>
      <c r="BT35" s="227">
        <v>3000</v>
      </c>
      <c r="BU35" s="224">
        <f t="shared" si="7"/>
        <v>0.10961707103186202</v>
      </c>
      <c r="BV35" s="227">
        <v>3000</v>
      </c>
      <c r="BW35" s="224">
        <f t="shared" si="8"/>
        <v>0.10961707103186202</v>
      </c>
      <c r="BX35" s="227">
        <v>3000</v>
      </c>
      <c r="BY35" s="224">
        <f t="shared" si="9"/>
        <v>0.10961707103186202</v>
      </c>
      <c r="BZ35" s="227">
        <v>12169</v>
      </c>
      <c r="CA35" s="224">
        <f t="shared" si="10"/>
        <v>0.44464337912890967</v>
      </c>
      <c r="CB35" s="227">
        <v>12169</v>
      </c>
      <c r="CC35" s="224">
        <f t="shared" si="11"/>
        <v>0.44464337912890967</v>
      </c>
      <c r="CD35" s="227">
        <v>14669</v>
      </c>
      <c r="CE35" s="224">
        <f t="shared" si="12"/>
        <v>0.53599093832212807</v>
      </c>
      <c r="CF35" s="227">
        <v>20169</v>
      </c>
      <c r="CG35" s="224">
        <f t="shared" si="13"/>
        <v>0.73695556854720845</v>
      </c>
      <c r="CH35" s="227">
        <v>22158</v>
      </c>
      <c r="CI35" s="224">
        <f t="shared" si="14"/>
        <v>0.80963168664133289</v>
      </c>
      <c r="CJ35" s="227">
        <v>22158</v>
      </c>
      <c r="CK35" s="224">
        <f t="shared" si="15"/>
        <v>0.80963168664133289</v>
      </c>
      <c r="CL35" s="227">
        <v>24700</v>
      </c>
      <c r="CM35" s="224">
        <f t="shared" si="16"/>
        <v>0.90251388482899741</v>
      </c>
      <c r="CN35" s="227">
        <f>26000*0.95</f>
        <v>24700</v>
      </c>
      <c r="CO35" s="224">
        <f t="shared" si="17"/>
        <v>0.90251388482899741</v>
      </c>
      <c r="CP35" s="213" t="str">
        <f t="shared" si="20"/>
        <v>Không đạt</v>
      </c>
      <c r="CQ35" s="213" t="str">
        <f t="shared" si="21"/>
        <v>Không đạt</v>
      </c>
      <c r="CR35" s="192"/>
      <c r="CS35" s="214">
        <f t="shared" si="18"/>
        <v>73.48599999999999</v>
      </c>
      <c r="CT35" s="223"/>
      <c r="CU35" s="163"/>
      <c r="CV35" s="232"/>
      <c r="CW35" s="195"/>
      <c r="CX35" s="196"/>
      <c r="CY35" s="196"/>
      <c r="CZ35" s="197"/>
      <c r="DA35" s="196"/>
      <c r="DB35" s="196"/>
      <c r="DC35" s="196"/>
      <c r="DE35" s="199"/>
      <c r="DF35" s="200"/>
      <c r="DG35" s="181"/>
    </row>
    <row r="36" spans="1:111" s="233" customFormat="1" ht="51" hidden="1" outlineLevel="1" x14ac:dyDescent="0.25">
      <c r="A36" s="192">
        <f>MAX(A$14:$B35)+1</f>
        <v>19</v>
      </c>
      <c r="B36" s="222" t="s">
        <v>175</v>
      </c>
      <c r="C36" s="222">
        <v>8028502</v>
      </c>
      <c r="D36" s="214">
        <f t="shared" si="19"/>
        <v>16000</v>
      </c>
      <c r="E36" s="214"/>
      <c r="F36" s="214">
        <f t="shared" si="25"/>
        <v>16000</v>
      </c>
      <c r="G36" s="214"/>
      <c r="H36" s="214">
        <v>16000</v>
      </c>
      <c r="I36" s="235">
        <v>8300</v>
      </c>
      <c r="J36" s="214">
        <v>8104.8422520000004</v>
      </c>
      <c r="K36" s="223"/>
      <c r="L36" s="235"/>
      <c r="M36" s="223"/>
      <c r="N36" s="223"/>
      <c r="O36" s="214">
        <f t="shared" si="26"/>
        <v>8300</v>
      </c>
      <c r="P36" s="214">
        <v>3386.9992520000001</v>
      </c>
      <c r="Q36" s="224">
        <f t="shared" si="1"/>
        <v>0.21168745324999999</v>
      </c>
      <c r="R36" s="214">
        <v>4961.3782520000004</v>
      </c>
      <c r="S36" s="225">
        <v>0.31008614075000002</v>
      </c>
      <c r="T36" s="225">
        <v>0.32640646394736844</v>
      </c>
      <c r="U36" s="214">
        <v>6387</v>
      </c>
      <c r="V36" s="225">
        <v>0.39918749999999997</v>
      </c>
      <c r="W36" s="225">
        <v>0.42019736842105265</v>
      </c>
      <c r="X36" s="214">
        <v>6387</v>
      </c>
      <c r="Y36" s="225">
        <v>0.39918749999999997</v>
      </c>
      <c r="Z36" s="225">
        <v>0.42019736842105265</v>
      </c>
      <c r="AA36" s="214">
        <v>6387</v>
      </c>
      <c r="AB36" s="225">
        <v>0.39918749999999997</v>
      </c>
      <c r="AC36" s="225">
        <v>0.42019736842105265</v>
      </c>
      <c r="AD36" s="214">
        <v>6387</v>
      </c>
      <c r="AE36" s="225">
        <v>0.39918749999999997</v>
      </c>
      <c r="AF36" s="225">
        <v>0.42019736842105265</v>
      </c>
      <c r="AG36" s="214">
        <v>6387</v>
      </c>
      <c r="AH36" s="225">
        <v>0.39918749999999997</v>
      </c>
      <c r="AI36" s="225">
        <v>0.42019736842105265</v>
      </c>
      <c r="AJ36" s="214">
        <v>6387</v>
      </c>
      <c r="AK36" s="225">
        <v>0.39918749999999997</v>
      </c>
      <c r="AL36" s="225">
        <v>0.42019736842105265</v>
      </c>
      <c r="AM36" s="214">
        <v>8104.8422520000004</v>
      </c>
      <c r="AN36" s="225">
        <v>0.50655264075000006</v>
      </c>
      <c r="AO36" s="225">
        <v>0.53321330605263162</v>
      </c>
      <c r="AP36" s="225"/>
      <c r="AQ36" s="214">
        <v>8104.8422520000004</v>
      </c>
      <c r="AR36" s="225">
        <v>0.50655264075000006</v>
      </c>
      <c r="AS36" s="225">
        <v>0.53321330605263162</v>
      </c>
      <c r="AT36" s="214">
        <v>8104.8422520000004</v>
      </c>
      <c r="AU36" s="225">
        <v>0.50655264075000006</v>
      </c>
      <c r="AV36" s="225">
        <v>0.53321330605263162</v>
      </c>
      <c r="AW36" s="214">
        <v>8104.8422520000004</v>
      </c>
      <c r="AX36" s="225">
        <v>0.50655264075000006</v>
      </c>
      <c r="AY36" s="225">
        <v>0.53321330605263162</v>
      </c>
      <c r="AZ36" s="214">
        <v>8104.8422520000004</v>
      </c>
      <c r="BA36" s="225">
        <v>0.50655264075000006</v>
      </c>
      <c r="BB36" s="225">
        <v>0.53321330605263162</v>
      </c>
      <c r="BC36" s="214">
        <v>8104.8422520000004</v>
      </c>
      <c r="BD36" s="225">
        <v>0.50655264075000006</v>
      </c>
      <c r="BE36" s="225">
        <v>0.53321330605263162</v>
      </c>
      <c r="BF36" s="214">
        <v>14124.099559999999</v>
      </c>
      <c r="BG36" s="214">
        <v>14124.099559999999</v>
      </c>
      <c r="BH36" s="225">
        <v>0.88275622249999997</v>
      </c>
      <c r="BI36" s="225">
        <v>0.92921707631578943</v>
      </c>
      <c r="BJ36" s="214">
        <f t="shared" si="2"/>
        <v>15200</v>
      </c>
      <c r="BK36" s="214">
        <v>14124.099559999999</v>
      </c>
      <c r="BL36" s="225">
        <f t="shared" si="3"/>
        <v>0.88275622249999997</v>
      </c>
      <c r="BM36" s="225">
        <f t="shared" si="4"/>
        <v>0.92921707631578943</v>
      </c>
      <c r="BN36" s="205">
        <f t="shared" si="23"/>
        <v>7737.0995599999987</v>
      </c>
      <c r="BO36" s="205"/>
      <c r="BP36" s="227"/>
      <c r="BQ36" s="224">
        <f t="shared" si="5"/>
        <v>0</v>
      </c>
      <c r="BR36" s="227"/>
      <c r="BS36" s="224">
        <f t="shared" si="6"/>
        <v>0</v>
      </c>
      <c r="BT36" s="227">
        <v>5000</v>
      </c>
      <c r="BU36" s="224">
        <f t="shared" si="7"/>
        <v>0.3125</v>
      </c>
      <c r="BV36" s="227">
        <v>5000</v>
      </c>
      <c r="BW36" s="224">
        <f t="shared" si="8"/>
        <v>0.3125</v>
      </c>
      <c r="BX36" s="227">
        <v>5000</v>
      </c>
      <c r="BY36" s="224">
        <f t="shared" si="9"/>
        <v>0.3125</v>
      </c>
      <c r="BZ36" s="227">
        <v>8000</v>
      </c>
      <c r="CA36" s="224">
        <f t="shared" si="10"/>
        <v>0.5</v>
      </c>
      <c r="CB36" s="227">
        <v>8000</v>
      </c>
      <c r="CC36" s="224">
        <f t="shared" si="11"/>
        <v>0.5</v>
      </c>
      <c r="CD36" s="227">
        <v>8000</v>
      </c>
      <c r="CE36" s="224">
        <f t="shared" si="12"/>
        <v>0.5</v>
      </c>
      <c r="CF36" s="227">
        <v>12000</v>
      </c>
      <c r="CG36" s="224">
        <f t="shared" si="13"/>
        <v>0.75</v>
      </c>
      <c r="CH36" s="227">
        <v>12000</v>
      </c>
      <c r="CI36" s="224">
        <f t="shared" si="14"/>
        <v>0.75</v>
      </c>
      <c r="CJ36" s="227">
        <v>12000</v>
      </c>
      <c r="CK36" s="224">
        <f t="shared" si="15"/>
        <v>0.75</v>
      </c>
      <c r="CL36" s="227">
        <v>15200</v>
      </c>
      <c r="CM36" s="224">
        <f t="shared" si="16"/>
        <v>0.95</v>
      </c>
      <c r="CN36" s="227">
        <f>16000*0.95</f>
        <v>15200</v>
      </c>
      <c r="CO36" s="224">
        <f t="shared" si="17"/>
        <v>0.95</v>
      </c>
      <c r="CP36" s="213" t="str">
        <f t="shared" si="20"/>
        <v>Đạt</v>
      </c>
      <c r="CQ36" s="213" t="str">
        <f t="shared" si="21"/>
        <v>Đạt</v>
      </c>
      <c r="CR36" s="192"/>
      <c r="CS36" s="214">
        <f t="shared" si="18"/>
        <v>6019.2573079999984</v>
      </c>
      <c r="CT36" s="223"/>
      <c r="CU36" s="163"/>
      <c r="CV36" s="232"/>
      <c r="CW36" s="195"/>
      <c r="CX36" s="196"/>
      <c r="CY36" s="196"/>
      <c r="CZ36" s="197"/>
      <c r="DA36" s="196"/>
      <c r="DB36" s="196"/>
      <c r="DC36" s="196"/>
      <c r="DE36" s="199"/>
      <c r="DF36" s="200"/>
      <c r="DG36" s="181"/>
    </row>
    <row r="37" spans="1:111" s="233" customFormat="1" ht="51" hidden="1" outlineLevel="1" x14ac:dyDescent="0.25">
      <c r="A37" s="192">
        <f>MAX(A$14:$B36)+1</f>
        <v>20</v>
      </c>
      <c r="B37" s="222" t="s">
        <v>176</v>
      </c>
      <c r="C37" s="222" t="s">
        <v>177</v>
      </c>
      <c r="D37" s="214">
        <f t="shared" si="19"/>
        <v>10000</v>
      </c>
      <c r="E37" s="214"/>
      <c r="F37" s="214">
        <f t="shared" si="25"/>
        <v>10000</v>
      </c>
      <c r="G37" s="214"/>
      <c r="H37" s="214">
        <f>5000+5000</f>
        <v>10000</v>
      </c>
      <c r="I37" s="235">
        <v>2250</v>
      </c>
      <c r="J37" s="214">
        <v>1640.0350000000001</v>
      </c>
      <c r="K37" s="223"/>
      <c r="L37" s="235"/>
      <c r="M37" s="223"/>
      <c r="N37" s="223"/>
      <c r="O37" s="214">
        <f t="shared" si="26"/>
        <v>2250</v>
      </c>
      <c r="P37" s="214">
        <v>0</v>
      </c>
      <c r="Q37" s="224">
        <f t="shared" si="1"/>
        <v>0</v>
      </c>
      <c r="R37" s="214"/>
      <c r="S37" s="225">
        <v>0</v>
      </c>
      <c r="T37" s="225">
        <v>0</v>
      </c>
      <c r="U37" s="214"/>
      <c r="V37" s="225">
        <v>0</v>
      </c>
      <c r="W37" s="225">
        <v>0</v>
      </c>
      <c r="X37" s="214"/>
      <c r="Y37" s="225">
        <v>0</v>
      </c>
      <c r="Z37" s="225">
        <v>0</v>
      </c>
      <c r="AA37" s="214"/>
      <c r="AB37" s="225">
        <v>0</v>
      </c>
      <c r="AC37" s="225">
        <v>0</v>
      </c>
      <c r="AD37" s="214"/>
      <c r="AE37" s="225">
        <v>0</v>
      </c>
      <c r="AF37" s="225">
        <v>0</v>
      </c>
      <c r="AG37" s="214"/>
      <c r="AH37" s="225">
        <v>0</v>
      </c>
      <c r="AI37" s="225">
        <v>0</v>
      </c>
      <c r="AJ37" s="239"/>
      <c r="AK37" s="225">
        <v>0</v>
      </c>
      <c r="AL37" s="225">
        <v>0</v>
      </c>
      <c r="AM37" s="214"/>
      <c r="AN37" s="225">
        <v>0</v>
      </c>
      <c r="AO37" s="225">
        <v>0</v>
      </c>
      <c r="AP37" s="225"/>
      <c r="AQ37" s="214">
        <v>1640.0350000000001</v>
      </c>
      <c r="AR37" s="225">
        <v>0.32800699999999999</v>
      </c>
      <c r="AS37" s="225">
        <v>0.34527052631578947</v>
      </c>
      <c r="AT37" s="214">
        <v>1640.0350000000001</v>
      </c>
      <c r="AU37" s="225">
        <v>0.32800699999999999</v>
      </c>
      <c r="AV37" s="225">
        <v>0.34527052631578947</v>
      </c>
      <c r="AW37" s="214">
        <v>1640.0350000000001</v>
      </c>
      <c r="AX37" s="225">
        <v>0.32800699999999999</v>
      </c>
      <c r="AY37" s="225">
        <v>0.34527052631578947</v>
      </c>
      <c r="AZ37" s="214">
        <v>1640.0350000000001</v>
      </c>
      <c r="BA37" s="225">
        <v>0.32800699999999999</v>
      </c>
      <c r="BB37" s="225">
        <v>0.34527052631578947</v>
      </c>
      <c r="BC37" s="214">
        <v>1640.0350000000001</v>
      </c>
      <c r="BD37" s="225">
        <v>0.32800699999999999</v>
      </c>
      <c r="BE37" s="225">
        <v>0.34527052631578947</v>
      </c>
      <c r="BF37" s="214">
        <v>1760.847</v>
      </c>
      <c r="BG37" s="214">
        <v>1760.847</v>
      </c>
      <c r="BH37" s="225">
        <v>0.17608470000000001</v>
      </c>
      <c r="BI37" s="225">
        <v>0.18535231578947367</v>
      </c>
      <c r="BJ37" s="214">
        <f t="shared" si="2"/>
        <v>9500</v>
      </c>
      <c r="BK37" s="214">
        <v>5995.3366470000001</v>
      </c>
      <c r="BL37" s="225">
        <f t="shared" si="3"/>
        <v>0.59953366470000002</v>
      </c>
      <c r="BM37" s="225">
        <f t="shared" si="4"/>
        <v>0.63108806810526319</v>
      </c>
      <c r="BN37" s="205">
        <f t="shared" si="23"/>
        <v>5995.3366470000001</v>
      </c>
      <c r="BO37" s="205"/>
      <c r="BP37" s="227"/>
      <c r="BQ37" s="224">
        <f t="shared" si="5"/>
        <v>0</v>
      </c>
      <c r="BR37" s="227">
        <v>500</v>
      </c>
      <c r="BS37" s="224">
        <f t="shared" si="6"/>
        <v>0.05</v>
      </c>
      <c r="BT37" s="227">
        <v>2000</v>
      </c>
      <c r="BU37" s="224">
        <f t="shared" si="7"/>
        <v>0.2</v>
      </c>
      <c r="BV37" s="227">
        <v>3000</v>
      </c>
      <c r="BW37" s="224">
        <f t="shared" si="8"/>
        <v>0.3</v>
      </c>
      <c r="BX37" s="227">
        <v>4000</v>
      </c>
      <c r="BY37" s="224">
        <f t="shared" si="9"/>
        <v>0.4</v>
      </c>
      <c r="BZ37" s="227">
        <f>5000*0.95</f>
        <v>4750</v>
      </c>
      <c r="CA37" s="224">
        <f t="shared" si="10"/>
        <v>0.47499999999999998</v>
      </c>
      <c r="CB37" s="227">
        <f>5000*0.95</f>
        <v>4750</v>
      </c>
      <c r="CC37" s="224">
        <f t="shared" si="11"/>
        <v>0.47499999999999998</v>
      </c>
      <c r="CD37" s="227">
        <f>5000*0.95</f>
        <v>4750</v>
      </c>
      <c r="CE37" s="224">
        <f t="shared" si="12"/>
        <v>0.47499999999999998</v>
      </c>
      <c r="CF37" s="227">
        <f>5000*0.95</f>
        <v>4750</v>
      </c>
      <c r="CG37" s="224">
        <f t="shared" si="13"/>
        <v>0.47499999999999998</v>
      </c>
      <c r="CH37" s="227">
        <f>5000*0.95</f>
        <v>4750</v>
      </c>
      <c r="CI37" s="224">
        <f t="shared" si="14"/>
        <v>0.47499999999999998</v>
      </c>
      <c r="CJ37" s="227">
        <f>5000*0.95</f>
        <v>4750</v>
      </c>
      <c r="CK37" s="224">
        <f t="shared" si="15"/>
        <v>0.47499999999999998</v>
      </c>
      <c r="CL37" s="227">
        <f>5000*0.95</f>
        <v>4750</v>
      </c>
      <c r="CM37" s="224">
        <f t="shared" si="16"/>
        <v>0.47499999999999998</v>
      </c>
      <c r="CN37" s="227">
        <f>5000*0.95</f>
        <v>4750</v>
      </c>
      <c r="CO37" s="224">
        <f t="shared" si="17"/>
        <v>0.47499999999999998</v>
      </c>
      <c r="CP37" s="213" t="str">
        <f t="shared" si="20"/>
        <v>Đạt</v>
      </c>
      <c r="CQ37" s="213" t="str">
        <f t="shared" si="21"/>
        <v>Đạt</v>
      </c>
      <c r="CR37" s="192"/>
      <c r="CS37" s="214">
        <f t="shared" si="18"/>
        <v>4355.3016470000002</v>
      </c>
      <c r="CT37" s="223"/>
      <c r="CU37" s="163"/>
      <c r="CV37" s="232"/>
      <c r="CW37" s="195"/>
      <c r="CX37" s="196"/>
      <c r="CY37" s="196"/>
      <c r="CZ37" s="197"/>
      <c r="DA37" s="196"/>
      <c r="DB37" s="196"/>
      <c r="DC37" s="196"/>
      <c r="DE37" s="199"/>
      <c r="DF37" s="200"/>
      <c r="DG37" s="181"/>
    </row>
    <row r="38" spans="1:111" s="233" customFormat="1" ht="15" hidden="1" outlineLevel="1" x14ac:dyDescent="0.25">
      <c r="A38" s="191" t="s">
        <v>29</v>
      </c>
      <c r="B38" s="210" t="s">
        <v>178</v>
      </c>
      <c r="C38" s="210"/>
      <c r="D38" s="239">
        <f t="shared" ref="D38:I38" si="27">SUM(D39:D65)</f>
        <v>202705</v>
      </c>
      <c r="E38" s="239">
        <f t="shared" si="27"/>
        <v>0</v>
      </c>
      <c r="F38" s="239">
        <f t="shared" si="27"/>
        <v>202705</v>
      </c>
      <c r="G38" s="239">
        <f t="shared" si="27"/>
        <v>61179</v>
      </c>
      <c r="H38" s="239">
        <f t="shared" si="27"/>
        <v>141526</v>
      </c>
      <c r="I38" s="239">
        <f t="shared" si="27"/>
        <v>12000</v>
      </c>
      <c r="J38" s="239"/>
      <c r="K38" s="239">
        <f>SUM(K39:K65)</f>
        <v>0</v>
      </c>
      <c r="L38" s="239">
        <f>SUM(L39:L65)</f>
        <v>0</v>
      </c>
      <c r="M38" s="223"/>
      <c r="N38" s="223"/>
      <c r="O38" s="239">
        <f t="shared" si="26"/>
        <v>73179</v>
      </c>
      <c r="P38" s="239">
        <v>665.69</v>
      </c>
      <c r="Q38" s="186">
        <f t="shared" si="1"/>
        <v>3.2840334476209273E-3</v>
      </c>
      <c r="R38" s="239">
        <v>7892.442</v>
      </c>
      <c r="S38" s="211">
        <v>3.9344177467597205E-2</v>
      </c>
      <c r="T38" s="211">
        <v>4.1414923650102325E-2</v>
      </c>
      <c r="U38" s="239">
        <v>8573.0959999999995</v>
      </c>
      <c r="V38" s="211">
        <v>4.2737268195413756E-2</v>
      </c>
      <c r="W38" s="211">
        <v>4.4986598100435531E-2</v>
      </c>
      <c r="X38" s="239">
        <v>8573.0959999999995</v>
      </c>
      <c r="Y38" s="211">
        <v>4.2737268195413756E-2</v>
      </c>
      <c r="Z38" s="211">
        <v>4.4986598100435531E-2</v>
      </c>
      <c r="AA38" s="239">
        <v>8573.0959999999995</v>
      </c>
      <c r="AB38" s="211">
        <v>4.2737268195413756E-2</v>
      </c>
      <c r="AC38" s="211">
        <v>4.4986598100435531E-2</v>
      </c>
      <c r="AD38" s="239">
        <v>8573.0959999999995</v>
      </c>
      <c r="AE38" s="211">
        <v>4.2737268195413756E-2</v>
      </c>
      <c r="AF38" s="211">
        <v>4.4986598100435531E-2</v>
      </c>
      <c r="AG38" s="239">
        <v>8573.0959999999995</v>
      </c>
      <c r="AH38" s="211">
        <v>4.2737268195413756E-2</v>
      </c>
      <c r="AI38" s="211">
        <v>4.4986598100435531E-2</v>
      </c>
      <c r="AJ38" s="214">
        <v>8573.0959999999995</v>
      </c>
      <c r="AK38" s="211">
        <v>4.2737268195413756E-2</v>
      </c>
      <c r="AL38" s="211">
        <v>4.4986598100435531E-2</v>
      </c>
      <c r="AM38" s="239">
        <v>9033.7309999999998</v>
      </c>
      <c r="AN38" s="211">
        <v>4.503355433698903E-2</v>
      </c>
      <c r="AO38" s="211">
        <v>4.7403741407356877E-2</v>
      </c>
      <c r="AP38" s="211"/>
      <c r="AQ38" s="239">
        <v>9033.7309999999998</v>
      </c>
      <c r="AR38" s="211">
        <v>4.503355433698903E-2</v>
      </c>
      <c r="AS38" s="211">
        <v>4.7403741407356877E-2</v>
      </c>
      <c r="AT38" s="239">
        <v>9033.7309999999998</v>
      </c>
      <c r="AU38" s="211">
        <v>4.503355433698903E-2</v>
      </c>
      <c r="AV38" s="211">
        <v>4.7403741407356877E-2</v>
      </c>
      <c r="AW38" s="239">
        <v>9033.7309999999998</v>
      </c>
      <c r="AX38" s="211">
        <v>4.503355433698903E-2</v>
      </c>
      <c r="AY38" s="211">
        <v>4.7403741407356877E-2</v>
      </c>
      <c r="AZ38" s="239">
        <v>9033.7309999999998</v>
      </c>
      <c r="BA38" s="211">
        <v>4.503355433698903E-2</v>
      </c>
      <c r="BB38" s="211">
        <v>4.7403741407356877E-2</v>
      </c>
      <c r="BC38" s="239">
        <v>9033.7309999999998</v>
      </c>
      <c r="BD38" s="211">
        <v>4.503355433698903E-2</v>
      </c>
      <c r="BE38" s="211">
        <v>4.7403741407356877E-2</v>
      </c>
      <c r="BF38" s="239"/>
      <c r="BG38" s="239">
        <v>11069.901</v>
      </c>
      <c r="BH38" s="211">
        <v>5.4610892676549665E-2</v>
      </c>
      <c r="BI38" s="211">
        <v>5.748515018584175E-2</v>
      </c>
      <c r="BJ38" s="239">
        <f t="shared" si="2"/>
        <v>192569.75</v>
      </c>
      <c r="BK38" s="239">
        <f>SUM(BK39:BK65)</f>
        <v>16989.741000000002</v>
      </c>
      <c r="BL38" s="211">
        <f t="shared" si="3"/>
        <v>8.3815105695468795E-2</v>
      </c>
      <c r="BM38" s="211">
        <f t="shared" si="4"/>
        <v>8.8226427047861891E-2</v>
      </c>
      <c r="BN38" s="205">
        <f t="shared" si="23"/>
        <v>8416.6450000000023</v>
      </c>
      <c r="BO38" s="205"/>
      <c r="BP38" s="189">
        <f>SUM(BP39:BP65)</f>
        <v>0</v>
      </c>
      <c r="BQ38" s="212">
        <f t="shared" si="5"/>
        <v>0</v>
      </c>
      <c r="BR38" s="189">
        <f>SUM(BR39:BR65)</f>
        <v>8595</v>
      </c>
      <c r="BS38" s="212">
        <f t="shared" si="6"/>
        <v>4.2401519449446243E-2</v>
      </c>
      <c r="BT38" s="189">
        <f>SUM(BT39:BT65)</f>
        <v>46502</v>
      </c>
      <c r="BU38" s="186">
        <f t="shared" si="7"/>
        <v>0.22940726671764386</v>
      </c>
      <c r="BV38" s="189">
        <f>SUM(BV39:BV65)</f>
        <v>72992</v>
      </c>
      <c r="BW38" s="212">
        <f t="shared" si="8"/>
        <v>0.36008978564909599</v>
      </c>
      <c r="BX38" s="189">
        <f>SUM(BX39:BX65)</f>
        <v>84318</v>
      </c>
      <c r="BY38" s="212">
        <f t="shared" si="9"/>
        <v>0.41596408574036159</v>
      </c>
      <c r="BZ38" s="189">
        <f>SUM(BZ39:BZ65)</f>
        <v>100221</v>
      </c>
      <c r="CA38" s="212">
        <f t="shared" si="10"/>
        <v>0.49441799659603858</v>
      </c>
      <c r="CB38" s="189">
        <f>SUM(CB39:CB65)</f>
        <v>112465</v>
      </c>
      <c r="CC38" s="212">
        <f t="shared" si="11"/>
        <v>0.55482104536148591</v>
      </c>
      <c r="CD38" s="189">
        <f>SUM(CD39:CD65)</f>
        <v>126237</v>
      </c>
      <c r="CE38" s="212">
        <f t="shared" si="12"/>
        <v>0.622762142029057</v>
      </c>
      <c r="CF38" s="189">
        <f>SUM(CF39:CF65)</f>
        <v>145087</v>
      </c>
      <c r="CG38" s="212">
        <f t="shared" si="13"/>
        <v>0.71575442144989021</v>
      </c>
      <c r="CH38" s="189">
        <f>SUM(CH39:CH65)</f>
        <v>152780</v>
      </c>
      <c r="CI38" s="212">
        <f t="shared" si="14"/>
        <v>0.75370612466392051</v>
      </c>
      <c r="CJ38" s="189">
        <f>SUM(CJ39:CJ65)</f>
        <v>160560</v>
      </c>
      <c r="CK38" s="212">
        <f t="shared" si="15"/>
        <v>0.79208702301373912</v>
      </c>
      <c r="CL38" s="189">
        <f>SUM(CL39:CL65)</f>
        <v>181860</v>
      </c>
      <c r="CM38" s="212">
        <f t="shared" si="16"/>
        <v>0.89716583212056933</v>
      </c>
      <c r="CN38" s="189">
        <f>SUM(CN39:CN65)</f>
        <v>187310</v>
      </c>
      <c r="CO38" s="212">
        <f t="shared" si="17"/>
        <v>0.92405219407513384</v>
      </c>
      <c r="CP38" s="213" t="str">
        <f t="shared" si="20"/>
        <v>Không đạt</v>
      </c>
      <c r="CQ38" s="213" t="str">
        <f t="shared" si="21"/>
        <v>Không đạt</v>
      </c>
      <c r="CR38" s="192"/>
      <c r="CS38" s="239">
        <f t="shared" si="18"/>
        <v>7956.010000000002</v>
      </c>
      <c r="CT38" s="223"/>
      <c r="CU38" s="163"/>
      <c r="CV38" s="232"/>
      <c r="CW38" s="195"/>
      <c r="CX38" s="196"/>
      <c r="CY38" s="196"/>
      <c r="CZ38" s="197"/>
      <c r="DA38" s="196"/>
      <c r="DB38" s="196"/>
      <c r="DC38" s="196"/>
      <c r="DE38" s="199"/>
      <c r="DF38" s="200"/>
      <c r="DG38" s="181"/>
    </row>
    <row r="39" spans="1:111" s="233" customFormat="1" ht="15" hidden="1" outlineLevel="1" x14ac:dyDescent="0.25">
      <c r="A39" s="192"/>
      <c r="B39" s="240" t="s">
        <v>179</v>
      </c>
      <c r="C39" s="240"/>
      <c r="D39" s="214">
        <f t="shared" si="19"/>
        <v>0</v>
      </c>
      <c r="E39" s="214"/>
      <c r="F39" s="241"/>
      <c r="G39" s="214"/>
      <c r="H39" s="214"/>
      <c r="I39" s="235"/>
      <c r="J39" s="235"/>
      <c r="K39" s="223"/>
      <c r="L39" s="235"/>
      <c r="M39" s="223"/>
      <c r="N39" s="223"/>
      <c r="O39" s="214">
        <f t="shared" si="26"/>
        <v>0</v>
      </c>
      <c r="P39" s="214">
        <v>0</v>
      </c>
      <c r="Q39" s="224" t="e">
        <f t="shared" si="1"/>
        <v>#DIV/0!</v>
      </c>
      <c r="R39" s="214"/>
      <c r="S39" s="225"/>
      <c r="T39" s="225" t="e">
        <v>#DIV/0!</v>
      </c>
      <c r="U39" s="214"/>
      <c r="V39" s="225"/>
      <c r="W39" s="225" t="e">
        <v>#DIV/0!</v>
      </c>
      <c r="X39" s="214"/>
      <c r="Y39" s="225"/>
      <c r="Z39" s="225" t="e">
        <v>#DIV/0!</v>
      </c>
      <c r="AA39" s="214"/>
      <c r="AB39" s="225"/>
      <c r="AC39" s="225" t="e">
        <v>#DIV/0!</v>
      </c>
      <c r="AD39" s="214"/>
      <c r="AE39" s="225"/>
      <c r="AF39" s="225" t="e">
        <v>#DIV/0!</v>
      </c>
      <c r="AG39" s="214"/>
      <c r="AH39" s="225"/>
      <c r="AI39" s="225" t="e">
        <v>#DIV/0!</v>
      </c>
      <c r="AJ39" s="214"/>
      <c r="AK39" s="225"/>
      <c r="AL39" s="225" t="e">
        <v>#DIV/0!</v>
      </c>
      <c r="AM39" s="214"/>
      <c r="AN39" s="225"/>
      <c r="AO39" s="225"/>
      <c r="AP39" s="225"/>
      <c r="AQ39" s="214"/>
      <c r="AR39" s="225"/>
      <c r="AS39" s="225"/>
      <c r="AT39" s="214"/>
      <c r="AU39" s="225"/>
      <c r="AV39" s="225"/>
      <c r="AW39" s="214"/>
      <c r="AX39" s="225"/>
      <c r="AY39" s="225"/>
      <c r="AZ39" s="214"/>
      <c r="BA39" s="225"/>
      <c r="BB39" s="225"/>
      <c r="BC39" s="214"/>
      <c r="BD39" s="225"/>
      <c r="BE39" s="225"/>
      <c r="BF39" s="214"/>
      <c r="BG39" s="214"/>
      <c r="BH39" s="225"/>
      <c r="BI39" s="225"/>
      <c r="BJ39" s="214">
        <f t="shared" si="2"/>
        <v>0</v>
      </c>
      <c r="BK39" s="214"/>
      <c r="BL39" s="225"/>
      <c r="BM39" s="225"/>
      <c r="BN39" s="205">
        <f t="shared" si="23"/>
        <v>0</v>
      </c>
      <c r="BO39" s="205"/>
      <c r="BP39" s="227"/>
      <c r="BQ39" s="224"/>
      <c r="BR39" s="227"/>
      <c r="BS39" s="224"/>
      <c r="BT39" s="227"/>
      <c r="BU39" s="224"/>
      <c r="BV39" s="227"/>
      <c r="BW39" s="224"/>
      <c r="BX39" s="227"/>
      <c r="BY39" s="224"/>
      <c r="BZ39" s="227"/>
      <c r="CA39" s="224"/>
      <c r="CB39" s="227"/>
      <c r="CC39" s="224"/>
      <c r="CD39" s="227"/>
      <c r="CE39" s="224"/>
      <c r="CF39" s="227"/>
      <c r="CG39" s="224"/>
      <c r="CH39" s="227"/>
      <c r="CI39" s="224"/>
      <c r="CJ39" s="227"/>
      <c r="CK39" s="224"/>
      <c r="CL39" s="227"/>
      <c r="CM39" s="224"/>
      <c r="CN39" s="227"/>
      <c r="CO39" s="224"/>
      <c r="CP39" s="213" t="str">
        <f t="shared" si="20"/>
        <v>Không đạt</v>
      </c>
      <c r="CQ39" s="213" t="str">
        <f t="shared" si="21"/>
        <v>Không đạt</v>
      </c>
      <c r="CR39" s="192"/>
      <c r="CS39" s="214">
        <f t="shared" si="18"/>
        <v>0</v>
      </c>
      <c r="CT39" s="223"/>
      <c r="CU39" s="163"/>
      <c r="CV39" s="232"/>
      <c r="CW39" s="195"/>
      <c r="CX39" s="196"/>
      <c r="CY39" s="196"/>
      <c r="CZ39" s="197"/>
      <c r="DA39" s="196"/>
      <c r="DB39" s="196"/>
      <c r="DC39" s="196"/>
      <c r="DE39" s="199"/>
      <c r="DF39" s="200"/>
      <c r="DG39" s="181"/>
    </row>
    <row r="40" spans="1:111" s="233" customFormat="1" ht="25.5" hidden="1" outlineLevel="1" x14ac:dyDescent="0.25">
      <c r="A40" s="192">
        <f>MAX(A$14:$B39)+1</f>
        <v>21</v>
      </c>
      <c r="B40" s="222" t="s">
        <v>180</v>
      </c>
      <c r="C40" s="222">
        <v>7721463</v>
      </c>
      <c r="D40" s="214">
        <f t="shared" si="19"/>
        <v>6000</v>
      </c>
      <c r="E40" s="214"/>
      <c r="F40" s="214">
        <f t="shared" ref="F40:F65" si="28">G40+H40+K40+M40</f>
        <v>6000</v>
      </c>
      <c r="G40" s="214">
        <v>6000</v>
      </c>
      <c r="H40" s="214"/>
      <c r="I40" s="235"/>
      <c r="J40" s="235"/>
      <c r="K40" s="223"/>
      <c r="L40" s="235"/>
      <c r="M40" s="223"/>
      <c r="N40" s="223"/>
      <c r="O40" s="214">
        <f t="shared" si="26"/>
        <v>6000</v>
      </c>
      <c r="P40" s="214">
        <v>0</v>
      </c>
      <c r="Q40" s="224">
        <f t="shared" si="1"/>
        <v>0</v>
      </c>
      <c r="R40" s="214"/>
      <c r="S40" s="225">
        <v>0</v>
      </c>
      <c r="T40" s="225">
        <v>0</v>
      </c>
      <c r="U40" s="214"/>
      <c r="V40" s="225">
        <v>0</v>
      </c>
      <c r="W40" s="225">
        <v>0</v>
      </c>
      <c r="X40" s="214"/>
      <c r="Y40" s="225">
        <v>0</v>
      </c>
      <c r="Z40" s="225">
        <v>0</v>
      </c>
      <c r="AA40" s="214"/>
      <c r="AB40" s="225">
        <v>0</v>
      </c>
      <c r="AC40" s="225">
        <v>0</v>
      </c>
      <c r="AD40" s="214"/>
      <c r="AE40" s="225">
        <v>0</v>
      </c>
      <c r="AF40" s="225">
        <v>0</v>
      </c>
      <c r="AG40" s="214"/>
      <c r="AH40" s="225">
        <v>0</v>
      </c>
      <c r="AI40" s="225">
        <v>0</v>
      </c>
      <c r="AJ40" s="214"/>
      <c r="AK40" s="225">
        <v>0</v>
      </c>
      <c r="AL40" s="225">
        <v>0</v>
      </c>
      <c r="AM40" s="214"/>
      <c r="AN40" s="225">
        <v>0</v>
      </c>
      <c r="AO40" s="225">
        <v>0</v>
      </c>
      <c r="AP40" s="225"/>
      <c r="AQ40" s="214"/>
      <c r="AR40" s="225">
        <v>0</v>
      </c>
      <c r="AS40" s="225">
        <v>0</v>
      </c>
      <c r="AT40" s="214"/>
      <c r="AU40" s="225">
        <v>0</v>
      </c>
      <c r="AV40" s="225">
        <v>0</v>
      </c>
      <c r="AW40" s="214"/>
      <c r="AX40" s="225">
        <v>0</v>
      </c>
      <c r="AY40" s="225">
        <v>0</v>
      </c>
      <c r="AZ40" s="214"/>
      <c r="BA40" s="225">
        <v>0</v>
      </c>
      <c r="BB40" s="225">
        <v>0</v>
      </c>
      <c r="BC40" s="214"/>
      <c r="BD40" s="225">
        <v>0</v>
      </c>
      <c r="BE40" s="225">
        <v>0</v>
      </c>
      <c r="BF40" s="214"/>
      <c r="BG40" s="214"/>
      <c r="BH40" s="225">
        <v>0</v>
      </c>
      <c r="BI40" s="225">
        <v>0</v>
      </c>
      <c r="BJ40" s="214">
        <f t="shared" si="2"/>
        <v>5700</v>
      </c>
      <c r="BK40" s="214"/>
      <c r="BL40" s="225">
        <f t="shared" ref="BL40:BL49" si="29">BK40/$D40</f>
        <v>0</v>
      </c>
      <c r="BM40" s="225">
        <f t="shared" si="4"/>
        <v>0</v>
      </c>
      <c r="BN40" s="205">
        <f t="shared" si="23"/>
        <v>0</v>
      </c>
      <c r="BO40" s="205"/>
      <c r="BP40" s="227"/>
      <c r="BQ40" s="224">
        <f t="shared" si="5"/>
        <v>0</v>
      </c>
      <c r="BR40" s="227"/>
      <c r="BS40" s="224">
        <f t="shared" ref="BS40:BS49" si="30">BR40/$D40</f>
        <v>0</v>
      </c>
      <c r="BT40" s="227"/>
      <c r="BU40" s="224">
        <f t="shared" ref="BU40:BU49" si="31">BT40/$D40</f>
        <v>0</v>
      </c>
      <c r="BV40" s="227"/>
      <c r="BW40" s="224">
        <f t="shared" ref="BW40:BW49" si="32">BV40/$D40</f>
        <v>0</v>
      </c>
      <c r="BX40" s="227"/>
      <c r="BY40" s="224">
        <f t="shared" ref="BY40:BY49" si="33">BX40/$D40</f>
        <v>0</v>
      </c>
      <c r="BZ40" s="227">
        <v>2000</v>
      </c>
      <c r="CA40" s="224">
        <f t="shared" ref="CA40:CA49" si="34">BZ40/$D40</f>
        <v>0.33333333333333331</v>
      </c>
      <c r="CB40" s="227">
        <v>2000</v>
      </c>
      <c r="CC40" s="224">
        <f t="shared" ref="CC40:CC49" si="35">CB40/$D40</f>
        <v>0.33333333333333331</v>
      </c>
      <c r="CD40" s="227">
        <v>2000</v>
      </c>
      <c r="CE40" s="224">
        <f t="shared" ref="CE40:CE49" si="36">CD40/$D40</f>
        <v>0.33333333333333331</v>
      </c>
      <c r="CF40" s="227">
        <v>4000</v>
      </c>
      <c r="CG40" s="224">
        <f t="shared" ref="CG40:CG49" si="37">CF40/$D40</f>
        <v>0.66666666666666663</v>
      </c>
      <c r="CH40" s="227">
        <v>4000</v>
      </c>
      <c r="CI40" s="224">
        <f t="shared" ref="CI40:CI49" si="38">CH40/$D40</f>
        <v>0.66666666666666663</v>
      </c>
      <c r="CJ40" s="227">
        <v>4000</v>
      </c>
      <c r="CK40" s="224">
        <f t="shared" ref="CK40:CK49" si="39">CJ40/$D40</f>
        <v>0.66666666666666663</v>
      </c>
      <c r="CL40" s="227">
        <f>6000*0.95</f>
        <v>5700</v>
      </c>
      <c r="CM40" s="224">
        <f t="shared" ref="CM40:CM49" si="40">CL40/$D40</f>
        <v>0.95</v>
      </c>
      <c r="CN40" s="227">
        <f>6000*0.95</f>
        <v>5700</v>
      </c>
      <c r="CO40" s="224">
        <f t="shared" ref="CO40:CO49" si="41">CN40/$D40</f>
        <v>0.95</v>
      </c>
      <c r="CP40" s="213" t="str">
        <f t="shared" si="20"/>
        <v>Không đạt</v>
      </c>
      <c r="CQ40" s="213" t="str">
        <f t="shared" si="21"/>
        <v>Không đạt</v>
      </c>
      <c r="CR40" s="192"/>
      <c r="CS40" s="214">
        <f t="shared" si="18"/>
        <v>0</v>
      </c>
      <c r="CT40" s="223"/>
      <c r="CU40" s="163"/>
      <c r="CV40" s="232"/>
      <c r="CW40" s="195"/>
      <c r="CX40" s="196"/>
      <c r="CY40" s="196"/>
      <c r="CZ40" s="197"/>
      <c r="DA40" s="196"/>
      <c r="DB40" s="196"/>
      <c r="DC40" s="196"/>
      <c r="DE40" s="199"/>
      <c r="DF40" s="200"/>
      <c r="DG40" s="181"/>
    </row>
    <row r="41" spans="1:111" s="233" customFormat="1" ht="15" hidden="1" outlineLevel="1" x14ac:dyDescent="0.25">
      <c r="A41" s="192">
        <f>MAX(A$14:$B40)+1</f>
        <v>22</v>
      </c>
      <c r="B41" s="222" t="s">
        <v>181</v>
      </c>
      <c r="C41" s="222"/>
      <c r="D41" s="214">
        <f t="shared" si="19"/>
        <v>3000</v>
      </c>
      <c r="E41" s="214"/>
      <c r="F41" s="214">
        <f t="shared" si="28"/>
        <v>3000</v>
      </c>
      <c r="G41" s="214"/>
      <c r="H41" s="214">
        <v>3000</v>
      </c>
      <c r="I41" s="235"/>
      <c r="J41" s="235"/>
      <c r="K41" s="223"/>
      <c r="L41" s="235"/>
      <c r="M41" s="223"/>
      <c r="N41" s="223"/>
      <c r="O41" s="214">
        <f t="shared" si="26"/>
        <v>0</v>
      </c>
      <c r="P41" s="214">
        <v>0</v>
      </c>
      <c r="Q41" s="224">
        <f t="shared" si="1"/>
        <v>0</v>
      </c>
      <c r="R41" s="214"/>
      <c r="S41" s="225">
        <v>0</v>
      </c>
      <c r="T41" s="225">
        <v>0</v>
      </c>
      <c r="U41" s="214"/>
      <c r="V41" s="225">
        <v>0</v>
      </c>
      <c r="W41" s="225">
        <v>0</v>
      </c>
      <c r="X41" s="214"/>
      <c r="Y41" s="225">
        <v>0</v>
      </c>
      <c r="Z41" s="225">
        <v>0</v>
      </c>
      <c r="AA41" s="214"/>
      <c r="AB41" s="225">
        <v>0</v>
      </c>
      <c r="AC41" s="225">
        <v>0</v>
      </c>
      <c r="AD41" s="214"/>
      <c r="AE41" s="225">
        <v>0</v>
      </c>
      <c r="AF41" s="225">
        <v>0</v>
      </c>
      <c r="AG41" s="214"/>
      <c r="AH41" s="225">
        <v>0</v>
      </c>
      <c r="AI41" s="225">
        <v>0</v>
      </c>
      <c r="AJ41" s="214"/>
      <c r="AK41" s="225">
        <v>0</v>
      </c>
      <c r="AL41" s="225">
        <v>0</v>
      </c>
      <c r="AM41" s="214"/>
      <c r="AN41" s="225">
        <v>0</v>
      </c>
      <c r="AO41" s="225">
        <v>0</v>
      </c>
      <c r="AP41" s="225"/>
      <c r="AQ41" s="214"/>
      <c r="AR41" s="225">
        <v>0</v>
      </c>
      <c r="AS41" s="225">
        <v>0</v>
      </c>
      <c r="AT41" s="214"/>
      <c r="AU41" s="225">
        <v>0</v>
      </c>
      <c r="AV41" s="225">
        <v>0</v>
      </c>
      <c r="AW41" s="214"/>
      <c r="AX41" s="225">
        <v>0</v>
      </c>
      <c r="AY41" s="225">
        <v>0</v>
      </c>
      <c r="AZ41" s="214"/>
      <c r="BA41" s="225">
        <v>0</v>
      </c>
      <c r="BB41" s="225">
        <v>0</v>
      </c>
      <c r="BC41" s="214"/>
      <c r="BD41" s="225">
        <v>0</v>
      </c>
      <c r="BE41" s="225">
        <v>0</v>
      </c>
      <c r="BF41" s="214"/>
      <c r="BG41" s="214"/>
      <c r="BH41" s="225">
        <v>0</v>
      </c>
      <c r="BI41" s="225">
        <v>0</v>
      </c>
      <c r="BJ41" s="214">
        <f t="shared" si="2"/>
        <v>2850</v>
      </c>
      <c r="BK41" s="214"/>
      <c r="BL41" s="225">
        <f t="shared" si="29"/>
        <v>0</v>
      </c>
      <c r="BM41" s="225">
        <f t="shared" si="4"/>
        <v>0</v>
      </c>
      <c r="BN41" s="205">
        <f t="shared" si="23"/>
        <v>0</v>
      </c>
      <c r="BO41" s="205"/>
      <c r="BP41" s="227"/>
      <c r="BQ41" s="224">
        <f t="shared" si="5"/>
        <v>0</v>
      </c>
      <c r="BR41" s="227"/>
      <c r="BS41" s="224">
        <f t="shared" si="30"/>
        <v>0</v>
      </c>
      <c r="BT41" s="227">
        <v>1000</v>
      </c>
      <c r="BU41" s="224">
        <f t="shared" si="31"/>
        <v>0.33333333333333331</v>
      </c>
      <c r="BV41" s="227">
        <v>1000</v>
      </c>
      <c r="BW41" s="224">
        <f t="shared" si="32"/>
        <v>0.33333333333333331</v>
      </c>
      <c r="BX41" s="227">
        <v>2500</v>
      </c>
      <c r="BY41" s="224">
        <f t="shared" si="33"/>
        <v>0.83333333333333337</v>
      </c>
      <c r="BZ41" s="227">
        <f>3000*0.95</f>
        <v>2850</v>
      </c>
      <c r="CA41" s="224">
        <f t="shared" si="34"/>
        <v>0.95</v>
      </c>
      <c r="CB41" s="227">
        <f>3000*0.95</f>
        <v>2850</v>
      </c>
      <c r="CC41" s="224">
        <f t="shared" si="35"/>
        <v>0.95</v>
      </c>
      <c r="CD41" s="227">
        <f>3000*0.95</f>
        <v>2850</v>
      </c>
      <c r="CE41" s="224">
        <f t="shared" si="36"/>
        <v>0.95</v>
      </c>
      <c r="CF41" s="227">
        <f>3000*0.95</f>
        <v>2850</v>
      </c>
      <c r="CG41" s="224">
        <f t="shared" si="37"/>
        <v>0.95</v>
      </c>
      <c r="CH41" s="227">
        <f>3000*0.95</f>
        <v>2850</v>
      </c>
      <c r="CI41" s="224">
        <f t="shared" si="38"/>
        <v>0.95</v>
      </c>
      <c r="CJ41" s="227">
        <f>3000*0.95</f>
        <v>2850</v>
      </c>
      <c r="CK41" s="224">
        <f t="shared" si="39"/>
        <v>0.95</v>
      </c>
      <c r="CL41" s="227">
        <f>3000*0.95</f>
        <v>2850</v>
      </c>
      <c r="CM41" s="224">
        <f t="shared" si="40"/>
        <v>0.95</v>
      </c>
      <c r="CN41" s="227">
        <f>3000*0.95</f>
        <v>2850</v>
      </c>
      <c r="CO41" s="224">
        <f t="shared" si="41"/>
        <v>0.95</v>
      </c>
      <c r="CP41" s="213" t="str">
        <f t="shared" si="20"/>
        <v>Không đạt</v>
      </c>
      <c r="CQ41" s="213" t="str">
        <f t="shared" si="21"/>
        <v>Không đạt</v>
      </c>
      <c r="CR41" s="192"/>
      <c r="CS41" s="214">
        <f t="shared" si="18"/>
        <v>0</v>
      </c>
      <c r="CT41" s="223"/>
      <c r="CU41" s="163"/>
      <c r="CV41" s="232"/>
      <c r="CW41" s="195"/>
      <c r="CX41" s="196"/>
      <c r="CY41" s="196"/>
      <c r="CZ41" s="197"/>
      <c r="DA41" s="196"/>
      <c r="DB41" s="196"/>
      <c r="DC41" s="196"/>
      <c r="DE41" s="199"/>
      <c r="DF41" s="200"/>
      <c r="DG41" s="181"/>
    </row>
    <row r="42" spans="1:111" s="233" customFormat="1" ht="25.5" hidden="1" outlineLevel="1" x14ac:dyDescent="0.25">
      <c r="A42" s="192">
        <f>MAX(A$14:$B41)+1</f>
        <v>23</v>
      </c>
      <c r="B42" s="222" t="s">
        <v>182</v>
      </c>
      <c r="C42" s="222"/>
      <c r="D42" s="214">
        <f t="shared" si="19"/>
        <v>30000</v>
      </c>
      <c r="E42" s="214"/>
      <c r="F42" s="214">
        <f t="shared" si="28"/>
        <v>30000</v>
      </c>
      <c r="G42" s="214"/>
      <c r="H42" s="214">
        <v>30000</v>
      </c>
      <c r="I42" s="235"/>
      <c r="J42" s="235"/>
      <c r="K42" s="223"/>
      <c r="L42" s="235"/>
      <c r="M42" s="223"/>
      <c r="N42" s="223"/>
      <c r="O42" s="214">
        <f t="shared" si="26"/>
        <v>0</v>
      </c>
      <c r="P42" s="214">
        <v>0</v>
      </c>
      <c r="Q42" s="224">
        <f t="shared" si="1"/>
        <v>0</v>
      </c>
      <c r="R42" s="214"/>
      <c r="S42" s="225">
        <v>0</v>
      </c>
      <c r="T42" s="225">
        <v>0</v>
      </c>
      <c r="U42" s="214"/>
      <c r="V42" s="225">
        <v>0</v>
      </c>
      <c r="W42" s="225">
        <v>0</v>
      </c>
      <c r="X42" s="214"/>
      <c r="Y42" s="225">
        <v>0</v>
      </c>
      <c r="Z42" s="225">
        <v>0</v>
      </c>
      <c r="AA42" s="214"/>
      <c r="AB42" s="225">
        <v>0</v>
      </c>
      <c r="AC42" s="225">
        <v>0</v>
      </c>
      <c r="AD42" s="214"/>
      <c r="AE42" s="225">
        <v>0</v>
      </c>
      <c r="AF42" s="225">
        <v>0</v>
      </c>
      <c r="AG42" s="214"/>
      <c r="AH42" s="225">
        <v>0</v>
      </c>
      <c r="AI42" s="225">
        <v>0</v>
      </c>
      <c r="AJ42" s="214"/>
      <c r="AK42" s="225">
        <v>0</v>
      </c>
      <c r="AL42" s="225">
        <v>0</v>
      </c>
      <c r="AM42" s="214"/>
      <c r="AN42" s="225">
        <v>0</v>
      </c>
      <c r="AO42" s="225">
        <v>0</v>
      </c>
      <c r="AP42" s="225"/>
      <c r="AQ42" s="214"/>
      <c r="AR42" s="225">
        <v>0</v>
      </c>
      <c r="AS42" s="225">
        <v>0</v>
      </c>
      <c r="AT42" s="214"/>
      <c r="AU42" s="225">
        <v>0</v>
      </c>
      <c r="AV42" s="225">
        <v>0</v>
      </c>
      <c r="AW42" s="214"/>
      <c r="AX42" s="225">
        <v>0</v>
      </c>
      <c r="AY42" s="225">
        <v>0</v>
      </c>
      <c r="AZ42" s="214"/>
      <c r="BA42" s="225">
        <v>0</v>
      </c>
      <c r="BB42" s="225">
        <v>0</v>
      </c>
      <c r="BC42" s="214"/>
      <c r="BD42" s="225">
        <v>0</v>
      </c>
      <c r="BE42" s="225">
        <v>0</v>
      </c>
      <c r="BF42" s="214"/>
      <c r="BG42" s="214"/>
      <c r="BH42" s="225">
        <v>0</v>
      </c>
      <c r="BI42" s="225">
        <v>0</v>
      </c>
      <c r="BJ42" s="214">
        <f t="shared" si="2"/>
        <v>28500</v>
      </c>
      <c r="BK42" s="214">
        <v>2345.6</v>
      </c>
      <c r="BL42" s="225">
        <f t="shared" si="29"/>
        <v>7.8186666666666668E-2</v>
      </c>
      <c r="BM42" s="225">
        <f t="shared" si="4"/>
        <v>8.2301754385964904E-2</v>
      </c>
      <c r="BN42" s="205">
        <f t="shared" si="23"/>
        <v>2345.6</v>
      </c>
      <c r="BO42" s="205"/>
      <c r="BP42" s="227"/>
      <c r="BQ42" s="224">
        <f t="shared" si="5"/>
        <v>0</v>
      </c>
      <c r="BR42" s="227">
        <v>1500</v>
      </c>
      <c r="BS42" s="224">
        <f t="shared" si="30"/>
        <v>0.05</v>
      </c>
      <c r="BT42" s="227">
        <v>3000</v>
      </c>
      <c r="BU42" s="224">
        <f t="shared" si="31"/>
        <v>0.1</v>
      </c>
      <c r="BV42" s="227">
        <v>4500</v>
      </c>
      <c r="BW42" s="224">
        <f t="shared" si="32"/>
        <v>0.15</v>
      </c>
      <c r="BX42" s="227">
        <v>6000</v>
      </c>
      <c r="BY42" s="224">
        <f t="shared" si="33"/>
        <v>0.2</v>
      </c>
      <c r="BZ42" s="227">
        <v>7500</v>
      </c>
      <c r="CA42" s="224">
        <f t="shared" si="34"/>
        <v>0.25</v>
      </c>
      <c r="CB42" s="227">
        <v>9000</v>
      </c>
      <c r="CC42" s="224">
        <f t="shared" si="35"/>
        <v>0.3</v>
      </c>
      <c r="CD42" s="227">
        <v>10500</v>
      </c>
      <c r="CE42" s="224">
        <f t="shared" si="36"/>
        <v>0.35</v>
      </c>
      <c r="CF42" s="227">
        <v>12000</v>
      </c>
      <c r="CG42" s="224">
        <f t="shared" si="37"/>
        <v>0.4</v>
      </c>
      <c r="CH42" s="227">
        <v>15000</v>
      </c>
      <c r="CI42" s="224">
        <f t="shared" si="38"/>
        <v>0.5</v>
      </c>
      <c r="CJ42" s="227">
        <v>19500</v>
      </c>
      <c r="CK42" s="224">
        <f t="shared" si="39"/>
        <v>0.65</v>
      </c>
      <c r="CL42" s="227">
        <v>24000</v>
      </c>
      <c r="CM42" s="224">
        <f t="shared" si="40"/>
        <v>0.8</v>
      </c>
      <c r="CN42" s="227">
        <f>30000*0.95</f>
        <v>28500</v>
      </c>
      <c r="CO42" s="224">
        <f t="shared" si="41"/>
        <v>0.95</v>
      </c>
      <c r="CP42" s="213" t="str">
        <f t="shared" si="20"/>
        <v>Không đạt</v>
      </c>
      <c r="CQ42" s="213" t="str">
        <f t="shared" si="21"/>
        <v>Không đạt</v>
      </c>
      <c r="CR42" s="192"/>
      <c r="CS42" s="214">
        <f t="shared" si="18"/>
        <v>2345.6</v>
      </c>
      <c r="CT42" s="223"/>
      <c r="CU42" s="163"/>
      <c r="CV42" s="232"/>
      <c r="CW42" s="195"/>
      <c r="CX42" s="196"/>
      <c r="CY42" s="196"/>
      <c r="CZ42" s="197"/>
      <c r="DA42" s="196"/>
      <c r="DB42" s="196"/>
      <c r="DC42" s="196"/>
      <c r="DE42" s="199"/>
      <c r="DF42" s="200"/>
      <c r="DG42" s="181"/>
    </row>
    <row r="43" spans="1:111" s="233" customFormat="1" ht="15" hidden="1" outlineLevel="1" x14ac:dyDescent="0.25">
      <c r="A43" s="192">
        <f>MAX(A$14:$B42)+1</f>
        <v>24</v>
      </c>
      <c r="B43" s="222" t="s">
        <v>183</v>
      </c>
      <c r="C43" s="222">
        <v>7960425</v>
      </c>
      <c r="D43" s="214">
        <f t="shared" si="19"/>
        <v>10000</v>
      </c>
      <c r="E43" s="214"/>
      <c r="F43" s="214">
        <f t="shared" si="28"/>
        <v>10000</v>
      </c>
      <c r="G43" s="214">
        <v>3000</v>
      </c>
      <c r="H43" s="214">
        <v>7000</v>
      </c>
      <c r="I43" s="235"/>
      <c r="J43" s="235"/>
      <c r="K43" s="223"/>
      <c r="L43" s="235"/>
      <c r="M43" s="223"/>
      <c r="N43" s="223"/>
      <c r="O43" s="214">
        <f t="shared" si="26"/>
        <v>3000</v>
      </c>
      <c r="P43" s="214">
        <v>0</v>
      </c>
      <c r="Q43" s="224">
        <f t="shared" si="1"/>
        <v>0</v>
      </c>
      <c r="R43" s="214"/>
      <c r="S43" s="225">
        <v>0</v>
      </c>
      <c r="T43" s="225">
        <v>0</v>
      </c>
      <c r="U43" s="214"/>
      <c r="V43" s="225">
        <v>0</v>
      </c>
      <c r="W43" s="225">
        <v>0</v>
      </c>
      <c r="X43" s="214"/>
      <c r="Y43" s="225">
        <v>0</v>
      </c>
      <c r="Z43" s="225">
        <v>0</v>
      </c>
      <c r="AA43" s="214"/>
      <c r="AB43" s="225">
        <v>0</v>
      </c>
      <c r="AC43" s="225">
        <v>0</v>
      </c>
      <c r="AD43" s="214"/>
      <c r="AE43" s="225">
        <v>0</v>
      </c>
      <c r="AF43" s="225">
        <v>0</v>
      </c>
      <c r="AG43" s="214"/>
      <c r="AH43" s="225">
        <v>0</v>
      </c>
      <c r="AI43" s="225">
        <v>0</v>
      </c>
      <c r="AJ43" s="214"/>
      <c r="AK43" s="225">
        <v>0</v>
      </c>
      <c r="AL43" s="225">
        <v>0</v>
      </c>
      <c r="AM43" s="214"/>
      <c r="AN43" s="225">
        <v>0</v>
      </c>
      <c r="AO43" s="225">
        <v>0</v>
      </c>
      <c r="AP43" s="225"/>
      <c r="AQ43" s="214"/>
      <c r="AR43" s="225">
        <v>0</v>
      </c>
      <c r="AS43" s="225">
        <v>0</v>
      </c>
      <c r="AT43" s="214"/>
      <c r="AU43" s="225">
        <v>0</v>
      </c>
      <c r="AV43" s="225">
        <v>0</v>
      </c>
      <c r="AW43" s="214"/>
      <c r="AX43" s="225">
        <v>0</v>
      </c>
      <c r="AY43" s="225">
        <v>0</v>
      </c>
      <c r="AZ43" s="214"/>
      <c r="BA43" s="225">
        <v>0</v>
      </c>
      <c r="BB43" s="225">
        <v>0</v>
      </c>
      <c r="BC43" s="214"/>
      <c r="BD43" s="225">
        <v>0</v>
      </c>
      <c r="BE43" s="225">
        <v>0</v>
      </c>
      <c r="BF43" s="214"/>
      <c r="BG43" s="214"/>
      <c r="BH43" s="225">
        <v>0</v>
      </c>
      <c r="BI43" s="225">
        <v>0</v>
      </c>
      <c r="BJ43" s="214">
        <f t="shared" si="2"/>
        <v>9500</v>
      </c>
      <c r="BK43" s="214"/>
      <c r="BL43" s="225">
        <f t="shared" si="29"/>
        <v>0</v>
      </c>
      <c r="BM43" s="225">
        <f t="shared" si="4"/>
        <v>0</v>
      </c>
      <c r="BN43" s="205">
        <f t="shared" si="23"/>
        <v>0</v>
      </c>
      <c r="BO43" s="205"/>
      <c r="BP43" s="227"/>
      <c r="BQ43" s="224">
        <f t="shared" si="5"/>
        <v>0</v>
      </c>
      <c r="BR43" s="227"/>
      <c r="BS43" s="224">
        <f t="shared" si="30"/>
        <v>0</v>
      </c>
      <c r="BT43" s="227"/>
      <c r="BU43" s="224">
        <f t="shared" si="31"/>
        <v>0</v>
      </c>
      <c r="BV43" s="227"/>
      <c r="BW43" s="224">
        <f t="shared" si="32"/>
        <v>0</v>
      </c>
      <c r="BX43" s="227"/>
      <c r="BY43" s="224">
        <f t="shared" si="33"/>
        <v>0</v>
      </c>
      <c r="BZ43" s="227">
        <v>1000</v>
      </c>
      <c r="CA43" s="224">
        <f t="shared" si="34"/>
        <v>0.1</v>
      </c>
      <c r="CB43" s="227">
        <v>1000</v>
      </c>
      <c r="CC43" s="224">
        <f t="shared" si="35"/>
        <v>0.1</v>
      </c>
      <c r="CD43" s="227">
        <v>1000</v>
      </c>
      <c r="CE43" s="224">
        <f t="shared" si="36"/>
        <v>0.1</v>
      </c>
      <c r="CF43" s="227">
        <v>5000</v>
      </c>
      <c r="CG43" s="224">
        <f t="shared" si="37"/>
        <v>0.5</v>
      </c>
      <c r="CH43" s="227">
        <v>5000</v>
      </c>
      <c r="CI43" s="224">
        <f t="shared" si="38"/>
        <v>0.5</v>
      </c>
      <c r="CJ43" s="227">
        <v>5000</v>
      </c>
      <c r="CK43" s="224">
        <f t="shared" si="39"/>
        <v>0.5</v>
      </c>
      <c r="CL43" s="227">
        <v>9500</v>
      </c>
      <c r="CM43" s="224">
        <f t="shared" si="40"/>
        <v>0.95</v>
      </c>
      <c r="CN43" s="227">
        <v>9500</v>
      </c>
      <c r="CO43" s="224">
        <f t="shared" si="41"/>
        <v>0.95</v>
      </c>
      <c r="CP43" s="213" t="str">
        <f t="shared" si="20"/>
        <v>Không đạt</v>
      </c>
      <c r="CQ43" s="213" t="str">
        <f t="shared" si="21"/>
        <v>Không đạt</v>
      </c>
      <c r="CR43" s="192"/>
      <c r="CS43" s="214">
        <f t="shared" si="18"/>
        <v>0</v>
      </c>
      <c r="CT43" s="223"/>
      <c r="CU43" s="163"/>
      <c r="CV43" s="232"/>
      <c r="CW43" s="195"/>
      <c r="CX43" s="196"/>
      <c r="CY43" s="196"/>
      <c r="CZ43" s="197"/>
      <c r="DA43" s="196"/>
      <c r="DB43" s="196"/>
      <c r="DC43" s="196"/>
      <c r="DE43" s="199"/>
      <c r="DF43" s="200"/>
      <c r="DG43" s="181"/>
    </row>
    <row r="44" spans="1:111" s="233" customFormat="1" ht="15" hidden="1" outlineLevel="1" x14ac:dyDescent="0.25">
      <c r="A44" s="192">
        <f>MAX(A$14:$B43)+1</f>
        <v>25</v>
      </c>
      <c r="B44" s="222" t="s">
        <v>184</v>
      </c>
      <c r="C44" s="222">
        <v>8051468</v>
      </c>
      <c r="D44" s="214">
        <f t="shared" si="19"/>
        <v>3000</v>
      </c>
      <c r="E44" s="214"/>
      <c r="F44" s="214">
        <f t="shared" si="28"/>
        <v>3000</v>
      </c>
      <c r="G44" s="214">
        <v>3000</v>
      </c>
      <c r="H44" s="214"/>
      <c r="I44" s="235"/>
      <c r="J44" s="235"/>
      <c r="K44" s="223"/>
      <c r="L44" s="235"/>
      <c r="M44" s="223"/>
      <c r="N44" s="223"/>
      <c r="O44" s="214">
        <f t="shared" si="26"/>
        <v>3000</v>
      </c>
      <c r="P44" s="214">
        <v>0</v>
      </c>
      <c r="Q44" s="224">
        <f t="shared" si="1"/>
        <v>0</v>
      </c>
      <c r="R44" s="214"/>
      <c r="S44" s="225">
        <v>0</v>
      </c>
      <c r="T44" s="225">
        <v>0</v>
      </c>
      <c r="U44" s="214"/>
      <c r="V44" s="225">
        <v>0</v>
      </c>
      <c r="W44" s="225">
        <v>0</v>
      </c>
      <c r="X44" s="214"/>
      <c r="Y44" s="225">
        <v>0</v>
      </c>
      <c r="Z44" s="225">
        <v>0</v>
      </c>
      <c r="AA44" s="214"/>
      <c r="AB44" s="225">
        <v>0</v>
      </c>
      <c r="AC44" s="225">
        <v>0</v>
      </c>
      <c r="AD44" s="214"/>
      <c r="AE44" s="225">
        <v>0</v>
      </c>
      <c r="AF44" s="225">
        <v>0</v>
      </c>
      <c r="AG44" s="214"/>
      <c r="AH44" s="225">
        <v>0</v>
      </c>
      <c r="AI44" s="225">
        <v>0</v>
      </c>
      <c r="AJ44" s="214"/>
      <c r="AK44" s="225">
        <v>0</v>
      </c>
      <c r="AL44" s="225">
        <v>0</v>
      </c>
      <c r="AM44" s="214"/>
      <c r="AN44" s="225">
        <v>0</v>
      </c>
      <c r="AO44" s="225">
        <v>0</v>
      </c>
      <c r="AP44" s="225"/>
      <c r="AQ44" s="214"/>
      <c r="AR44" s="225">
        <v>0</v>
      </c>
      <c r="AS44" s="225">
        <v>0</v>
      </c>
      <c r="AT44" s="214"/>
      <c r="AU44" s="225">
        <v>0</v>
      </c>
      <c r="AV44" s="225">
        <v>0</v>
      </c>
      <c r="AW44" s="214"/>
      <c r="AX44" s="225">
        <v>0</v>
      </c>
      <c r="AY44" s="225">
        <v>0</v>
      </c>
      <c r="AZ44" s="214"/>
      <c r="BA44" s="225">
        <v>0</v>
      </c>
      <c r="BB44" s="225">
        <v>0</v>
      </c>
      <c r="BC44" s="214"/>
      <c r="BD44" s="225">
        <v>0</v>
      </c>
      <c r="BE44" s="225">
        <v>0</v>
      </c>
      <c r="BF44" s="214"/>
      <c r="BG44" s="214"/>
      <c r="BH44" s="225">
        <v>0</v>
      </c>
      <c r="BI44" s="225">
        <v>0</v>
      </c>
      <c r="BJ44" s="214">
        <f t="shared" si="2"/>
        <v>2850</v>
      </c>
      <c r="BK44" s="214"/>
      <c r="BL44" s="225">
        <f t="shared" si="29"/>
        <v>0</v>
      </c>
      <c r="BM44" s="225">
        <f t="shared" si="4"/>
        <v>0</v>
      </c>
      <c r="BN44" s="205">
        <f t="shared" si="23"/>
        <v>0</v>
      </c>
      <c r="BO44" s="205"/>
      <c r="BP44" s="227"/>
      <c r="BQ44" s="224">
        <f t="shared" si="5"/>
        <v>0</v>
      </c>
      <c r="BR44" s="227"/>
      <c r="BS44" s="224">
        <f t="shared" si="30"/>
        <v>0</v>
      </c>
      <c r="BT44" s="227"/>
      <c r="BU44" s="224">
        <f t="shared" si="31"/>
        <v>0</v>
      </c>
      <c r="BV44" s="227"/>
      <c r="BW44" s="224">
        <f t="shared" si="32"/>
        <v>0</v>
      </c>
      <c r="BX44" s="227"/>
      <c r="BY44" s="224">
        <f t="shared" si="33"/>
        <v>0</v>
      </c>
      <c r="BZ44" s="227"/>
      <c r="CA44" s="224">
        <f t="shared" si="34"/>
        <v>0</v>
      </c>
      <c r="CB44" s="227"/>
      <c r="CC44" s="224">
        <f t="shared" si="35"/>
        <v>0</v>
      </c>
      <c r="CD44" s="227"/>
      <c r="CE44" s="224">
        <f t="shared" si="36"/>
        <v>0</v>
      </c>
      <c r="CF44" s="227">
        <v>1200</v>
      </c>
      <c r="CG44" s="224">
        <f t="shared" si="37"/>
        <v>0.4</v>
      </c>
      <c r="CH44" s="227">
        <v>1200</v>
      </c>
      <c r="CI44" s="224">
        <f t="shared" si="38"/>
        <v>0.4</v>
      </c>
      <c r="CJ44" s="227">
        <v>2000</v>
      </c>
      <c r="CK44" s="224">
        <f t="shared" si="39"/>
        <v>0.66666666666666663</v>
      </c>
      <c r="CL44" s="227">
        <v>2500</v>
      </c>
      <c r="CM44" s="224">
        <f t="shared" si="40"/>
        <v>0.83333333333333337</v>
      </c>
      <c r="CN44" s="227">
        <v>2850</v>
      </c>
      <c r="CO44" s="224">
        <f t="shared" si="41"/>
        <v>0.95</v>
      </c>
      <c r="CP44" s="213" t="str">
        <f t="shared" si="20"/>
        <v>Không đạt</v>
      </c>
      <c r="CQ44" s="213" t="str">
        <f t="shared" si="21"/>
        <v>Không đạt</v>
      </c>
      <c r="CR44" s="192"/>
      <c r="CS44" s="214">
        <f t="shared" si="18"/>
        <v>0</v>
      </c>
      <c r="CT44" s="223"/>
      <c r="CU44" s="163"/>
      <c r="CV44" s="232"/>
      <c r="CW44" s="195"/>
      <c r="CX44" s="196"/>
      <c r="CY44" s="196"/>
      <c r="CZ44" s="197"/>
      <c r="DA44" s="196"/>
      <c r="DB44" s="196"/>
      <c r="DC44" s="196"/>
      <c r="DE44" s="199"/>
      <c r="DF44" s="200"/>
      <c r="DG44" s="181"/>
    </row>
    <row r="45" spans="1:111" s="233" customFormat="1" ht="38.25" hidden="1" outlineLevel="1" x14ac:dyDescent="0.25">
      <c r="A45" s="192">
        <f>MAX(A$14:$B44)+1</f>
        <v>26</v>
      </c>
      <c r="B45" s="222" t="s">
        <v>185</v>
      </c>
      <c r="C45" s="222">
        <v>8100024</v>
      </c>
      <c r="D45" s="214">
        <f>E45+F45</f>
        <v>500</v>
      </c>
      <c r="E45" s="214"/>
      <c r="F45" s="214">
        <f t="shared" si="28"/>
        <v>500</v>
      </c>
      <c r="G45" s="214">
        <v>500</v>
      </c>
      <c r="H45" s="214"/>
      <c r="I45" s="235"/>
      <c r="J45" s="235"/>
      <c r="K45" s="223"/>
      <c r="L45" s="235"/>
      <c r="M45" s="223"/>
      <c r="N45" s="223"/>
      <c r="O45" s="214">
        <f t="shared" si="26"/>
        <v>500</v>
      </c>
      <c r="P45" s="214">
        <v>226.83099999999999</v>
      </c>
      <c r="Q45" s="224">
        <f t="shared" si="1"/>
        <v>0.45366199999999995</v>
      </c>
      <c r="R45" s="214">
        <v>226.83099999999999</v>
      </c>
      <c r="S45" s="225">
        <v>0.45366199999999995</v>
      </c>
      <c r="T45" s="225">
        <v>0.47753894736842101</v>
      </c>
      <c r="U45" s="214">
        <v>268.36900000000003</v>
      </c>
      <c r="V45" s="225">
        <v>0.53673800000000005</v>
      </c>
      <c r="W45" s="225">
        <v>0.56498736842105268</v>
      </c>
      <c r="X45" s="214">
        <v>268.36900000000003</v>
      </c>
      <c r="Y45" s="225">
        <v>0.53673800000000005</v>
      </c>
      <c r="Z45" s="225">
        <v>0.56498736842105268</v>
      </c>
      <c r="AA45" s="214">
        <v>268.36900000000003</v>
      </c>
      <c r="AB45" s="225">
        <v>0.53673800000000005</v>
      </c>
      <c r="AC45" s="225">
        <v>0.56498736842105268</v>
      </c>
      <c r="AD45" s="214">
        <v>268.36900000000003</v>
      </c>
      <c r="AE45" s="225">
        <v>0.53673800000000005</v>
      </c>
      <c r="AF45" s="225">
        <v>0.56498736842105268</v>
      </c>
      <c r="AG45" s="214">
        <v>268.36900000000003</v>
      </c>
      <c r="AH45" s="225">
        <v>0.53673800000000005</v>
      </c>
      <c r="AI45" s="225">
        <v>0.56498736842105268</v>
      </c>
      <c r="AJ45" s="214">
        <v>268.36900000000003</v>
      </c>
      <c r="AK45" s="225">
        <v>0.53673800000000005</v>
      </c>
      <c r="AL45" s="225">
        <v>0.56498736842105268</v>
      </c>
      <c r="AM45" s="214">
        <v>291.46900000000005</v>
      </c>
      <c r="AN45" s="225">
        <v>0.58293800000000007</v>
      </c>
      <c r="AO45" s="225">
        <v>0.61361894736842115</v>
      </c>
      <c r="AP45" s="225"/>
      <c r="AQ45" s="214">
        <v>291.46900000000005</v>
      </c>
      <c r="AR45" s="225">
        <v>0.58293800000000007</v>
      </c>
      <c r="AS45" s="225">
        <v>0.61361894736842115</v>
      </c>
      <c r="AT45" s="214">
        <v>291.46900000000005</v>
      </c>
      <c r="AU45" s="225">
        <v>0.58293800000000007</v>
      </c>
      <c r="AV45" s="225">
        <v>0.61361894736842115</v>
      </c>
      <c r="AW45" s="214">
        <v>291.46900000000005</v>
      </c>
      <c r="AX45" s="225">
        <v>0.58293800000000007</v>
      </c>
      <c r="AY45" s="225">
        <v>0.61361894736842115</v>
      </c>
      <c r="AZ45" s="214">
        <v>291.46900000000005</v>
      </c>
      <c r="BA45" s="225">
        <v>0.58293800000000007</v>
      </c>
      <c r="BB45" s="225">
        <v>0.61361894736842115</v>
      </c>
      <c r="BC45" s="214">
        <v>291.46900000000005</v>
      </c>
      <c r="BD45" s="225">
        <v>0.58293800000000007</v>
      </c>
      <c r="BE45" s="225">
        <v>0.61361894736842115</v>
      </c>
      <c r="BF45" s="214"/>
      <c r="BG45" s="214">
        <v>291.46900000000005</v>
      </c>
      <c r="BH45" s="225">
        <v>0.58293800000000007</v>
      </c>
      <c r="BI45" s="225">
        <v>0.61361894736842115</v>
      </c>
      <c r="BJ45" s="214">
        <f t="shared" si="2"/>
        <v>475</v>
      </c>
      <c r="BK45" s="214">
        <v>291.46900000000005</v>
      </c>
      <c r="BL45" s="225">
        <f t="shared" si="29"/>
        <v>0.58293800000000007</v>
      </c>
      <c r="BM45" s="225">
        <f t="shared" si="4"/>
        <v>0.61361894736842115</v>
      </c>
      <c r="BN45" s="205">
        <f t="shared" si="23"/>
        <v>23.100000000000023</v>
      </c>
      <c r="BO45" s="205"/>
      <c r="BP45" s="227"/>
      <c r="BQ45" s="224">
        <f t="shared" si="5"/>
        <v>0</v>
      </c>
      <c r="BR45" s="227"/>
      <c r="BS45" s="224">
        <f t="shared" si="30"/>
        <v>0</v>
      </c>
      <c r="BT45" s="227">
        <f>500*0.95</f>
        <v>475</v>
      </c>
      <c r="BU45" s="224">
        <f t="shared" si="31"/>
        <v>0.95</v>
      </c>
      <c r="BV45" s="227">
        <f>500*0.95</f>
        <v>475</v>
      </c>
      <c r="BW45" s="224">
        <f t="shared" si="32"/>
        <v>0.95</v>
      </c>
      <c r="BX45" s="227">
        <f>500*0.95</f>
        <v>475</v>
      </c>
      <c r="BY45" s="224">
        <f t="shared" si="33"/>
        <v>0.95</v>
      </c>
      <c r="BZ45" s="227">
        <f>500*0.95</f>
        <v>475</v>
      </c>
      <c r="CA45" s="224">
        <f t="shared" si="34"/>
        <v>0.95</v>
      </c>
      <c r="CB45" s="227">
        <f>500*0.95</f>
        <v>475</v>
      </c>
      <c r="CC45" s="224">
        <f t="shared" si="35"/>
        <v>0.95</v>
      </c>
      <c r="CD45" s="227">
        <f>500*0.95</f>
        <v>475</v>
      </c>
      <c r="CE45" s="224">
        <f t="shared" si="36"/>
        <v>0.95</v>
      </c>
      <c r="CF45" s="227">
        <f>500*0.95</f>
        <v>475</v>
      </c>
      <c r="CG45" s="224">
        <f t="shared" si="37"/>
        <v>0.95</v>
      </c>
      <c r="CH45" s="227">
        <f>500*0.95</f>
        <v>475</v>
      </c>
      <c r="CI45" s="224">
        <f t="shared" si="38"/>
        <v>0.95</v>
      </c>
      <c r="CJ45" s="227">
        <f>500*0.95</f>
        <v>475</v>
      </c>
      <c r="CK45" s="224">
        <f t="shared" si="39"/>
        <v>0.95</v>
      </c>
      <c r="CL45" s="227">
        <f>500*0.95</f>
        <v>475</v>
      </c>
      <c r="CM45" s="224">
        <f t="shared" si="40"/>
        <v>0.95</v>
      </c>
      <c r="CN45" s="227">
        <f>500*0.95</f>
        <v>475</v>
      </c>
      <c r="CO45" s="224">
        <f t="shared" si="41"/>
        <v>0.95</v>
      </c>
      <c r="CP45" s="213" t="str">
        <f t="shared" si="20"/>
        <v>Đạt</v>
      </c>
      <c r="CQ45" s="213" t="str">
        <f t="shared" si="21"/>
        <v>Đạt</v>
      </c>
      <c r="CR45" s="192"/>
      <c r="CS45" s="214">
        <f t="shared" si="18"/>
        <v>0</v>
      </c>
      <c r="CT45" s="223"/>
      <c r="CU45" s="163"/>
      <c r="CV45" s="232"/>
      <c r="CW45" s="195"/>
      <c r="CX45" s="196"/>
      <c r="CY45" s="196"/>
      <c r="CZ45" s="197"/>
      <c r="DA45" s="196"/>
      <c r="DB45" s="196"/>
      <c r="DC45" s="196"/>
      <c r="DE45" s="199"/>
      <c r="DF45" s="200"/>
      <c r="DG45" s="181"/>
    </row>
    <row r="46" spans="1:111" s="233" customFormat="1" ht="25.5" hidden="1" outlineLevel="1" x14ac:dyDescent="0.25">
      <c r="A46" s="192">
        <f>MAX(A$14:$B45)+1</f>
        <v>27</v>
      </c>
      <c r="B46" s="222" t="s">
        <v>186</v>
      </c>
      <c r="C46" s="222">
        <v>8100023</v>
      </c>
      <c r="D46" s="214">
        <f>E46+F46</f>
        <v>3000</v>
      </c>
      <c r="E46" s="214"/>
      <c r="F46" s="214">
        <f t="shared" si="28"/>
        <v>3000</v>
      </c>
      <c r="G46" s="214">
        <v>3000</v>
      </c>
      <c r="H46" s="214"/>
      <c r="I46" s="235"/>
      <c r="J46" s="235"/>
      <c r="K46" s="223"/>
      <c r="L46" s="235"/>
      <c r="M46" s="223"/>
      <c r="N46" s="223"/>
      <c r="O46" s="214">
        <f t="shared" si="26"/>
        <v>3000</v>
      </c>
      <c r="P46" s="214">
        <v>0</v>
      </c>
      <c r="Q46" s="224">
        <f t="shared" si="1"/>
        <v>0</v>
      </c>
      <c r="R46" s="214"/>
      <c r="S46" s="225">
        <v>0</v>
      </c>
      <c r="T46" s="225">
        <v>0</v>
      </c>
      <c r="U46" s="214"/>
      <c r="V46" s="225">
        <v>0</v>
      </c>
      <c r="W46" s="225">
        <v>0</v>
      </c>
      <c r="X46" s="214"/>
      <c r="Y46" s="225">
        <v>0</v>
      </c>
      <c r="Z46" s="225">
        <v>0</v>
      </c>
      <c r="AA46" s="214"/>
      <c r="AB46" s="225">
        <v>0</v>
      </c>
      <c r="AC46" s="225">
        <v>0</v>
      </c>
      <c r="AD46" s="214"/>
      <c r="AE46" s="225">
        <v>0</v>
      </c>
      <c r="AF46" s="225">
        <v>0</v>
      </c>
      <c r="AG46" s="214"/>
      <c r="AH46" s="225">
        <v>0</v>
      </c>
      <c r="AI46" s="225">
        <v>0</v>
      </c>
      <c r="AJ46" s="214"/>
      <c r="AK46" s="225">
        <v>0</v>
      </c>
      <c r="AL46" s="225">
        <v>0</v>
      </c>
      <c r="AM46" s="214"/>
      <c r="AN46" s="225">
        <v>0</v>
      </c>
      <c r="AO46" s="225">
        <v>0</v>
      </c>
      <c r="AP46" s="225"/>
      <c r="AQ46" s="214"/>
      <c r="AR46" s="225">
        <v>0</v>
      </c>
      <c r="AS46" s="225">
        <v>0</v>
      </c>
      <c r="AT46" s="214"/>
      <c r="AU46" s="225">
        <v>0</v>
      </c>
      <c r="AV46" s="225">
        <v>0</v>
      </c>
      <c r="AW46" s="214"/>
      <c r="AX46" s="225">
        <v>0</v>
      </c>
      <c r="AY46" s="225">
        <v>0</v>
      </c>
      <c r="AZ46" s="214"/>
      <c r="BA46" s="225">
        <v>0</v>
      </c>
      <c r="BB46" s="225">
        <v>0</v>
      </c>
      <c r="BC46" s="214"/>
      <c r="BD46" s="225">
        <v>0</v>
      </c>
      <c r="BE46" s="225">
        <v>0</v>
      </c>
      <c r="BF46" s="214"/>
      <c r="BG46" s="214"/>
      <c r="BH46" s="225">
        <v>0</v>
      </c>
      <c r="BI46" s="225">
        <v>0</v>
      </c>
      <c r="BJ46" s="214">
        <f t="shared" si="2"/>
        <v>2850</v>
      </c>
      <c r="BK46" s="214"/>
      <c r="BL46" s="225">
        <f t="shared" si="29"/>
        <v>0</v>
      </c>
      <c r="BM46" s="225">
        <f t="shared" si="4"/>
        <v>0</v>
      </c>
      <c r="BN46" s="205">
        <f t="shared" si="23"/>
        <v>0</v>
      </c>
      <c r="BO46" s="205"/>
      <c r="BP46" s="227"/>
      <c r="BQ46" s="224">
        <f t="shared" si="5"/>
        <v>0</v>
      </c>
      <c r="BR46" s="227"/>
      <c r="BS46" s="224">
        <f t="shared" si="30"/>
        <v>0</v>
      </c>
      <c r="BT46" s="227"/>
      <c r="BU46" s="224">
        <f t="shared" si="31"/>
        <v>0</v>
      </c>
      <c r="BV46" s="227"/>
      <c r="BW46" s="224">
        <f t="shared" si="32"/>
        <v>0</v>
      </c>
      <c r="BX46" s="227"/>
      <c r="BY46" s="224">
        <f t="shared" si="33"/>
        <v>0</v>
      </c>
      <c r="BZ46" s="227">
        <v>1000</v>
      </c>
      <c r="CA46" s="224">
        <f t="shared" si="34"/>
        <v>0.33333333333333331</v>
      </c>
      <c r="CB46" s="227">
        <v>1000</v>
      </c>
      <c r="CC46" s="224">
        <f t="shared" si="35"/>
        <v>0.33333333333333331</v>
      </c>
      <c r="CD46" s="227">
        <v>1000</v>
      </c>
      <c r="CE46" s="224">
        <f t="shared" si="36"/>
        <v>0.33333333333333331</v>
      </c>
      <c r="CF46" s="227">
        <v>2850</v>
      </c>
      <c r="CG46" s="224">
        <f t="shared" si="37"/>
        <v>0.95</v>
      </c>
      <c r="CH46" s="227">
        <v>2850</v>
      </c>
      <c r="CI46" s="224">
        <f t="shared" si="38"/>
        <v>0.95</v>
      </c>
      <c r="CJ46" s="227">
        <v>2850</v>
      </c>
      <c r="CK46" s="224">
        <f t="shared" si="39"/>
        <v>0.95</v>
      </c>
      <c r="CL46" s="227">
        <v>2850</v>
      </c>
      <c r="CM46" s="224">
        <f t="shared" si="40"/>
        <v>0.95</v>
      </c>
      <c r="CN46" s="227">
        <v>2850</v>
      </c>
      <c r="CO46" s="224">
        <f t="shared" si="41"/>
        <v>0.95</v>
      </c>
      <c r="CP46" s="213" t="str">
        <f t="shared" si="20"/>
        <v>Không đạt</v>
      </c>
      <c r="CQ46" s="213" t="str">
        <f t="shared" si="21"/>
        <v>Không đạt</v>
      </c>
      <c r="CR46" s="192"/>
      <c r="CS46" s="214">
        <f t="shared" si="18"/>
        <v>0</v>
      </c>
      <c r="CT46" s="223"/>
      <c r="CU46" s="163"/>
      <c r="CV46" s="232"/>
      <c r="CW46" s="195"/>
      <c r="CX46" s="196"/>
      <c r="CY46" s="196"/>
      <c r="CZ46" s="197"/>
      <c r="DA46" s="196"/>
      <c r="DB46" s="196"/>
      <c r="DC46" s="196"/>
      <c r="DE46" s="199"/>
      <c r="DF46" s="200"/>
      <c r="DG46" s="181"/>
    </row>
    <row r="47" spans="1:111" s="233" customFormat="1" ht="25.5" hidden="1" outlineLevel="1" x14ac:dyDescent="0.25">
      <c r="A47" s="192">
        <f>MAX(A$14:$B46)+1</f>
        <v>28</v>
      </c>
      <c r="B47" s="222" t="s">
        <v>187</v>
      </c>
      <c r="C47" s="222"/>
      <c r="D47" s="214">
        <f>E47+F47</f>
        <v>10000</v>
      </c>
      <c r="E47" s="214"/>
      <c r="F47" s="214">
        <f t="shared" si="28"/>
        <v>10000</v>
      </c>
      <c r="G47" s="214"/>
      <c r="H47" s="214">
        <v>10000</v>
      </c>
      <c r="I47" s="235"/>
      <c r="J47" s="235"/>
      <c r="K47" s="223"/>
      <c r="L47" s="235"/>
      <c r="M47" s="223"/>
      <c r="N47" s="223"/>
      <c r="O47" s="214">
        <f t="shared" si="26"/>
        <v>0</v>
      </c>
      <c r="P47" s="214">
        <v>0</v>
      </c>
      <c r="Q47" s="224">
        <f t="shared" si="1"/>
        <v>0</v>
      </c>
      <c r="R47" s="214"/>
      <c r="S47" s="225">
        <v>0</v>
      </c>
      <c r="T47" s="225">
        <v>0</v>
      </c>
      <c r="U47" s="214"/>
      <c r="V47" s="225">
        <v>0</v>
      </c>
      <c r="W47" s="225">
        <v>0</v>
      </c>
      <c r="X47" s="214"/>
      <c r="Y47" s="225">
        <v>0</v>
      </c>
      <c r="Z47" s="225">
        <v>0</v>
      </c>
      <c r="AA47" s="214"/>
      <c r="AB47" s="225">
        <v>0</v>
      </c>
      <c r="AC47" s="225">
        <v>0</v>
      </c>
      <c r="AD47" s="214"/>
      <c r="AE47" s="225">
        <v>0</v>
      </c>
      <c r="AF47" s="225">
        <v>0</v>
      </c>
      <c r="AG47" s="214"/>
      <c r="AH47" s="225">
        <v>0</v>
      </c>
      <c r="AI47" s="225">
        <v>0</v>
      </c>
      <c r="AJ47" s="214"/>
      <c r="AK47" s="225">
        <v>0</v>
      </c>
      <c r="AL47" s="225">
        <v>0</v>
      </c>
      <c r="AM47" s="214"/>
      <c r="AN47" s="225">
        <v>0</v>
      </c>
      <c r="AO47" s="225">
        <v>0</v>
      </c>
      <c r="AP47" s="225"/>
      <c r="AQ47" s="214"/>
      <c r="AR47" s="225">
        <v>0</v>
      </c>
      <c r="AS47" s="225">
        <v>0</v>
      </c>
      <c r="AT47" s="214"/>
      <c r="AU47" s="225">
        <v>0</v>
      </c>
      <c r="AV47" s="225">
        <v>0</v>
      </c>
      <c r="AW47" s="214"/>
      <c r="AX47" s="225">
        <v>0</v>
      </c>
      <c r="AY47" s="225">
        <v>0</v>
      </c>
      <c r="AZ47" s="214"/>
      <c r="BA47" s="225">
        <v>0</v>
      </c>
      <c r="BB47" s="225">
        <v>0</v>
      </c>
      <c r="BC47" s="214"/>
      <c r="BD47" s="225">
        <v>0</v>
      </c>
      <c r="BE47" s="225">
        <v>0</v>
      </c>
      <c r="BF47" s="214"/>
      <c r="BG47" s="214"/>
      <c r="BH47" s="225">
        <v>0</v>
      </c>
      <c r="BI47" s="225">
        <v>0</v>
      </c>
      <c r="BJ47" s="214">
        <f t="shared" si="2"/>
        <v>9500</v>
      </c>
      <c r="BK47" s="214"/>
      <c r="BL47" s="225">
        <f t="shared" si="29"/>
        <v>0</v>
      </c>
      <c r="BM47" s="225">
        <f t="shared" si="4"/>
        <v>0</v>
      </c>
      <c r="BN47" s="205">
        <f t="shared" si="23"/>
        <v>0</v>
      </c>
      <c r="BO47" s="205"/>
      <c r="BP47" s="227"/>
      <c r="BQ47" s="224">
        <f t="shared" si="5"/>
        <v>0</v>
      </c>
      <c r="BR47" s="227"/>
      <c r="BS47" s="224">
        <f t="shared" si="30"/>
        <v>0</v>
      </c>
      <c r="BT47" s="227"/>
      <c r="BU47" s="224">
        <f t="shared" si="31"/>
        <v>0</v>
      </c>
      <c r="BV47" s="227"/>
      <c r="BW47" s="224">
        <f t="shared" si="32"/>
        <v>0</v>
      </c>
      <c r="BX47" s="227"/>
      <c r="BY47" s="224">
        <f t="shared" si="33"/>
        <v>0</v>
      </c>
      <c r="BZ47" s="227"/>
      <c r="CA47" s="224">
        <f t="shared" si="34"/>
        <v>0</v>
      </c>
      <c r="CB47" s="227"/>
      <c r="CC47" s="224">
        <f t="shared" si="35"/>
        <v>0</v>
      </c>
      <c r="CD47" s="227"/>
      <c r="CE47" s="224">
        <f t="shared" si="36"/>
        <v>0</v>
      </c>
      <c r="CF47" s="227"/>
      <c r="CG47" s="224">
        <f t="shared" si="37"/>
        <v>0</v>
      </c>
      <c r="CH47" s="227"/>
      <c r="CI47" s="224">
        <f t="shared" si="38"/>
        <v>0</v>
      </c>
      <c r="CJ47" s="227"/>
      <c r="CK47" s="224">
        <f t="shared" si="39"/>
        <v>0</v>
      </c>
      <c r="CL47" s="227">
        <v>9500</v>
      </c>
      <c r="CM47" s="224">
        <f t="shared" si="40"/>
        <v>0.95</v>
      </c>
      <c r="CN47" s="227">
        <v>9500</v>
      </c>
      <c r="CO47" s="224">
        <f t="shared" si="41"/>
        <v>0.95</v>
      </c>
      <c r="CP47" s="213" t="str">
        <f t="shared" si="20"/>
        <v>Không đạt</v>
      </c>
      <c r="CQ47" s="213" t="str">
        <f t="shared" si="21"/>
        <v>Không đạt</v>
      </c>
      <c r="CR47" s="192"/>
      <c r="CS47" s="214">
        <f t="shared" si="18"/>
        <v>0</v>
      </c>
      <c r="CT47" s="223"/>
      <c r="CU47" s="163"/>
      <c r="CV47" s="232"/>
      <c r="CW47" s="195"/>
      <c r="CX47" s="196"/>
      <c r="CY47" s="196"/>
      <c r="CZ47" s="197"/>
      <c r="DA47" s="196"/>
      <c r="DB47" s="196"/>
      <c r="DC47" s="196"/>
      <c r="DE47" s="199"/>
      <c r="DF47" s="200"/>
      <c r="DG47" s="181"/>
    </row>
    <row r="48" spans="1:111" s="233" customFormat="1" ht="38.25" hidden="1" outlineLevel="1" x14ac:dyDescent="0.25">
      <c r="A48" s="192">
        <f>MAX(A$14:$B47)+1</f>
        <v>29</v>
      </c>
      <c r="B48" s="222" t="s">
        <v>188</v>
      </c>
      <c r="C48" s="222">
        <v>8064546</v>
      </c>
      <c r="D48" s="214">
        <f>E48+F48</f>
        <v>4000</v>
      </c>
      <c r="E48" s="214"/>
      <c r="F48" s="214">
        <f t="shared" si="28"/>
        <v>4000</v>
      </c>
      <c r="G48" s="214">
        <v>4000</v>
      </c>
      <c r="H48" s="214"/>
      <c r="I48" s="235"/>
      <c r="J48" s="235"/>
      <c r="K48" s="223"/>
      <c r="L48" s="235"/>
      <c r="M48" s="223"/>
      <c r="N48" s="223"/>
      <c r="O48" s="214">
        <f t="shared" si="26"/>
        <v>4000</v>
      </c>
      <c r="P48" s="214">
        <v>0</v>
      </c>
      <c r="Q48" s="224">
        <f t="shared" si="1"/>
        <v>0</v>
      </c>
      <c r="R48" s="214"/>
      <c r="S48" s="225">
        <v>0</v>
      </c>
      <c r="T48" s="225">
        <v>0</v>
      </c>
      <c r="U48" s="214"/>
      <c r="V48" s="225">
        <v>0</v>
      </c>
      <c r="W48" s="225">
        <v>0</v>
      </c>
      <c r="X48" s="214"/>
      <c r="Y48" s="225">
        <v>0</v>
      </c>
      <c r="Z48" s="225">
        <v>0</v>
      </c>
      <c r="AA48" s="214"/>
      <c r="AB48" s="225">
        <v>0</v>
      </c>
      <c r="AC48" s="225">
        <v>0</v>
      </c>
      <c r="AD48" s="214"/>
      <c r="AE48" s="225">
        <v>0</v>
      </c>
      <c r="AF48" s="225">
        <v>0</v>
      </c>
      <c r="AG48" s="214"/>
      <c r="AH48" s="225">
        <v>0</v>
      </c>
      <c r="AI48" s="225">
        <v>0</v>
      </c>
      <c r="AJ48" s="214"/>
      <c r="AK48" s="225">
        <v>0</v>
      </c>
      <c r="AL48" s="225">
        <v>0</v>
      </c>
      <c r="AM48" s="214"/>
      <c r="AN48" s="225">
        <v>0</v>
      </c>
      <c r="AO48" s="225">
        <v>0</v>
      </c>
      <c r="AP48" s="225"/>
      <c r="AQ48" s="214"/>
      <c r="AR48" s="225">
        <v>0</v>
      </c>
      <c r="AS48" s="225">
        <v>0</v>
      </c>
      <c r="AT48" s="214"/>
      <c r="AU48" s="225">
        <v>0</v>
      </c>
      <c r="AV48" s="225">
        <v>0</v>
      </c>
      <c r="AW48" s="214"/>
      <c r="AX48" s="225">
        <v>0</v>
      </c>
      <c r="AY48" s="225">
        <v>0</v>
      </c>
      <c r="AZ48" s="214"/>
      <c r="BA48" s="225">
        <v>0</v>
      </c>
      <c r="BB48" s="225">
        <v>0</v>
      </c>
      <c r="BC48" s="214"/>
      <c r="BD48" s="225">
        <v>0</v>
      </c>
      <c r="BE48" s="225">
        <v>0</v>
      </c>
      <c r="BF48" s="214"/>
      <c r="BG48" s="214"/>
      <c r="BH48" s="225">
        <v>0</v>
      </c>
      <c r="BI48" s="225">
        <v>0</v>
      </c>
      <c r="BJ48" s="214">
        <f t="shared" si="2"/>
        <v>3800</v>
      </c>
      <c r="BK48" s="214"/>
      <c r="BL48" s="225">
        <f t="shared" si="29"/>
        <v>0</v>
      </c>
      <c r="BM48" s="225">
        <f t="shared" si="4"/>
        <v>0</v>
      </c>
      <c r="BN48" s="205">
        <f t="shared" si="23"/>
        <v>0</v>
      </c>
      <c r="BO48" s="205"/>
      <c r="BP48" s="227"/>
      <c r="BQ48" s="224">
        <f t="shared" si="5"/>
        <v>0</v>
      </c>
      <c r="BR48" s="227">
        <v>200</v>
      </c>
      <c r="BS48" s="224">
        <f t="shared" si="30"/>
        <v>0.05</v>
      </c>
      <c r="BT48" s="227">
        <v>400</v>
      </c>
      <c r="BU48" s="224">
        <f t="shared" si="31"/>
        <v>0.1</v>
      </c>
      <c r="BV48" s="227">
        <v>600</v>
      </c>
      <c r="BW48" s="224">
        <f t="shared" si="32"/>
        <v>0.15</v>
      </c>
      <c r="BX48" s="227">
        <v>800</v>
      </c>
      <c r="BY48" s="224">
        <f t="shared" si="33"/>
        <v>0.2</v>
      </c>
      <c r="BZ48" s="227">
        <v>1000</v>
      </c>
      <c r="CA48" s="224">
        <f t="shared" si="34"/>
        <v>0.25</v>
      </c>
      <c r="CB48" s="227">
        <v>1200</v>
      </c>
      <c r="CC48" s="224">
        <f t="shared" si="35"/>
        <v>0.3</v>
      </c>
      <c r="CD48" s="227">
        <v>1400</v>
      </c>
      <c r="CE48" s="224">
        <f t="shared" si="36"/>
        <v>0.35</v>
      </c>
      <c r="CF48" s="227">
        <v>1600</v>
      </c>
      <c r="CG48" s="224">
        <f t="shared" si="37"/>
        <v>0.4</v>
      </c>
      <c r="CH48" s="227">
        <v>2000</v>
      </c>
      <c r="CI48" s="224">
        <f t="shared" si="38"/>
        <v>0.5</v>
      </c>
      <c r="CJ48" s="227">
        <v>2600</v>
      </c>
      <c r="CK48" s="224">
        <f t="shared" si="39"/>
        <v>0.65</v>
      </c>
      <c r="CL48" s="227">
        <v>3200</v>
      </c>
      <c r="CM48" s="224">
        <f t="shared" si="40"/>
        <v>0.8</v>
      </c>
      <c r="CN48" s="227">
        <v>3800</v>
      </c>
      <c r="CO48" s="224">
        <f t="shared" si="41"/>
        <v>0.95</v>
      </c>
      <c r="CP48" s="213" t="str">
        <f t="shared" si="20"/>
        <v>Không đạt</v>
      </c>
      <c r="CQ48" s="213" t="str">
        <f t="shared" si="21"/>
        <v>Không đạt</v>
      </c>
      <c r="CR48" s="192"/>
      <c r="CS48" s="214">
        <f t="shared" si="18"/>
        <v>0</v>
      </c>
      <c r="CT48" s="223"/>
      <c r="CU48" s="163"/>
      <c r="CV48" s="232"/>
      <c r="CW48" s="195"/>
      <c r="CX48" s="196"/>
      <c r="CY48" s="196"/>
      <c r="CZ48" s="197"/>
      <c r="DA48" s="196"/>
      <c r="DB48" s="196"/>
      <c r="DC48" s="196"/>
      <c r="DE48" s="199"/>
      <c r="DF48" s="200"/>
      <c r="DG48" s="181"/>
    </row>
    <row r="49" spans="1:111" s="233" customFormat="1" ht="25.5" hidden="1" outlineLevel="1" x14ac:dyDescent="0.25">
      <c r="A49" s="192">
        <f>MAX(A$14:$B48)+1</f>
        <v>30</v>
      </c>
      <c r="B49" s="222" t="s">
        <v>189</v>
      </c>
      <c r="C49" s="222">
        <v>8100441</v>
      </c>
      <c r="D49" s="214">
        <f>E49+F49</f>
        <v>1400</v>
      </c>
      <c r="E49" s="214"/>
      <c r="F49" s="214">
        <f t="shared" si="28"/>
        <v>1400</v>
      </c>
      <c r="G49" s="214">
        <v>1400</v>
      </c>
      <c r="H49" s="214"/>
      <c r="I49" s="235"/>
      <c r="J49" s="235"/>
      <c r="K49" s="223"/>
      <c r="L49" s="235"/>
      <c r="M49" s="223"/>
      <c r="N49" s="223"/>
      <c r="O49" s="214">
        <f t="shared" si="26"/>
        <v>1400</v>
      </c>
      <c r="P49" s="214">
        <v>108.85899999999999</v>
      </c>
      <c r="Q49" s="224">
        <f t="shared" si="1"/>
        <v>7.7756428571428574E-2</v>
      </c>
      <c r="R49" s="214">
        <v>108.85899999999999</v>
      </c>
      <c r="S49" s="225">
        <v>7.7756428571428574E-2</v>
      </c>
      <c r="T49" s="225">
        <v>8.1848872180451129E-2</v>
      </c>
      <c r="U49" s="214">
        <v>108.85899999999999</v>
      </c>
      <c r="V49" s="225">
        <v>7.7756428571428574E-2</v>
      </c>
      <c r="W49" s="225">
        <v>8.1848872180451129E-2</v>
      </c>
      <c r="X49" s="214">
        <v>108.85899999999999</v>
      </c>
      <c r="Y49" s="225">
        <v>7.7756428571428574E-2</v>
      </c>
      <c r="Z49" s="225">
        <v>8.1848872180451129E-2</v>
      </c>
      <c r="AA49" s="214">
        <v>108.85899999999999</v>
      </c>
      <c r="AB49" s="225">
        <v>7.7756428571428574E-2</v>
      </c>
      <c r="AC49" s="225">
        <v>8.1848872180451129E-2</v>
      </c>
      <c r="AD49" s="214">
        <v>108.85899999999999</v>
      </c>
      <c r="AE49" s="225">
        <v>7.7756428571428574E-2</v>
      </c>
      <c r="AF49" s="225">
        <v>8.1848872180451129E-2</v>
      </c>
      <c r="AG49" s="214">
        <v>108.85899999999999</v>
      </c>
      <c r="AH49" s="225">
        <v>7.7756428571428574E-2</v>
      </c>
      <c r="AI49" s="225">
        <v>8.1848872180451129E-2</v>
      </c>
      <c r="AJ49" s="188">
        <v>108.85899999999999</v>
      </c>
      <c r="AK49" s="225">
        <v>7.7756428571428574E-2</v>
      </c>
      <c r="AL49" s="225">
        <v>8.1848872180451129E-2</v>
      </c>
      <c r="AM49" s="214">
        <v>108.85899999999999</v>
      </c>
      <c r="AN49" s="225">
        <v>7.7756428571428574E-2</v>
      </c>
      <c r="AO49" s="225">
        <v>8.1848872180451129E-2</v>
      </c>
      <c r="AP49" s="225"/>
      <c r="AQ49" s="214">
        <v>108.85899999999999</v>
      </c>
      <c r="AR49" s="225">
        <v>7.7756428571428574E-2</v>
      </c>
      <c r="AS49" s="225">
        <v>8.1848872180451129E-2</v>
      </c>
      <c r="AT49" s="214">
        <v>108.85899999999999</v>
      </c>
      <c r="AU49" s="225">
        <v>7.7756428571428574E-2</v>
      </c>
      <c r="AV49" s="225">
        <v>8.1848872180451129E-2</v>
      </c>
      <c r="AW49" s="214">
        <v>108.85899999999999</v>
      </c>
      <c r="AX49" s="225">
        <v>7.7756428571428574E-2</v>
      </c>
      <c r="AY49" s="225">
        <v>8.1848872180451129E-2</v>
      </c>
      <c r="AZ49" s="214">
        <v>108.85899999999999</v>
      </c>
      <c r="BA49" s="225">
        <v>7.7756428571428574E-2</v>
      </c>
      <c r="BB49" s="225">
        <v>8.1848872180451129E-2</v>
      </c>
      <c r="BC49" s="214">
        <v>108.85899999999999</v>
      </c>
      <c r="BD49" s="225">
        <v>7.7756428571428574E-2</v>
      </c>
      <c r="BE49" s="225">
        <v>8.1848872180451129E-2</v>
      </c>
      <c r="BF49" s="214"/>
      <c r="BG49" s="214">
        <v>108.85899999999999</v>
      </c>
      <c r="BH49" s="225">
        <v>7.7756428571428574E-2</v>
      </c>
      <c r="BI49" s="225">
        <v>8.1848872180451129E-2</v>
      </c>
      <c r="BJ49" s="214">
        <f t="shared" si="2"/>
        <v>1330</v>
      </c>
      <c r="BK49" s="214">
        <v>108.85899999999999</v>
      </c>
      <c r="BL49" s="225">
        <f t="shared" si="29"/>
        <v>7.7756428571428574E-2</v>
      </c>
      <c r="BM49" s="225">
        <f t="shared" si="4"/>
        <v>8.1848872180451129E-2</v>
      </c>
      <c r="BN49" s="205">
        <f t="shared" si="23"/>
        <v>0</v>
      </c>
      <c r="BO49" s="205"/>
      <c r="BP49" s="227"/>
      <c r="BQ49" s="224">
        <f t="shared" si="5"/>
        <v>0</v>
      </c>
      <c r="BR49" s="227"/>
      <c r="BS49" s="224">
        <f t="shared" si="30"/>
        <v>0</v>
      </c>
      <c r="BT49" s="227"/>
      <c r="BU49" s="224">
        <f t="shared" si="31"/>
        <v>0</v>
      </c>
      <c r="BV49" s="227"/>
      <c r="BW49" s="224">
        <f t="shared" si="32"/>
        <v>0</v>
      </c>
      <c r="BX49" s="227"/>
      <c r="BY49" s="224">
        <f t="shared" si="33"/>
        <v>0</v>
      </c>
      <c r="BZ49" s="227">
        <v>700</v>
      </c>
      <c r="CA49" s="224">
        <f t="shared" si="34"/>
        <v>0.5</v>
      </c>
      <c r="CB49" s="227">
        <v>700</v>
      </c>
      <c r="CC49" s="224">
        <f t="shared" si="35"/>
        <v>0.5</v>
      </c>
      <c r="CD49" s="227">
        <v>1200</v>
      </c>
      <c r="CE49" s="224">
        <f t="shared" si="36"/>
        <v>0.8571428571428571</v>
      </c>
      <c r="CF49" s="227">
        <v>1200</v>
      </c>
      <c r="CG49" s="224">
        <f t="shared" si="37"/>
        <v>0.8571428571428571</v>
      </c>
      <c r="CH49" s="227">
        <v>1200</v>
      </c>
      <c r="CI49" s="224">
        <f t="shared" si="38"/>
        <v>0.8571428571428571</v>
      </c>
      <c r="CJ49" s="227">
        <v>1330</v>
      </c>
      <c r="CK49" s="224">
        <f t="shared" si="39"/>
        <v>0.95</v>
      </c>
      <c r="CL49" s="227">
        <v>1330</v>
      </c>
      <c r="CM49" s="224">
        <f t="shared" si="40"/>
        <v>0.95</v>
      </c>
      <c r="CN49" s="227">
        <v>1330</v>
      </c>
      <c r="CO49" s="224">
        <f t="shared" si="41"/>
        <v>0.95</v>
      </c>
      <c r="CP49" s="213" t="str">
        <f t="shared" si="20"/>
        <v>Không đạt</v>
      </c>
      <c r="CQ49" s="213" t="str">
        <f t="shared" si="21"/>
        <v>Không đạt</v>
      </c>
      <c r="CR49" s="192"/>
      <c r="CS49" s="214">
        <f t="shared" si="18"/>
        <v>0</v>
      </c>
      <c r="CT49" s="223"/>
      <c r="CU49" s="163"/>
      <c r="CV49" s="232"/>
      <c r="CW49" s="195"/>
      <c r="CX49" s="196"/>
      <c r="CY49" s="196"/>
      <c r="CZ49" s="197"/>
      <c r="DA49" s="196"/>
      <c r="DB49" s="196"/>
      <c r="DC49" s="196"/>
      <c r="DE49" s="199"/>
      <c r="DF49" s="200"/>
      <c r="DG49" s="181"/>
    </row>
    <row r="50" spans="1:111" s="234" customFormat="1" ht="15" hidden="1" outlineLevel="1" x14ac:dyDescent="0.25">
      <c r="A50" s="213"/>
      <c r="B50" s="240" t="s">
        <v>190</v>
      </c>
      <c r="C50" s="240"/>
      <c r="D50" s="188">
        <f t="shared" si="19"/>
        <v>0</v>
      </c>
      <c r="E50" s="188"/>
      <c r="F50" s="188">
        <f t="shared" si="28"/>
        <v>0</v>
      </c>
      <c r="G50" s="188"/>
      <c r="H50" s="188"/>
      <c r="I50" s="242"/>
      <c r="J50" s="242"/>
      <c r="K50" s="231"/>
      <c r="L50" s="242"/>
      <c r="M50" s="231"/>
      <c r="N50" s="231"/>
      <c r="O50" s="188">
        <f t="shared" si="26"/>
        <v>0</v>
      </c>
      <c r="P50" s="188">
        <v>0</v>
      </c>
      <c r="Q50" s="212"/>
      <c r="R50" s="188"/>
      <c r="S50" s="211"/>
      <c r="T50" s="211"/>
      <c r="U50" s="188"/>
      <c r="V50" s="211"/>
      <c r="W50" s="211" t="e">
        <v>#DIV/0!</v>
      </c>
      <c r="X50" s="188"/>
      <c r="Y50" s="211"/>
      <c r="Z50" s="211" t="e">
        <v>#DIV/0!</v>
      </c>
      <c r="AA50" s="188"/>
      <c r="AB50" s="211"/>
      <c r="AC50" s="211" t="e">
        <v>#DIV/0!</v>
      </c>
      <c r="AD50" s="188"/>
      <c r="AE50" s="211"/>
      <c r="AF50" s="211" t="e">
        <v>#DIV/0!</v>
      </c>
      <c r="AG50" s="188"/>
      <c r="AH50" s="211"/>
      <c r="AI50" s="211" t="e">
        <v>#DIV/0!</v>
      </c>
      <c r="AJ50" s="214"/>
      <c r="AK50" s="211"/>
      <c r="AL50" s="211" t="e">
        <v>#DIV/0!</v>
      </c>
      <c r="AM50" s="188"/>
      <c r="AN50" s="211"/>
      <c r="AO50" s="211"/>
      <c r="AP50" s="211"/>
      <c r="AQ50" s="188"/>
      <c r="AR50" s="211"/>
      <c r="AS50" s="211"/>
      <c r="AT50" s="188"/>
      <c r="AU50" s="211"/>
      <c r="AV50" s="211"/>
      <c r="AW50" s="188"/>
      <c r="AX50" s="211"/>
      <c r="AY50" s="211"/>
      <c r="AZ50" s="188"/>
      <c r="BA50" s="211"/>
      <c r="BB50" s="211"/>
      <c r="BC50" s="188"/>
      <c r="BD50" s="211"/>
      <c r="BE50" s="211"/>
      <c r="BF50" s="188"/>
      <c r="BG50" s="188"/>
      <c r="BH50" s="211"/>
      <c r="BI50" s="211"/>
      <c r="BJ50" s="188">
        <f t="shared" si="2"/>
        <v>0</v>
      </c>
      <c r="BK50" s="188"/>
      <c r="BL50" s="211"/>
      <c r="BM50" s="211"/>
      <c r="BN50" s="205">
        <f t="shared" si="23"/>
        <v>0</v>
      </c>
      <c r="BO50" s="205"/>
      <c r="BP50" s="230"/>
      <c r="BQ50" s="212"/>
      <c r="BR50" s="230"/>
      <c r="BS50" s="212"/>
      <c r="BT50" s="230"/>
      <c r="BU50" s="212"/>
      <c r="BV50" s="230"/>
      <c r="BW50" s="212"/>
      <c r="BX50" s="230"/>
      <c r="BY50" s="212"/>
      <c r="BZ50" s="230"/>
      <c r="CA50" s="212"/>
      <c r="CB50" s="230"/>
      <c r="CC50" s="212"/>
      <c r="CD50" s="230"/>
      <c r="CE50" s="212"/>
      <c r="CF50" s="230"/>
      <c r="CG50" s="212"/>
      <c r="CH50" s="230"/>
      <c r="CI50" s="212"/>
      <c r="CJ50" s="230"/>
      <c r="CK50" s="212"/>
      <c r="CL50" s="230"/>
      <c r="CM50" s="212"/>
      <c r="CN50" s="230"/>
      <c r="CO50" s="212"/>
      <c r="CP50" s="213" t="str">
        <f t="shared" si="20"/>
        <v>Không đạt</v>
      </c>
      <c r="CQ50" s="213" t="str">
        <f t="shared" si="21"/>
        <v>Không đạt</v>
      </c>
      <c r="CR50" s="213"/>
      <c r="CS50" s="188">
        <f t="shared" si="18"/>
        <v>0</v>
      </c>
      <c r="CT50" s="231"/>
      <c r="CU50" s="163"/>
      <c r="CV50" s="243"/>
      <c r="CW50" s="195"/>
      <c r="CX50" s="196"/>
      <c r="CY50" s="196"/>
      <c r="CZ50" s="197"/>
      <c r="DA50" s="196"/>
      <c r="DB50" s="196"/>
      <c r="DC50" s="196"/>
      <c r="DD50" s="233"/>
      <c r="DE50" s="199"/>
      <c r="DF50" s="200"/>
      <c r="DG50" s="181"/>
    </row>
    <row r="51" spans="1:111" s="233" customFormat="1" ht="25.5" hidden="1" outlineLevel="1" x14ac:dyDescent="0.25">
      <c r="A51" s="192">
        <f>MAX(A$14:$B50)+1</f>
        <v>31</v>
      </c>
      <c r="B51" s="222" t="s">
        <v>191</v>
      </c>
      <c r="C51" s="222"/>
      <c r="D51" s="214">
        <f t="shared" si="19"/>
        <v>18000</v>
      </c>
      <c r="E51" s="214"/>
      <c r="F51" s="214">
        <f t="shared" si="28"/>
        <v>18000</v>
      </c>
      <c r="G51" s="214"/>
      <c r="H51" s="214">
        <v>18000</v>
      </c>
      <c r="I51" s="235"/>
      <c r="J51" s="235"/>
      <c r="K51" s="223"/>
      <c r="L51" s="235"/>
      <c r="M51" s="223"/>
      <c r="N51" s="223"/>
      <c r="O51" s="214">
        <f t="shared" si="26"/>
        <v>0</v>
      </c>
      <c r="P51" s="214">
        <v>0</v>
      </c>
      <c r="Q51" s="224">
        <f t="shared" si="1"/>
        <v>0</v>
      </c>
      <c r="R51" s="214"/>
      <c r="S51" s="225">
        <v>0</v>
      </c>
      <c r="T51" s="225">
        <v>0</v>
      </c>
      <c r="U51" s="214"/>
      <c r="V51" s="225">
        <v>0</v>
      </c>
      <c r="W51" s="225">
        <v>0</v>
      </c>
      <c r="X51" s="214"/>
      <c r="Y51" s="225">
        <v>0</v>
      </c>
      <c r="Z51" s="225">
        <v>0</v>
      </c>
      <c r="AA51" s="214"/>
      <c r="AB51" s="225">
        <v>0</v>
      </c>
      <c r="AC51" s="225">
        <v>0</v>
      </c>
      <c r="AD51" s="214"/>
      <c r="AE51" s="225">
        <v>0</v>
      </c>
      <c r="AF51" s="225">
        <v>0</v>
      </c>
      <c r="AG51" s="214"/>
      <c r="AH51" s="225">
        <v>0</v>
      </c>
      <c r="AI51" s="225">
        <v>0</v>
      </c>
      <c r="AJ51" s="214"/>
      <c r="AK51" s="225">
        <v>0</v>
      </c>
      <c r="AL51" s="225">
        <v>0</v>
      </c>
      <c r="AM51" s="214"/>
      <c r="AN51" s="225">
        <v>0</v>
      </c>
      <c r="AO51" s="225">
        <v>0</v>
      </c>
      <c r="AP51" s="225"/>
      <c r="AQ51" s="214"/>
      <c r="AR51" s="225">
        <v>0</v>
      </c>
      <c r="AS51" s="225">
        <v>0</v>
      </c>
      <c r="AT51" s="214"/>
      <c r="AU51" s="225">
        <v>0</v>
      </c>
      <c r="AV51" s="225">
        <v>0</v>
      </c>
      <c r="AW51" s="214"/>
      <c r="AX51" s="225">
        <v>0</v>
      </c>
      <c r="AY51" s="225">
        <v>0</v>
      </c>
      <c r="AZ51" s="214"/>
      <c r="BA51" s="225">
        <v>0</v>
      </c>
      <c r="BB51" s="225">
        <v>0</v>
      </c>
      <c r="BC51" s="214"/>
      <c r="BD51" s="225">
        <v>0</v>
      </c>
      <c r="BE51" s="225">
        <v>0</v>
      </c>
      <c r="BF51" s="214"/>
      <c r="BG51" s="214"/>
      <c r="BH51" s="225">
        <v>0</v>
      </c>
      <c r="BI51" s="225">
        <v>0</v>
      </c>
      <c r="BJ51" s="214">
        <f t="shared" si="2"/>
        <v>17100</v>
      </c>
      <c r="BK51" s="214"/>
      <c r="BL51" s="225">
        <f t="shared" ref="BL51:BL56" si="42">BK51/$D51</f>
        <v>0</v>
      </c>
      <c r="BM51" s="225">
        <f t="shared" si="4"/>
        <v>0</v>
      </c>
      <c r="BN51" s="205">
        <f t="shared" si="23"/>
        <v>0</v>
      </c>
      <c r="BO51" s="205"/>
      <c r="BP51" s="227"/>
      <c r="BQ51" s="224">
        <f t="shared" si="5"/>
        <v>0</v>
      </c>
      <c r="BR51" s="227"/>
      <c r="BS51" s="224">
        <f t="shared" ref="BS51:BS56" si="43">BR51/$D51</f>
        <v>0</v>
      </c>
      <c r="BT51" s="227"/>
      <c r="BU51" s="224">
        <f t="shared" ref="BU51:BU56" si="44">BT51/$D51</f>
        <v>0</v>
      </c>
      <c r="BV51" s="227">
        <v>9000</v>
      </c>
      <c r="BW51" s="224">
        <f t="shared" ref="BW51:BW56" si="45">BV51/$D51</f>
        <v>0.5</v>
      </c>
      <c r="BX51" s="227">
        <v>10000</v>
      </c>
      <c r="BY51" s="224">
        <f t="shared" ref="BY51:BY56" si="46">BX51/$D51</f>
        <v>0.55555555555555558</v>
      </c>
      <c r="BZ51" s="227">
        <v>12000</v>
      </c>
      <c r="CA51" s="224">
        <f t="shared" ref="CA51:CA56" si="47">BZ51/$D51</f>
        <v>0.66666666666666663</v>
      </c>
      <c r="CB51" s="227">
        <v>14000</v>
      </c>
      <c r="CC51" s="224">
        <f t="shared" ref="CC51:CC56" si="48">CB51/$D51</f>
        <v>0.77777777777777779</v>
      </c>
      <c r="CD51" s="227">
        <v>16000</v>
      </c>
      <c r="CE51" s="224">
        <f t="shared" ref="CE51:CE56" si="49">CD51/$D51</f>
        <v>0.88888888888888884</v>
      </c>
      <c r="CF51" s="227">
        <f>18000*0.95</f>
        <v>17100</v>
      </c>
      <c r="CG51" s="224">
        <f t="shared" ref="CG51:CG56" si="50">CF51/$D51</f>
        <v>0.95</v>
      </c>
      <c r="CH51" s="227">
        <f>18000*0.95</f>
        <v>17100</v>
      </c>
      <c r="CI51" s="224">
        <f t="shared" ref="CI51:CI56" si="51">CH51/$D51</f>
        <v>0.95</v>
      </c>
      <c r="CJ51" s="227">
        <f>18000*0.95</f>
        <v>17100</v>
      </c>
      <c r="CK51" s="224">
        <f t="shared" ref="CK51:CK56" si="52">CJ51/$D51</f>
        <v>0.95</v>
      </c>
      <c r="CL51" s="227">
        <f>18000*0.95</f>
        <v>17100</v>
      </c>
      <c r="CM51" s="224">
        <f t="shared" ref="CM51:CM56" si="53">CL51/$D51</f>
        <v>0.95</v>
      </c>
      <c r="CN51" s="227">
        <f>18000*0.95</f>
        <v>17100</v>
      </c>
      <c r="CO51" s="224">
        <f t="shared" ref="CO51:CO56" si="54">CN51/$D51</f>
        <v>0.95</v>
      </c>
      <c r="CP51" s="213" t="str">
        <f t="shared" si="20"/>
        <v>Không đạt</v>
      </c>
      <c r="CQ51" s="213" t="str">
        <f t="shared" si="21"/>
        <v>Không đạt</v>
      </c>
      <c r="CR51" s="192"/>
      <c r="CS51" s="214">
        <f t="shared" si="18"/>
        <v>0</v>
      </c>
      <c r="CT51" s="223"/>
      <c r="CU51" s="163"/>
      <c r="CV51" s="232"/>
      <c r="CW51" s="195"/>
      <c r="CX51" s="196"/>
      <c r="CY51" s="196"/>
      <c r="CZ51" s="197"/>
      <c r="DA51" s="196"/>
      <c r="DB51" s="196"/>
      <c r="DC51" s="196"/>
      <c r="DE51" s="199"/>
      <c r="DF51" s="200"/>
      <c r="DG51" s="181"/>
    </row>
    <row r="52" spans="1:111" s="233" customFormat="1" ht="38.25" hidden="1" outlineLevel="1" x14ac:dyDescent="0.25">
      <c r="A52" s="192">
        <f>MAX(A$14:$B51)+1</f>
        <v>32</v>
      </c>
      <c r="B52" s="222" t="s">
        <v>192</v>
      </c>
      <c r="C52" s="222"/>
      <c r="D52" s="214">
        <f t="shared" si="19"/>
        <v>15789</v>
      </c>
      <c r="E52" s="214"/>
      <c r="F52" s="214">
        <f t="shared" si="28"/>
        <v>15789</v>
      </c>
      <c r="G52" s="214">
        <v>15789</v>
      </c>
      <c r="H52" s="214">
        <f>15000-15000</f>
        <v>0</v>
      </c>
      <c r="I52" s="235"/>
      <c r="J52" s="235"/>
      <c r="K52" s="223"/>
      <c r="L52" s="235"/>
      <c r="M52" s="223"/>
      <c r="N52" s="223"/>
      <c r="O52" s="214">
        <f t="shared" si="26"/>
        <v>15789</v>
      </c>
      <c r="P52" s="214">
        <v>0</v>
      </c>
      <c r="Q52" s="224">
        <f t="shared" si="1"/>
        <v>0</v>
      </c>
      <c r="R52" s="214"/>
      <c r="S52" s="225">
        <v>0</v>
      </c>
      <c r="T52" s="225">
        <v>0</v>
      </c>
      <c r="U52" s="214"/>
      <c r="V52" s="225">
        <v>0</v>
      </c>
      <c r="W52" s="225">
        <v>0</v>
      </c>
      <c r="X52" s="214"/>
      <c r="Y52" s="225">
        <v>0</v>
      </c>
      <c r="Z52" s="225">
        <v>0</v>
      </c>
      <c r="AA52" s="214"/>
      <c r="AB52" s="225">
        <v>0</v>
      </c>
      <c r="AC52" s="225">
        <v>0</v>
      </c>
      <c r="AD52" s="214"/>
      <c r="AE52" s="225">
        <v>0</v>
      </c>
      <c r="AF52" s="225">
        <v>0</v>
      </c>
      <c r="AG52" s="214"/>
      <c r="AH52" s="225">
        <v>0</v>
      </c>
      <c r="AI52" s="225">
        <v>0</v>
      </c>
      <c r="AJ52" s="214"/>
      <c r="AK52" s="225">
        <v>0</v>
      </c>
      <c r="AL52" s="225">
        <v>0</v>
      </c>
      <c r="AM52" s="214"/>
      <c r="AN52" s="225">
        <v>0</v>
      </c>
      <c r="AO52" s="225">
        <v>0</v>
      </c>
      <c r="AP52" s="225"/>
      <c r="AQ52" s="214"/>
      <c r="AR52" s="225">
        <v>0</v>
      </c>
      <c r="AS52" s="225">
        <v>0</v>
      </c>
      <c r="AT52" s="214"/>
      <c r="AU52" s="225">
        <v>0</v>
      </c>
      <c r="AV52" s="225">
        <v>0</v>
      </c>
      <c r="AW52" s="214"/>
      <c r="AX52" s="225">
        <v>0</v>
      </c>
      <c r="AY52" s="225">
        <v>0</v>
      </c>
      <c r="AZ52" s="214"/>
      <c r="BA52" s="225">
        <v>0</v>
      </c>
      <c r="BB52" s="225">
        <v>0</v>
      </c>
      <c r="BC52" s="214"/>
      <c r="BD52" s="225">
        <v>0</v>
      </c>
      <c r="BE52" s="225">
        <v>0</v>
      </c>
      <c r="BF52" s="214"/>
      <c r="BG52" s="214"/>
      <c r="BH52" s="225">
        <v>0</v>
      </c>
      <c r="BI52" s="225">
        <v>0</v>
      </c>
      <c r="BJ52" s="214">
        <f t="shared" si="2"/>
        <v>14999.55</v>
      </c>
      <c r="BK52" s="214"/>
      <c r="BL52" s="225">
        <f t="shared" si="42"/>
        <v>0</v>
      </c>
      <c r="BM52" s="225">
        <f t="shared" si="4"/>
        <v>0</v>
      </c>
      <c r="BN52" s="205">
        <f t="shared" si="23"/>
        <v>0</v>
      </c>
      <c r="BO52" s="205"/>
      <c r="BP52" s="227"/>
      <c r="BQ52" s="224">
        <f t="shared" si="5"/>
        <v>0</v>
      </c>
      <c r="BR52" s="227"/>
      <c r="BS52" s="224">
        <f t="shared" si="43"/>
        <v>0</v>
      </c>
      <c r="BT52" s="227">
        <v>9000</v>
      </c>
      <c r="BU52" s="224">
        <f t="shared" si="44"/>
        <v>0.57001710051301535</v>
      </c>
      <c r="BV52" s="227">
        <f>15000*0.95</f>
        <v>14250</v>
      </c>
      <c r="BW52" s="224">
        <f t="shared" si="45"/>
        <v>0.90252707581227432</v>
      </c>
      <c r="BX52" s="227">
        <f>15000*0.95</f>
        <v>14250</v>
      </c>
      <c r="BY52" s="224">
        <f t="shared" si="46"/>
        <v>0.90252707581227432</v>
      </c>
      <c r="BZ52" s="227">
        <f>15000*0.95</f>
        <v>14250</v>
      </c>
      <c r="CA52" s="224">
        <f t="shared" si="47"/>
        <v>0.90252707581227432</v>
      </c>
      <c r="CB52" s="227">
        <f>15000*0.95</f>
        <v>14250</v>
      </c>
      <c r="CC52" s="224">
        <f t="shared" si="48"/>
        <v>0.90252707581227432</v>
      </c>
      <c r="CD52" s="227">
        <f>15000*0.95</f>
        <v>14250</v>
      </c>
      <c r="CE52" s="224">
        <f t="shared" si="49"/>
        <v>0.90252707581227432</v>
      </c>
      <c r="CF52" s="227">
        <f>15000*0.95</f>
        <v>14250</v>
      </c>
      <c r="CG52" s="224">
        <f t="shared" si="50"/>
        <v>0.90252707581227432</v>
      </c>
      <c r="CH52" s="227">
        <f>15000*0.95</f>
        <v>14250</v>
      </c>
      <c r="CI52" s="224">
        <f t="shared" si="51"/>
        <v>0.90252707581227432</v>
      </c>
      <c r="CJ52" s="227">
        <f>15000*0.95</f>
        <v>14250</v>
      </c>
      <c r="CK52" s="224">
        <f t="shared" si="52"/>
        <v>0.90252707581227432</v>
      </c>
      <c r="CL52" s="227">
        <f>15000*0.95</f>
        <v>14250</v>
      </c>
      <c r="CM52" s="224">
        <f t="shared" si="53"/>
        <v>0.90252707581227432</v>
      </c>
      <c r="CN52" s="227">
        <f>15000*0.95</f>
        <v>14250</v>
      </c>
      <c r="CO52" s="224">
        <f t="shared" si="54"/>
        <v>0.90252707581227432</v>
      </c>
      <c r="CP52" s="213" t="str">
        <f t="shared" si="20"/>
        <v>Không đạt</v>
      </c>
      <c r="CQ52" s="213" t="str">
        <f t="shared" si="21"/>
        <v>Không đạt</v>
      </c>
      <c r="CR52" s="192"/>
      <c r="CS52" s="214">
        <f t="shared" si="18"/>
        <v>0</v>
      </c>
      <c r="CT52" s="223"/>
      <c r="CU52" s="163"/>
      <c r="CV52" s="232"/>
      <c r="CW52" s="195"/>
      <c r="CX52" s="196"/>
      <c r="CY52" s="196"/>
      <c r="CZ52" s="197"/>
      <c r="DA52" s="196"/>
      <c r="DB52" s="196"/>
      <c r="DC52" s="196"/>
      <c r="DE52" s="199"/>
      <c r="DF52" s="200"/>
      <c r="DG52" s="181"/>
    </row>
    <row r="53" spans="1:111" s="233" customFormat="1" ht="15" hidden="1" outlineLevel="1" x14ac:dyDescent="0.25">
      <c r="A53" s="192">
        <f>MAX(A$14:$B52)+1</f>
        <v>33</v>
      </c>
      <c r="B53" s="222" t="s">
        <v>193</v>
      </c>
      <c r="C53" s="222"/>
      <c r="D53" s="214">
        <f>E53+F53</f>
        <v>15000</v>
      </c>
      <c r="E53" s="214"/>
      <c r="F53" s="214">
        <f t="shared" si="28"/>
        <v>15000</v>
      </c>
      <c r="G53" s="214"/>
      <c r="H53" s="214">
        <v>15000</v>
      </c>
      <c r="I53" s="235"/>
      <c r="J53" s="235"/>
      <c r="K53" s="223"/>
      <c r="L53" s="235"/>
      <c r="M53" s="223"/>
      <c r="N53" s="223"/>
      <c r="O53" s="214">
        <f t="shared" si="26"/>
        <v>0</v>
      </c>
      <c r="P53" s="214">
        <v>0</v>
      </c>
      <c r="Q53" s="224">
        <f t="shared" si="1"/>
        <v>0</v>
      </c>
      <c r="R53" s="214"/>
      <c r="S53" s="225">
        <v>0</v>
      </c>
      <c r="T53" s="225">
        <v>0</v>
      </c>
      <c r="U53" s="214"/>
      <c r="V53" s="225">
        <v>0</v>
      </c>
      <c r="W53" s="225">
        <v>0</v>
      </c>
      <c r="X53" s="214"/>
      <c r="Y53" s="225">
        <v>0</v>
      </c>
      <c r="Z53" s="225">
        <v>0</v>
      </c>
      <c r="AA53" s="214"/>
      <c r="AB53" s="225">
        <v>0</v>
      </c>
      <c r="AC53" s="225">
        <v>0</v>
      </c>
      <c r="AD53" s="214"/>
      <c r="AE53" s="225">
        <v>0</v>
      </c>
      <c r="AF53" s="225">
        <v>0</v>
      </c>
      <c r="AG53" s="214"/>
      <c r="AH53" s="225">
        <v>0</v>
      </c>
      <c r="AI53" s="225">
        <v>0</v>
      </c>
      <c r="AJ53" s="214"/>
      <c r="AK53" s="225">
        <v>0</v>
      </c>
      <c r="AL53" s="225">
        <v>0</v>
      </c>
      <c r="AM53" s="214"/>
      <c r="AN53" s="225">
        <v>0</v>
      </c>
      <c r="AO53" s="225">
        <v>0</v>
      </c>
      <c r="AP53" s="225"/>
      <c r="AQ53" s="214"/>
      <c r="AR53" s="225">
        <v>0</v>
      </c>
      <c r="AS53" s="225">
        <v>0</v>
      </c>
      <c r="AT53" s="214"/>
      <c r="AU53" s="225">
        <v>0</v>
      </c>
      <c r="AV53" s="225">
        <v>0</v>
      </c>
      <c r="AW53" s="214"/>
      <c r="AX53" s="225">
        <v>0</v>
      </c>
      <c r="AY53" s="225">
        <v>0</v>
      </c>
      <c r="AZ53" s="214"/>
      <c r="BA53" s="225">
        <v>0</v>
      </c>
      <c r="BB53" s="225">
        <v>0</v>
      </c>
      <c r="BC53" s="214"/>
      <c r="BD53" s="225">
        <v>0</v>
      </c>
      <c r="BE53" s="225">
        <v>0</v>
      </c>
      <c r="BF53" s="214"/>
      <c r="BG53" s="214"/>
      <c r="BH53" s="225">
        <v>0</v>
      </c>
      <c r="BI53" s="225">
        <v>0</v>
      </c>
      <c r="BJ53" s="214">
        <f t="shared" si="2"/>
        <v>14250</v>
      </c>
      <c r="BK53" s="214"/>
      <c r="BL53" s="225">
        <f t="shared" si="42"/>
        <v>0</v>
      </c>
      <c r="BM53" s="225">
        <f t="shared" si="4"/>
        <v>0</v>
      </c>
      <c r="BN53" s="205">
        <f t="shared" si="23"/>
        <v>0</v>
      </c>
      <c r="BO53" s="205"/>
      <c r="BP53" s="227"/>
      <c r="BQ53" s="224">
        <f t="shared" si="5"/>
        <v>0</v>
      </c>
      <c r="BR53" s="227">
        <v>1670</v>
      </c>
      <c r="BS53" s="224">
        <f t="shared" si="43"/>
        <v>0.11133333333333334</v>
      </c>
      <c r="BT53" s="227">
        <v>3412</v>
      </c>
      <c r="BU53" s="224">
        <f t="shared" si="44"/>
        <v>0.22746666666666668</v>
      </c>
      <c r="BV53" s="227">
        <v>5412</v>
      </c>
      <c r="BW53" s="224">
        <f t="shared" si="45"/>
        <v>0.36080000000000001</v>
      </c>
      <c r="BX53" s="227">
        <v>7038</v>
      </c>
      <c r="BY53" s="224">
        <f t="shared" si="46"/>
        <v>0.46920000000000001</v>
      </c>
      <c r="BZ53" s="227">
        <v>8441</v>
      </c>
      <c r="CA53" s="224">
        <f t="shared" si="47"/>
        <v>0.56273333333333331</v>
      </c>
      <c r="CB53" s="227">
        <v>9985</v>
      </c>
      <c r="CC53" s="224">
        <f t="shared" si="48"/>
        <v>0.66566666666666663</v>
      </c>
      <c r="CD53" s="227">
        <v>10557</v>
      </c>
      <c r="CE53" s="224">
        <f t="shared" si="49"/>
        <v>0.70379999999999998</v>
      </c>
      <c r="CF53" s="227">
        <v>10557</v>
      </c>
      <c r="CG53" s="224">
        <f t="shared" si="50"/>
        <v>0.70379999999999998</v>
      </c>
      <c r="CH53" s="227">
        <v>11000</v>
      </c>
      <c r="CI53" s="224">
        <f t="shared" si="51"/>
        <v>0.73333333333333328</v>
      </c>
      <c r="CJ53" s="227">
        <v>11000</v>
      </c>
      <c r="CK53" s="224">
        <f t="shared" si="52"/>
        <v>0.73333333333333328</v>
      </c>
      <c r="CL53" s="227">
        <v>11000</v>
      </c>
      <c r="CM53" s="224">
        <f t="shared" si="53"/>
        <v>0.73333333333333328</v>
      </c>
      <c r="CN53" s="227">
        <v>11000</v>
      </c>
      <c r="CO53" s="224">
        <f t="shared" si="54"/>
        <v>0.73333333333333328</v>
      </c>
      <c r="CP53" s="213" t="str">
        <f t="shared" si="20"/>
        <v>Không đạt</v>
      </c>
      <c r="CQ53" s="213" t="str">
        <f t="shared" si="21"/>
        <v>Không đạt</v>
      </c>
      <c r="CR53" s="192"/>
      <c r="CS53" s="214">
        <f t="shared" si="18"/>
        <v>0</v>
      </c>
      <c r="CT53" s="223"/>
      <c r="CU53" s="163"/>
      <c r="CV53" s="232"/>
      <c r="CW53" s="195"/>
      <c r="CX53" s="196"/>
      <c r="CY53" s="196"/>
      <c r="CZ53" s="197"/>
      <c r="DA53" s="196"/>
      <c r="DB53" s="196"/>
      <c r="DC53" s="196"/>
      <c r="DE53" s="199"/>
      <c r="DF53" s="200"/>
      <c r="DG53" s="181"/>
    </row>
    <row r="54" spans="1:111" s="233" customFormat="1" ht="25.5" hidden="1" outlineLevel="1" x14ac:dyDescent="0.25">
      <c r="A54" s="192">
        <f>MAX(A$14:$B53)+1</f>
        <v>34</v>
      </c>
      <c r="B54" s="222" t="s">
        <v>194</v>
      </c>
      <c r="C54" s="222">
        <v>8123179</v>
      </c>
      <c r="D54" s="214">
        <f>E54+F54</f>
        <v>10526</v>
      </c>
      <c r="E54" s="214"/>
      <c r="F54" s="214">
        <f t="shared" si="28"/>
        <v>10526</v>
      </c>
      <c r="G54" s="214">
        <v>10526</v>
      </c>
      <c r="H54" s="214">
        <f>10000-10000</f>
        <v>0</v>
      </c>
      <c r="I54" s="235">
        <v>500</v>
      </c>
      <c r="J54" s="214">
        <v>150</v>
      </c>
      <c r="K54" s="223"/>
      <c r="L54" s="235"/>
      <c r="M54" s="223"/>
      <c r="N54" s="223"/>
      <c r="O54" s="214">
        <f t="shared" si="26"/>
        <v>11026</v>
      </c>
      <c r="P54" s="214">
        <v>150</v>
      </c>
      <c r="Q54" s="224">
        <f t="shared" si="1"/>
        <v>1.4250427512825384E-2</v>
      </c>
      <c r="R54" s="214">
        <v>150</v>
      </c>
      <c r="S54" s="225">
        <v>1.4999999999999999E-2</v>
      </c>
      <c r="T54" s="225">
        <v>1.5789473684210527E-2</v>
      </c>
      <c r="U54" s="214">
        <v>150</v>
      </c>
      <c r="V54" s="225">
        <v>1.4999999999999999E-2</v>
      </c>
      <c r="W54" s="225">
        <v>1.5789473684210527E-2</v>
      </c>
      <c r="X54" s="214">
        <v>150</v>
      </c>
      <c r="Y54" s="225">
        <v>1.4999999999999999E-2</v>
      </c>
      <c r="Z54" s="225">
        <v>1.5789473684210527E-2</v>
      </c>
      <c r="AA54" s="214">
        <v>150</v>
      </c>
      <c r="AB54" s="225">
        <v>1.4999999999999999E-2</v>
      </c>
      <c r="AC54" s="225">
        <v>1.5789473684210527E-2</v>
      </c>
      <c r="AD54" s="214">
        <v>150</v>
      </c>
      <c r="AE54" s="225">
        <v>1.4999999999999999E-2</v>
      </c>
      <c r="AF54" s="225">
        <v>1.5789473684210527E-2</v>
      </c>
      <c r="AG54" s="214">
        <v>150</v>
      </c>
      <c r="AH54" s="225">
        <v>1.4999999999999999E-2</v>
      </c>
      <c r="AI54" s="225">
        <v>1.5789473684210527E-2</v>
      </c>
      <c r="AJ54" s="214">
        <v>150</v>
      </c>
      <c r="AK54" s="225">
        <v>1.4999999999999999E-2</v>
      </c>
      <c r="AL54" s="225">
        <v>1.5789473684210527E-2</v>
      </c>
      <c r="AM54" s="214">
        <v>150</v>
      </c>
      <c r="AN54" s="225">
        <v>1.4999999999999999E-2</v>
      </c>
      <c r="AO54" s="225">
        <v>1.5789473684210527E-2</v>
      </c>
      <c r="AP54" s="225"/>
      <c r="AQ54" s="214">
        <v>150</v>
      </c>
      <c r="AR54" s="225">
        <v>1.4999999999999999E-2</v>
      </c>
      <c r="AS54" s="225">
        <v>1.5789473684210527E-2</v>
      </c>
      <c r="AT54" s="214">
        <v>150</v>
      </c>
      <c r="AU54" s="225">
        <v>1.4999999999999999E-2</v>
      </c>
      <c r="AV54" s="225">
        <v>1.5789473684210527E-2</v>
      </c>
      <c r="AW54" s="214">
        <v>150</v>
      </c>
      <c r="AX54" s="225">
        <v>1.4999999999999999E-2</v>
      </c>
      <c r="AY54" s="225">
        <v>1.5789473684210527E-2</v>
      </c>
      <c r="AZ54" s="214">
        <v>150</v>
      </c>
      <c r="BA54" s="225">
        <v>1.4999999999999999E-2</v>
      </c>
      <c r="BB54" s="225">
        <v>1.5789473684210527E-2</v>
      </c>
      <c r="BC54" s="214">
        <v>150</v>
      </c>
      <c r="BD54" s="225">
        <v>1.4999999999999999E-2</v>
      </c>
      <c r="BE54" s="225">
        <v>1.5789473684210527E-2</v>
      </c>
      <c r="BF54" s="214"/>
      <c r="BG54" s="214">
        <v>150</v>
      </c>
      <c r="BH54" s="225">
        <v>1.4250427512825384E-2</v>
      </c>
      <c r="BI54" s="225">
        <v>1.5000450013500406E-2</v>
      </c>
      <c r="BJ54" s="214">
        <f t="shared" si="2"/>
        <v>9999.6999999999989</v>
      </c>
      <c r="BK54" s="214">
        <v>150</v>
      </c>
      <c r="BL54" s="225">
        <f t="shared" si="42"/>
        <v>1.4250427512825384E-2</v>
      </c>
      <c r="BM54" s="225">
        <f t="shared" si="4"/>
        <v>1.5000450013500406E-2</v>
      </c>
      <c r="BN54" s="205">
        <f t="shared" si="23"/>
        <v>0</v>
      </c>
      <c r="BO54" s="205"/>
      <c r="BP54" s="227"/>
      <c r="BQ54" s="224">
        <f t="shared" si="5"/>
        <v>0</v>
      </c>
      <c r="BR54" s="227"/>
      <c r="BS54" s="224">
        <f t="shared" si="43"/>
        <v>0</v>
      </c>
      <c r="BT54" s="227">
        <v>7500</v>
      </c>
      <c r="BU54" s="224">
        <f t="shared" si="44"/>
        <v>0.71252137564126927</v>
      </c>
      <c r="BV54" s="227">
        <v>9500</v>
      </c>
      <c r="BW54" s="224">
        <f t="shared" si="45"/>
        <v>0.90252707581227432</v>
      </c>
      <c r="BX54" s="227">
        <v>9500</v>
      </c>
      <c r="BY54" s="224">
        <f t="shared" si="46"/>
        <v>0.90252707581227432</v>
      </c>
      <c r="BZ54" s="227">
        <v>9500</v>
      </c>
      <c r="CA54" s="224">
        <f t="shared" si="47"/>
        <v>0.90252707581227432</v>
      </c>
      <c r="CB54" s="227">
        <v>9500</v>
      </c>
      <c r="CC54" s="224">
        <f t="shared" si="48"/>
        <v>0.90252707581227432</v>
      </c>
      <c r="CD54" s="227">
        <v>9500</v>
      </c>
      <c r="CE54" s="224">
        <f t="shared" si="49"/>
        <v>0.90252707581227432</v>
      </c>
      <c r="CF54" s="227">
        <v>9500</v>
      </c>
      <c r="CG54" s="224">
        <f t="shared" si="50"/>
        <v>0.90252707581227432</v>
      </c>
      <c r="CH54" s="227">
        <v>9500</v>
      </c>
      <c r="CI54" s="224">
        <f t="shared" si="51"/>
        <v>0.90252707581227432</v>
      </c>
      <c r="CJ54" s="227">
        <v>9500</v>
      </c>
      <c r="CK54" s="224">
        <f t="shared" si="52"/>
        <v>0.90252707581227432</v>
      </c>
      <c r="CL54" s="227">
        <v>9500</v>
      </c>
      <c r="CM54" s="224">
        <f t="shared" si="53"/>
        <v>0.90252707581227432</v>
      </c>
      <c r="CN54" s="227">
        <v>9500</v>
      </c>
      <c r="CO54" s="224">
        <f t="shared" si="54"/>
        <v>0.90252707581227432</v>
      </c>
      <c r="CP54" s="213" t="str">
        <f t="shared" si="20"/>
        <v>Không đạt</v>
      </c>
      <c r="CQ54" s="213" t="str">
        <f t="shared" si="21"/>
        <v>Không đạt</v>
      </c>
      <c r="CR54" s="192"/>
      <c r="CS54" s="214">
        <f t="shared" si="18"/>
        <v>0</v>
      </c>
      <c r="CT54" s="223"/>
      <c r="CU54" s="163"/>
      <c r="CV54" s="232"/>
      <c r="CW54" s="195"/>
      <c r="CX54" s="196"/>
      <c r="CY54" s="196"/>
      <c r="CZ54" s="197"/>
      <c r="DA54" s="196"/>
      <c r="DB54" s="196"/>
      <c r="DC54" s="196"/>
      <c r="DE54" s="199"/>
      <c r="DF54" s="200"/>
      <c r="DG54" s="181"/>
    </row>
    <row r="55" spans="1:111" s="233" customFormat="1" ht="25.5" hidden="1" outlineLevel="1" x14ac:dyDescent="0.25">
      <c r="A55" s="192">
        <f>MAX(A$14:$B54)+1</f>
        <v>35</v>
      </c>
      <c r="B55" s="222" t="s">
        <v>195</v>
      </c>
      <c r="C55" s="222">
        <v>8118738</v>
      </c>
      <c r="D55" s="214">
        <f>E55+F55</f>
        <v>10000</v>
      </c>
      <c r="E55" s="214"/>
      <c r="F55" s="214">
        <f t="shared" si="28"/>
        <v>10000</v>
      </c>
      <c r="G55" s="214"/>
      <c r="H55" s="214">
        <v>10000</v>
      </c>
      <c r="I55" s="235">
        <v>9500</v>
      </c>
      <c r="J55" s="214">
        <v>7463.83</v>
      </c>
      <c r="K55" s="223"/>
      <c r="L55" s="235"/>
      <c r="M55" s="223"/>
      <c r="N55" s="223"/>
      <c r="O55" s="214">
        <f t="shared" si="26"/>
        <v>9500</v>
      </c>
      <c r="P55" s="214">
        <v>150</v>
      </c>
      <c r="Q55" s="224">
        <f t="shared" si="1"/>
        <v>1.4999999999999999E-2</v>
      </c>
      <c r="R55" s="214">
        <v>7376.7520000000004</v>
      </c>
      <c r="S55" s="225">
        <v>0.73767520000000009</v>
      </c>
      <c r="T55" s="225">
        <v>0.77650021052631579</v>
      </c>
      <c r="U55" s="214">
        <v>7463.83</v>
      </c>
      <c r="V55" s="225">
        <v>0.74638300000000002</v>
      </c>
      <c r="W55" s="225">
        <v>0.78566631578947366</v>
      </c>
      <c r="X55" s="214">
        <v>7463.83</v>
      </c>
      <c r="Y55" s="225">
        <v>0.74638300000000002</v>
      </c>
      <c r="Z55" s="225">
        <v>0.78566631578947366</v>
      </c>
      <c r="AA55" s="214">
        <v>7463.83</v>
      </c>
      <c r="AB55" s="225">
        <v>0.74638300000000002</v>
      </c>
      <c r="AC55" s="225">
        <v>0.78566631578947366</v>
      </c>
      <c r="AD55" s="214">
        <v>7463.83</v>
      </c>
      <c r="AE55" s="225">
        <v>0.74638300000000002</v>
      </c>
      <c r="AF55" s="225">
        <v>0.78566631578947366</v>
      </c>
      <c r="AG55" s="214">
        <v>7463.83</v>
      </c>
      <c r="AH55" s="225">
        <v>0.74638300000000002</v>
      </c>
      <c r="AI55" s="225">
        <v>0.78566631578947366</v>
      </c>
      <c r="AJ55" s="214">
        <v>7463.83</v>
      </c>
      <c r="AK55" s="225">
        <v>0.74638300000000002</v>
      </c>
      <c r="AL55" s="225">
        <v>0.78566631578947366</v>
      </c>
      <c r="AM55" s="214">
        <v>7463.83</v>
      </c>
      <c r="AN55" s="225">
        <v>0.74638300000000002</v>
      </c>
      <c r="AO55" s="225">
        <v>0.78566631578947366</v>
      </c>
      <c r="AP55" s="225"/>
      <c r="AQ55" s="214">
        <v>7463.83</v>
      </c>
      <c r="AR55" s="225">
        <v>0.74638300000000002</v>
      </c>
      <c r="AS55" s="225">
        <v>0.78566631578947366</v>
      </c>
      <c r="AT55" s="214">
        <v>7463.83</v>
      </c>
      <c r="AU55" s="225">
        <v>0.74638300000000002</v>
      </c>
      <c r="AV55" s="225">
        <v>0.78566631578947366</v>
      </c>
      <c r="AW55" s="214">
        <v>7463.83</v>
      </c>
      <c r="AX55" s="225">
        <v>0.74638300000000002</v>
      </c>
      <c r="AY55" s="225">
        <v>0.78566631578947366</v>
      </c>
      <c r="AZ55" s="214">
        <v>7463.83</v>
      </c>
      <c r="BA55" s="225">
        <v>0.74638300000000002</v>
      </c>
      <c r="BB55" s="225">
        <v>0.78566631578947366</v>
      </c>
      <c r="BC55" s="214">
        <v>7463.83</v>
      </c>
      <c r="BD55" s="225">
        <v>0.74638300000000002</v>
      </c>
      <c r="BE55" s="225">
        <v>0.78566631578947366</v>
      </c>
      <c r="BF55" s="214">
        <v>9500</v>
      </c>
      <c r="BG55" s="214">
        <v>9500</v>
      </c>
      <c r="BH55" s="225">
        <v>0.95</v>
      </c>
      <c r="BI55" s="225">
        <v>1</v>
      </c>
      <c r="BJ55" s="214">
        <f t="shared" si="2"/>
        <v>9500</v>
      </c>
      <c r="BK55" s="214">
        <v>9500</v>
      </c>
      <c r="BL55" s="225">
        <f t="shared" si="42"/>
        <v>0.95</v>
      </c>
      <c r="BM55" s="225">
        <f t="shared" si="4"/>
        <v>1</v>
      </c>
      <c r="BN55" s="205">
        <f t="shared" si="23"/>
        <v>2036.17</v>
      </c>
      <c r="BO55" s="205"/>
      <c r="BP55" s="227"/>
      <c r="BQ55" s="224">
        <f t="shared" si="5"/>
        <v>0</v>
      </c>
      <c r="BR55" s="227"/>
      <c r="BS55" s="224">
        <f t="shared" si="43"/>
        <v>0</v>
      </c>
      <c r="BT55" s="227">
        <v>9000</v>
      </c>
      <c r="BU55" s="224">
        <f t="shared" si="44"/>
        <v>0.9</v>
      </c>
      <c r="BV55" s="227">
        <v>9500</v>
      </c>
      <c r="BW55" s="224">
        <f t="shared" si="45"/>
        <v>0.95</v>
      </c>
      <c r="BX55" s="227">
        <v>9500</v>
      </c>
      <c r="BY55" s="224">
        <f t="shared" si="46"/>
        <v>0.95</v>
      </c>
      <c r="BZ55" s="227">
        <v>9500</v>
      </c>
      <c r="CA55" s="224">
        <f t="shared" si="47"/>
        <v>0.95</v>
      </c>
      <c r="CB55" s="227">
        <v>9500</v>
      </c>
      <c r="CC55" s="224">
        <f t="shared" si="48"/>
        <v>0.95</v>
      </c>
      <c r="CD55" s="227">
        <v>9500</v>
      </c>
      <c r="CE55" s="224">
        <f t="shared" si="49"/>
        <v>0.95</v>
      </c>
      <c r="CF55" s="227">
        <v>9500</v>
      </c>
      <c r="CG55" s="224">
        <f t="shared" si="50"/>
        <v>0.95</v>
      </c>
      <c r="CH55" s="227">
        <v>9500</v>
      </c>
      <c r="CI55" s="224">
        <f t="shared" si="51"/>
        <v>0.95</v>
      </c>
      <c r="CJ55" s="227">
        <v>9500</v>
      </c>
      <c r="CK55" s="224">
        <f t="shared" si="52"/>
        <v>0.95</v>
      </c>
      <c r="CL55" s="227">
        <v>9500</v>
      </c>
      <c r="CM55" s="224">
        <f t="shared" si="53"/>
        <v>0.95</v>
      </c>
      <c r="CN55" s="227">
        <v>9500</v>
      </c>
      <c r="CO55" s="224">
        <f t="shared" si="54"/>
        <v>0.95</v>
      </c>
      <c r="CP55" s="213" t="str">
        <f t="shared" si="20"/>
        <v>Đạt</v>
      </c>
      <c r="CQ55" s="213" t="str">
        <f t="shared" si="21"/>
        <v>Đạt</v>
      </c>
      <c r="CR55" s="192"/>
      <c r="CS55" s="214">
        <f t="shared" si="18"/>
        <v>2036.17</v>
      </c>
      <c r="CT55" s="223"/>
      <c r="CU55" s="163"/>
      <c r="CV55" s="232"/>
      <c r="CW55" s="195"/>
      <c r="CX55" s="196"/>
      <c r="CY55" s="196"/>
      <c r="CZ55" s="197"/>
      <c r="DA55" s="196"/>
      <c r="DB55" s="196"/>
      <c r="DC55" s="196"/>
      <c r="DE55" s="199"/>
      <c r="DF55" s="200"/>
      <c r="DG55" s="181"/>
    </row>
    <row r="56" spans="1:111" s="233" customFormat="1" ht="28.5" hidden="1" customHeight="1" outlineLevel="1" x14ac:dyDescent="0.25">
      <c r="A56" s="192">
        <f>MAX(A$14:$B55)+1</f>
        <v>36</v>
      </c>
      <c r="B56" s="222" t="s">
        <v>196</v>
      </c>
      <c r="C56" s="222">
        <v>8118733</v>
      </c>
      <c r="D56" s="214">
        <f>E56+F56</f>
        <v>2000</v>
      </c>
      <c r="E56" s="214"/>
      <c r="F56" s="214">
        <f t="shared" si="28"/>
        <v>2000</v>
      </c>
      <c r="G56" s="214">
        <v>2000</v>
      </c>
      <c r="H56" s="214"/>
      <c r="I56" s="235"/>
      <c r="J56" s="235"/>
      <c r="K56" s="223"/>
      <c r="L56" s="235"/>
      <c r="M56" s="223"/>
      <c r="N56" s="223"/>
      <c r="O56" s="214">
        <f t="shared" si="26"/>
        <v>2000</v>
      </c>
      <c r="P56" s="214">
        <v>30</v>
      </c>
      <c r="Q56" s="224">
        <f t="shared" si="1"/>
        <v>1.4999999999999999E-2</v>
      </c>
      <c r="R56" s="214">
        <v>30</v>
      </c>
      <c r="S56" s="225">
        <v>1.4999999999999999E-2</v>
      </c>
      <c r="T56" s="225">
        <v>1.5789473684210527E-2</v>
      </c>
      <c r="U56" s="214">
        <v>582.03800000000001</v>
      </c>
      <c r="V56" s="225">
        <v>0.29101900000000003</v>
      </c>
      <c r="W56" s="225">
        <v>0.30633578947368423</v>
      </c>
      <c r="X56" s="214">
        <v>582.03800000000001</v>
      </c>
      <c r="Y56" s="225">
        <v>0.29101900000000003</v>
      </c>
      <c r="Z56" s="225">
        <v>0.30633578947368423</v>
      </c>
      <c r="AA56" s="214">
        <v>582.03800000000001</v>
      </c>
      <c r="AB56" s="225">
        <v>0.29101900000000003</v>
      </c>
      <c r="AC56" s="225">
        <v>0.30633578947368423</v>
      </c>
      <c r="AD56" s="214">
        <v>582.03800000000001</v>
      </c>
      <c r="AE56" s="225">
        <v>0.29101900000000003</v>
      </c>
      <c r="AF56" s="225">
        <v>0.30633578947368423</v>
      </c>
      <c r="AG56" s="214">
        <v>582.03800000000001</v>
      </c>
      <c r="AH56" s="225">
        <v>0.29101900000000003</v>
      </c>
      <c r="AI56" s="225">
        <v>0.30633578947368423</v>
      </c>
      <c r="AJ56" s="214">
        <v>582.03800000000001</v>
      </c>
      <c r="AK56" s="225">
        <v>0.29101900000000003</v>
      </c>
      <c r="AL56" s="225">
        <v>0.30633578947368423</v>
      </c>
      <c r="AM56" s="214">
        <v>582.03800000000001</v>
      </c>
      <c r="AN56" s="225">
        <v>0.29101900000000003</v>
      </c>
      <c r="AO56" s="225">
        <v>0.30633578947368423</v>
      </c>
      <c r="AP56" s="225"/>
      <c r="AQ56" s="214">
        <v>582.03800000000001</v>
      </c>
      <c r="AR56" s="225">
        <v>0.29101900000000003</v>
      </c>
      <c r="AS56" s="225">
        <v>0.30633578947368423</v>
      </c>
      <c r="AT56" s="214">
        <v>582.03800000000001</v>
      </c>
      <c r="AU56" s="225">
        <v>0.29101900000000003</v>
      </c>
      <c r="AV56" s="225">
        <v>0.30633578947368423</v>
      </c>
      <c r="AW56" s="214">
        <v>582.03800000000001</v>
      </c>
      <c r="AX56" s="225">
        <v>0.29101900000000003</v>
      </c>
      <c r="AY56" s="225">
        <v>0.30633578947368423</v>
      </c>
      <c r="AZ56" s="214">
        <v>582.03800000000001</v>
      </c>
      <c r="BA56" s="225">
        <v>0.29101900000000003</v>
      </c>
      <c r="BB56" s="225">
        <v>0.30633578947368423</v>
      </c>
      <c r="BC56" s="214">
        <v>582.03800000000001</v>
      </c>
      <c r="BD56" s="225">
        <v>0.29101900000000003</v>
      </c>
      <c r="BE56" s="225">
        <v>0.30633578947368423</v>
      </c>
      <c r="BF56" s="214"/>
      <c r="BG56" s="214">
        <v>582.03800000000001</v>
      </c>
      <c r="BH56" s="225">
        <v>0.29101900000000003</v>
      </c>
      <c r="BI56" s="225">
        <v>0.30633578947368423</v>
      </c>
      <c r="BJ56" s="214">
        <f t="shared" si="2"/>
        <v>1900</v>
      </c>
      <c r="BK56" s="214">
        <v>582.03800000000001</v>
      </c>
      <c r="BL56" s="225">
        <f t="shared" si="42"/>
        <v>0.29101900000000003</v>
      </c>
      <c r="BM56" s="225">
        <f t="shared" si="4"/>
        <v>0.30633578947368423</v>
      </c>
      <c r="BN56" s="205">
        <f t="shared" si="23"/>
        <v>0</v>
      </c>
      <c r="BO56" s="205"/>
      <c r="BP56" s="227"/>
      <c r="BQ56" s="224">
        <f t="shared" si="5"/>
        <v>0</v>
      </c>
      <c r="BR56" s="227">
        <v>900</v>
      </c>
      <c r="BS56" s="224">
        <f t="shared" si="43"/>
        <v>0.45</v>
      </c>
      <c r="BT56" s="227">
        <v>1890</v>
      </c>
      <c r="BU56" s="224">
        <f t="shared" si="44"/>
        <v>0.94499999999999995</v>
      </c>
      <c r="BV56" s="227">
        <v>1890</v>
      </c>
      <c r="BW56" s="224">
        <f t="shared" si="45"/>
        <v>0.94499999999999995</v>
      </c>
      <c r="BX56" s="227">
        <v>1890</v>
      </c>
      <c r="BY56" s="224">
        <f t="shared" si="46"/>
        <v>0.94499999999999995</v>
      </c>
      <c r="BZ56" s="227">
        <v>1890</v>
      </c>
      <c r="CA56" s="224">
        <f t="shared" si="47"/>
        <v>0.94499999999999995</v>
      </c>
      <c r="CB56" s="227">
        <v>1890</v>
      </c>
      <c r="CC56" s="224">
        <f t="shared" si="48"/>
        <v>0.94499999999999995</v>
      </c>
      <c r="CD56" s="227">
        <v>1890</v>
      </c>
      <c r="CE56" s="224">
        <f t="shared" si="49"/>
        <v>0.94499999999999995</v>
      </c>
      <c r="CF56" s="227">
        <v>1890</v>
      </c>
      <c r="CG56" s="224">
        <f t="shared" si="50"/>
        <v>0.94499999999999995</v>
      </c>
      <c r="CH56" s="227">
        <v>1890</v>
      </c>
      <c r="CI56" s="224">
        <f t="shared" si="51"/>
        <v>0.94499999999999995</v>
      </c>
      <c r="CJ56" s="227">
        <v>1890</v>
      </c>
      <c r="CK56" s="224">
        <f t="shared" si="52"/>
        <v>0.94499999999999995</v>
      </c>
      <c r="CL56" s="227">
        <v>1890</v>
      </c>
      <c r="CM56" s="224">
        <f t="shared" si="53"/>
        <v>0.94499999999999995</v>
      </c>
      <c r="CN56" s="227">
        <v>1890</v>
      </c>
      <c r="CO56" s="224">
        <f t="shared" si="54"/>
        <v>0.94499999999999995</v>
      </c>
      <c r="CP56" s="213" t="str">
        <f t="shared" si="20"/>
        <v>Không đạt</v>
      </c>
      <c r="CQ56" s="213" t="str">
        <f t="shared" si="21"/>
        <v>Không đạt</v>
      </c>
      <c r="CR56" s="192"/>
      <c r="CS56" s="214">
        <f t="shared" si="18"/>
        <v>0</v>
      </c>
      <c r="CT56" s="223"/>
      <c r="CU56" s="163"/>
      <c r="CV56" s="232"/>
      <c r="CW56" s="195"/>
      <c r="CX56" s="196"/>
      <c r="CY56" s="196"/>
      <c r="CZ56" s="197"/>
      <c r="DA56" s="196"/>
      <c r="DB56" s="196"/>
      <c r="DC56" s="196"/>
      <c r="DE56" s="199"/>
      <c r="DF56" s="200"/>
      <c r="DG56" s="181"/>
    </row>
    <row r="57" spans="1:111" s="233" customFormat="1" ht="15" hidden="1" outlineLevel="1" x14ac:dyDescent="0.25">
      <c r="A57" s="192"/>
      <c r="B57" s="240" t="s">
        <v>197</v>
      </c>
      <c r="C57" s="240"/>
      <c r="D57" s="214">
        <f t="shared" si="19"/>
        <v>0</v>
      </c>
      <c r="E57" s="214"/>
      <c r="F57" s="214">
        <f t="shared" si="28"/>
        <v>0</v>
      </c>
      <c r="G57" s="214"/>
      <c r="H57" s="214"/>
      <c r="I57" s="235"/>
      <c r="J57" s="235"/>
      <c r="K57" s="223"/>
      <c r="L57" s="235"/>
      <c r="M57" s="223"/>
      <c r="N57" s="223"/>
      <c r="O57" s="214">
        <f t="shared" si="26"/>
        <v>0</v>
      </c>
      <c r="P57" s="214">
        <v>0</v>
      </c>
      <c r="Q57" s="224" t="e">
        <f t="shared" si="1"/>
        <v>#DIV/0!</v>
      </c>
      <c r="R57" s="214"/>
      <c r="S57" s="225"/>
      <c r="T57" s="225"/>
      <c r="U57" s="214"/>
      <c r="V57" s="225"/>
      <c r="W57" s="225"/>
      <c r="X57" s="214"/>
      <c r="Y57" s="225"/>
      <c r="Z57" s="225"/>
      <c r="AA57" s="214"/>
      <c r="AB57" s="225"/>
      <c r="AC57" s="225"/>
      <c r="AD57" s="214"/>
      <c r="AE57" s="225"/>
      <c r="AF57" s="225"/>
      <c r="AG57" s="214"/>
      <c r="AH57" s="225"/>
      <c r="AI57" s="225"/>
      <c r="AJ57" s="214"/>
      <c r="AK57" s="225"/>
      <c r="AL57" s="225"/>
      <c r="AM57" s="214"/>
      <c r="AN57" s="225"/>
      <c r="AO57" s="225"/>
      <c r="AP57" s="225"/>
      <c r="AQ57" s="214"/>
      <c r="AR57" s="225"/>
      <c r="AS57" s="225"/>
      <c r="AT57" s="214"/>
      <c r="AU57" s="225"/>
      <c r="AV57" s="225"/>
      <c r="AW57" s="214"/>
      <c r="AX57" s="225"/>
      <c r="AY57" s="225"/>
      <c r="AZ57" s="214"/>
      <c r="BA57" s="225"/>
      <c r="BB57" s="225"/>
      <c r="BC57" s="214"/>
      <c r="BD57" s="225"/>
      <c r="BE57" s="225"/>
      <c r="BF57" s="214"/>
      <c r="BG57" s="214"/>
      <c r="BH57" s="225"/>
      <c r="BI57" s="225"/>
      <c r="BJ57" s="214">
        <f t="shared" si="2"/>
        <v>0</v>
      </c>
      <c r="BK57" s="214"/>
      <c r="BL57" s="225"/>
      <c r="BM57" s="225"/>
      <c r="BN57" s="205">
        <f t="shared" si="23"/>
        <v>0</v>
      </c>
      <c r="BO57" s="205"/>
      <c r="BP57" s="227"/>
      <c r="BQ57" s="224"/>
      <c r="BR57" s="227"/>
      <c r="BS57" s="224"/>
      <c r="BT57" s="227"/>
      <c r="BU57" s="224"/>
      <c r="BV57" s="227"/>
      <c r="BW57" s="224"/>
      <c r="BX57" s="227"/>
      <c r="BY57" s="224"/>
      <c r="BZ57" s="227"/>
      <c r="CA57" s="224"/>
      <c r="CB57" s="227"/>
      <c r="CC57" s="224"/>
      <c r="CD57" s="227"/>
      <c r="CE57" s="224"/>
      <c r="CF57" s="227"/>
      <c r="CG57" s="224"/>
      <c r="CH57" s="227"/>
      <c r="CI57" s="224"/>
      <c r="CJ57" s="227"/>
      <c r="CK57" s="224"/>
      <c r="CL57" s="227"/>
      <c r="CM57" s="224"/>
      <c r="CN57" s="227"/>
      <c r="CO57" s="224"/>
      <c r="CP57" s="213" t="str">
        <f t="shared" si="20"/>
        <v>Không đạt</v>
      </c>
      <c r="CQ57" s="213" t="str">
        <f t="shared" si="21"/>
        <v>Không đạt</v>
      </c>
      <c r="CR57" s="192"/>
      <c r="CS57" s="214">
        <f t="shared" si="18"/>
        <v>0</v>
      </c>
      <c r="CT57" s="223"/>
      <c r="CU57" s="163"/>
      <c r="CV57" s="232"/>
      <c r="CW57" s="195"/>
      <c r="CX57" s="196"/>
      <c r="CY57" s="196"/>
      <c r="CZ57" s="197"/>
      <c r="DA57" s="196"/>
      <c r="DB57" s="196"/>
      <c r="DC57" s="196"/>
      <c r="DE57" s="199"/>
      <c r="DF57" s="200"/>
      <c r="DG57" s="181"/>
    </row>
    <row r="58" spans="1:111" s="233" customFormat="1" ht="15" hidden="1" outlineLevel="1" x14ac:dyDescent="0.25">
      <c r="A58" s="192">
        <f>MAX(A$14:$B57)+1</f>
        <v>37</v>
      </c>
      <c r="B58" s="222" t="s">
        <v>198</v>
      </c>
      <c r="C58" s="222">
        <v>7940482</v>
      </c>
      <c r="D58" s="214">
        <f t="shared" si="19"/>
        <v>3500</v>
      </c>
      <c r="E58" s="214"/>
      <c r="F58" s="214">
        <f t="shared" si="28"/>
        <v>3500</v>
      </c>
      <c r="G58" s="214">
        <v>3500</v>
      </c>
      <c r="H58" s="214"/>
      <c r="I58" s="235"/>
      <c r="J58" s="235"/>
      <c r="K58" s="223"/>
      <c r="L58" s="235"/>
      <c r="M58" s="223"/>
      <c r="N58" s="223"/>
      <c r="O58" s="214">
        <f t="shared" si="26"/>
        <v>3500</v>
      </c>
      <c r="P58" s="214">
        <v>0</v>
      </c>
      <c r="Q58" s="224">
        <f t="shared" si="1"/>
        <v>0</v>
      </c>
      <c r="R58" s="214"/>
      <c r="S58" s="225">
        <v>0</v>
      </c>
      <c r="T58" s="225">
        <v>0</v>
      </c>
      <c r="U58" s="214"/>
      <c r="V58" s="225">
        <v>0</v>
      </c>
      <c r="W58" s="225">
        <v>0</v>
      </c>
      <c r="X58" s="214"/>
      <c r="Y58" s="225">
        <v>0</v>
      </c>
      <c r="Z58" s="225">
        <v>0</v>
      </c>
      <c r="AA58" s="214"/>
      <c r="AB58" s="225">
        <v>0</v>
      </c>
      <c r="AC58" s="225">
        <v>0</v>
      </c>
      <c r="AD58" s="214"/>
      <c r="AE58" s="225">
        <v>0</v>
      </c>
      <c r="AF58" s="225">
        <v>0</v>
      </c>
      <c r="AG58" s="214"/>
      <c r="AH58" s="225">
        <v>0</v>
      </c>
      <c r="AI58" s="225">
        <v>0</v>
      </c>
      <c r="AJ58" s="214"/>
      <c r="AK58" s="225">
        <v>0</v>
      </c>
      <c r="AL58" s="225">
        <v>0</v>
      </c>
      <c r="AM58" s="214"/>
      <c r="AN58" s="225">
        <v>0</v>
      </c>
      <c r="AO58" s="225">
        <v>0</v>
      </c>
      <c r="AP58" s="225"/>
      <c r="AQ58" s="214"/>
      <c r="AR58" s="225">
        <v>0</v>
      </c>
      <c r="AS58" s="225">
        <v>0</v>
      </c>
      <c r="AT58" s="214"/>
      <c r="AU58" s="225">
        <v>0</v>
      </c>
      <c r="AV58" s="225">
        <v>0</v>
      </c>
      <c r="AW58" s="214"/>
      <c r="AX58" s="225">
        <v>0</v>
      </c>
      <c r="AY58" s="225">
        <v>0</v>
      </c>
      <c r="AZ58" s="214"/>
      <c r="BA58" s="225">
        <v>0</v>
      </c>
      <c r="BB58" s="225">
        <v>0</v>
      </c>
      <c r="BC58" s="214"/>
      <c r="BD58" s="225">
        <v>0</v>
      </c>
      <c r="BE58" s="225">
        <v>0</v>
      </c>
      <c r="BF58" s="214"/>
      <c r="BG58" s="214"/>
      <c r="BH58" s="225">
        <v>0</v>
      </c>
      <c r="BI58" s="225">
        <v>0</v>
      </c>
      <c r="BJ58" s="214">
        <f t="shared" si="2"/>
        <v>3325</v>
      </c>
      <c r="BK58" s="214"/>
      <c r="BL58" s="225">
        <f>BK58/$D58</f>
        <v>0</v>
      </c>
      <c r="BM58" s="225">
        <f>BK58/(E58+0.95*F58)</f>
        <v>0</v>
      </c>
      <c r="BN58" s="205">
        <f t="shared" si="23"/>
        <v>0</v>
      </c>
      <c r="BO58" s="205"/>
      <c r="BP58" s="227"/>
      <c r="BQ58" s="224">
        <f t="shared" si="5"/>
        <v>0</v>
      </c>
      <c r="BR58" s="227">
        <f>3500*0.95</f>
        <v>3325</v>
      </c>
      <c r="BS58" s="224">
        <f>BR58/$D58</f>
        <v>0.95</v>
      </c>
      <c r="BT58" s="227">
        <f>3500*0.95</f>
        <v>3325</v>
      </c>
      <c r="BU58" s="224">
        <f>BT58/$D58</f>
        <v>0.95</v>
      </c>
      <c r="BV58" s="227">
        <f>3500*0.95</f>
        <v>3325</v>
      </c>
      <c r="BW58" s="224">
        <f>BV58/$D58</f>
        <v>0.95</v>
      </c>
      <c r="BX58" s="227">
        <f>3500*0.95</f>
        <v>3325</v>
      </c>
      <c r="BY58" s="224">
        <f>BX58/$D58</f>
        <v>0.95</v>
      </c>
      <c r="BZ58" s="227">
        <f>3500*0.95</f>
        <v>3325</v>
      </c>
      <c r="CA58" s="224">
        <f>BZ58/$D58</f>
        <v>0.95</v>
      </c>
      <c r="CB58" s="227">
        <f>3500*0.95</f>
        <v>3325</v>
      </c>
      <c r="CC58" s="224">
        <f>CB58/$D58</f>
        <v>0.95</v>
      </c>
      <c r="CD58" s="227">
        <f>3500*0.95</f>
        <v>3325</v>
      </c>
      <c r="CE58" s="224">
        <f>CD58/$D58</f>
        <v>0.95</v>
      </c>
      <c r="CF58" s="227">
        <f>3500*0.95</f>
        <v>3325</v>
      </c>
      <c r="CG58" s="224">
        <f>CF58/$D58</f>
        <v>0.95</v>
      </c>
      <c r="CH58" s="227">
        <f>3500*0.95</f>
        <v>3325</v>
      </c>
      <c r="CI58" s="224">
        <f>CH58/$D58</f>
        <v>0.95</v>
      </c>
      <c r="CJ58" s="227">
        <f>3500*0.95</f>
        <v>3325</v>
      </c>
      <c r="CK58" s="224">
        <f>CJ58/$D58</f>
        <v>0.95</v>
      </c>
      <c r="CL58" s="227">
        <f>3500*0.95</f>
        <v>3325</v>
      </c>
      <c r="CM58" s="224">
        <f>CL58/$D58</f>
        <v>0.95</v>
      </c>
      <c r="CN58" s="227">
        <f>3500*0.95</f>
        <v>3325</v>
      </c>
      <c r="CO58" s="224">
        <f>CN58/$D58</f>
        <v>0.95</v>
      </c>
      <c r="CP58" s="213" t="str">
        <f t="shared" si="20"/>
        <v>Không đạt</v>
      </c>
      <c r="CQ58" s="213" t="str">
        <f t="shared" si="21"/>
        <v>Không đạt</v>
      </c>
      <c r="CR58" s="192"/>
      <c r="CS58" s="214">
        <f t="shared" si="18"/>
        <v>0</v>
      </c>
      <c r="CT58" s="223"/>
      <c r="CU58" s="163"/>
      <c r="CV58" s="232"/>
      <c r="CW58" s="195"/>
      <c r="CX58" s="196"/>
      <c r="CY58" s="196"/>
      <c r="CZ58" s="197"/>
      <c r="DA58" s="196"/>
      <c r="DB58" s="196"/>
      <c r="DC58" s="196"/>
      <c r="DE58" s="199"/>
      <c r="DF58" s="200"/>
      <c r="DG58" s="181"/>
    </row>
    <row r="59" spans="1:111" s="233" customFormat="1" ht="15" hidden="1" outlineLevel="1" x14ac:dyDescent="0.25">
      <c r="A59" s="192">
        <f>MAX(A$14:$B58)+1</f>
        <v>38</v>
      </c>
      <c r="B59" s="222" t="s">
        <v>199</v>
      </c>
      <c r="C59" s="222"/>
      <c r="D59" s="214">
        <f t="shared" si="19"/>
        <v>25000</v>
      </c>
      <c r="E59" s="214"/>
      <c r="F59" s="214">
        <f t="shared" si="28"/>
        <v>25000</v>
      </c>
      <c r="G59" s="214"/>
      <c r="H59" s="214">
        <v>25000</v>
      </c>
      <c r="I59" s="235">
        <v>2000</v>
      </c>
      <c r="J59" s="214">
        <v>437.53500000000003</v>
      </c>
      <c r="K59" s="223"/>
      <c r="L59" s="235"/>
      <c r="M59" s="223"/>
      <c r="N59" s="223"/>
      <c r="O59" s="214">
        <f t="shared" si="26"/>
        <v>2000</v>
      </c>
      <c r="P59" s="214">
        <v>0</v>
      </c>
      <c r="Q59" s="224">
        <f t="shared" si="1"/>
        <v>0</v>
      </c>
      <c r="R59" s="214"/>
      <c r="S59" s="225">
        <v>0</v>
      </c>
      <c r="T59" s="225">
        <v>0</v>
      </c>
      <c r="U59" s="214"/>
      <c r="V59" s="225">
        <v>0</v>
      </c>
      <c r="W59" s="225">
        <v>0</v>
      </c>
      <c r="X59" s="214"/>
      <c r="Y59" s="225">
        <v>0</v>
      </c>
      <c r="Z59" s="225">
        <v>0</v>
      </c>
      <c r="AA59" s="214"/>
      <c r="AB59" s="225">
        <v>0</v>
      </c>
      <c r="AC59" s="225">
        <v>0</v>
      </c>
      <c r="AD59" s="214"/>
      <c r="AE59" s="225">
        <v>0</v>
      </c>
      <c r="AF59" s="225">
        <v>0</v>
      </c>
      <c r="AG59" s="214"/>
      <c r="AH59" s="225">
        <v>0</v>
      </c>
      <c r="AI59" s="225">
        <v>0</v>
      </c>
      <c r="AJ59" s="214"/>
      <c r="AK59" s="225">
        <v>0</v>
      </c>
      <c r="AL59" s="225">
        <v>0</v>
      </c>
      <c r="AM59" s="214">
        <v>437.53500000000003</v>
      </c>
      <c r="AN59" s="225">
        <v>1.75014E-2</v>
      </c>
      <c r="AO59" s="225">
        <v>1.8422526315789476E-2</v>
      </c>
      <c r="AP59" s="225"/>
      <c r="AQ59" s="214">
        <v>437.53500000000003</v>
      </c>
      <c r="AR59" s="225">
        <v>1.75014E-2</v>
      </c>
      <c r="AS59" s="225">
        <v>1.8422526315789476E-2</v>
      </c>
      <c r="AT59" s="214">
        <v>437.53500000000003</v>
      </c>
      <c r="AU59" s="225">
        <v>1.75014E-2</v>
      </c>
      <c r="AV59" s="225">
        <v>1.8422526315789476E-2</v>
      </c>
      <c r="AW59" s="214">
        <v>437.53500000000003</v>
      </c>
      <c r="AX59" s="225">
        <v>1.75014E-2</v>
      </c>
      <c r="AY59" s="225">
        <v>1.8422526315789476E-2</v>
      </c>
      <c r="AZ59" s="214">
        <v>437.53500000000003</v>
      </c>
      <c r="BA59" s="225">
        <v>1.75014E-2</v>
      </c>
      <c r="BB59" s="225">
        <v>1.8422526315789476E-2</v>
      </c>
      <c r="BC59" s="214">
        <v>437.53500000000003</v>
      </c>
      <c r="BD59" s="225">
        <v>1.75014E-2</v>
      </c>
      <c r="BE59" s="225">
        <v>1.8422526315789476E-2</v>
      </c>
      <c r="BF59" s="214">
        <v>437.53500000000003</v>
      </c>
      <c r="BG59" s="214">
        <v>437.53500000000003</v>
      </c>
      <c r="BH59" s="225">
        <v>1.75014E-2</v>
      </c>
      <c r="BI59" s="225">
        <v>1.8422526315789476E-2</v>
      </c>
      <c r="BJ59" s="214">
        <f t="shared" si="2"/>
        <v>23750</v>
      </c>
      <c r="BK59" s="214">
        <v>437.53500000000003</v>
      </c>
      <c r="BL59" s="225">
        <f>BK59/$D59</f>
        <v>1.75014E-2</v>
      </c>
      <c r="BM59" s="225">
        <f>BK59/(E59+0.95*F59)</f>
        <v>1.8422526315789476E-2</v>
      </c>
      <c r="BN59" s="205">
        <f t="shared" si="23"/>
        <v>437.53500000000003</v>
      </c>
      <c r="BO59" s="205"/>
      <c r="BP59" s="227"/>
      <c r="BQ59" s="224">
        <f t="shared" si="5"/>
        <v>0</v>
      </c>
      <c r="BR59" s="227">
        <v>1000</v>
      </c>
      <c r="BS59" s="224">
        <f>BR59/$D59</f>
        <v>0.04</v>
      </c>
      <c r="BT59" s="227">
        <v>2000</v>
      </c>
      <c r="BU59" s="224">
        <f>BT59/$D59</f>
        <v>0.08</v>
      </c>
      <c r="BV59" s="227">
        <v>3000</v>
      </c>
      <c r="BW59" s="224">
        <f>BV59/$D59</f>
        <v>0.12</v>
      </c>
      <c r="BX59" s="227">
        <v>4000</v>
      </c>
      <c r="BY59" s="224">
        <f>BX59/$D59</f>
        <v>0.16</v>
      </c>
      <c r="BZ59" s="227">
        <v>5000</v>
      </c>
      <c r="CA59" s="224">
        <f>BZ59/$D59</f>
        <v>0.2</v>
      </c>
      <c r="CB59" s="227">
        <v>10000</v>
      </c>
      <c r="CC59" s="224">
        <f>CB59/$D59</f>
        <v>0.4</v>
      </c>
      <c r="CD59" s="227">
        <v>15000</v>
      </c>
      <c r="CE59" s="224">
        <f>CD59/$D59</f>
        <v>0.6</v>
      </c>
      <c r="CF59" s="227">
        <v>20000</v>
      </c>
      <c r="CG59" s="224">
        <f>CF59/$D59</f>
        <v>0.8</v>
      </c>
      <c r="CH59" s="227">
        <v>22000</v>
      </c>
      <c r="CI59" s="224">
        <f>CH59/$D59</f>
        <v>0.88</v>
      </c>
      <c r="CJ59" s="227">
        <f>25000*0.95</f>
        <v>23750</v>
      </c>
      <c r="CK59" s="224">
        <f>CJ59/$D59</f>
        <v>0.95</v>
      </c>
      <c r="CL59" s="227">
        <f>25000*0.95</f>
        <v>23750</v>
      </c>
      <c r="CM59" s="224">
        <f>CL59/$D59</f>
        <v>0.95</v>
      </c>
      <c r="CN59" s="227">
        <f>25000*0.95</f>
        <v>23750</v>
      </c>
      <c r="CO59" s="224">
        <f>CN59/$D59</f>
        <v>0.95</v>
      </c>
      <c r="CP59" s="213" t="str">
        <f t="shared" si="20"/>
        <v>Không đạt</v>
      </c>
      <c r="CQ59" s="213" t="str">
        <f t="shared" si="21"/>
        <v>Không đạt</v>
      </c>
      <c r="CR59" s="192"/>
      <c r="CS59" s="214">
        <f t="shared" si="18"/>
        <v>0</v>
      </c>
      <c r="CT59" s="223"/>
      <c r="CU59" s="163"/>
      <c r="CV59" s="232"/>
      <c r="CW59" s="195"/>
      <c r="CX59" s="196"/>
      <c r="CY59" s="196"/>
      <c r="CZ59" s="197"/>
      <c r="DA59" s="196"/>
      <c r="DB59" s="196"/>
      <c r="DC59" s="196"/>
      <c r="DE59" s="199"/>
      <c r="DF59" s="200"/>
      <c r="DG59" s="181"/>
    </row>
    <row r="60" spans="1:111" s="233" customFormat="1" ht="15" hidden="1" outlineLevel="1" x14ac:dyDescent="0.25">
      <c r="A60" s="192"/>
      <c r="B60" s="240" t="s">
        <v>200</v>
      </c>
      <c r="C60" s="240"/>
      <c r="D60" s="214">
        <f t="shared" si="19"/>
        <v>0</v>
      </c>
      <c r="E60" s="214"/>
      <c r="F60" s="214">
        <f t="shared" si="28"/>
        <v>0</v>
      </c>
      <c r="G60" s="214"/>
      <c r="H60" s="214"/>
      <c r="I60" s="235"/>
      <c r="J60" s="235"/>
      <c r="K60" s="223"/>
      <c r="L60" s="235"/>
      <c r="M60" s="223"/>
      <c r="N60" s="223"/>
      <c r="O60" s="214">
        <f t="shared" si="26"/>
        <v>0</v>
      </c>
      <c r="P60" s="214">
        <v>0</v>
      </c>
      <c r="Q60" s="224" t="e">
        <f t="shared" si="1"/>
        <v>#DIV/0!</v>
      </c>
      <c r="R60" s="214"/>
      <c r="S60" s="225"/>
      <c r="T60" s="225"/>
      <c r="U60" s="214"/>
      <c r="V60" s="225"/>
      <c r="W60" s="225"/>
      <c r="X60" s="214"/>
      <c r="Y60" s="225"/>
      <c r="Z60" s="225"/>
      <c r="AA60" s="214"/>
      <c r="AB60" s="225"/>
      <c r="AC60" s="225"/>
      <c r="AD60" s="214"/>
      <c r="AE60" s="225"/>
      <c r="AF60" s="225"/>
      <c r="AG60" s="214"/>
      <c r="AH60" s="225"/>
      <c r="AI60" s="225"/>
      <c r="AJ60" s="214"/>
      <c r="AK60" s="225"/>
      <c r="AL60" s="225"/>
      <c r="AM60" s="214"/>
      <c r="AN60" s="225"/>
      <c r="AO60" s="225"/>
      <c r="AP60" s="225"/>
      <c r="AQ60" s="214"/>
      <c r="AR60" s="225"/>
      <c r="AS60" s="225"/>
      <c r="AT60" s="214"/>
      <c r="AU60" s="225"/>
      <c r="AV60" s="225"/>
      <c r="AW60" s="214"/>
      <c r="AX60" s="225"/>
      <c r="AY60" s="225"/>
      <c r="AZ60" s="214"/>
      <c r="BA60" s="225"/>
      <c r="BB60" s="225"/>
      <c r="BC60" s="214"/>
      <c r="BD60" s="225"/>
      <c r="BE60" s="225"/>
      <c r="BF60" s="214"/>
      <c r="BG60" s="214"/>
      <c r="BH60" s="225"/>
      <c r="BI60" s="225"/>
      <c r="BJ60" s="214">
        <f t="shared" si="2"/>
        <v>0</v>
      </c>
      <c r="BK60" s="214"/>
      <c r="BL60" s="225"/>
      <c r="BM60" s="225"/>
      <c r="BN60" s="205">
        <f t="shared" si="23"/>
        <v>0</v>
      </c>
      <c r="BO60" s="205"/>
      <c r="BP60" s="227"/>
      <c r="BQ60" s="224"/>
      <c r="BR60" s="227"/>
      <c r="BS60" s="224"/>
      <c r="BT60" s="227"/>
      <c r="BU60" s="224"/>
      <c r="BV60" s="227"/>
      <c r="BW60" s="224"/>
      <c r="BX60" s="227"/>
      <c r="BY60" s="224"/>
      <c r="BZ60" s="227"/>
      <c r="CA60" s="224"/>
      <c r="CB60" s="227"/>
      <c r="CC60" s="224"/>
      <c r="CD60" s="227"/>
      <c r="CE60" s="224"/>
      <c r="CF60" s="227"/>
      <c r="CG60" s="224"/>
      <c r="CH60" s="227"/>
      <c r="CI60" s="224"/>
      <c r="CJ60" s="227"/>
      <c r="CK60" s="224"/>
      <c r="CL60" s="227"/>
      <c r="CM60" s="224"/>
      <c r="CN60" s="227"/>
      <c r="CO60" s="224"/>
      <c r="CP60" s="213" t="str">
        <f t="shared" si="20"/>
        <v>Không đạt</v>
      </c>
      <c r="CQ60" s="213" t="str">
        <f t="shared" si="21"/>
        <v>Không đạt</v>
      </c>
      <c r="CR60" s="192"/>
      <c r="CS60" s="214">
        <f t="shared" si="18"/>
        <v>0</v>
      </c>
      <c r="CT60" s="223"/>
      <c r="CU60" s="163"/>
      <c r="CV60" s="232"/>
      <c r="CW60" s="195"/>
      <c r="CX60" s="196"/>
      <c r="CY60" s="196"/>
      <c r="CZ60" s="197"/>
      <c r="DA60" s="196"/>
      <c r="DB60" s="196"/>
      <c r="DC60" s="196"/>
      <c r="DE60" s="199"/>
      <c r="DF60" s="200"/>
      <c r="DG60" s="181"/>
    </row>
    <row r="61" spans="1:111" s="233" customFormat="1" ht="31.9" hidden="1" customHeight="1" outlineLevel="1" x14ac:dyDescent="0.25">
      <c r="A61" s="192">
        <f>MAX(A$14:$B60)+1</f>
        <v>39</v>
      </c>
      <c r="B61" s="222" t="s">
        <v>201</v>
      </c>
      <c r="C61" s="222"/>
      <c r="D61" s="214">
        <f t="shared" si="19"/>
        <v>8000</v>
      </c>
      <c r="E61" s="214"/>
      <c r="F61" s="214">
        <f t="shared" si="28"/>
        <v>8000</v>
      </c>
      <c r="G61" s="214"/>
      <c r="H61" s="214">
        <v>8000</v>
      </c>
      <c r="I61" s="235"/>
      <c r="J61" s="235"/>
      <c r="K61" s="223"/>
      <c r="L61" s="235"/>
      <c r="M61" s="223"/>
      <c r="N61" s="223"/>
      <c r="O61" s="214">
        <f t="shared" si="26"/>
        <v>0</v>
      </c>
      <c r="P61" s="214">
        <v>0</v>
      </c>
      <c r="Q61" s="224">
        <f t="shared" si="1"/>
        <v>0</v>
      </c>
      <c r="R61" s="214"/>
      <c r="S61" s="225">
        <v>0</v>
      </c>
      <c r="T61" s="225">
        <v>0</v>
      </c>
      <c r="U61" s="214"/>
      <c r="V61" s="225">
        <v>0</v>
      </c>
      <c r="W61" s="225">
        <v>0</v>
      </c>
      <c r="X61" s="214"/>
      <c r="Y61" s="225">
        <v>0</v>
      </c>
      <c r="Z61" s="225">
        <v>0</v>
      </c>
      <c r="AA61" s="214"/>
      <c r="AB61" s="225">
        <v>0</v>
      </c>
      <c r="AC61" s="225">
        <v>0</v>
      </c>
      <c r="AD61" s="214"/>
      <c r="AE61" s="225">
        <v>0</v>
      </c>
      <c r="AF61" s="225">
        <v>0</v>
      </c>
      <c r="AG61" s="214"/>
      <c r="AH61" s="225">
        <v>0</v>
      </c>
      <c r="AI61" s="225">
        <v>0</v>
      </c>
      <c r="AJ61" s="214"/>
      <c r="AK61" s="225">
        <v>0</v>
      </c>
      <c r="AL61" s="225">
        <v>0</v>
      </c>
      <c r="AM61" s="214"/>
      <c r="AN61" s="225">
        <v>0</v>
      </c>
      <c r="AO61" s="225">
        <v>0</v>
      </c>
      <c r="AP61" s="225"/>
      <c r="AQ61" s="214"/>
      <c r="AR61" s="225">
        <v>0</v>
      </c>
      <c r="AS61" s="225">
        <v>0</v>
      </c>
      <c r="AT61" s="214"/>
      <c r="AU61" s="225">
        <v>0</v>
      </c>
      <c r="AV61" s="225">
        <v>0</v>
      </c>
      <c r="AW61" s="214"/>
      <c r="AX61" s="225">
        <v>0</v>
      </c>
      <c r="AY61" s="225">
        <v>0</v>
      </c>
      <c r="AZ61" s="214"/>
      <c r="BA61" s="225">
        <v>0</v>
      </c>
      <c r="BB61" s="225">
        <v>0</v>
      </c>
      <c r="BC61" s="214"/>
      <c r="BD61" s="225">
        <v>0</v>
      </c>
      <c r="BE61" s="225">
        <v>0</v>
      </c>
      <c r="BF61" s="214"/>
      <c r="BG61" s="214"/>
      <c r="BH61" s="225">
        <v>0</v>
      </c>
      <c r="BI61" s="225">
        <v>0</v>
      </c>
      <c r="BJ61" s="214">
        <f t="shared" si="2"/>
        <v>7600</v>
      </c>
      <c r="BK61" s="214">
        <v>1012</v>
      </c>
      <c r="BL61" s="225">
        <f>BK61/$D61</f>
        <v>0.1265</v>
      </c>
      <c r="BM61" s="225">
        <f>BK61/(E61+0.95*F61)</f>
        <v>0.13315789473684211</v>
      </c>
      <c r="BN61" s="205">
        <f t="shared" si="23"/>
        <v>1012</v>
      </c>
      <c r="BO61" s="205"/>
      <c r="BP61" s="227"/>
      <c r="BQ61" s="224">
        <f t="shared" si="5"/>
        <v>0</v>
      </c>
      <c r="BR61" s="227"/>
      <c r="BS61" s="224">
        <f>BR61/$D61</f>
        <v>0</v>
      </c>
      <c r="BT61" s="227">
        <v>1500</v>
      </c>
      <c r="BU61" s="224">
        <f>BT61/$D61</f>
        <v>0.1875</v>
      </c>
      <c r="BV61" s="227">
        <v>1500</v>
      </c>
      <c r="BW61" s="224">
        <f>BV61/$D61</f>
        <v>0.1875</v>
      </c>
      <c r="BX61" s="227">
        <v>4000</v>
      </c>
      <c r="BY61" s="224">
        <f>BX61/$D61</f>
        <v>0.5</v>
      </c>
      <c r="BZ61" s="227">
        <v>4000</v>
      </c>
      <c r="CA61" s="224">
        <f>BZ61/$D61</f>
        <v>0.5</v>
      </c>
      <c r="CB61" s="227">
        <v>4000</v>
      </c>
      <c r="CC61" s="224">
        <f>CB61/$D61</f>
        <v>0.5</v>
      </c>
      <c r="CD61" s="227">
        <v>6000</v>
      </c>
      <c r="CE61" s="224">
        <f>CD61/$D61</f>
        <v>0.75</v>
      </c>
      <c r="CF61" s="227">
        <v>6000</v>
      </c>
      <c r="CG61" s="224">
        <f>CF61/$D61</f>
        <v>0.75</v>
      </c>
      <c r="CH61" s="227">
        <f>8000*0.95</f>
        <v>7600</v>
      </c>
      <c r="CI61" s="224">
        <f>CH61/$D61</f>
        <v>0.95</v>
      </c>
      <c r="CJ61" s="227">
        <f>8000*0.95</f>
        <v>7600</v>
      </c>
      <c r="CK61" s="224">
        <f>CJ61/$D61</f>
        <v>0.95</v>
      </c>
      <c r="CL61" s="227">
        <f>8000*0.95</f>
        <v>7600</v>
      </c>
      <c r="CM61" s="224">
        <f>CL61/$D61</f>
        <v>0.95</v>
      </c>
      <c r="CN61" s="227">
        <f>8000*0.95</f>
        <v>7600</v>
      </c>
      <c r="CO61" s="224">
        <f>CN61/$D61</f>
        <v>0.95</v>
      </c>
      <c r="CP61" s="213" t="str">
        <f t="shared" si="20"/>
        <v>Không đạt</v>
      </c>
      <c r="CQ61" s="213" t="str">
        <f t="shared" si="21"/>
        <v>Không đạt</v>
      </c>
      <c r="CR61" s="192"/>
      <c r="CS61" s="214">
        <f t="shared" si="18"/>
        <v>1012</v>
      </c>
      <c r="CT61" s="223"/>
      <c r="CU61" s="163"/>
      <c r="CV61" s="232"/>
      <c r="CW61" s="195"/>
      <c r="CX61" s="196"/>
      <c r="CY61" s="196"/>
      <c r="CZ61" s="197"/>
      <c r="DA61" s="196"/>
      <c r="DB61" s="196"/>
      <c r="DC61" s="196"/>
      <c r="DE61" s="199"/>
      <c r="DF61" s="200"/>
      <c r="DG61" s="181"/>
    </row>
    <row r="62" spans="1:111" s="233" customFormat="1" ht="15" hidden="1" outlineLevel="1" x14ac:dyDescent="0.25">
      <c r="A62" s="192">
        <f>MAX(A$14:$B61)+1</f>
        <v>40</v>
      </c>
      <c r="B62" s="222" t="s">
        <v>202</v>
      </c>
      <c r="C62" s="222"/>
      <c r="D62" s="214">
        <f t="shared" si="19"/>
        <v>5000</v>
      </c>
      <c r="E62" s="214"/>
      <c r="F62" s="214">
        <f t="shared" si="28"/>
        <v>5000</v>
      </c>
      <c r="G62" s="214"/>
      <c r="H62" s="214">
        <v>5000</v>
      </c>
      <c r="I62" s="235"/>
      <c r="J62" s="235"/>
      <c r="K62" s="223"/>
      <c r="L62" s="235"/>
      <c r="M62" s="223"/>
      <c r="N62" s="223"/>
      <c r="O62" s="214">
        <f t="shared" si="26"/>
        <v>0</v>
      </c>
      <c r="P62" s="214">
        <v>0</v>
      </c>
      <c r="Q62" s="224">
        <f t="shared" si="1"/>
        <v>0</v>
      </c>
      <c r="R62" s="214"/>
      <c r="S62" s="225">
        <v>0</v>
      </c>
      <c r="T62" s="225">
        <v>0</v>
      </c>
      <c r="U62" s="214"/>
      <c r="V62" s="225">
        <v>0</v>
      </c>
      <c r="W62" s="225">
        <v>0</v>
      </c>
      <c r="X62" s="214"/>
      <c r="Y62" s="225">
        <v>0</v>
      </c>
      <c r="Z62" s="225">
        <v>0</v>
      </c>
      <c r="AA62" s="214"/>
      <c r="AB62" s="225">
        <v>0</v>
      </c>
      <c r="AC62" s="225">
        <v>0</v>
      </c>
      <c r="AD62" s="214"/>
      <c r="AE62" s="225">
        <v>0</v>
      </c>
      <c r="AF62" s="225">
        <v>0</v>
      </c>
      <c r="AG62" s="214"/>
      <c r="AH62" s="225">
        <v>0</v>
      </c>
      <c r="AI62" s="225">
        <v>0</v>
      </c>
      <c r="AJ62" s="214"/>
      <c r="AK62" s="225">
        <v>0</v>
      </c>
      <c r="AL62" s="225">
        <v>0</v>
      </c>
      <c r="AM62" s="214"/>
      <c r="AN62" s="225">
        <v>0</v>
      </c>
      <c r="AO62" s="225">
        <v>0</v>
      </c>
      <c r="AP62" s="225"/>
      <c r="AQ62" s="214"/>
      <c r="AR62" s="225">
        <v>0</v>
      </c>
      <c r="AS62" s="225">
        <v>0</v>
      </c>
      <c r="AT62" s="214"/>
      <c r="AU62" s="225">
        <v>0</v>
      </c>
      <c r="AV62" s="225">
        <v>0</v>
      </c>
      <c r="AW62" s="214"/>
      <c r="AX62" s="225">
        <v>0</v>
      </c>
      <c r="AY62" s="225">
        <v>0</v>
      </c>
      <c r="AZ62" s="214"/>
      <c r="BA62" s="225">
        <v>0</v>
      </c>
      <c r="BB62" s="225">
        <v>0</v>
      </c>
      <c r="BC62" s="214"/>
      <c r="BD62" s="225">
        <v>0</v>
      </c>
      <c r="BE62" s="225">
        <v>0</v>
      </c>
      <c r="BF62" s="214"/>
      <c r="BG62" s="214"/>
      <c r="BH62" s="225">
        <v>0</v>
      </c>
      <c r="BI62" s="225">
        <v>0</v>
      </c>
      <c r="BJ62" s="214">
        <f t="shared" si="2"/>
        <v>4750</v>
      </c>
      <c r="BK62" s="214">
        <v>21.137</v>
      </c>
      <c r="BL62" s="225">
        <f>BK62/$D62</f>
        <v>4.2274000000000001E-3</v>
      </c>
      <c r="BM62" s="225">
        <f>BK62/(E62+0.95*F62)</f>
        <v>4.4498947368421049E-3</v>
      </c>
      <c r="BN62" s="205">
        <f t="shared" si="23"/>
        <v>21.137</v>
      </c>
      <c r="BO62" s="205"/>
      <c r="BP62" s="227"/>
      <c r="BQ62" s="224">
        <f t="shared" si="5"/>
        <v>0</v>
      </c>
      <c r="BR62" s="227"/>
      <c r="BS62" s="224">
        <f>BR62/$D62</f>
        <v>0</v>
      </c>
      <c r="BT62" s="227"/>
      <c r="BU62" s="224">
        <f>BT62/$D62</f>
        <v>0</v>
      </c>
      <c r="BV62" s="227">
        <v>2000</v>
      </c>
      <c r="BW62" s="224">
        <f>BV62/$D62</f>
        <v>0.4</v>
      </c>
      <c r="BX62" s="227">
        <v>2000</v>
      </c>
      <c r="BY62" s="224">
        <f>BX62/$D62</f>
        <v>0.4</v>
      </c>
      <c r="BZ62" s="227">
        <f>5000*0.95</f>
        <v>4750</v>
      </c>
      <c r="CA62" s="224">
        <f>BZ62/$D62</f>
        <v>0.95</v>
      </c>
      <c r="CB62" s="227">
        <f>5000*0.95</f>
        <v>4750</v>
      </c>
      <c r="CC62" s="224">
        <f>CB62/$D62</f>
        <v>0.95</v>
      </c>
      <c r="CD62" s="227">
        <f>5000*0.95</f>
        <v>4750</v>
      </c>
      <c r="CE62" s="224">
        <f>CD62/$D62</f>
        <v>0.95</v>
      </c>
      <c r="CF62" s="227">
        <f>5000*0.95</f>
        <v>4750</v>
      </c>
      <c r="CG62" s="224">
        <f>CF62/$D62</f>
        <v>0.95</v>
      </c>
      <c r="CH62" s="227">
        <f>5000*0.95</f>
        <v>4750</v>
      </c>
      <c r="CI62" s="224">
        <f>CH62/$D62</f>
        <v>0.95</v>
      </c>
      <c r="CJ62" s="227">
        <f>5000*0.95</f>
        <v>4750</v>
      </c>
      <c r="CK62" s="224">
        <f>CJ62/$D62</f>
        <v>0.95</v>
      </c>
      <c r="CL62" s="227">
        <f>5000*0.95</f>
        <v>4750</v>
      </c>
      <c r="CM62" s="224">
        <f>CL62/$D62</f>
        <v>0.95</v>
      </c>
      <c r="CN62" s="227">
        <f>5000*0.95</f>
        <v>4750</v>
      </c>
      <c r="CO62" s="224">
        <f>CN62/$D62</f>
        <v>0.95</v>
      </c>
      <c r="CP62" s="213" t="str">
        <f t="shared" si="20"/>
        <v>Không đạt</v>
      </c>
      <c r="CQ62" s="213" t="str">
        <f t="shared" si="21"/>
        <v>Không đạt</v>
      </c>
      <c r="CR62" s="192"/>
      <c r="CS62" s="214">
        <f t="shared" si="18"/>
        <v>21.137</v>
      </c>
      <c r="CT62" s="223"/>
      <c r="CU62" s="163"/>
      <c r="CV62" s="232"/>
      <c r="CW62" s="195"/>
      <c r="CX62" s="196"/>
      <c r="CY62" s="196"/>
      <c r="CZ62" s="197"/>
      <c r="DA62" s="196"/>
      <c r="DB62" s="196"/>
      <c r="DC62" s="196"/>
      <c r="DE62" s="199"/>
      <c r="DF62" s="200"/>
      <c r="DG62" s="181"/>
    </row>
    <row r="63" spans="1:111" s="233" customFormat="1" ht="15" hidden="1" outlineLevel="1" x14ac:dyDescent="0.25">
      <c r="A63" s="192"/>
      <c r="B63" s="240" t="s">
        <v>203</v>
      </c>
      <c r="C63" s="240"/>
      <c r="D63" s="214">
        <f t="shared" si="19"/>
        <v>0</v>
      </c>
      <c r="E63" s="214"/>
      <c r="F63" s="214">
        <f t="shared" si="28"/>
        <v>0</v>
      </c>
      <c r="G63" s="214"/>
      <c r="H63" s="214"/>
      <c r="I63" s="235"/>
      <c r="J63" s="235"/>
      <c r="K63" s="223"/>
      <c r="L63" s="235"/>
      <c r="M63" s="223"/>
      <c r="N63" s="223"/>
      <c r="O63" s="214">
        <f t="shared" si="26"/>
        <v>0</v>
      </c>
      <c r="P63" s="214">
        <v>0</v>
      </c>
      <c r="Q63" s="224" t="e">
        <f t="shared" si="1"/>
        <v>#DIV/0!</v>
      </c>
      <c r="R63" s="214"/>
      <c r="S63" s="225"/>
      <c r="T63" s="225"/>
      <c r="U63" s="214"/>
      <c r="V63" s="225"/>
      <c r="W63" s="225"/>
      <c r="X63" s="214"/>
      <c r="Y63" s="225"/>
      <c r="Z63" s="225"/>
      <c r="AA63" s="214"/>
      <c r="AB63" s="225"/>
      <c r="AC63" s="225"/>
      <c r="AD63" s="214"/>
      <c r="AE63" s="225"/>
      <c r="AF63" s="225"/>
      <c r="AG63" s="214"/>
      <c r="AH63" s="225"/>
      <c r="AI63" s="225"/>
      <c r="AJ63" s="214"/>
      <c r="AK63" s="225"/>
      <c r="AL63" s="225"/>
      <c r="AM63" s="214"/>
      <c r="AN63" s="225"/>
      <c r="AO63" s="225"/>
      <c r="AP63" s="225"/>
      <c r="AQ63" s="214"/>
      <c r="AR63" s="225"/>
      <c r="AS63" s="225"/>
      <c r="AT63" s="214"/>
      <c r="AU63" s="225"/>
      <c r="AV63" s="225"/>
      <c r="AW63" s="214"/>
      <c r="AX63" s="225"/>
      <c r="AY63" s="225"/>
      <c r="AZ63" s="214"/>
      <c r="BA63" s="225"/>
      <c r="BB63" s="225"/>
      <c r="BC63" s="214"/>
      <c r="BD63" s="225"/>
      <c r="BE63" s="225"/>
      <c r="BF63" s="214"/>
      <c r="BG63" s="214"/>
      <c r="BH63" s="225"/>
      <c r="BI63" s="225"/>
      <c r="BJ63" s="214">
        <f t="shared" si="2"/>
        <v>0</v>
      </c>
      <c r="BK63" s="214"/>
      <c r="BL63" s="225"/>
      <c r="BM63" s="225"/>
      <c r="BN63" s="205">
        <f t="shared" si="23"/>
        <v>0</v>
      </c>
      <c r="BO63" s="205"/>
      <c r="BP63" s="227"/>
      <c r="BQ63" s="224"/>
      <c r="BR63" s="227"/>
      <c r="BS63" s="224"/>
      <c r="BT63" s="227"/>
      <c r="BU63" s="224"/>
      <c r="BV63" s="227"/>
      <c r="BW63" s="224"/>
      <c r="BX63" s="227"/>
      <c r="BY63" s="224"/>
      <c r="BZ63" s="227"/>
      <c r="CA63" s="224"/>
      <c r="CB63" s="227"/>
      <c r="CC63" s="224"/>
      <c r="CD63" s="227"/>
      <c r="CE63" s="224"/>
      <c r="CF63" s="227"/>
      <c r="CG63" s="224"/>
      <c r="CH63" s="227"/>
      <c r="CI63" s="224"/>
      <c r="CJ63" s="227"/>
      <c r="CK63" s="224"/>
      <c r="CL63" s="227"/>
      <c r="CM63" s="224"/>
      <c r="CN63" s="227"/>
      <c r="CO63" s="224"/>
      <c r="CP63" s="213" t="str">
        <f t="shared" si="20"/>
        <v>Không đạt</v>
      </c>
      <c r="CQ63" s="213" t="str">
        <f t="shared" si="21"/>
        <v>Không đạt</v>
      </c>
      <c r="CR63" s="192"/>
      <c r="CS63" s="214">
        <f t="shared" si="18"/>
        <v>0</v>
      </c>
      <c r="CT63" s="223"/>
      <c r="CU63" s="163"/>
      <c r="CV63" s="232"/>
      <c r="CW63" s="195"/>
      <c r="CX63" s="196"/>
      <c r="CY63" s="196"/>
      <c r="CZ63" s="197"/>
      <c r="DA63" s="196"/>
      <c r="DB63" s="196"/>
      <c r="DC63" s="196"/>
      <c r="DE63" s="199"/>
      <c r="DF63" s="200"/>
      <c r="DG63" s="181"/>
    </row>
    <row r="64" spans="1:111" s="233" customFormat="1" ht="15" hidden="1" outlineLevel="1" x14ac:dyDescent="0.25">
      <c r="A64" s="192">
        <f>MAX(A$14:$B63)+1</f>
        <v>41</v>
      </c>
      <c r="B64" s="222" t="s">
        <v>204</v>
      </c>
      <c r="C64" s="222">
        <v>8139576</v>
      </c>
      <c r="D64" s="214">
        <f t="shared" si="19"/>
        <v>3200</v>
      </c>
      <c r="E64" s="214"/>
      <c r="F64" s="214">
        <f t="shared" si="28"/>
        <v>3200</v>
      </c>
      <c r="G64" s="214">
        <v>3200</v>
      </c>
      <c r="H64" s="214"/>
      <c r="I64" s="235"/>
      <c r="J64" s="235"/>
      <c r="K64" s="223"/>
      <c r="L64" s="235"/>
      <c r="M64" s="223"/>
      <c r="N64" s="223"/>
      <c r="O64" s="214">
        <f t="shared" si="26"/>
        <v>3200</v>
      </c>
      <c r="P64" s="214">
        <v>0</v>
      </c>
      <c r="Q64" s="224">
        <f t="shared" si="1"/>
        <v>0</v>
      </c>
      <c r="R64" s="214"/>
      <c r="S64" s="225">
        <v>0</v>
      </c>
      <c r="T64" s="225">
        <v>0</v>
      </c>
      <c r="U64" s="214"/>
      <c r="V64" s="225">
        <v>0</v>
      </c>
      <c r="W64" s="225">
        <v>0</v>
      </c>
      <c r="X64" s="214"/>
      <c r="Y64" s="225">
        <v>0</v>
      </c>
      <c r="Z64" s="225">
        <v>0</v>
      </c>
      <c r="AA64" s="214"/>
      <c r="AB64" s="225">
        <v>0</v>
      </c>
      <c r="AC64" s="225">
        <v>0</v>
      </c>
      <c r="AD64" s="214"/>
      <c r="AE64" s="225">
        <v>0</v>
      </c>
      <c r="AF64" s="225">
        <v>0</v>
      </c>
      <c r="AG64" s="214"/>
      <c r="AH64" s="225">
        <v>0</v>
      </c>
      <c r="AI64" s="225">
        <v>0</v>
      </c>
      <c r="AJ64" s="214"/>
      <c r="AK64" s="225">
        <v>0</v>
      </c>
      <c r="AL64" s="225">
        <v>0</v>
      </c>
      <c r="AM64" s="214"/>
      <c r="AN64" s="225">
        <v>0</v>
      </c>
      <c r="AO64" s="225">
        <v>0</v>
      </c>
      <c r="AP64" s="225"/>
      <c r="AQ64" s="214"/>
      <c r="AR64" s="225">
        <v>0</v>
      </c>
      <c r="AS64" s="225">
        <v>0</v>
      </c>
      <c r="AT64" s="214"/>
      <c r="AU64" s="225">
        <v>0</v>
      </c>
      <c r="AV64" s="225">
        <v>0</v>
      </c>
      <c r="AW64" s="214"/>
      <c r="AX64" s="225">
        <v>0</v>
      </c>
      <c r="AY64" s="225">
        <v>0</v>
      </c>
      <c r="AZ64" s="214"/>
      <c r="BA64" s="225">
        <v>0</v>
      </c>
      <c r="BB64" s="225">
        <v>0</v>
      </c>
      <c r="BC64" s="214"/>
      <c r="BD64" s="225">
        <v>0</v>
      </c>
      <c r="BE64" s="225">
        <v>0</v>
      </c>
      <c r="BF64" s="214"/>
      <c r="BG64" s="214"/>
      <c r="BH64" s="225">
        <v>0</v>
      </c>
      <c r="BI64" s="225">
        <v>0</v>
      </c>
      <c r="BJ64" s="214">
        <f t="shared" si="2"/>
        <v>3040</v>
      </c>
      <c r="BK64" s="214"/>
      <c r="BL64" s="225">
        <f t="shared" ref="BL64:BL77" si="55">BK64/$D64</f>
        <v>0</v>
      </c>
      <c r="BM64" s="225">
        <f t="shared" ref="BM64:BM77" si="56">BK64/(E64+0.95*F64)</f>
        <v>0</v>
      </c>
      <c r="BN64" s="205">
        <f t="shared" si="23"/>
        <v>0</v>
      </c>
      <c r="BO64" s="205"/>
      <c r="BP64" s="227"/>
      <c r="BQ64" s="224">
        <f t="shared" si="5"/>
        <v>0</v>
      </c>
      <c r="BR64" s="227"/>
      <c r="BS64" s="224">
        <f t="shared" ref="BS64:BS77" si="57">BR64/$D64</f>
        <v>0</v>
      </c>
      <c r="BT64" s="227">
        <v>2000</v>
      </c>
      <c r="BU64" s="224">
        <f t="shared" ref="BU64:BU77" si="58">BT64/$D64</f>
        <v>0.625</v>
      </c>
      <c r="BV64" s="227">
        <f>3200*0.95</f>
        <v>3040</v>
      </c>
      <c r="BW64" s="224">
        <f t="shared" ref="BW64:BW77" si="59">BV64/$D64</f>
        <v>0.95</v>
      </c>
      <c r="BX64" s="227">
        <f>3200*0.95</f>
        <v>3040</v>
      </c>
      <c r="BY64" s="224">
        <f t="shared" ref="BY64:BY77" si="60">BX64/$D64</f>
        <v>0.95</v>
      </c>
      <c r="BZ64" s="227">
        <f>3200*0.95</f>
        <v>3040</v>
      </c>
      <c r="CA64" s="224">
        <f t="shared" ref="CA64:CA77" si="61">BZ64/$D64</f>
        <v>0.95</v>
      </c>
      <c r="CB64" s="227">
        <f>3200*0.95</f>
        <v>3040</v>
      </c>
      <c r="CC64" s="224">
        <f t="shared" ref="CC64:CC77" si="62">CB64/$D64</f>
        <v>0.95</v>
      </c>
      <c r="CD64" s="227">
        <f>3200*0.95</f>
        <v>3040</v>
      </c>
      <c r="CE64" s="224">
        <f t="shared" ref="CE64:CE77" si="63">CD64/$D64</f>
        <v>0.95</v>
      </c>
      <c r="CF64" s="227">
        <f>3200*0.95</f>
        <v>3040</v>
      </c>
      <c r="CG64" s="224">
        <f t="shared" ref="CG64:CG77" si="64">CF64/$D64</f>
        <v>0.95</v>
      </c>
      <c r="CH64" s="227">
        <f>3200*0.95</f>
        <v>3040</v>
      </c>
      <c r="CI64" s="224">
        <f t="shared" ref="CI64:CI77" si="65">CH64/$D64</f>
        <v>0.95</v>
      </c>
      <c r="CJ64" s="227">
        <f>3200*0.95</f>
        <v>3040</v>
      </c>
      <c r="CK64" s="224">
        <f t="shared" ref="CK64:CK77" si="66">CJ64/$D64</f>
        <v>0.95</v>
      </c>
      <c r="CL64" s="227">
        <f>3200*0.95</f>
        <v>3040</v>
      </c>
      <c r="CM64" s="224">
        <f t="shared" ref="CM64:CM77" si="67">CL64/$D64</f>
        <v>0.95</v>
      </c>
      <c r="CN64" s="227">
        <f>3200*0.95</f>
        <v>3040</v>
      </c>
      <c r="CO64" s="224">
        <f t="shared" ref="CO64:CO77" si="68">CN64/$D64</f>
        <v>0.95</v>
      </c>
      <c r="CP64" s="213" t="str">
        <f t="shared" si="20"/>
        <v>Không đạt</v>
      </c>
      <c r="CQ64" s="213" t="str">
        <f t="shared" si="21"/>
        <v>Không đạt</v>
      </c>
      <c r="CR64" s="192"/>
      <c r="CS64" s="214">
        <f t="shared" si="18"/>
        <v>0</v>
      </c>
      <c r="CT64" s="223"/>
      <c r="CU64" s="163"/>
      <c r="CV64" s="232"/>
      <c r="CW64" s="195"/>
      <c r="CX64" s="196"/>
      <c r="CY64" s="196"/>
      <c r="CZ64" s="197"/>
      <c r="DA64" s="196"/>
      <c r="DB64" s="196"/>
      <c r="DC64" s="196"/>
      <c r="DE64" s="199"/>
      <c r="DF64" s="200"/>
      <c r="DG64" s="181"/>
    </row>
    <row r="65" spans="1:113" s="233" customFormat="1" ht="38.25" hidden="1" outlineLevel="1" x14ac:dyDescent="0.25">
      <c r="A65" s="192">
        <f>MAX(A$14:$B64)+1</f>
        <v>42</v>
      </c>
      <c r="B65" s="222" t="s">
        <v>205</v>
      </c>
      <c r="C65" s="222"/>
      <c r="D65" s="214">
        <f>E65+F65</f>
        <v>15790</v>
      </c>
      <c r="E65" s="214"/>
      <c r="F65" s="214">
        <f t="shared" si="28"/>
        <v>15790</v>
      </c>
      <c r="G65" s="214">
        <v>5264</v>
      </c>
      <c r="H65" s="214">
        <f>15000-4474</f>
        <v>10526</v>
      </c>
      <c r="I65" s="235"/>
      <c r="J65" s="235"/>
      <c r="K65" s="223"/>
      <c r="L65" s="235"/>
      <c r="M65" s="223"/>
      <c r="N65" s="223"/>
      <c r="O65" s="214">
        <f t="shared" si="26"/>
        <v>5264</v>
      </c>
      <c r="P65" s="214">
        <v>0</v>
      </c>
      <c r="Q65" s="224">
        <f t="shared" si="1"/>
        <v>0</v>
      </c>
      <c r="R65" s="214"/>
      <c r="S65" s="225">
        <v>0</v>
      </c>
      <c r="T65" s="225">
        <v>0</v>
      </c>
      <c r="U65" s="214"/>
      <c r="V65" s="225">
        <v>0</v>
      </c>
      <c r="W65" s="225">
        <v>0</v>
      </c>
      <c r="X65" s="214"/>
      <c r="Y65" s="225">
        <v>0</v>
      </c>
      <c r="Z65" s="225">
        <v>0</v>
      </c>
      <c r="AA65" s="214"/>
      <c r="AB65" s="225">
        <v>0</v>
      </c>
      <c r="AC65" s="225">
        <v>0</v>
      </c>
      <c r="AD65" s="214"/>
      <c r="AE65" s="225">
        <v>0</v>
      </c>
      <c r="AF65" s="225">
        <v>0</v>
      </c>
      <c r="AG65" s="214"/>
      <c r="AH65" s="225">
        <v>0</v>
      </c>
      <c r="AI65" s="225">
        <v>0</v>
      </c>
      <c r="AJ65" s="205"/>
      <c r="AK65" s="225">
        <v>0</v>
      </c>
      <c r="AL65" s="225">
        <v>0</v>
      </c>
      <c r="AM65" s="214"/>
      <c r="AN65" s="225">
        <v>0</v>
      </c>
      <c r="AO65" s="225">
        <v>0</v>
      </c>
      <c r="AP65" s="225"/>
      <c r="AQ65" s="214"/>
      <c r="AR65" s="225">
        <v>0</v>
      </c>
      <c r="AS65" s="225">
        <v>0</v>
      </c>
      <c r="AT65" s="214"/>
      <c r="AU65" s="225">
        <v>0</v>
      </c>
      <c r="AV65" s="225">
        <v>0</v>
      </c>
      <c r="AW65" s="214"/>
      <c r="AX65" s="225">
        <v>0</v>
      </c>
      <c r="AY65" s="225">
        <v>0</v>
      </c>
      <c r="AZ65" s="214"/>
      <c r="BA65" s="225">
        <v>0</v>
      </c>
      <c r="BB65" s="225">
        <v>0</v>
      </c>
      <c r="BC65" s="214"/>
      <c r="BD65" s="225">
        <v>0</v>
      </c>
      <c r="BE65" s="225">
        <v>0</v>
      </c>
      <c r="BF65" s="214"/>
      <c r="BG65" s="214"/>
      <c r="BH65" s="225">
        <v>0</v>
      </c>
      <c r="BI65" s="225">
        <v>0</v>
      </c>
      <c r="BJ65" s="214">
        <f t="shared" si="2"/>
        <v>15000.5</v>
      </c>
      <c r="BK65" s="214">
        <v>2541.1030000000001</v>
      </c>
      <c r="BL65" s="225">
        <f t="shared" si="55"/>
        <v>0.16093115896136795</v>
      </c>
      <c r="BM65" s="225">
        <f t="shared" si="56"/>
        <v>0.16940121995933469</v>
      </c>
      <c r="BN65" s="205">
        <f t="shared" si="23"/>
        <v>2541.1030000000001</v>
      </c>
      <c r="BO65" s="205"/>
      <c r="BP65" s="227"/>
      <c r="BQ65" s="224">
        <f t="shared" si="5"/>
        <v>0</v>
      </c>
      <c r="BR65" s="227"/>
      <c r="BS65" s="224">
        <f t="shared" si="57"/>
        <v>0</v>
      </c>
      <c r="BT65" s="227">
        <v>2000</v>
      </c>
      <c r="BU65" s="224">
        <f t="shared" si="58"/>
        <v>0.1266624445851805</v>
      </c>
      <c r="BV65" s="227">
        <v>4000</v>
      </c>
      <c r="BW65" s="224">
        <f t="shared" si="59"/>
        <v>0.253324889170361</v>
      </c>
      <c r="BX65" s="227">
        <v>6000</v>
      </c>
      <c r="BY65" s="224">
        <f t="shared" si="60"/>
        <v>0.3799873337555415</v>
      </c>
      <c r="BZ65" s="227">
        <v>8000</v>
      </c>
      <c r="CA65" s="224">
        <f t="shared" si="61"/>
        <v>0.506649778340722</v>
      </c>
      <c r="CB65" s="227">
        <v>10000</v>
      </c>
      <c r="CC65" s="224">
        <f t="shared" si="62"/>
        <v>0.6333122229259025</v>
      </c>
      <c r="CD65" s="227">
        <v>12000</v>
      </c>
      <c r="CE65" s="224">
        <f t="shared" si="63"/>
        <v>0.759974667511083</v>
      </c>
      <c r="CF65" s="227">
        <v>14000</v>
      </c>
      <c r="CG65" s="224">
        <f t="shared" si="64"/>
        <v>0.8866371120962635</v>
      </c>
      <c r="CH65" s="227">
        <v>14250</v>
      </c>
      <c r="CI65" s="224">
        <f t="shared" si="65"/>
        <v>0.90246991766941098</v>
      </c>
      <c r="CJ65" s="227">
        <v>14250</v>
      </c>
      <c r="CK65" s="224">
        <f t="shared" si="66"/>
        <v>0.90246991766941098</v>
      </c>
      <c r="CL65" s="227">
        <v>14250</v>
      </c>
      <c r="CM65" s="224">
        <f t="shared" si="67"/>
        <v>0.90246991766941098</v>
      </c>
      <c r="CN65" s="227">
        <v>14250</v>
      </c>
      <c r="CO65" s="224">
        <f t="shared" si="68"/>
        <v>0.90246991766941098</v>
      </c>
      <c r="CP65" s="213" t="str">
        <f t="shared" si="20"/>
        <v>Không đạt</v>
      </c>
      <c r="CQ65" s="213" t="str">
        <f t="shared" si="21"/>
        <v>Không đạt</v>
      </c>
      <c r="CR65" s="192"/>
      <c r="CS65" s="214">
        <f t="shared" si="18"/>
        <v>2541.1030000000001</v>
      </c>
      <c r="CT65" s="223"/>
      <c r="CU65" s="163"/>
      <c r="CV65" s="232"/>
      <c r="CW65" s="195"/>
      <c r="CX65" s="196"/>
      <c r="CY65" s="196"/>
      <c r="CZ65" s="197"/>
      <c r="DA65" s="196"/>
      <c r="DB65" s="196"/>
      <c r="DC65" s="196"/>
      <c r="DE65" s="199"/>
      <c r="DF65" s="200"/>
      <c r="DG65" s="181"/>
    </row>
    <row r="66" spans="1:113" s="233" customFormat="1" ht="30" customHeight="1" collapsed="1" x14ac:dyDescent="0.25">
      <c r="A66" s="191">
        <v>2</v>
      </c>
      <c r="B66" s="210" t="s">
        <v>206</v>
      </c>
      <c r="C66" s="210"/>
      <c r="D66" s="205">
        <f t="shared" ref="D66:K66" si="69">D68+D77+D67</f>
        <v>1267366</v>
      </c>
      <c r="E66" s="205">
        <f t="shared" si="69"/>
        <v>0</v>
      </c>
      <c r="F66" s="205">
        <f t="shared" si="69"/>
        <v>1267366</v>
      </c>
      <c r="G66" s="205">
        <f t="shared" si="69"/>
        <v>593366</v>
      </c>
      <c r="H66" s="205">
        <f t="shared" si="69"/>
        <v>447000</v>
      </c>
      <c r="I66" s="205">
        <f t="shared" si="69"/>
        <v>20835</v>
      </c>
      <c r="J66" s="205">
        <f t="shared" si="69"/>
        <v>0</v>
      </c>
      <c r="K66" s="205">
        <f t="shared" si="69"/>
        <v>227000</v>
      </c>
      <c r="L66" s="205">
        <f>L68+L77</f>
        <v>0</v>
      </c>
      <c r="M66" s="231"/>
      <c r="N66" s="231"/>
      <c r="O66" s="205">
        <f t="shared" si="26"/>
        <v>614201</v>
      </c>
      <c r="P66" s="205">
        <v>34787.741999999998</v>
      </c>
      <c r="Q66" s="186">
        <f t="shared" si="1"/>
        <v>2.7448852186345539E-2</v>
      </c>
      <c r="R66" s="205">
        <v>91789.770329000006</v>
      </c>
      <c r="S66" s="185">
        <v>7.3402455281087575E-2</v>
      </c>
      <c r="T66" s="185">
        <v>7.726574240114481E-2</v>
      </c>
      <c r="U66" s="205">
        <v>97711.616329000011</v>
      </c>
      <c r="V66" s="185">
        <v>7.8138037848060782E-2</v>
      </c>
      <c r="W66" s="185">
        <v>8.2250566155853452E-2</v>
      </c>
      <c r="X66" s="205">
        <v>97711.616329000011</v>
      </c>
      <c r="Y66" s="185">
        <v>7.8138037848060782E-2</v>
      </c>
      <c r="Z66" s="185">
        <v>8.2250566155853452E-2</v>
      </c>
      <c r="AA66" s="205">
        <v>99376.636329000001</v>
      </c>
      <c r="AB66" s="185">
        <v>7.9469521254698125E-2</v>
      </c>
      <c r="AC66" s="185">
        <v>8.365212763652434E-2</v>
      </c>
      <c r="AD66" s="205">
        <v>118426.12832900001</v>
      </c>
      <c r="AE66" s="185">
        <v>9.4703021454618161E-2</v>
      </c>
      <c r="AF66" s="185">
        <v>9.9687391004861223E-2</v>
      </c>
      <c r="AG66" s="205">
        <v>127438.15632900002</v>
      </c>
      <c r="AH66" s="185">
        <v>0.10190976115873653</v>
      </c>
      <c r="AI66" s="185">
        <v>0.10727343279867002</v>
      </c>
      <c r="AJ66" s="226">
        <v>127438.15632900002</v>
      </c>
      <c r="AK66" s="185">
        <v>0.10190976115873653</v>
      </c>
      <c r="AL66" s="185">
        <v>0.10727343279867002</v>
      </c>
      <c r="AM66" s="205">
        <v>136236.79732899999</v>
      </c>
      <c r="AN66" s="185">
        <v>0.10894585951939224</v>
      </c>
      <c r="AO66" s="185">
        <v>0.11467985212567604</v>
      </c>
      <c r="AP66" s="185"/>
      <c r="AQ66" s="205">
        <v>196873.90332900002</v>
      </c>
      <c r="AR66" s="185">
        <v>0.15743614820391846</v>
      </c>
      <c r="AS66" s="185">
        <v>0.16572226126728257</v>
      </c>
      <c r="AT66" s="205">
        <v>198545.90367000003</v>
      </c>
      <c r="AU66" s="185">
        <v>0.15877321365053981</v>
      </c>
      <c r="AV66" s="185">
        <v>0.1671296985795156</v>
      </c>
      <c r="AW66" s="205">
        <v>198545.90367000003</v>
      </c>
      <c r="AX66" s="185">
        <v>0.15877321365053981</v>
      </c>
      <c r="AY66" s="185">
        <v>0.1671296985795156</v>
      </c>
      <c r="AZ66" s="205">
        <v>214472</v>
      </c>
      <c r="BA66" s="185">
        <v>0.16959188104602746</v>
      </c>
      <c r="BB66" s="185">
        <v>0.17851776952213416</v>
      </c>
      <c r="BC66" s="205">
        <v>241906.49655099993</v>
      </c>
      <c r="BD66" s="185">
        <v>0.19057269262844595</v>
      </c>
      <c r="BE66" s="185">
        <v>0.20060283434573259</v>
      </c>
      <c r="BF66" s="205"/>
      <c r="BG66" s="205">
        <v>264417.14743999997</v>
      </c>
      <c r="BH66" s="185">
        <v>0.20863519097087974</v>
      </c>
      <c r="BI66" s="185">
        <v>0.21961599049566288</v>
      </c>
      <c r="BJ66" s="205">
        <f t="shared" si="2"/>
        <v>1203997.7</v>
      </c>
      <c r="BK66" s="205">
        <v>300428.58</v>
      </c>
      <c r="BL66" s="185">
        <f t="shared" si="55"/>
        <v>0.23704958157312095</v>
      </c>
      <c r="BM66" s="185">
        <f t="shared" si="56"/>
        <v>0.24952587534012732</v>
      </c>
      <c r="BN66" s="205">
        <f t="shared" si="23"/>
        <v>182002.45167099999</v>
      </c>
      <c r="BO66" s="205"/>
      <c r="BP66" s="189">
        <f>BP68+BP77</f>
        <v>37521</v>
      </c>
      <c r="BQ66" s="186">
        <f t="shared" si="5"/>
        <v>2.9605496754686492E-2</v>
      </c>
      <c r="BR66" s="189">
        <f>BR68+BR77</f>
        <v>282538</v>
      </c>
      <c r="BS66" s="186">
        <f t="shared" si="57"/>
        <v>0.22293323317810324</v>
      </c>
      <c r="BT66" s="189">
        <f>BT68+BT77</f>
        <v>332078</v>
      </c>
      <c r="BU66" s="186">
        <f t="shared" si="58"/>
        <v>0.26202217828156982</v>
      </c>
      <c r="BV66" s="189">
        <f>BV68+BV77</f>
        <v>386283</v>
      </c>
      <c r="BW66" s="186">
        <f t="shared" si="59"/>
        <v>0.30479198589831191</v>
      </c>
      <c r="BX66" s="189">
        <f>BX68+BX77</f>
        <v>486398</v>
      </c>
      <c r="BY66" s="186">
        <f t="shared" si="60"/>
        <v>0.38378653048921935</v>
      </c>
      <c r="BZ66" s="189">
        <f>BZ68+BZ77</f>
        <v>637974</v>
      </c>
      <c r="CA66" s="186">
        <f t="shared" si="61"/>
        <v>0.50338576228177179</v>
      </c>
      <c r="CB66" s="189">
        <f>CB68+CB77</f>
        <v>739874</v>
      </c>
      <c r="CC66" s="186">
        <f t="shared" si="62"/>
        <v>0.5837887397957654</v>
      </c>
      <c r="CD66" s="189">
        <f>CD68+CD77</f>
        <v>798649</v>
      </c>
      <c r="CE66" s="186">
        <f t="shared" si="63"/>
        <v>0.63016445131082888</v>
      </c>
      <c r="CF66" s="189">
        <f>CF68+CF77</f>
        <v>926406</v>
      </c>
      <c r="CG66" s="186">
        <f t="shared" si="64"/>
        <v>0.73096958573924187</v>
      </c>
      <c r="CH66" s="189">
        <f>CH68+CH77</f>
        <v>957881</v>
      </c>
      <c r="CI66" s="186">
        <f t="shared" si="65"/>
        <v>0.75580455843063488</v>
      </c>
      <c r="CJ66" s="189">
        <f>CJ68+CJ77</f>
        <v>1032131</v>
      </c>
      <c r="CK66" s="186">
        <f t="shared" si="66"/>
        <v>0.81439063380270582</v>
      </c>
      <c r="CL66" s="189">
        <f>CL68+CL77</f>
        <v>1130950</v>
      </c>
      <c r="CM66" s="186">
        <f t="shared" si="67"/>
        <v>0.89236258507802801</v>
      </c>
      <c r="CN66" s="189">
        <f>CN68+CN77</f>
        <v>1187975</v>
      </c>
      <c r="CO66" s="186">
        <f t="shared" si="68"/>
        <v>0.93735748000183061</v>
      </c>
      <c r="CP66" s="213" t="str">
        <f t="shared" si="20"/>
        <v>Không đạt</v>
      </c>
      <c r="CQ66" s="213" t="str">
        <f t="shared" si="21"/>
        <v>Không đạt</v>
      </c>
      <c r="CR66" s="213"/>
      <c r="CS66" s="205">
        <f t="shared" si="18"/>
        <v>85956.580000000016</v>
      </c>
      <c r="CT66" s="213"/>
      <c r="CU66" s="163"/>
      <c r="CV66" s="232"/>
      <c r="CW66" s="195"/>
      <c r="CX66" s="196"/>
      <c r="CY66" s="196"/>
      <c r="CZ66" s="197"/>
      <c r="DA66" s="196"/>
      <c r="DB66" s="196"/>
      <c r="DC66" s="196"/>
      <c r="DE66" s="199"/>
      <c r="DF66" s="200"/>
      <c r="DG66" s="181"/>
      <c r="DI66" s="244"/>
    </row>
    <row r="67" spans="1:113" s="233" customFormat="1" ht="19.149999999999999" hidden="1" customHeight="1" x14ac:dyDescent="0.25">
      <c r="A67" s="191" t="s">
        <v>29</v>
      </c>
      <c r="B67" s="210" t="s">
        <v>154</v>
      </c>
      <c r="C67" s="210"/>
      <c r="D67" s="188">
        <f t="shared" ref="D67:D76" si="70">E67+F67</f>
        <v>16866</v>
      </c>
      <c r="E67" s="205"/>
      <c r="F67" s="188">
        <f t="shared" ref="F67:F76" si="71">G67+H67+K67+M67</f>
        <v>16866</v>
      </c>
      <c r="G67" s="205">
        <v>16866</v>
      </c>
      <c r="H67" s="205"/>
      <c r="I67" s="205"/>
      <c r="J67" s="205"/>
      <c r="K67" s="205"/>
      <c r="L67" s="205"/>
      <c r="M67" s="231"/>
      <c r="N67" s="231"/>
      <c r="O67" s="205"/>
      <c r="P67" s="205"/>
      <c r="Q67" s="186"/>
      <c r="R67" s="205"/>
      <c r="S67" s="185"/>
      <c r="T67" s="185"/>
      <c r="U67" s="205"/>
      <c r="V67" s="185"/>
      <c r="W67" s="185"/>
      <c r="X67" s="205"/>
      <c r="Y67" s="185"/>
      <c r="Z67" s="185"/>
      <c r="AA67" s="205"/>
      <c r="AB67" s="185"/>
      <c r="AC67" s="185"/>
      <c r="AD67" s="205"/>
      <c r="AE67" s="185"/>
      <c r="AF67" s="185"/>
      <c r="AG67" s="205"/>
      <c r="AH67" s="185"/>
      <c r="AI67" s="185"/>
      <c r="AJ67" s="226"/>
      <c r="AK67" s="185"/>
      <c r="AL67" s="185"/>
      <c r="AM67" s="205"/>
      <c r="AN67" s="185"/>
      <c r="AO67" s="185"/>
      <c r="AP67" s="185"/>
      <c r="AQ67" s="205"/>
      <c r="AR67" s="185"/>
      <c r="AS67" s="185"/>
      <c r="AT67" s="205"/>
      <c r="AU67" s="185"/>
      <c r="AV67" s="185"/>
      <c r="AW67" s="205"/>
      <c r="AX67" s="185"/>
      <c r="AY67" s="185"/>
      <c r="AZ67" s="205">
        <v>14136.011330000008</v>
      </c>
      <c r="BA67" s="185"/>
      <c r="BB67" s="185"/>
      <c r="BC67" s="205">
        <v>16717.052110999939</v>
      </c>
      <c r="BD67" s="185">
        <v>0.88609414348563231</v>
      </c>
      <c r="BE67" s="185"/>
      <c r="BF67" s="205"/>
      <c r="BG67" s="205">
        <v>16866</v>
      </c>
      <c r="BH67" s="185">
        <v>1</v>
      </c>
      <c r="BI67" s="185"/>
      <c r="BJ67" s="205">
        <f t="shared" si="2"/>
        <v>16022.699999999999</v>
      </c>
      <c r="BK67" s="205">
        <v>16866</v>
      </c>
      <c r="BL67" s="185">
        <f t="shared" si="55"/>
        <v>1</v>
      </c>
      <c r="BM67" s="185"/>
      <c r="BN67" s="205"/>
      <c r="BO67" s="205"/>
      <c r="BP67" s="189"/>
      <c r="BQ67" s="186"/>
      <c r="BR67" s="189"/>
      <c r="BS67" s="186"/>
      <c r="BT67" s="189"/>
      <c r="BU67" s="186"/>
      <c r="BV67" s="189"/>
      <c r="BW67" s="186"/>
      <c r="BX67" s="189"/>
      <c r="BY67" s="186"/>
      <c r="BZ67" s="189"/>
      <c r="CA67" s="186"/>
      <c r="CB67" s="189"/>
      <c r="CC67" s="186"/>
      <c r="CD67" s="189"/>
      <c r="CE67" s="186"/>
      <c r="CF67" s="189"/>
      <c r="CG67" s="186"/>
      <c r="CH67" s="189"/>
      <c r="CI67" s="186"/>
      <c r="CJ67" s="189"/>
      <c r="CK67" s="186"/>
      <c r="CL67" s="189"/>
      <c r="CM67" s="186"/>
      <c r="CN67" s="189"/>
      <c r="CO67" s="186"/>
      <c r="CP67" s="213" t="str">
        <f t="shared" si="20"/>
        <v>Không đạt</v>
      </c>
      <c r="CQ67" s="213" t="str">
        <f t="shared" si="21"/>
        <v>Không đạt</v>
      </c>
      <c r="CR67" s="213"/>
      <c r="CS67" s="205">
        <f t="shared" si="18"/>
        <v>2729.9886699999915</v>
      </c>
      <c r="CT67" s="213"/>
      <c r="CU67" s="163"/>
      <c r="CV67" s="232"/>
      <c r="CW67" s="195"/>
      <c r="CX67" s="196"/>
      <c r="CY67" s="196"/>
      <c r="CZ67" s="197"/>
      <c r="DA67" s="196"/>
      <c r="DB67" s="196"/>
      <c r="DC67" s="196"/>
      <c r="DE67" s="199"/>
      <c r="DF67" s="200"/>
      <c r="DG67" s="181"/>
      <c r="DH67" s="244"/>
    </row>
    <row r="68" spans="1:113" s="234" customFormat="1" ht="23.45" hidden="1" customHeight="1" outlineLevel="1" x14ac:dyDescent="0.25">
      <c r="A68" s="191" t="s">
        <v>29</v>
      </c>
      <c r="B68" s="210" t="s">
        <v>157</v>
      </c>
      <c r="C68" s="210"/>
      <c r="D68" s="226">
        <f t="shared" ref="D68:L68" si="72">SUM(D69:D76)</f>
        <v>764000</v>
      </c>
      <c r="E68" s="226">
        <f t="shared" si="72"/>
        <v>0</v>
      </c>
      <c r="F68" s="226">
        <f t="shared" si="72"/>
        <v>764000</v>
      </c>
      <c r="G68" s="226">
        <f t="shared" si="72"/>
        <v>419500</v>
      </c>
      <c r="H68" s="226">
        <f t="shared" si="72"/>
        <v>242500</v>
      </c>
      <c r="I68" s="231">
        <f t="shared" si="72"/>
        <v>0</v>
      </c>
      <c r="J68" s="231"/>
      <c r="K68" s="226">
        <f t="shared" si="72"/>
        <v>102000</v>
      </c>
      <c r="L68" s="231">
        <f t="shared" si="72"/>
        <v>0</v>
      </c>
      <c r="M68" s="231"/>
      <c r="N68" s="231"/>
      <c r="O68" s="231">
        <f t="shared" si="26"/>
        <v>419500</v>
      </c>
      <c r="P68" s="231">
        <v>27078.295252</v>
      </c>
      <c r="Q68" s="212">
        <f t="shared" si="1"/>
        <v>3.5442794832460732E-2</v>
      </c>
      <c r="R68" s="226">
        <v>78966.215000000011</v>
      </c>
      <c r="S68" s="211">
        <v>0.10335892015706807</v>
      </c>
      <c r="T68" s="211">
        <v>0.10879886332322955</v>
      </c>
      <c r="U68" s="226">
        <v>81591.22</v>
      </c>
      <c r="V68" s="211">
        <v>0.10679479057591623</v>
      </c>
      <c r="W68" s="211">
        <v>0.11241556902728024</v>
      </c>
      <c r="X68" s="226">
        <v>81591.22</v>
      </c>
      <c r="Y68" s="211">
        <v>0.10679479057591623</v>
      </c>
      <c r="Z68" s="211">
        <v>0.11241556902728024</v>
      </c>
      <c r="AA68" s="226">
        <v>82591.534</v>
      </c>
      <c r="AB68" s="211">
        <v>0.10810410209424083</v>
      </c>
      <c r="AC68" s="211">
        <v>0.11379379167814825</v>
      </c>
      <c r="AD68" s="226">
        <v>84932.780000000013</v>
      </c>
      <c r="AE68" s="211">
        <v>0.1111685602094241</v>
      </c>
      <c r="AF68" s="211">
        <v>0.11701953706255168</v>
      </c>
      <c r="AG68" s="226">
        <v>93792.093000000008</v>
      </c>
      <c r="AH68" s="211">
        <v>0.12276451963350786</v>
      </c>
      <c r="AI68" s="211">
        <v>0.12922581014053458</v>
      </c>
      <c r="AJ68" s="245">
        <v>93792.093000000008</v>
      </c>
      <c r="AK68" s="211">
        <v>0.12276451963350786</v>
      </c>
      <c r="AL68" s="211">
        <v>0.12922581014053458</v>
      </c>
      <c r="AM68" s="226">
        <v>102416.13999999998</v>
      </c>
      <c r="AN68" s="211">
        <v>0.13405253926701569</v>
      </c>
      <c r="AO68" s="211">
        <v>0.14110793607054284</v>
      </c>
      <c r="AP68" s="211"/>
      <c r="AQ68" s="226">
        <v>135268.12600000002</v>
      </c>
      <c r="AR68" s="211">
        <v>0.17705252094240839</v>
      </c>
      <c r="AS68" s="211">
        <v>0.18637107467621936</v>
      </c>
      <c r="AT68" s="226">
        <v>135268.12600000002</v>
      </c>
      <c r="AU68" s="211">
        <v>0.17705252094240839</v>
      </c>
      <c r="AV68" s="211">
        <v>0.18637107467621936</v>
      </c>
      <c r="AW68" s="226">
        <v>135268.12600000002</v>
      </c>
      <c r="AX68" s="211">
        <v>0.17705252094240839</v>
      </c>
      <c r="AY68" s="211">
        <v>0.18637107467621936</v>
      </c>
      <c r="AZ68" s="226">
        <v>136517.503</v>
      </c>
      <c r="BA68" s="211">
        <v>0.17868783115183245</v>
      </c>
      <c r="BB68" s="211">
        <v>0.18809245384403417</v>
      </c>
      <c r="BC68" s="226">
        <v>152383.95299999998</v>
      </c>
      <c r="BD68" s="211">
        <v>0.19945543586387432</v>
      </c>
      <c r="BE68" s="211">
        <v>0.20995309038302559</v>
      </c>
      <c r="BF68" s="226"/>
      <c r="BG68" s="226">
        <v>160657.63399999996</v>
      </c>
      <c r="BH68" s="211">
        <v>0.21028486125654444</v>
      </c>
      <c r="BI68" s="211">
        <v>0.22135248553320469</v>
      </c>
      <c r="BJ68" s="226">
        <f t="shared" si="2"/>
        <v>725800</v>
      </c>
      <c r="BK68" s="226">
        <f>SUM(BK69:BK76)</f>
        <v>165021.40299999996</v>
      </c>
      <c r="BL68" s="211">
        <f t="shared" si="55"/>
        <v>0.21599660078534028</v>
      </c>
      <c r="BM68" s="211">
        <f t="shared" si="56"/>
        <v>0.22736484293193712</v>
      </c>
      <c r="BN68" s="205">
        <f t="shared" ref="BN68:BN131" si="73">BK68-AD68</f>
        <v>80088.622999999949</v>
      </c>
      <c r="BO68" s="205"/>
      <c r="BP68" s="230">
        <f>SUM(BP69:BP76)</f>
        <v>36521</v>
      </c>
      <c r="BQ68" s="212">
        <f t="shared" si="5"/>
        <v>4.7802356020942412E-2</v>
      </c>
      <c r="BR68" s="230">
        <f>SUM(BR69:BR76)</f>
        <v>266188</v>
      </c>
      <c r="BS68" s="212">
        <f t="shared" si="57"/>
        <v>0.34841361256544501</v>
      </c>
      <c r="BT68" s="230">
        <f>SUM(BT69:BT76)</f>
        <v>279288</v>
      </c>
      <c r="BU68" s="212">
        <f t="shared" si="58"/>
        <v>0.36556020942408379</v>
      </c>
      <c r="BV68" s="230">
        <f>SUM(BV69:BV76)</f>
        <v>296288</v>
      </c>
      <c r="BW68" s="212">
        <f t="shared" si="59"/>
        <v>0.38781151832460731</v>
      </c>
      <c r="BX68" s="230">
        <f>SUM(BX69:BX76)</f>
        <v>351288</v>
      </c>
      <c r="BY68" s="212">
        <f t="shared" si="60"/>
        <v>0.45980104712041886</v>
      </c>
      <c r="BZ68" s="230">
        <f>SUM(BZ69:BZ76)</f>
        <v>432174</v>
      </c>
      <c r="CA68" s="212">
        <f t="shared" si="61"/>
        <v>0.56567277486910994</v>
      </c>
      <c r="CB68" s="230">
        <f>SUM(CB69:CB76)</f>
        <v>468174</v>
      </c>
      <c r="CC68" s="212">
        <f t="shared" si="62"/>
        <v>0.61279319371727747</v>
      </c>
      <c r="CD68" s="230">
        <f>SUM(CD69:CD76)</f>
        <v>489174</v>
      </c>
      <c r="CE68" s="212">
        <f t="shared" si="63"/>
        <v>0.64028010471204189</v>
      </c>
      <c r="CF68" s="230">
        <f>SUM(CF69:CF76)</f>
        <v>582231</v>
      </c>
      <c r="CG68" s="212">
        <f t="shared" si="64"/>
        <v>0.76208246073298425</v>
      </c>
      <c r="CH68" s="230">
        <f>SUM(CH69:CH76)</f>
        <v>593231</v>
      </c>
      <c r="CI68" s="212">
        <f t="shared" si="65"/>
        <v>0.77648036649214658</v>
      </c>
      <c r="CJ68" s="230">
        <f>SUM(CJ69:CJ76)</f>
        <v>633731</v>
      </c>
      <c r="CK68" s="212">
        <f t="shared" si="66"/>
        <v>0.82949083769633503</v>
      </c>
      <c r="CL68" s="230">
        <f>SUM(CL69:CL76)</f>
        <v>701800</v>
      </c>
      <c r="CM68" s="212">
        <f t="shared" si="67"/>
        <v>0.91858638743455501</v>
      </c>
      <c r="CN68" s="230">
        <f>SUM(CN69:CN76)</f>
        <v>725800</v>
      </c>
      <c r="CO68" s="212">
        <f t="shared" si="68"/>
        <v>0.95</v>
      </c>
      <c r="CP68" s="213" t="str">
        <f t="shared" si="20"/>
        <v>Không đạt</v>
      </c>
      <c r="CQ68" s="213" t="str">
        <f t="shared" si="21"/>
        <v>Không đạt</v>
      </c>
      <c r="CR68" s="213"/>
      <c r="CS68" s="226">
        <f t="shared" si="18"/>
        <v>28503.899999999965</v>
      </c>
      <c r="CT68" s="231"/>
      <c r="CU68" s="163"/>
      <c r="CV68" s="232"/>
      <c r="CW68" s="195"/>
      <c r="CX68" s="196"/>
      <c r="CY68" s="196"/>
      <c r="CZ68" s="197"/>
      <c r="DA68" s="196"/>
      <c r="DB68" s="196"/>
      <c r="DC68" s="196"/>
      <c r="DD68" s="233"/>
      <c r="DE68" s="199"/>
      <c r="DF68" s="200"/>
      <c r="DG68" s="181"/>
      <c r="DH68" s="246"/>
    </row>
    <row r="69" spans="1:113" s="233" customFormat="1" ht="25.5" hidden="1" outlineLevel="1" x14ac:dyDescent="0.25">
      <c r="A69" s="192">
        <v>1</v>
      </c>
      <c r="B69" s="247" t="s">
        <v>207</v>
      </c>
      <c r="C69" s="248">
        <v>7909965</v>
      </c>
      <c r="D69" s="214">
        <f t="shared" si="70"/>
        <v>10000</v>
      </c>
      <c r="E69" s="214"/>
      <c r="F69" s="214">
        <f t="shared" si="71"/>
        <v>10000</v>
      </c>
      <c r="G69" s="245">
        <v>10000</v>
      </c>
      <c r="H69" s="245"/>
      <c r="I69" s="235"/>
      <c r="J69" s="235"/>
      <c r="K69" s="245"/>
      <c r="L69" s="235"/>
      <c r="M69" s="223"/>
      <c r="N69" s="223"/>
      <c r="O69" s="245">
        <f t="shared" si="26"/>
        <v>10000</v>
      </c>
      <c r="P69" s="245">
        <v>987.99900000000002</v>
      </c>
      <c r="Q69" s="224">
        <f t="shared" si="1"/>
        <v>9.8799899999999996E-2</v>
      </c>
      <c r="R69" s="245">
        <v>987.99900000000002</v>
      </c>
      <c r="S69" s="225">
        <v>9.8799899999999996E-2</v>
      </c>
      <c r="T69" s="225">
        <v>0.10399989473684211</v>
      </c>
      <c r="U69" s="245">
        <v>987.99900000000002</v>
      </c>
      <c r="V69" s="225">
        <v>9.8799899999999996E-2</v>
      </c>
      <c r="W69" s="225">
        <v>0.10399989473684211</v>
      </c>
      <c r="X69" s="245">
        <v>987.99900000000002</v>
      </c>
      <c r="Y69" s="225">
        <v>9.8799899999999996E-2</v>
      </c>
      <c r="Z69" s="225">
        <v>0.10399989473684211</v>
      </c>
      <c r="AA69" s="245">
        <v>987.99900000000002</v>
      </c>
      <c r="AB69" s="225">
        <v>9.8799899999999996E-2</v>
      </c>
      <c r="AC69" s="225">
        <v>0.10399989473684211</v>
      </c>
      <c r="AD69" s="245">
        <v>987.99900000000002</v>
      </c>
      <c r="AE69" s="225">
        <v>9.8799899999999996E-2</v>
      </c>
      <c r="AF69" s="225">
        <v>0.10399989473684211</v>
      </c>
      <c r="AG69" s="245">
        <v>987.99900000000002</v>
      </c>
      <c r="AH69" s="225">
        <v>9.8799899999999996E-2</v>
      </c>
      <c r="AI69" s="225">
        <v>0.10399989473684211</v>
      </c>
      <c r="AJ69" s="245">
        <v>987.99900000000002</v>
      </c>
      <c r="AK69" s="225">
        <v>9.8799899999999996E-2</v>
      </c>
      <c r="AL69" s="225">
        <v>0.10399989473684211</v>
      </c>
      <c r="AM69" s="245">
        <v>1052.1970000000001</v>
      </c>
      <c r="AN69" s="225">
        <v>0.10521970000000001</v>
      </c>
      <c r="AO69" s="225">
        <v>0.11075757894736843</v>
      </c>
      <c r="AP69" s="225"/>
      <c r="AQ69" s="245">
        <v>1052.1970000000001</v>
      </c>
      <c r="AR69" s="225">
        <v>0.10521970000000001</v>
      </c>
      <c r="AS69" s="225">
        <v>0.11075757894736843</v>
      </c>
      <c r="AT69" s="245">
        <v>1052.1970000000001</v>
      </c>
      <c r="AU69" s="225">
        <v>0.10521970000000001</v>
      </c>
      <c r="AV69" s="225">
        <v>0.11075757894736843</v>
      </c>
      <c r="AW69" s="245">
        <v>1052.1970000000001</v>
      </c>
      <c r="AX69" s="225">
        <v>0.10521970000000001</v>
      </c>
      <c r="AY69" s="225">
        <v>0.11075757894736843</v>
      </c>
      <c r="AZ69" s="245">
        <v>1052.1970000000001</v>
      </c>
      <c r="BA69" s="225">
        <v>0.10521970000000001</v>
      </c>
      <c r="BB69" s="225">
        <v>0.11075757894736843</v>
      </c>
      <c r="BC69" s="245">
        <v>1052.1970000000001</v>
      </c>
      <c r="BD69" s="225">
        <v>0.10521970000000001</v>
      </c>
      <c r="BE69" s="225">
        <v>0.11075757894736843</v>
      </c>
      <c r="BF69" s="245"/>
      <c r="BG69" s="245">
        <v>1052.1970000000001</v>
      </c>
      <c r="BH69" s="225">
        <v>0.10521970000000001</v>
      </c>
      <c r="BI69" s="225">
        <v>0.11075757894736843</v>
      </c>
      <c r="BJ69" s="245">
        <f t="shared" si="2"/>
        <v>9500</v>
      </c>
      <c r="BK69" s="245">
        <v>3207.9610000000002</v>
      </c>
      <c r="BL69" s="225">
        <f t="shared" si="55"/>
        <v>0.32079610000000003</v>
      </c>
      <c r="BM69" s="225">
        <f t="shared" si="56"/>
        <v>0.33768010526315789</v>
      </c>
      <c r="BN69" s="205">
        <f t="shared" si="73"/>
        <v>2219.9620000000004</v>
      </c>
      <c r="BO69" s="205"/>
      <c r="BP69" s="227"/>
      <c r="BQ69" s="224">
        <f t="shared" si="5"/>
        <v>0</v>
      </c>
      <c r="BR69" s="227"/>
      <c r="BS69" s="224">
        <f t="shared" si="57"/>
        <v>0</v>
      </c>
      <c r="BT69" s="227">
        <v>1500</v>
      </c>
      <c r="BU69" s="224">
        <f t="shared" si="58"/>
        <v>0.15</v>
      </c>
      <c r="BV69" s="227">
        <v>2500</v>
      </c>
      <c r="BW69" s="224">
        <f t="shared" si="59"/>
        <v>0.25</v>
      </c>
      <c r="BX69" s="227">
        <v>3500</v>
      </c>
      <c r="BY69" s="224">
        <f t="shared" si="60"/>
        <v>0.35</v>
      </c>
      <c r="BZ69" s="227">
        <v>4500</v>
      </c>
      <c r="CA69" s="224">
        <f t="shared" si="61"/>
        <v>0.45</v>
      </c>
      <c r="CB69" s="227">
        <v>5500</v>
      </c>
      <c r="CC69" s="224">
        <f t="shared" si="62"/>
        <v>0.55000000000000004</v>
      </c>
      <c r="CD69" s="227">
        <v>6500</v>
      </c>
      <c r="CE69" s="224">
        <f t="shared" si="63"/>
        <v>0.65</v>
      </c>
      <c r="CF69" s="227">
        <v>7500</v>
      </c>
      <c r="CG69" s="224">
        <f t="shared" si="64"/>
        <v>0.75</v>
      </c>
      <c r="CH69" s="227">
        <v>8500</v>
      </c>
      <c r="CI69" s="224">
        <f t="shared" si="65"/>
        <v>0.85</v>
      </c>
      <c r="CJ69" s="227">
        <v>9000</v>
      </c>
      <c r="CK69" s="224">
        <f t="shared" si="66"/>
        <v>0.9</v>
      </c>
      <c r="CL69" s="227">
        <v>9500</v>
      </c>
      <c r="CM69" s="224">
        <f t="shared" si="67"/>
        <v>0.95</v>
      </c>
      <c r="CN69" s="227">
        <v>9500</v>
      </c>
      <c r="CO69" s="224">
        <f t="shared" si="68"/>
        <v>0.95</v>
      </c>
      <c r="CP69" s="213" t="str">
        <f t="shared" si="20"/>
        <v>Không đạt</v>
      </c>
      <c r="CQ69" s="213" t="str">
        <f t="shared" si="21"/>
        <v>Không đạt</v>
      </c>
      <c r="CR69" s="192"/>
      <c r="CS69" s="245">
        <f t="shared" si="18"/>
        <v>2155.7640000000001</v>
      </c>
      <c r="CT69" s="223"/>
      <c r="CU69" s="163"/>
      <c r="CV69" s="232"/>
      <c r="CW69" s="195"/>
      <c r="CX69" s="196"/>
      <c r="CY69" s="196"/>
      <c r="CZ69" s="197"/>
      <c r="DA69" s="196"/>
      <c r="DB69" s="196"/>
      <c r="DC69" s="196"/>
      <c r="DE69" s="199"/>
      <c r="DF69" s="200"/>
      <c r="DG69" s="181"/>
      <c r="DH69" s="244"/>
    </row>
    <row r="70" spans="1:113" s="233" customFormat="1" ht="38.25" hidden="1" outlineLevel="1" x14ac:dyDescent="0.25">
      <c r="A70" s="192">
        <f>MAX(A$69:$B69)+1</f>
        <v>2</v>
      </c>
      <c r="B70" s="222" t="s">
        <v>208</v>
      </c>
      <c r="C70" s="249">
        <v>8040128</v>
      </c>
      <c r="D70" s="214">
        <f t="shared" si="70"/>
        <v>102000</v>
      </c>
      <c r="E70" s="214"/>
      <c r="F70" s="214">
        <f t="shared" si="71"/>
        <v>102000</v>
      </c>
      <c r="G70" s="245"/>
      <c r="H70" s="245"/>
      <c r="I70" s="235"/>
      <c r="J70" s="235"/>
      <c r="K70" s="245">
        <f>110000-8000</f>
        <v>102000</v>
      </c>
      <c r="L70" s="235"/>
      <c r="M70" s="223"/>
      <c r="N70" s="223"/>
      <c r="O70" s="245">
        <f t="shared" si="26"/>
        <v>0</v>
      </c>
      <c r="P70" s="245">
        <v>21584.84</v>
      </c>
      <c r="Q70" s="224">
        <f t="shared" si="1"/>
        <v>0.21161607843137256</v>
      </c>
      <c r="R70" s="245">
        <v>37496</v>
      </c>
      <c r="S70" s="225">
        <v>0.36760784313725492</v>
      </c>
      <c r="T70" s="225">
        <v>0.38695562435500513</v>
      </c>
      <c r="U70" s="245">
        <v>39560.470999999998</v>
      </c>
      <c r="V70" s="225">
        <v>0.38784775490196077</v>
      </c>
      <c r="W70" s="225">
        <v>0.4082607946336429</v>
      </c>
      <c r="X70" s="245">
        <v>39560.470999999998</v>
      </c>
      <c r="Y70" s="225">
        <v>0.38784775490196077</v>
      </c>
      <c r="Z70" s="225">
        <v>0.4082607946336429</v>
      </c>
      <c r="AA70" s="245">
        <v>39560.470999999998</v>
      </c>
      <c r="AB70" s="225">
        <v>0.38784775490196077</v>
      </c>
      <c r="AC70" s="225">
        <v>0.4082607946336429</v>
      </c>
      <c r="AD70" s="245">
        <v>40522.097999999998</v>
      </c>
      <c r="AE70" s="225">
        <v>0.39727547058823526</v>
      </c>
      <c r="AF70" s="225">
        <v>0.4181847058823529</v>
      </c>
      <c r="AG70" s="245">
        <v>47786.12</v>
      </c>
      <c r="AH70" s="225">
        <v>0.46849137254901962</v>
      </c>
      <c r="AI70" s="225">
        <v>0.49314881320949433</v>
      </c>
      <c r="AJ70" s="245">
        <v>47786.12</v>
      </c>
      <c r="AK70" s="225">
        <v>0.46849137254901962</v>
      </c>
      <c r="AL70" s="225">
        <v>0.49314881320949433</v>
      </c>
      <c r="AM70" s="245">
        <v>53645.668999999987</v>
      </c>
      <c r="AN70" s="225">
        <v>0.52593793137254885</v>
      </c>
      <c r="AO70" s="225">
        <v>0.55361887512899888</v>
      </c>
      <c r="AP70" s="225"/>
      <c r="AQ70" s="245">
        <v>56854.957000000002</v>
      </c>
      <c r="AR70" s="225">
        <v>0.55740153921568625</v>
      </c>
      <c r="AS70" s="225">
        <v>0.58673846233230131</v>
      </c>
      <c r="AT70" s="245">
        <v>56854.957000000002</v>
      </c>
      <c r="AU70" s="225">
        <v>0.55740153921568625</v>
      </c>
      <c r="AV70" s="225">
        <v>0.58673846233230131</v>
      </c>
      <c r="AW70" s="245">
        <v>56854.957000000002</v>
      </c>
      <c r="AX70" s="225">
        <v>0.55740153921568625</v>
      </c>
      <c r="AY70" s="225">
        <v>0.58673846233230131</v>
      </c>
      <c r="AZ70" s="245">
        <v>58104.333999999988</v>
      </c>
      <c r="BA70" s="225">
        <v>0.56965033333333326</v>
      </c>
      <c r="BB70" s="225">
        <v>0.59963192982456126</v>
      </c>
      <c r="BC70" s="245">
        <v>64364.347999999991</v>
      </c>
      <c r="BD70" s="225">
        <v>0.63102301960784302</v>
      </c>
      <c r="BE70" s="225">
        <v>0.66423475748194005</v>
      </c>
      <c r="BF70" s="245"/>
      <c r="BG70" s="245">
        <v>65858.140999999989</v>
      </c>
      <c r="BH70" s="225">
        <v>0.64566804901960773</v>
      </c>
      <c r="BI70" s="225">
        <v>0.67965057791537653</v>
      </c>
      <c r="BJ70" s="245">
        <f t="shared" si="2"/>
        <v>96900</v>
      </c>
      <c r="BK70" s="245">
        <v>66336.713999999993</v>
      </c>
      <c r="BL70" s="225">
        <f t="shared" si="55"/>
        <v>0.65035994117647056</v>
      </c>
      <c r="BM70" s="225">
        <f t="shared" si="56"/>
        <v>0.68458941176470578</v>
      </c>
      <c r="BN70" s="205">
        <f t="shared" si="73"/>
        <v>25814.615999999995</v>
      </c>
      <c r="BO70" s="205"/>
      <c r="BP70" s="227">
        <v>5000</v>
      </c>
      <c r="BQ70" s="224">
        <f t="shared" si="5"/>
        <v>4.9019607843137254E-2</v>
      </c>
      <c r="BR70" s="227">
        <v>15000</v>
      </c>
      <c r="BS70" s="224">
        <f t="shared" si="57"/>
        <v>0.14705882352941177</v>
      </c>
      <c r="BT70" s="227">
        <v>20000</v>
      </c>
      <c r="BU70" s="224">
        <f t="shared" si="58"/>
        <v>0.19607843137254902</v>
      </c>
      <c r="BV70" s="227">
        <v>30000</v>
      </c>
      <c r="BW70" s="224">
        <f t="shared" si="59"/>
        <v>0.29411764705882354</v>
      </c>
      <c r="BX70" s="227">
        <v>40000</v>
      </c>
      <c r="BY70" s="224">
        <f t="shared" si="60"/>
        <v>0.39215686274509803</v>
      </c>
      <c r="BZ70" s="227">
        <v>50000</v>
      </c>
      <c r="CA70" s="224">
        <f t="shared" si="61"/>
        <v>0.49019607843137253</v>
      </c>
      <c r="CB70" s="227">
        <v>60000</v>
      </c>
      <c r="CC70" s="224">
        <f t="shared" si="62"/>
        <v>0.58823529411764708</v>
      </c>
      <c r="CD70" s="227">
        <v>70000</v>
      </c>
      <c r="CE70" s="224">
        <f t="shared" si="63"/>
        <v>0.68627450980392157</v>
      </c>
      <c r="CF70" s="227">
        <v>80000</v>
      </c>
      <c r="CG70" s="224">
        <f t="shared" si="64"/>
        <v>0.78431372549019607</v>
      </c>
      <c r="CH70" s="227">
        <v>85000</v>
      </c>
      <c r="CI70" s="224">
        <f t="shared" si="65"/>
        <v>0.83333333333333337</v>
      </c>
      <c r="CJ70" s="227">
        <v>90000</v>
      </c>
      <c r="CK70" s="224">
        <f t="shared" si="66"/>
        <v>0.88235294117647056</v>
      </c>
      <c r="CL70" s="227">
        <v>96900</v>
      </c>
      <c r="CM70" s="224">
        <f t="shared" si="67"/>
        <v>0.95</v>
      </c>
      <c r="CN70" s="227">
        <v>96900</v>
      </c>
      <c r="CO70" s="224">
        <f t="shared" si="68"/>
        <v>0.95</v>
      </c>
      <c r="CP70" s="213" t="str">
        <f t="shared" si="20"/>
        <v>Đạt</v>
      </c>
      <c r="CQ70" s="213" t="str">
        <f t="shared" si="21"/>
        <v>Đạt</v>
      </c>
      <c r="CR70" s="192"/>
      <c r="CS70" s="245">
        <f t="shared" si="18"/>
        <v>8232.3800000000047</v>
      </c>
      <c r="CT70" s="223"/>
      <c r="CU70" s="163"/>
      <c r="CV70" s="232"/>
      <c r="CW70" s="195"/>
      <c r="CX70" s="196"/>
      <c r="CY70" s="196"/>
      <c r="CZ70" s="197"/>
      <c r="DA70" s="196"/>
      <c r="DB70" s="196"/>
      <c r="DC70" s="196"/>
      <c r="DE70" s="199"/>
      <c r="DF70" s="200"/>
      <c r="DG70" s="181"/>
    </row>
    <row r="71" spans="1:113" s="233" customFormat="1" ht="15" hidden="1" outlineLevel="1" x14ac:dyDescent="0.25">
      <c r="A71" s="192">
        <f>MAX(A$69:$B70)+1</f>
        <v>3</v>
      </c>
      <c r="B71" s="222" t="s">
        <v>209</v>
      </c>
      <c r="C71" s="222">
        <v>8040129</v>
      </c>
      <c r="D71" s="214">
        <f t="shared" si="70"/>
        <v>10000</v>
      </c>
      <c r="E71" s="214"/>
      <c r="F71" s="214">
        <f t="shared" si="71"/>
        <v>10000</v>
      </c>
      <c r="G71" s="245">
        <v>10000</v>
      </c>
      <c r="H71" s="245"/>
      <c r="I71" s="235"/>
      <c r="J71" s="235"/>
      <c r="K71" s="245"/>
      <c r="L71" s="235"/>
      <c r="M71" s="223"/>
      <c r="N71" s="223"/>
      <c r="O71" s="245">
        <f t="shared" si="26"/>
        <v>10000</v>
      </c>
      <c r="P71" s="245">
        <v>2686.9940000000001</v>
      </c>
      <c r="Q71" s="224">
        <f t="shared" si="1"/>
        <v>0.26869940000000003</v>
      </c>
      <c r="R71" s="245">
        <v>4812.7809999999999</v>
      </c>
      <c r="S71" s="225">
        <v>0.48127809999999999</v>
      </c>
      <c r="T71" s="225">
        <v>0.50660852631578945</v>
      </c>
      <c r="U71" s="245">
        <v>4873.3149999999996</v>
      </c>
      <c r="V71" s="225">
        <v>0.48733149999999997</v>
      </c>
      <c r="W71" s="225">
        <v>0.51298052631578939</v>
      </c>
      <c r="X71" s="245">
        <v>4873.3149999999996</v>
      </c>
      <c r="Y71" s="225">
        <v>0.48733149999999997</v>
      </c>
      <c r="Z71" s="225">
        <v>0.51298052631578939</v>
      </c>
      <c r="AA71" s="245">
        <v>4873.3149999999996</v>
      </c>
      <c r="AB71" s="225">
        <v>0.48733149999999997</v>
      </c>
      <c r="AC71" s="225">
        <v>0.51298052631578939</v>
      </c>
      <c r="AD71" s="245">
        <v>4955.3509999999997</v>
      </c>
      <c r="AE71" s="225">
        <v>0.49553509999999995</v>
      </c>
      <c r="AF71" s="225">
        <v>0.52161589473684211</v>
      </c>
      <c r="AG71" s="245">
        <v>5766.4930000000004</v>
      </c>
      <c r="AH71" s="225">
        <v>0.57664930000000003</v>
      </c>
      <c r="AI71" s="225">
        <v>0.60699926315789476</v>
      </c>
      <c r="AJ71" s="245">
        <v>5766.4930000000004</v>
      </c>
      <c r="AK71" s="225">
        <v>0.57664930000000003</v>
      </c>
      <c r="AL71" s="225">
        <v>0.60699926315789476</v>
      </c>
      <c r="AM71" s="245">
        <v>7437.4679999999989</v>
      </c>
      <c r="AN71" s="225">
        <v>0.74374679999999993</v>
      </c>
      <c r="AO71" s="225">
        <v>0.78289136842105256</v>
      </c>
      <c r="AP71" s="225"/>
      <c r="AQ71" s="245">
        <v>7437.4679999999989</v>
      </c>
      <c r="AR71" s="225">
        <v>0.74374679999999993</v>
      </c>
      <c r="AS71" s="225">
        <v>0.78289136842105256</v>
      </c>
      <c r="AT71" s="245">
        <v>7437.4679999999989</v>
      </c>
      <c r="AU71" s="225">
        <v>0.74374679999999993</v>
      </c>
      <c r="AV71" s="225">
        <v>0.78289136842105256</v>
      </c>
      <c r="AW71" s="245">
        <v>7437.4679999999989</v>
      </c>
      <c r="AX71" s="225">
        <v>0.74374679999999993</v>
      </c>
      <c r="AY71" s="225">
        <v>0.78289136842105256</v>
      </c>
      <c r="AZ71" s="245">
        <v>7437.4679999999989</v>
      </c>
      <c r="BA71" s="225">
        <v>0.74374679999999993</v>
      </c>
      <c r="BB71" s="225">
        <v>0.78289136842105256</v>
      </c>
      <c r="BC71" s="245">
        <v>8232.025999999998</v>
      </c>
      <c r="BD71" s="225">
        <v>0.82320259999999978</v>
      </c>
      <c r="BE71" s="225">
        <v>0.86652905263157876</v>
      </c>
      <c r="BF71" s="245"/>
      <c r="BG71" s="245">
        <v>8241.5379999999986</v>
      </c>
      <c r="BH71" s="225">
        <v>0.82415379999999983</v>
      </c>
      <c r="BI71" s="225">
        <v>0.86753031578947359</v>
      </c>
      <c r="BJ71" s="245">
        <f t="shared" si="2"/>
        <v>9500</v>
      </c>
      <c r="BK71" s="245">
        <v>8822.2639999999992</v>
      </c>
      <c r="BL71" s="225">
        <f t="shared" si="55"/>
        <v>0.88222639999999997</v>
      </c>
      <c r="BM71" s="225">
        <f t="shared" si="56"/>
        <v>0.92865936842105257</v>
      </c>
      <c r="BN71" s="205">
        <f t="shared" si="73"/>
        <v>3866.9129999999996</v>
      </c>
      <c r="BO71" s="205"/>
      <c r="BP71" s="227">
        <v>1000</v>
      </c>
      <c r="BQ71" s="224">
        <f t="shared" si="5"/>
        <v>0.1</v>
      </c>
      <c r="BR71" s="227">
        <v>3200</v>
      </c>
      <c r="BS71" s="224">
        <f t="shared" si="57"/>
        <v>0.32</v>
      </c>
      <c r="BT71" s="227">
        <v>5500</v>
      </c>
      <c r="BU71" s="224">
        <f t="shared" si="58"/>
        <v>0.55000000000000004</v>
      </c>
      <c r="BV71" s="227">
        <v>6500</v>
      </c>
      <c r="BW71" s="224">
        <f t="shared" si="59"/>
        <v>0.65</v>
      </c>
      <c r="BX71" s="227">
        <v>8500</v>
      </c>
      <c r="BY71" s="224">
        <f t="shared" si="60"/>
        <v>0.85</v>
      </c>
      <c r="BZ71" s="227">
        <v>9500</v>
      </c>
      <c r="CA71" s="224">
        <f t="shared" si="61"/>
        <v>0.95</v>
      </c>
      <c r="CB71" s="227">
        <v>9500</v>
      </c>
      <c r="CC71" s="224">
        <f t="shared" si="62"/>
        <v>0.95</v>
      </c>
      <c r="CD71" s="227">
        <v>9500</v>
      </c>
      <c r="CE71" s="224">
        <f t="shared" si="63"/>
        <v>0.95</v>
      </c>
      <c r="CF71" s="227">
        <v>9500</v>
      </c>
      <c r="CG71" s="224">
        <f t="shared" si="64"/>
        <v>0.95</v>
      </c>
      <c r="CH71" s="227">
        <v>9500</v>
      </c>
      <c r="CI71" s="224">
        <f t="shared" si="65"/>
        <v>0.95</v>
      </c>
      <c r="CJ71" s="227">
        <v>9500</v>
      </c>
      <c r="CK71" s="224">
        <f t="shared" si="66"/>
        <v>0.95</v>
      </c>
      <c r="CL71" s="227">
        <v>9500</v>
      </c>
      <c r="CM71" s="224">
        <f t="shared" si="67"/>
        <v>0.95</v>
      </c>
      <c r="CN71" s="227">
        <v>9500</v>
      </c>
      <c r="CO71" s="224">
        <f t="shared" si="68"/>
        <v>0.95</v>
      </c>
      <c r="CP71" s="213" t="str">
        <f t="shared" si="20"/>
        <v>Đạt</v>
      </c>
      <c r="CQ71" s="213" t="str">
        <f t="shared" si="21"/>
        <v>Đạt</v>
      </c>
      <c r="CR71" s="192"/>
      <c r="CS71" s="245">
        <f t="shared" si="18"/>
        <v>1384.7960000000003</v>
      </c>
      <c r="CT71" s="223"/>
      <c r="CU71" s="163"/>
      <c r="CV71" s="232"/>
      <c r="CW71" s="195"/>
      <c r="CX71" s="196"/>
      <c r="CY71" s="196"/>
      <c r="CZ71" s="197"/>
      <c r="DA71" s="196"/>
      <c r="DB71" s="196"/>
      <c r="DC71" s="196"/>
      <c r="DE71" s="199"/>
      <c r="DF71" s="200"/>
      <c r="DG71" s="181"/>
    </row>
    <row r="72" spans="1:113" hidden="1" outlineLevel="1" x14ac:dyDescent="0.25">
      <c r="A72" s="192">
        <f>MAX(A$69:$B71)+1</f>
        <v>4</v>
      </c>
      <c r="B72" s="222" t="s">
        <v>210</v>
      </c>
      <c r="C72" s="222">
        <v>8049906</v>
      </c>
      <c r="D72" s="214">
        <f t="shared" si="70"/>
        <v>9500</v>
      </c>
      <c r="E72" s="214"/>
      <c r="F72" s="214">
        <f t="shared" si="71"/>
        <v>9500</v>
      </c>
      <c r="G72" s="245">
        <v>9500</v>
      </c>
      <c r="H72" s="245"/>
      <c r="I72" s="235"/>
      <c r="J72" s="235"/>
      <c r="K72" s="245"/>
      <c r="L72" s="235"/>
      <c r="M72" s="223"/>
      <c r="N72" s="223"/>
      <c r="O72" s="245">
        <f t="shared" si="26"/>
        <v>9500</v>
      </c>
      <c r="P72" s="245">
        <v>815.18</v>
      </c>
      <c r="Q72" s="224">
        <f t="shared" si="1"/>
        <v>8.5808421052631575E-2</v>
      </c>
      <c r="R72" s="245">
        <v>1848.2439999999999</v>
      </c>
      <c r="S72" s="225">
        <v>0.194552</v>
      </c>
      <c r="T72" s="225">
        <v>0.20479157894736841</v>
      </c>
      <c r="U72" s="245">
        <v>1848.2439999999999</v>
      </c>
      <c r="V72" s="225">
        <v>0.194552</v>
      </c>
      <c r="W72" s="225">
        <v>0.20479157894736841</v>
      </c>
      <c r="X72" s="245">
        <v>1848.2439999999999</v>
      </c>
      <c r="Y72" s="225">
        <v>0.194552</v>
      </c>
      <c r="Z72" s="225">
        <v>0.20479157894736841</v>
      </c>
      <c r="AA72" s="245">
        <v>1848.2439999999999</v>
      </c>
      <c r="AB72" s="225">
        <v>0.194552</v>
      </c>
      <c r="AC72" s="225">
        <v>0.20479157894736841</v>
      </c>
      <c r="AD72" s="245">
        <v>2462.9319999999998</v>
      </c>
      <c r="AE72" s="225">
        <v>0.25925599999999999</v>
      </c>
      <c r="AF72" s="225">
        <v>0.27290105263157893</v>
      </c>
      <c r="AG72" s="245">
        <v>2462.9319999999998</v>
      </c>
      <c r="AH72" s="225">
        <v>0.25925599999999999</v>
      </c>
      <c r="AI72" s="225">
        <v>0.27290105263157893</v>
      </c>
      <c r="AJ72" s="245">
        <v>2462.9319999999998</v>
      </c>
      <c r="AK72" s="225">
        <v>0.25925599999999999</v>
      </c>
      <c r="AL72" s="225">
        <v>0.27290105263157893</v>
      </c>
      <c r="AM72" s="245">
        <v>3337.6030000000001</v>
      </c>
      <c r="AN72" s="225">
        <v>0.35132663157894739</v>
      </c>
      <c r="AO72" s="225">
        <v>0.36981750692520776</v>
      </c>
      <c r="AP72" s="225"/>
      <c r="AQ72" s="245">
        <v>3337.6030000000001</v>
      </c>
      <c r="AR72" s="225">
        <v>0.35132663157894739</v>
      </c>
      <c r="AS72" s="225">
        <v>0.36981750692520776</v>
      </c>
      <c r="AT72" s="245">
        <v>3337.6030000000001</v>
      </c>
      <c r="AU72" s="225">
        <v>0.35132663157894739</v>
      </c>
      <c r="AV72" s="225">
        <v>0.36981750692520776</v>
      </c>
      <c r="AW72" s="245">
        <v>3337.6030000000001</v>
      </c>
      <c r="AX72" s="225">
        <v>0.35132663157894739</v>
      </c>
      <c r="AY72" s="225">
        <v>0.36981750692520776</v>
      </c>
      <c r="AZ72" s="245">
        <v>3337.6030000000001</v>
      </c>
      <c r="BA72" s="225">
        <v>0.35132663157894739</v>
      </c>
      <c r="BB72" s="225">
        <v>0.36981750692520776</v>
      </c>
      <c r="BC72" s="245">
        <v>5006.817</v>
      </c>
      <c r="BD72" s="225">
        <v>0.52703336842105264</v>
      </c>
      <c r="BE72" s="225">
        <v>0.55477196675900275</v>
      </c>
      <c r="BF72" s="245"/>
      <c r="BG72" s="245">
        <v>5006.817</v>
      </c>
      <c r="BH72" s="225">
        <v>0.52703336842105264</v>
      </c>
      <c r="BI72" s="225">
        <v>0.55477196675900275</v>
      </c>
      <c r="BJ72" s="245">
        <f t="shared" si="2"/>
        <v>9025</v>
      </c>
      <c r="BK72" s="245">
        <v>5006.817</v>
      </c>
      <c r="BL72" s="225">
        <f t="shared" si="55"/>
        <v>0.52703336842105264</v>
      </c>
      <c r="BM72" s="225">
        <f t="shared" si="56"/>
        <v>0.55477196675900275</v>
      </c>
      <c r="BN72" s="205">
        <f t="shared" si="73"/>
        <v>2543.8850000000002</v>
      </c>
      <c r="BO72" s="205"/>
      <c r="BP72" s="227">
        <v>1000</v>
      </c>
      <c r="BQ72" s="224">
        <f t="shared" si="5"/>
        <v>0.10526315789473684</v>
      </c>
      <c r="BR72" s="227">
        <v>2000</v>
      </c>
      <c r="BS72" s="224">
        <f t="shared" si="57"/>
        <v>0.21052631578947367</v>
      </c>
      <c r="BT72" s="227">
        <v>3000</v>
      </c>
      <c r="BU72" s="224">
        <f t="shared" si="58"/>
        <v>0.31578947368421051</v>
      </c>
      <c r="BV72" s="227">
        <v>5000</v>
      </c>
      <c r="BW72" s="224">
        <f t="shared" si="59"/>
        <v>0.52631578947368418</v>
      </c>
      <c r="BX72" s="227">
        <v>7000</v>
      </c>
      <c r="BY72" s="224">
        <f t="shared" si="60"/>
        <v>0.73684210526315785</v>
      </c>
      <c r="BZ72" s="227">
        <v>9025</v>
      </c>
      <c r="CA72" s="224">
        <f t="shared" si="61"/>
        <v>0.95</v>
      </c>
      <c r="CB72" s="227">
        <v>9025</v>
      </c>
      <c r="CC72" s="224">
        <f t="shared" si="62"/>
        <v>0.95</v>
      </c>
      <c r="CD72" s="227">
        <v>9025</v>
      </c>
      <c r="CE72" s="224">
        <f t="shared" si="63"/>
        <v>0.95</v>
      </c>
      <c r="CF72" s="227">
        <v>9025</v>
      </c>
      <c r="CG72" s="224">
        <f t="shared" si="64"/>
        <v>0.95</v>
      </c>
      <c r="CH72" s="227">
        <v>9025</v>
      </c>
      <c r="CI72" s="224">
        <f t="shared" si="65"/>
        <v>0.95</v>
      </c>
      <c r="CJ72" s="227">
        <v>9025</v>
      </c>
      <c r="CK72" s="224">
        <f t="shared" si="66"/>
        <v>0.95</v>
      </c>
      <c r="CL72" s="227">
        <v>9025</v>
      </c>
      <c r="CM72" s="224">
        <f t="shared" si="67"/>
        <v>0.95</v>
      </c>
      <c r="CN72" s="227">
        <v>9025</v>
      </c>
      <c r="CO72" s="224">
        <f t="shared" si="68"/>
        <v>0.95</v>
      </c>
      <c r="CP72" s="213" t="str">
        <f t="shared" si="20"/>
        <v>Đạt</v>
      </c>
      <c r="CQ72" s="213" t="str">
        <f t="shared" si="21"/>
        <v>Đạt</v>
      </c>
      <c r="CR72" s="192"/>
      <c r="CS72" s="245">
        <f t="shared" si="18"/>
        <v>1669.2139999999999</v>
      </c>
      <c r="CT72" s="223"/>
      <c r="CU72" s="163"/>
      <c r="CW72" s="195"/>
      <c r="CX72" s="196"/>
      <c r="CY72" s="196"/>
      <c r="CZ72" s="197"/>
      <c r="DA72" s="196"/>
      <c r="DB72" s="196"/>
      <c r="DC72" s="196"/>
      <c r="DE72" s="199"/>
      <c r="DF72" s="200"/>
      <c r="DG72" s="181"/>
    </row>
    <row r="73" spans="1:113" ht="51" hidden="1" outlineLevel="1" x14ac:dyDescent="0.25">
      <c r="A73" s="192">
        <f>MAX(A$69:$B72)+1</f>
        <v>5</v>
      </c>
      <c r="B73" s="222" t="s">
        <v>211</v>
      </c>
      <c r="C73" s="222">
        <v>8056092</v>
      </c>
      <c r="D73" s="214">
        <f t="shared" si="70"/>
        <v>100000</v>
      </c>
      <c r="E73" s="214"/>
      <c r="F73" s="214">
        <f t="shared" si="71"/>
        <v>100000</v>
      </c>
      <c r="G73" s="245">
        <v>70000</v>
      </c>
      <c r="H73" s="245">
        <v>30000</v>
      </c>
      <c r="I73" s="235"/>
      <c r="J73" s="235"/>
      <c r="K73" s="245"/>
      <c r="L73" s="235"/>
      <c r="M73" s="223"/>
      <c r="N73" s="223"/>
      <c r="O73" s="245">
        <f t="shared" si="26"/>
        <v>70000</v>
      </c>
      <c r="P73" s="245">
        <v>1457.585</v>
      </c>
      <c r="Q73" s="224">
        <f t="shared" si="1"/>
        <v>1.457585E-2</v>
      </c>
      <c r="R73" s="245">
        <v>28598.414000000001</v>
      </c>
      <c r="S73" s="225">
        <v>0.28598414</v>
      </c>
      <c r="T73" s="225">
        <v>0.30103593684210528</v>
      </c>
      <c r="U73" s="245">
        <v>28598.414000000001</v>
      </c>
      <c r="V73" s="225">
        <v>0.28598414</v>
      </c>
      <c r="W73" s="225">
        <v>0.30103593684210528</v>
      </c>
      <c r="X73" s="245">
        <v>28598.414000000001</v>
      </c>
      <c r="Y73" s="225">
        <v>0.28598414</v>
      </c>
      <c r="Z73" s="225">
        <v>0.30103593684210528</v>
      </c>
      <c r="AA73" s="245">
        <v>28598.414000000001</v>
      </c>
      <c r="AB73" s="225">
        <v>0.28598414</v>
      </c>
      <c r="AC73" s="225">
        <v>0.30103593684210528</v>
      </c>
      <c r="AD73" s="245">
        <v>29281.309000000001</v>
      </c>
      <c r="AE73" s="225">
        <v>0.29281309</v>
      </c>
      <c r="AF73" s="225">
        <v>0.30822430526315792</v>
      </c>
      <c r="AG73" s="245">
        <v>29806.768</v>
      </c>
      <c r="AH73" s="225">
        <v>0.29806768</v>
      </c>
      <c r="AI73" s="225">
        <v>0.31375545263157895</v>
      </c>
      <c r="AJ73" s="245">
        <v>29806.768</v>
      </c>
      <c r="AK73" s="225">
        <v>0.29806768</v>
      </c>
      <c r="AL73" s="225">
        <v>0.31375545263157895</v>
      </c>
      <c r="AM73" s="245">
        <v>29898.802</v>
      </c>
      <c r="AN73" s="225">
        <v>0.29898802000000002</v>
      </c>
      <c r="AO73" s="225">
        <v>0.31472423157894736</v>
      </c>
      <c r="AP73" s="225"/>
      <c r="AQ73" s="245">
        <v>59357.336000000003</v>
      </c>
      <c r="AR73" s="225">
        <v>0.59357336000000005</v>
      </c>
      <c r="AS73" s="225">
        <v>0.62481406315789478</v>
      </c>
      <c r="AT73" s="245">
        <v>59357.336000000003</v>
      </c>
      <c r="AU73" s="225">
        <v>0.59357336000000005</v>
      </c>
      <c r="AV73" s="225">
        <v>0.62481406315789478</v>
      </c>
      <c r="AW73" s="245">
        <v>59357.336000000003</v>
      </c>
      <c r="AX73" s="225">
        <v>0.59357336000000005</v>
      </c>
      <c r="AY73" s="225">
        <v>0.62481406315789478</v>
      </c>
      <c r="AZ73" s="245">
        <v>59357.336000000003</v>
      </c>
      <c r="BA73" s="225">
        <v>0.59357336000000005</v>
      </c>
      <c r="BB73" s="225">
        <v>0.62481406315789478</v>
      </c>
      <c r="BC73" s="245">
        <v>66499.999999999985</v>
      </c>
      <c r="BD73" s="225">
        <v>0.66499999999999981</v>
      </c>
      <c r="BE73" s="225">
        <v>0.69999999999999984</v>
      </c>
      <c r="BF73" s="245">
        <f>BK73-G73</f>
        <v>2628.1089999999822</v>
      </c>
      <c r="BG73" s="245">
        <v>72471.850999999981</v>
      </c>
      <c r="BH73" s="225">
        <v>0.72471850999999976</v>
      </c>
      <c r="BI73" s="225">
        <v>0.76286158947368399</v>
      </c>
      <c r="BJ73" s="245">
        <f t="shared" si="2"/>
        <v>95000</v>
      </c>
      <c r="BK73" s="245">
        <v>72628.108999999982</v>
      </c>
      <c r="BL73" s="225">
        <f t="shared" si="55"/>
        <v>0.72628108999999985</v>
      </c>
      <c r="BM73" s="225">
        <f t="shared" si="56"/>
        <v>0.76450641052631563</v>
      </c>
      <c r="BN73" s="205">
        <f t="shared" si="73"/>
        <v>43346.799999999981</v>
      </c>
      <c r="BO73" s="205"/>
      <c r="BP73" s="227">
        <v>27400</v>
      </c>
      <c r="BQ73" s="224">
        <f t="shared" si="5"/>
        <v>0.27400000000000002</v>
      </c>
      <c r="BR73" s="227">
        <v>29400</v>
      </c>
      <c r="BS73" s="224">
        <f t="shared" si="57"/>
        <v>0.29399999999999998</v>
      </c>
      <c r="BT73" s="227">
        <v>32400</v>
      </c>
      <c r="BU73" s="224">
        <f t="shared" si="58"/>
        <v>0.32400000000000001</v>
      </c>
      <c r="BV73" s="227">
        <v>35400</v>
      </c>
      <c r="BW73" s="224">
        <f t="shared" si="59"/>
        <v>0.35399999999999998</v>
      </c>
      <c r="BX73" s="227">
        <v>55400</v>
      </c>
      <c r="BY73" s="224">
        <f t="shared" si="60"/>
        <v>0.55400000000000005</v>
      </c>
      <c r="BZ73" s="227">
        <v>60400</v>
      </c>
      <c r="CA73" s="224">
        <f t="shared" si="61"/>
        <v>0.60399999999999998</v>
      </c>
      <c r="CB73" s="227">
        <v>65400</v>
      </c>
      <c r="CC73" s="224">
        <f t="shared" si="62"/>
        <v>0.65400000000000003</v>
      </c>
      <c r="CD73" s="227">
        <v>75400</v>
      </c>
      <c r="CE73" s="224">
        <f t="shared" si="63"/>
        <v>0.754</v>
      </c>
      <c r="CF73" s="227">
        <v>80400</v>
      </c>
      <c r="CG73" s="224">
        <f t="shared" si="64"/>
        <v>0.80400000000000005</v>
      </c>
      <c r="CH73" s="227">
        <v>85400</v>
      </c>
      <c r="CI73" s="224">
        <f t="shared" si="65"/>
        <v>0.85399999999999998</v>
      </c>
      <c r="CJ73" s="227">
        <v>90400</v>
      </c>
      <c r="CK73" s="224">
        <f t="shared" si="66"/>
        <v>0.90400000000000003</v>
      </c>
      <c r="CL73" s="227">
        <v>95000</v>
      </c>
      <c r="CM73" s="224">
        <f t="shared" si="67"/>
        <v>0.95</v>
      </c>
      <c r="CN73" s="227">
        <v>95000</v>
      </c>
      <c r="CO73" s="224">
        <f t="shared" si="68"/>
        <v>0.95</v>
      </c>
      <c r="CP73" s="213" t="str">
        <f t="shared" si="20"/>
        <v>Đạt</v>
      </c>
      <c r="CQ73" s="213" t="str">
        <f t="shared" si="21"/>
        <v>Đạt</v>
      </c>
      <c r="CR73" s="192"/>
      <c r="CS73" s="245">
        <f t="shared" si="18"/>
        <v>13270.772999999979</v>
      </c>
      <c r="CT73" s="223"/>
      <c r="CU73" s="163"/>
      <c r="CW73" s="195"/>
      <c r="CX73" s="196"/>
      <c r="CY73" s="196"/>
      <c r="CZ73" s="197"/>
      <c r="DA73" s="196"/>
      <c r="DB73" s="196"/>
      <c r="DC73" s="196"/>
      <c r="DE73" s="199"/>
      <c r="DF73" s="200"/>
      <c r="DG73" s="181"/>
    </row>
    <row r="74" spans="1:113" ht="38.25" hidden="1" outlineLevel="1" x14ac:dyDescent="0.25">
      <c r="A74" s="192">
        <f>MAX(A$69:$B73)+1</f>
        <v>6</v>
      </c>
      <c r="B74" s="222" t="s">
        <v>212</v>
      </c>
      <c r="C74" s="222">
        <v>7808109</v>
      </c>
      <c r="D74" s="214">
        <f t="shared" si="70"/>
        <v>382500</v>
      </c>
      <c r="E74" s="214"/>
      <c r="F74" s="214">
        <f t="shared" si="71"/>
        <v>382500</v>
      </c>
      <c r="G74" s="245">
        <v>200000</v>
      </c>
      <c r="H74" s="245">
        <f>182500-5000+5000</f>
        <v>182500</v>
      </c>
      <c r="I74" s="235"/>
      <c r="J74" s="235"/>
      <c r="K74" s="245"/>
      <c r="L74" s="235"/>
      <c r="M74" s="223"/>
      <c r="N74" s="223"/>
      <c r="O74" s="245">
        <f t="shared" si="26"/>
        <v>200000</v>
      </c>
      <c r="P74" s="245">
        <v>0</v>
      </c>
      <c r="Q74" s="224">
        <f t="shared" si="1"/>
        <v>0</v>
      </c>
      <c r="R74" s="245">
        <v>3391.0909999999999</v>
      </c>
      <c r="S74" s="225">
        <v>8.8655973856209148E-3</v>
      </c>
      <c r="T74" s="225">
        <v>9.3322077743378043E-3</v>
      </c>
      <c r="U74" s="245">
        <v>3891.0909999999999</v>
      </c>
      <c r="V74" s="225">
        <v>1.0172786928104575E-2</v>
      </c>
      <c r="W74" s="225">
        <v>1.0708196766425869E-2</v>
      </c>
      <c r="X74" s="245">
        <v>3891.0909999999999</v>
      </c>
      <c r="Y74" s="225">
        <v>1.0172786928104575E-2</v>
      </c>
      <c r="Z74" s="225">
        <v>1.0708196766425869E-2</v>
      </c>
      <c r="AA74" s="245">
        <v>3891.0909999999999</v>
      </c>
      <c r="AB74" s="225">
        <v>1.0172786928104575E-2</v>
      </c>
      <c r="AC74" s="225">
        <v>1.0708196766425869E-2</v>
      </c>
      <c r="AD74" s="245">
        <v>3891.0909999999999</v>
      </c>
      <c r="AE74" s="225">
        <v>1.0172786928104575E-2</v>
      </c>
      <c r="AF74" s="225">
        <v>1.0708196766425869E-2</v>
      </c>
      <c r="AG74" s="245">
        <v>3891.0909999999999</v>
      </c>
      <c r="AH74" s="225">
        <v>1.0172786928104575E-2</v>
      </c>
      <c r="AI74" s="225">
        <v>1.0708196766425869E-2</v>
      </c>
      <c r="AJ74" s="245">
        <v>3891.0909999999999</v>
      </c>
      <c r="AK74" s="225">
        <v>1.0172786928104575E-2</v>
      </c>
      <c r="AL74" s="225">
        <v>1.0708196766425869E-2</v>
      </c>
      <c r="AM74" s="245">
        <v>3953.7109999999998</v>
      </c>
      <c r="AN74" s="225">
        <v>1.0336499346405228E-2</v>
      </c>
      <c r="AO74" s="225">
        <v>1.0880525627794978E-2</v>
      </c>
      <c r="AP74" s="225"/>
      <c r="AQ74" s="245">
        <v>4137.875</v>
      </c>
      <c r="AR74" s="225">
        <v>1.081797385620915E-2</v>
      </c>
      <c r="AS74" s="225">
        <v>1.138734090127279E-2</v>
      </c>
      <c r="AT74" s="245">
        <v>4137.875</v>
      </c>
      <c r="AU74" s="225">
        <v>1.081797385620915E-2</v>
      </c>
      <c r="AV74" s="225">
        <v>1.138734090127279E-2</v>
      </c>
      <c r="AW74" s="245">
        <v>4137.875</v>
      </c>
      <c r="AX74" s="225">
        <v>1.081797385620915E-2</v>
      </c>
      <c r="AY74" s="225">
        <v>1.138734090127279E-2</v>
      </c>
      <c r="AZ74" s="245">
        <v>4137.875</v>
      </c>
      <c r="BA74" s="225">
        <v>1.081797385620915E-2</v>
      </c>
      <c r="BB74" s="225">
        <v>1.138734090127279E-2</v>
      </c>
      <c r="BC74" s="245">
        <v>4137.875</v>
      </c>
      <c r="BD74" s="225">
        <v>1.081797385620915E-2</v>
      </c>
      <c r="BE74" s="225">
        <v>1.138734090127279E-2</v>
      </c>
      <c r="BF74" s="245"/>
      <c r="BG74" s="245">
        <v>4137.875</v>
      </c>
      <c r="BH74" s="225">
        <v>1.081797385620915E-2</v>
      </c>
      <c r="BI74" s="225">
        <v>1.138734090127279E-2</v>
      </c>
      <c r="BJ74" s="245">
        <f t="shared" si="2"/>
        <v>363375</v>
      </c>
      <c r="BK74" s="245">
        <v>4137.875</v>
      </c>
      <c r="BL74" s="225">
        <f t="shared" si="55"/>
        <v>1.081797385620915E-2</v>
      </c>
      <c r="BM74" s="225">
        <f t="shared" si="56"/>
        <v>1.138734090127279E-2</v>
      </c>
      <c r="BN74" s="205">
        <f t="shared" si="73"/>
        <v>246.78400000000011</v>
      </c>
      <c r="BO74" s="205"/>
      <c r="BP74" s="227">
        <v>621</v>
      </c>
      <c r="BQ74" s="224">
        <f t="shared" si="5"/>
        <v>1.623529411764706E-3</v>
      </c>
      <c r="BR74" s="227">
        <v>214588</v>
      </c>
      <c r="BS74" s="224">
        <f t="shared" si="57"/>
        <v>0.56101437908496732</v>
      </c>
      <c r="BT74" s="227">
        <v>214588</v>
      </c>
      <c r="BU74" s="224">
        <f t="shared" si="58"/>
        <v>0.56101437908496732</v>
      </c>
      <c r="BV74" s="227">
        <v>214588</v>
      </c>
      <c r="BW74" s="224">
        <f t="shared" si="59"/>
        <v>0.56101437908496732</v>
      </c>
      <c r="BX74" s="227">
        <v>214588</v>
      </c>
      <c r="BY74" s="224">
        <f t="shared" si="60"/>
        <v>0.56101437908496732</v>
      </c>
      <c r="BZ74" s="227">
        <v>250249</v>
      </c>
      <c r="CA74" s="224">
        <f t="shared" si="61"/>
        <v>0.65424575163398691</v>
      </c>
      <c r="CB74" s="227">
        <v>250249</v>
      </c>
      <c r="CC74" s="224">
        <f t="shared" si="62"/>
        <v>0.65424575163398691</v>
      </c>
      <c r="CD74" s="227">
        <v>250249</v>
      </c>
      <c r="CE74" s="224">
        <f t="shared" si="63"/>
        <v>0.65424575163398691</v>
      </c>
      <c r="CF74" s="227">
        <v>307306</v>
      </c>
      <c r="CG74" s="224">
        <f t="shared" si="64"/>
        <v>0.80341437908496727</v>
      </c>
      <c r="CH74" s="227">
        <v>307306</v>
      </c>
      <c r="CI74" s="224">
        <f t="shared" si="65"/>
        <v>0.80341437908496727</v>
      </c>
      <c r="CJ74" s="227">
        <v>307306</v>
      </c>
      <c r="CK74" s="224">
        <f t="shared" si="66"/>
        <v>0.80341437908496727</v>
      </c>
      <c r="CL74" s="227">
        <v>363375</v>
      </c>
      <c r="CM74" s="224">
        <f t="shared" si="67"/>
        <v>0.95</v>
      </c>
      <c r="CN74" s="227">
        <v>363375</v>
      </c>
      <c r="CO74" s="224">
        <f t="shared" si="68"/>
        <v>0.95</v>
      </c>
      <c r="CP74" s="213" t="str">
        <f t="shared" si="20"/>
        <v>Không đạt</v>
      </c>
      <c r="CQ74" s="213" t="str">
        <f t="shared" si="21"/>
        <v>Không đạt</v>
      </c>
      <c r="CR74" s="192"/>
      <c r="CS74" s="245">
        <f t="shared" si="18"/>
        <v>0</v>
      </c>
      <c r="CT74" s="223"/>
      <c r="CU74" s="163"/>
      <c r="CW74" s="195"/>
      <c r="CX74" s="196"/>
      <c r="CY74" s="196"/>
      <c r="CZ74" s="197"/>
      <c r="DA74" s="196"/>
      <c r="DB74" s="196"/>
      <c r="DC74" s="196"/>
      <c r="DE74" s="199"/>
      <c r="DF74" s="200"/>
      <c r="DG74" s="181"/>
    </row>
    <row r="75" spans="1:113" ht="27" hidden="1" customHeight="1" outlineLevel="1" x14ac:dyDescent="0.25">
      <c r="A75" s="192">
        <f>MAX(A$69:$B74)+1</f>
        <v>7</v>
      </c>
      <c r="B75" s="222" t="s">
        <v>213</v>
      </c>
      <c r="C75" s="222">
        <v>8112035</v>
      </c>
      <c r="D75" s="214">
        <f t="shared" si="70"/>
        <v>120000</v>
      </c>
      <c r="E75" s="214"/>
      <c r="F75" s="214">
        <f t="shared" si="71"/>
        <v>120000</v>
      </c>
      <c r="G75" s="245">
        <v>90000</v>
      </c>
      <c r="H75" s="245">
        <v>30000</v>
      </c>
      <c r="I75" s="235"/>
      <c r="J75" s="235"/>
      <c r="K75" s="245"/>
      <c r="L75" s="235"/>
      <c r="M75" s="223"/>
      <c r="N75" s="223"/>
      <c r="O75" s="245">
        <f t="shared" si="26"/>
        <v>90000</v>
      </c>
      <c r="P75" s="245">
        <v>0</v>
      </c>
      <c r="Q75" s="224">
        <f t="shared" si="1"/>
        <v>0</v>
      </c>
      <c r="R75" s="245"/>
      <c r="S75" s="225">
        <v>0</v>
      </c>
      <c r="T75" s="225">
        <v>0</v>
      </c>
      <c r="U75" s="245"/>
      <c r="V75" s="225">
        <v>0</v>
      </c>
      <c r="W75" s="225">
        <v>0</v>
      </c>
      <c r="X75" s="245"/>
      <c r="Y75" s="225">
        <v>0</v>
      </c>
      <c r="Z75" s="225">
        <v>0</v>
      </c>
      <c r="AA75" s="245"/>
      <c r="AB75" s="225">
        <v>0</v>
      </c>
      <c r="AC75" s="225">
        <v>0</v>
      </c>
      <c r="AD75" s="245"/>
      <c r="AE75" s="225">
        <v>0</v>
      </c>
      <c r="AF75" s="225">
        <v>0</v>
      </c>
      <c r="AG75" s="245"/>
      <c r="AH75" s="225">
        <v>0</v>
      </c>
      <c r="AI75" s="225">
        <v>0</v>
      </c>
      <c r="AJ75" s="245"/>
      <c r="AK75" s="225">
        <v>0</v>
      </c>
      <c r="AL75" s="225">
        <v>0</v>
      </c>
      <c r="AM75" s="245"/>
      <c r="AN75" s="225">
        <v>0</v>
      </c>
      <c r="AO75" s="225">
        <v>0</v>
      </c>
      <c r="AP75" s="225"/>
      <c r="AQ75" s="245"/>
      <c r="AR75" s="225">
        <v>0</v>
      </c>
      <c r="AS75" s="225">
        <v>0</v>
      </c>
      <c r="AT75" s="245"/>
      <c r="AU75" s="225">
        <v>0</v>
      </c>
      <c r="AV75" s="225">
        <v>0</v>
      </c>
      <c r="AW75" s="245"/>
      <c r="AX75" s="225">
        <v>0</v>
      </c>
      <c r="AY75" s="225">
        <v>0</v>
      </c>
      <c r="AZ75" s="245"/>
      <c r="BA75" s="225">
        <v>0</v>
      </c>
      <c r="BB75" s="225">
        <v>0</v>
      </c>
      <c r="BC75" s="245"/>
      <c r="BD75" s="225">
        <v>0</v>
      </c>
      <c r="BE75" s="225">
        <v>0</v>
      </c>
      <c r="BF75" s="245"/>
      <c r="BG75" s="245">
        <v>798.52499999999998</v>
      </c>
      <c r="BH75" s="225">
        <v>6.6543749999999997E-3</v>
      </c>
      <c r="BI75" s="225">
        <v>7.0046052631578945E-3</v>
      </c>
      <c r="BJ75" s="245">
        <f t="shared" si="2"/>
        <v>114000</v>
      </c>
      <c r="BK75" s="245">
        <v>1790.973</v>
      </c>
      <c r="BL75" s="225">
        <f t="shared" si="55"/>
        <v>1.4924775E-2</v>
      </c>
      <c r="BM75" s="225">
        <f t="shared" si="56"/>
        <v>1.5710289473684209E-2</v>
      </c>
      <c r="BN75" s="205">
        <f t="shared" si="73"/>
        <v>1790.973</v>
      </c>
      <c r="BO75" s="205"/>
      <c r="BP75" s="227"/>
      <c r="BQ75" s="224">
        <f t="shared" si="5"/>
        <v>0</v>
      </c>
      <c r="BR75" s="227"/>
      <c r="BS75" s="224">
        <f t="shared" si="57"/>
        <v>0</v>
      </c>
      <c r="BT75" s="227"/>
      <c r="BU75" s="224">
        <f t="shared" si="58"/>
        <v>0</v>
      </c>
      <c r="BV75" s="227"/>
      <c r="BW75" s="224">
        <f t="shared" si="59"/>
        <v>0</v>
      </c>
      <c r="BX75" s="227">
        <v>20000</v>
      </c>
      <c r="BY75" s="224">
        <f t="shared" si="60"/>
        <v>0.16666666666666666</v>
      </c>
      <c r="BZ75" s="227">
        <v>20000</v>
      </c>
      <c r="CA75" s="224">
        <f t="shared" si="61"/>
        <v>0.16666666666666666</v>
      </c>
      <c r="CB75" s="227">
        <v>40000</v>
      </c>
      <c r="CC75" s="224">
        <f t="shared" si="62"/>
        <v>0.33333333333333331</v>
      </c>
      <c r="CD75" s="227">
        <v>40000</v>
      </c>
      <c r="CE75" s="224">
        <f t="shared" si="63"/>
        <v>0.33333333333333331</v>
      </c>
      <c r="CF75" s="227">
        <v>60000</v>
      </c>
      <c r="CG75" s="224">
        <f t="shared" si="64"/>
        <v>0.5</v>
      </c>
      <c r="CH75" s="227">
        <v>60000</v>
      </c>
      <c r="CI75" s="224">
        <f t="shared" si="65"/>
        <v>0.5</v>
      </c>
      <c r="CJ75" s="227">
        <v>90000</v>
      </c>
      <c r="CK75" s="224">
        <f t="shared" si="66"/>
        <v>0.75</v>
      </c>
      <c r="CL75" s="227">
        <v>90000</v>
      </c>
      <c r="CM75" s="224">
        <f t="shared" si="67"/>
        <v>0.75</v>
      </c>
      <c r="CN75" s="227">
        <v>114000</v>
      </c>
      <c r="CO75" s="224">
        <f t="shared" si="68"/>
        <v>0.95</v>
      </c>
      <c r="CP75" s="213" t="str">
        <f t="shared" si="20"/>
        <v>Không đạt</v>
      </c>
      <c r="CQ75" s="213" t="str">
        <f t="shared" si="21"/>
        <v>Không đạt</v>
      </c>
      <c r="CR75" s="192"/>
      <c r="CS75" s="245">
        <f t="shared" si="18"/>
        <v>1790.973</v>
      </c>
      <c r="CT75" s="223"/>
      <c r="CU75" s="163"/>
      <c r="CW75" s="195"/>
      <c r="CX75" s="196"/>
      <c r="CY75" s="196"/>
      <c r="CZ75" s="197"/>
      <c r="DA75" s="196"/>
      <c r="DB75" s="196"/>
      <c r="DC75" s="196"/>
      <c r="DE75" s="199"/>
      <c r="DF75" s="200"/>
      <c r="DG75" s="181"/>
    </row>
    <row r="76" spans="1:113" ht="63.75" hidden="1" outlineLevel="1" x14ac:dyDescent="0.25">
      <c r="A76" s="192">
        <f>MAX(A$69:$B75)+1</f>
        <v>8</v>
      </c>
      <c r="B76" s="222" t="s">
        <v>214</v>
      </c>
      <c r="C76" s="222">
        <v>8123883</v>
      </c>
      <c r="D76" s="214">
        <f t="shared" si="70"/>
        <v>30000</v>
      </c>
      <c r="E76" s="214"/>
      <c r="F76" s="214">
        <f t="shared" si="71"/>
        <v>30000</v>
      </c>
      <c r="G76" s="245">
        <v>30000</v>
      </c>
      <c r="H76" s="245"/>
      <c r="I76" s="235"/>
      <c r="J76" s="235"/>
      <c r="K76" s="245"/>
      <c r="L76" s="235"/>
      <c r="M76" s="223"/>
      <c r="N76" s="223"/>
      <c r="O76" s="245">
        <f t="shared" si="26"/>
        <v>30000</v>
      </c>
      <c r="P76" s="245">
        <v>1831.6860000000001</v>
      </c>
      <c r="Q76" s="224">
        <f t="shared" si="1"/>
        <v>6.1056200000000005E-2</v>
      </c>
      <c r="R76" s="245">
        <v>1831.6859999999999</v>
      </c>
      <c r="S76" s="225">
        <v>6.1056199999999998E-2</v>
      </c>
      <c r="T76" s="225">
        <v>6.4269684210526312E-2</v>
      </c>
      <c r="U76" s="245">
        <v>1831.6859999999999</v>
      </c>
      <c r="V76" s="225">
        <v>6.1056199999999998E-2</v>
      </c>
      <c r="W76" s="225">
        <v>6.4269684210526312E-2</v>
      </c>
      <c r="X76" s="245">
        <v>1831.6859999999999</v>
      </c>
      <c r="Y76" s="225">
        <v>6.1056199999999998E-2</v>
      </c>
      <c r="Z76" s="225">
        <v>6.4269684210526312E-2</v>
      </c>
      <c r="AA76" s="245">
        <v>2832</v>
      </c>
      <c r="AB76" s="225">
        <v>9.4399999999999998E-2</v>
      </c>
      <c r="AC76" s="225">
        <v>9.9368421052631578E-2</v>
      </c>
      <c r="AD76" s="245">
        <v>2832</v>
      </c>
      <c r="AE76" s="225">
        <v>9.4399999999999998E-2</v>
      </c>
      <c r="AF76" s="225">
        <v>9.9368421052631578E-2</v>
      </c>
      <c r="AG76" s="245">
        <v>3090.69</v>
      </c>
      <c r="AH76" s="225">
        <v>0.103023</v>
      </c>
      <c r="AI76" s="225">
        <v>0.10844526315789474</v>
      </c>
      <c r="AJ76" s="231">
        <v>3090.69</v>
      </c>
      <c r="AK76" s="225">
        <v>0.103023</v>
      </c>
      <c r="AL76" s="225">
        <v>0.10844526315789474</v>
      </c>
      <c r="AM76" s="245">
        <v>3090.69</v>
      </c>
      <c r="AN76" s="225">
        <v>0.103023</v>
      </c>
      <c r="AO76" s="225">
        <v>0.10844526315789474</v>
      </c>
      <c r="AP76" s="225"/>
      <c r="AQ76" s="245">
        <v>3090.69</v>
      </c>
      <c r="AR76" s="225">
        <v>0.103023</v>
      </c>
      <c r="AS76" s="225">
        <v>0.10844526315789474</v>
      </c>
      <c r="AT76" s="245">
        <v>3090.69</v>
      </c>
      <c r="AU76" s="225">
        <v>0.103023</v>
      </c>
      <c r="AV76" s="225">
        <v>0.10844526315789474</v>
      </c>
      <c r="AW76" s="245">
        <v>3090.69</v>
      </c>
      <c r="AX76" s="225">
        <v>0.103023</v>
      </c>
      <c r="AY76" s="225">
        <v>0.10844526315789474</v>
      </c>
      <c r="AZ76" s="245">
        <v>3090.69</v>
      </c>
      <c r="BA76" s="225">
        <v>0.103023</v>
      </c>
      <c r="BB76" s="225">
        <v>0.10844526315789474</v>
      </c>
      <c r="BC76" s="245">
        <v>3090.69</v>
      </c>
      <c r="BD76" s="225">
        <v>0.103023</v>
      </c>
      <c r="BE76" s="225">
        <v>0.10844526315789474</v>
      </c>
      <c r="BF76" s="245"/>
      <c r="BG76" s="245">
        <v>3090.69</v>
      </c>
      <c r="BH76" s="225">
        <v>0.103023</v>
      </c>
      <c r="BI76" s="225">
        <v>0.10844526315789474</v>
      </c>
      <c r="BJ76" s="245">
        <f t="shared" si="2"/>
        <v>28500</v>
      </c>
      <c r="BK76" s="245">
        <v>3090.69</v>
      </c>
      <c r="BL76" s="225">
        <f t="shared" si="55"/>
        <v>0.103023</v>
      </c>
      <c r="BM76" s="225">
        <f t="shared" si="56"/>
        <v>0.10844526315789474</v>
      </c>
      <c r="BN76" s="205">
        <f t="shared" si="73"/>
        <v>258.69000000000005</v>
      </c>
      <c r="BO76" s="205"/>
      <c r="BP76" s="227">
        <v>1500</v>
      </c>
      <c r="BQ76" s="224">
        <f t="shared" si="5"/>
        <v>0.05</v>
      </c>
      <c r="BR76" s="227">
        <v>2000</v>
      </c>
      <c r="BS76" s="224">
        <f t="shared" si="57"/>
        <v>6.6666666666666666E-2</v>
      </c>
      <c r="BT76" s="227">
        <v>2300</v>
      </c>
      <c r="BU76" s="224">
        <f t="shared" si="58"/>
        <v>7.6666666666666661E-2</v>
      </c>
      <c r="BV76" s="227">
        <v>2300</v>
      </c>
      <c r="BW76" s="224">
        <f t="shared" si="59"/>
        <v>7.6666666666666661E-2</v>
      </c>
      <c r="BX76" s="227">
        <v>2300</v>
      </c>
      <c r="BY76" s="224">
        <f t="shared" si="60"/>
        <v>7.6666666666666661E-2</v>
      </c>
      <c r="BZ76" s="227">
        <v>28500</v>
      </c>
      <c r="CA76" s="224">
        <f t="shared" si="61"/>
        <v>0.95</v>
      </c>
      <c r="CB76" s="227">
        <v>28500</v>
      </c>
      <c r="CC76" s="224">
        <f t="shared" si="62"/>
        <v>0.95</v>
      </c>
      <c r="CD76" s="227">
        <v>28500</v>
      </c>
      <c r="CE76" s="224">
        <f t="shared" si="63"/>
        <v>0.95</v>
      </c>
      <c r="CF76" s="227">
        <v>28500</v>
      </c>
      <c r="CG76" s="224">
        <f t="shared" si="64"/>
        <v>0.95</v>
      </c>
      <c r="CH76" s="227">
        <v>28500</v>
      </c>
      <c r="CI76" s="224">
        <f t="shared" si="65"/>
        <v>0.95</v>
      </c>
      <c r="CJ76" s="227">
        <v>28500</v>
      </c>
      <c r="CK76" s="224">
        <f t="shared" si="66"/>
        <v>0.95</v>
      </c>
      <c r="CL76" s="227">
        <v>28500</v>
      </c>
      <c r="CM76" s="224">
        <f t="shared" si="67"/>
        <v>0.95</v>
      </c>
      <c r="CN76" s="227">
        <v>28500</v>
      </c>
      <c r="CO76" s="224">
        <f t="shared" si="68"/>
        <v>0.95</v>
      </c>
      <c r="CP76" s="213" t="str">
        <f t="shared" si="20"/>
        <v>Không đạt</v>
      </c>
      <c r="CQ76" s="213" t="str">
        <f t="shared" si="21"/>
        <v>Không đạt</v>
      </c>
      <c r="CR76" s="192"/>
      <c r="CS76" s="245">
        <f t="shared" si="18"/>
        <v>0</v>
      </c>
      <c r="CT76" s="223"/>
      <c r="CU76" s="163"/>
      <c r="CW76" s="195"/>
      <c r="CX76" s="196"/>
      <c r="CY76" s="196"/>
      <c r="CZ76" s="197"/>
      <c r="DA76" s="196"/>
      <c r="DB76" s="196"/>
      <c r="DC76" s="196"/>
      <c r="DE76" s="199"/>
      <c r="DF76" s="200"/>
      <c r="DG76" s="181"/>
    </row>
    <row r="77" spans="1:113" s="255" customFormat="1" hidden="1" outlineLevel="1" x14ac:dyDescent="0.25">
      <c r="A77" s="191" t="s">
        <v>29</v>
      </c>
      <c r="B77" s="210" t="s">
        <v>178</v>
      </c>
      <c r="C77" s="210"/>
      <c r="D77" s="231">
        <f t="shared" ref="D77:L77" si="74">SUM(D78:D126)</f>
        <v>486500</v>
      </c>
      <c r="E77" s="231">
        <f t="shared" si="74"/>
        <v>0</v>
      </c>
      <c r="F77" s="231">
        <f t="shared" si="74"/>
        <v>486500</v>
      </c>
      <c r="G77" s="231">
        <f t="shared" si="74"/>
        <v>157000</v>
      </c>
      <c r="H77" s="231">
        <f t="shared" si="74"/>
        <v>204500</v>
      </c>
      <c r="I77" s="231">
        <f t="shared" si="74"/>
        <v>20835</v>
      </c>
      <c r="J77" s="231"/>
      <c r="K77" s="231">
        <f t="shared" si="74"/>
        <v>125000</v>
      </c>
      <c r="L77" s="231">
        <f t="shared" si="74"/>
        <v>0</v>
      </c>
      <c r="M77" s="231"/>
      <c r="N77" s="231"/>
      <c r="O77" s="231">
        <f t="shared" si="26"/>
        <v>177835</v>
      </c>
      <c r="P77" s="231">
        <v>665.69</v>
      </c>
      <c r="Q77" s="212">
        <f t="shared" si="1"/>
        <v>1.3683247687564235E-3</v>
      </c>
      <c r="R77" s="231">
        <v>12823.555329000001</v>
      </c>
      <c r="S77" s="211">
        <v>2.6358798209660843E-2</v>
      </c>
      <c r="T77" s="211">
        <v>2.7746103378590362E-2</v>
      </c>
      <c r="U77" s="231">
        <v>16120.396329000003</v>
      </c>
      <c r="V77" s="211">
        <v>3.3135449802672155E-2</v>
      </c>
      <c r="W77" s="211">
        <v>3.4879420844918053E-2</v>
      </c>
      <c r="X77" s="231">
        <v>16120.396329000003</v>
      </c>
      <c r="Y77" s="211">
        <v>3.3135449802672155E-2</v>
      </c>
      <c r="Z77" s="211">
        <v>3.4879420844918053E-2</v>
      </c>
      <c r="AA77" s="231">
        <v>16785.102329000001</v>
      </c>
      <c r="AB77" s="211">
        <v>3.4501751960945529E-2</v>
      </c>
      <c r="AC77" s="211">
        <v>3.6317633643100561E-2</v>
      </c>
      <c r="AD77" s="231">
        <v>33493.348329</v>
      </c>
      <c r="AE77" s="211">
        <v>6.8845525856115114E-2</v>
      </c>
      <c r="AF77" s="211">
        <v>7.246897458538433E-2</v>
      </c>
      <c r="AG77" s="231">
        <v>33646.063329000004</v>
      </c>
      <c r="AH77" s="211">
        <v>6.9159431303186025E-2</v>
      </c>
      <c r="AI77" s="211">
        <v>7.2799401371774763E-2</v>
      </c>
      <c r="AJ77" s="250">
        <v>33646.063329000004</v>
      </c>
      <c r="AK77" s="211">
        <v>6.9159431303186025E-2</v>
      </c>
      <c r="AL77" s="211">
        <v>7.2799401371774763E-2</v>
      </c>
      <c r="AM77" s="231">
        <v>33820.657329000001</v>
      </c>
      <c r="AN77" s="211">
        <v>6.9518309001027748E-2</v>
      </c>
      <c r="AO77" s="211">
        <v>7.3177167369502902E-2</v>
      </c>
      <c r="AP77" s="211"/>
      <c r="AQ77" s="251">
        <v>61605.777329000004</v>
      </c>
      <c r="AR77" s="211">
        <v>0.12663058032682425</v>
      </c>
      <c r="AS77" s="211">
        <v>0.13329534771244658</v>
      </c>
      <c r="AT77" s="251">
        <v>63277.777669999996</v>
      </c>
      <c r="AU77" s="211">
        <v>0.13006737445015415</v>
      </c>
      <c r="AV77" s="211">
        <v>0.13691302573700437</v>
      </c>
      <c r="AW77" s="251">
        <v>63277.777669999996</v>
      </c>
      <c r="AX77" s="211">
        <v>0.13006737445015415</v>
      </c>
      <c r="AY77" s="211">
        <v>0.13691302573700437</v>
      </c>
      <c r="AZ77" s="251">
        <v>63818.485669999995</v>
      </c>
      <c r="BA77" s="211">
        <v>0.13117879891058581</v>
      </c>
      <c r="BB77" s="211">
        <v>0.13808294622166928</v>
      </c>
      <c r="BC77" s="251">
        <v>72805.491439999998</v>
      </c>
      <c r="BD77" s="211">
        <v>0.14965157541623844</v>
      </c>
      <c r="BE77" s="211">
        <v>0.15752797412235625</v>
      </c>
      <c r="BF77" s="251"/>
      <c r="BG77" s="251">
        <v>86893.513439999995</v>
      </c>
      <c r="BH77" s="211">
        <v>0.17860948291880779</v>
      </c>
      <c r="BI77" s="211">
        <v>0.18800998201979768</v>
      </c>
      <c r="BJ77" s="251">
        <f t="shared" ref="BJ77:BJ140" si="75">E77+(F77*0.95)</f>
        <v>462175</v>
      </c>
      <c r="BK77" s="251">
        <f>SUM(BK78:BK126)</f>
        <v>92043.531439999977</v>
      </c>
      <c r="BL77" s="211">
        <f t="shared" si="55"/>
        <v>0.18919533697841723</v>
      </c>
      <c r="BM77" s="211">
        <f t="shared" si="56"/>
        <v>0.19915298629307077</v>
      </c>
      <c r="BN77" s="205">
        <f t="shared" si="73"/>
        <v>58550.183110999977</v>
      </c>
      <c r="BO77" s="205"/>
      <c r="BP77" s="230">
        <f>SUM(BP78:BP126)</f>
        <v>1000</v>
      </c>
      <c r="BQ77" s="212">
        <f t="shared" si="5"/>
        <v>2.0554984583761563E-3</v>
      </c>
      <c r="BR77" s="230">
        <f>SUM(BR78:BR126)</f>
        <v>16350</v>
      </c>
      <c r="BS77" s="212">
        <f t="shared" si="57"/>
        <v>3.3607399794450155E-2</v>
      </c>
      <c r="BT77" s="230">
        <f>SUM(BT78:BT126)</f>
        <v>52790</v>
      </c>
      <c r="BU77" s="212">
        <f t="shared" si="58"/>
        <v>0.10850976361767729</v>
      </c>
      <c r="BV77" s="230">
        <f>SUM(BV78:BV126)</f>
        <v>89995</v>
      </c>
      <c r="BW77" s="212">
        <f t="shared" si="59"/>
        <v>0.18498458376156218</v>
      </c>
      <c r="BX77" s="230">
        <f>SUM(BX78:BX126)</f>
        <v>135110</v>
      </c>
      <c r="BY77" s="212">
        <f t="shared" si="60"/>
        <v>0.27771839671120246</v>
      </c>
      <c r="BZ77" s="230">
        <f>SUM(BZ78:BZ126)</f>
        <v>205800</v>
      </c>
      <c r="CA77" s="212">
        <f t="shared" si="61"/>
        <v>0.42302158273381296</v>
      </c>
      <c r="CB77" s="230">
        <f>SUM(CB78:CB126)</f>
        <v>271700</v>
      </c>
      <c r="CC77" s="212">
        <f t="shared" si="62"/>
        <v>0.5584789311408016</v>
      </c>
      <c r="CD77" s="230">
        <f>SUM(CD78:CD126)</f>
        <v>309475</v>
      </c>
      <c r="CE77" s="212">
        <f t="shared" si="63"/>
        <v>0.63612538540596097</v>
      </c>
      <c r="CF77" s="230">
        <f>SUM(CF78:CF126)</f>
        <v>344175</v>
      </c>
      <c r="CG77" s="212">
        <f t="shared" si="64"/>
        <v>0.7074511819116136</v>
      </c>
      <c r="CH77" s="230">
        <f>SUM(CH78:CH126)</f>
        <v>364650</v>
      </c>
      <c r="CI77" s="212">
        <f t="shared" si="65"/>
        <v>0.74953751284686532</v>
      </c>
      <c r="CJ77" s="230">
        <f>SUM(CJ78:CJ126)</f>
        <v>398400</v>
      </c>
      <c r="CK77" s="212">
        <f t="shared" si="66"/>
        <v>0.81891058581706067</v>
      </c>
      <c r="CL77" s="230">
        <f>SUM(CL78:CL126)</f>
        <v>429150</v>
      </c>
      <c r="CM77" s="212">
        <f t="shared" si="67"/>
        <v>0.88211716341212743</v>
      </c>
      <c r="CN77" s="230">
        <f>SUM(CN78:CN126)</f>
        <v>462175</v>
      </c>
      <c r="CO77" s="212">
        <f t="shared" si="68"/>
        <v>0.95</v>
      </c>
      <c r="CP77" s="213" t="str">
        <f t="shared" si="20"/>
        <v>Không đạt</v>
      </c>
      <c r="CQ77" s="213" t="str">
        <f t="shared" si="21"/>
        <v>Không đạt</v>
      </c>
      <c r="CR77" s="213"/>
      <c r="CS77" s="251">
        <f t="shared" si="18"/>
        <v>28225.045769999982</v>
      </c>
      <c r="CT77" s="231"/>
      <c r="CU77" s="163"/>
      <c r="CV77" s="252"/>
      <c r="CW77" s="253"/>
      <c r="CX77" s="254"/>
      <c r="CY77" s="254"/>
      <c r="CZ77" s="198"/>
      <c r="DA77" s="254"/>
      <c r="DB77" s="254"/>
      <c r="DC77" s="254"/>
      <c r="DE77" s="199"/>
      <c r="DF77" s="200"/>
      <c r="DG77" s="181"/>
    </row>
    <row r="78" spans="1:113" hidden="1" outlineLevel="1" x14ac:dyDescent="0.25">
      <c r="A78" s="256"/>
      <c r="B78" s="210" t="s">
        <v>215</v>
      </c>
      <c r="C78" s="210"/>
      <c r="D78" s="214">
        <f t="shared" ref="D78:D126" si="76">E78+F78</f>
        <v>0</v>
      </c>
      <c r="E78" s="214"/>
      <c r="F78" s="214">
        <f t="shared" ref="F78:F126" si="77">G78+H78+K78+M78</f>
        <v>0</v>
      </c>
      <c r="G78" s="250"/>
      <c r="H78" s="250"/>
      <c r="I78" s="235"/>
      <c r="J78" s="235"/>
      <c r="K78" s="250"/>
      <c r="L78" s="235"/>
      <c r="M78" s="223"/>
      <c r="N78" s="223"/>
      <c r="O78" s="250">
        <f t="shared" si="26"/>
        <v>0</v>
      </c>
      <c r="P78" s="250">
        <v>0</v>
      </c>
      <c r="Q78" s="224" t="e">
        <f t="shared" si="1"/>
        <v>#DIV/0!</v>
      </c>
      <c r="R78" s="250"/>
      <c r="S78" s="225"/>
      <c r="T78" s="225"/>
      <c r="U78" s="250"/>
      <c r="V78" s="225"/>
      <c r="W78" s="225"/>
      <c r="X78" s="250"/>
      <c r="Y78" s="225"/>
      <c r="Z78" s="225"/>
      <c r="AA78" s="250"/>
      <c r="AB78" s="225"/>
      <c r="AC78" s="225"/>
      <c r="AD78" s="250"/>
      <c r="AE78" s="225"/>
      <c r="AF78" s="225"/>
      <c r="AG78" s="250"/>
      <c r="AH78" s="225"/>
      <c r="AI78" s="225"/>
      <c r="AJ78" s="257"/>
      <c r="AK78" s="225"/>
      <c r="AL78" s="225"/>
      <c r="AM78" s="250"/>
      <c r="AN78" s="225"/>
      <c r="AO78" s="225"/>
      <c r="AP78" s="225"/>
      <c r="AQ78" s="250"/>
      <c r="AR78" s="225"/>
      <c r="AS78" s="225"/>
      <c r="AT78" s="250"/>
      <c r="AU78" s="225"/>
      <c r="AV78" s="225"/>
      <c r="AW78" s="250"/>
      <c r="AX78" s="225"/>
      <c r="AY78" s="225"/>
      <c r="AZ78" s="250"/>
      <c r="BA78" s="225"/>
      <c r="BB78" s="225"/>
      <c r="BC78" s="250"/>
      <c r="BD78" s="225"/>
      <c r="BE78" s="225"/>
      <c r="BF78" s="250"/>
      <c r="BG78" s="250"/>
      <c r="BH78" s="225"/>
      <c r="BI78" s="225"/>
      <c r="BJ78" s="250">
        <f t="shared" si="75"/>
        <v>0</v>
      </c>
      <c r="BK78" s="250"/>
      <c r="BL78" s="225"/>
      <c r="BM78" s="225"/>
      <c r="BN78" s="205">
        <f t="shared" si="73"/>
        <v>0</v>
      </c>
      <c r="BO78" s="205"/>
      <c r="BP78" s="227"/>
      <c r="BQ78" s="224"/>
      <c r="BR78" s="227"/>
      <c r="BS78" s="224"/>
      <c r="BT78" s="227"/>
      <c r="BU78" s="224"/>
      <c r="BV78" s="227"/>
      <c r="BW78" s="224"/>
      <c r="BX78" s="227"/>
      <c r="BY78" s="224"/>
      <c r="BZ78" s="227"/>
      <c r="CA78" s="224"/>
      <c r="CB78" s="227"/>
      <c r="CC78" s="224"/>
      <c r="CD78" s="227"/>
      <c r="CE78" s="224"/>
      <c r="CF78" s="227"/>
      <c r="CG78" s="224"/>
      <c r="CH78" s="227"/>
      <c r="CI78" s="224"/>
      <c r="CJ78" s="227"/>
      <c r="CK78" s="224"/>
      <c r="CL78" s="227"/>
      <c r="CM78" s="224"/>
      <c r="CN78" s="227"/>
      <c r="CO78" s="224"/>
      <c r="CP78" s="213" t="str">
        <f t="shared" si="20"/>
        <v>Không đạt</v>
      </c>
      <c r="CQ78" s="213" t="str">
        <f t="shared" si="21"/>
        <v>Không đạt</v>
      </c>
      <c r="CR78" s="192"/>
      <c r="CS78" s="250">
        <f t="shared" ref="CS78:CS126" si="78">BK78-AZ78</f>
        <v>0</v>
      </c>
      <c r="CT78" s="223"/>
      <c r="CU78" s="163"/>
      <c r="CW78" s="195"/>
      <c r="CX78" s="196"/>
      <c r="CY78" s="196"/>
      <c r="CZ78" s="197"/>
      <c r="DA78" s="196"/>
      <c r="DB78" s="196"/>
      <c r="DC78" s="196"/>
      <c r="DE78" s="199"/>
      <c r="DF78" s="200"/>
      <c r="DG78" s="181"/>
    </row>
    <row r="79" spans="1:113" ht="25.5" hidden="1" outlineLevel="1" x14ac:dyDescent="0.25">
      <c r="A79" s="192">
        <f>MAX(A$69:$B78)+1</f>
        <v>9</v>
      </c>
      <c r="B79" s="222" t="s">
        <v>216</v>
      </c>
      <c r="C79" s="222"/>
      <c r="D79" s="214">
        <f t="shared" si="76"/>
        <v>12000</v>
      </c>
      <c r="E79" s="214"/>
      <c r="F79" s="214">
        <f t="shared" si="77"/>
        <v>12000</v>
      </c>
      <c r="G79" s="257"/>
      <c r="H79" s="257">
        <v>12000</v>
      </c>
      <c r="I79" s="235"/>
      <c r="J79" s="235"/>
      <c r="K79" s="257"/>
      <c r="L79" s="235"/>
      <c r="M79" s="223"/>
      <c r="N79" s="223"/>
      <c r="O79" s="257">
        <f t="shared" si="26"/>
        <v>0</v>
      </c>
      <c r="P79" s="257">
        <v>0</v>
      </c>
      <c r="Q79" s="224">
        <f t="shared" ref="Q79:Q135" si="79">P79/$D79</f>
        <v>0</v>
      </c>
      <c r="R79" s="257">
        <v>0</v>
      </c>
      <c r="S79" s="225">
        <v>0</v>
      </c>
      <c r="T79" s="225">
        <v>0</v>
      </c>
      <c r="U79" s="257">
        <v>0</v>
      </c>
      <c r="V79" s="225">
        <v>0</v>
      </c>
      <c r="W79" s="225">
        <v>0</v>
      </c>
      <c r="X79" s="257">
        <v>0</v>
      </c>
      <c r="Y79" s="225">
        <v>0</v>
      </c>
      <c r="Z79" s="225">
        <v>0</v>
      </c>
      <c r="AA79" s="257">
        <v>0</v>
      </c>
      <c r="AB79" s="225">
        <v>0</v>
      </c>
      <c r="AC79" s="225">
        <v>0</v>
      </c>
      <c r="AD79" s="257">
        <v>0</v>
      </c>
      <c r="AE79" s="225">
        <v>0</v>
      </c>
      <c r="AF79" s="225">
        <v>0</v>
      </c>
      <c r="AG79" s="257">
        <v>0</v>
      </c>
      <c r="AH79" s="225">
        <v>0</v>
      </c>
      <c r="AI79" s="225">
        <v>0</v>
      </c>
      <c r="AJ79" s="250">
        <v>0</v>
      </c>
      <c r="AK79" s="225">
        <v>0</v>
      </c>
      <c r="AL79" s="225">
        <v>0</v>
      </c>
      <c r="AM79" s="257">
        <v>0</v>
      </c>
      <c r="AN79" s="225">
        <v>0</v>
      </c>
      <c r="AO79" s="225">
        <v>0</v>
      </c>
      <c r="AP79" s="225"/>
      <c r="AQ79" s="257">
        <v>0</v>
      </c>
      <c r="AR79" s="225">
        <v>0</v>
      </c>
      <c r="AS79" s="225">
        <v>0</v>
      </c>
      <c r="AT79" s="257">
        <v>0</v>
      </c>
      <c r="AU79" s="225">
        <v>0</v>
      </c>
      <c r="AV79" s="225">
        <v>0</v>
      </c>
      <c r="AW79" s="257">
        <v>0</v>
      </c>
      <c r="AX79" s="225">
        <v>0</v>
      </c>
      <c r="AY79" s="225">
        <v>0</v>
      </c>
      <c r="AZ79" s="257">
        <v>0</v>
      </c>
      <c r="BA79" s="225">
        <v>0</v>
      </c>
      <c r="BB79" s="225">
        <v>0</v>
      </c>
      <c r="BC79" s="257">
        <v>0</v>
      </c>
      <c r="BD79" s="225">
        <v>0</v>
      </c>
      <c r="BE79" s="225">
        <v>0</v>
      </c>
      <c r="BF79" s="257"/>
      <c r="BG79" s="257">
        <v>0</v>
      </c>
      <c r="BH79" s="225">
        <v>0</v>
      </c>
      <c r="BI79" s="225">
        <v>0</v>
      </c>
      <c r="BJ79" s="257">
        <f t="shared" si="75"/>
        <v>11400</v>
      </c>
      <c r="BK79" s="257">
        <v>0</v>
      </c>
      <c r="BL79" s="225">
        <f>BK79/$D79</f>
        <v>0</v>
      </c>
      <c r="BM79" s="225">
        <f t="shared" ref="BM79:BM142" si="80">BK79/(E79+0.95*F79)</f>
        <v>0</v>
      </c>
      <c r="BN79" s="205">
        <f t="shared" si="73"/>
        <v>0</v>
      </c>
      <c r="BO79" s="205"/>
      <c r="BP79" s="227">
        <v>0</v>
      </c>
      <c r="BQ79" s="224">
        <f t="shared" ref="BQ79:BQ142" si="81">BP79/$D79</f>
        <v>0</v>
      </c>
      <c r="BR79" s="227">
        <v>1400</v>
      </c>
      <c r="BS79" s="224">
        <f>BR79/$D79</f>
        <v>0.11666666666666667</v>
      </c>
      <c r="BT79" s="227">
        <v>2400</v>
      </c>
      <c r="BU79" s="224">
        <f>BT79/$D79</f>
        <v>0.2</v>
      </c>
      <c r="BV79" s="227">
        <v>4400</v>
      </c>
      <c r="BW79" s="224">
        <f>BV79/$D79</f>
        <v>0.36666666666666664</v>
      </c>
      <c r="BX79" s="227">
        <v>6400</v>
      </c>
      <c r="BY79" s="224">
        <f>BX79/$D79</f>
        <v>0.53333333333333333</v>
      </c>
      <c r="BZ79" s="227">
        <v>8400</v>
      </c>
      <c r="CA79" s="224">
        <f>BZ79/$D79</f>
        <v>0.7</v>
      </c>
      <c r="CB79" s="227">
        <v>10400</v>
      </c>
      <c r="CC79" s="224">
        <f>CB79/$D79</f>
        <v>0.8666666666666667</v>
      </c>
      <c r="CD79" s="227">
        <v>11400</v>
      </c>
      <c r="CE79" s="224">
        <f>CD79/$D79</f>
        <v>0.95</v>
      </c>
      <c r="CF79" s="227">
        <v>11400</v>
      </c>
      <c r="CG79" s="224">
        <f>CF79/$D79</f>
        <v>0.95</v>
      </c>
      <c r="CH79" s="227">
        <v>11400</v>
      </c>
      <c r="CI79" s="224">
        <f>CH79/$D79</f>
        <v>0.95</v>
      </c>
      <c r="CJ79" s="227">
        <v>11400</v>
      </c>
      <c r="CK79" s="224">
        <f>CJ79/$D79</f>
        <v>0.95</v>
      </c>
      <c r="CL79" s="227">
        <v>11400</v>
      </c>
      <c r="CM79" s="224">
        <f>CL79/$D79</f>
        <v>0.95</v>
      </c>
      <c r="CN79" s="227">
        <v>11400</v>
      </c>
      <c r="CO79" s="224">
        <f>CN79/$D79</f>
        <v>0.95</v>
      </c>
      <c r="CP79" s="213" t="str">
        <f t="shared" ref="CP79:CP142" si="82">IF(BM79&gt;34.7%,"Đạt","Không đạt")</f>
        <v>Không đạt</v>
      </c>
      <c r="CQ79" s="213" t="str">
        <f t="shared" ref="CQ79:CQ142" si="83">IF(BM79&gt;43.8%,"Đạt","Không đạt")</f>
        <v>Không đạt</v>
      </c>
      <c r="CR79" s="192"/>
      <c r="CS79" s="257">
        <f t="shared" si="78"/>
        <v>0</v>
      </c>
      <c r="CT79" s="223"/>
      <c r="CU79" s="163"/>
      <c r="CW79" s="195"/>
      <c r="CX79" s="196"/>
      <c r="CY79" s="196"/>
      <c r="CZ79" s="197"/>
      <c r="DA79" s="196"/>
      <c r="DB79" s="196"/>
      <c r="DC79" s="196"/>
      <c r="DE79" s="199"/>
      <c r="DF79" s="200"/>
      <c r="DG79" s="181"/>
    </row>
    <row r="80" spans="1:113" ht="25.5" hidden="1" outlineLevel="1" x14ac:dyDescent="0.25">
      <c r="A80" s="192">
        <f>MAX(A$69:$B79)+1</f>
        <v>10</v>
      </c>
      <c r="B80" s="222" t="s">
        <v>217</v>
      </c>
      <c r="C80" s="222">
        <v>8071361</v>
      </c>
      <c r="D80" s="214">
        <f>E80+F80</f>
        <v>24000</v>
      </c>
      <c r="E80" s="214"/>
      <c r="F80" s="214">
        <f>G80+H80+K80+M80</f>
        <v>24000</v>
      </c>
      <c r="G80" s="257">
        <v>5000</v>
      </c>
      <c r="H80" s="257">
        <v>19000</v>
      </c>
      <c r="I80" s="235">
        <v>1700</v>
      </c>
      <c r="J80" s="235">
        <v>1700</v>
      </c>
      <c r="K80" s="257"/>
      <c r="L80" s="235"/>
      <c r="M80" s="223"/>
      <c r="N80" s="223"/>
      <c r="O80" s="257">
        <f>G80+I80+L80+N80</f>
        <v>6700</v>
      </c>
      <c r="P80" s="257">
        <v>399.46100000000001</v>
      </c>
      <c r="Q80" s="224">
        <f>P80/$D80</f>
        <v>1.6644208333333334E-2</v>
      </c>
      <c r="R80" s="257">
        <v>1581.63</v>
      </c>
      <c r="S80" s="225">
        <v>6.5901250000000008E-2</v>
      </c>
      <c r="T80" s="225">
        <v>6.9369736842105262E-2</v>
      </c>
      <c r="U80" s="257">
        <v>1593.163</v>
      </c>
      <c r="V80" s="225">
        <v>6.6381791666666662E-2</v>
      </c>
      <c r="W80" s="225">
        <v>6.9875570175438592E-2</v>
      </c>
      <c r="X80" s="257">
        <v>1593.163</v>
      </c>
      <c r="Y80" s="225">
        <v>6.6381791666666662E-2</v>
      </c>
      <c r="Z80" s="225">
        <v>6.9875570175438592E-2</v>
      </c>
      <c r="AA80" s="257">
        <v>1757</v>
      </c>
      <c r="AB80" s="225">
        <v>7.3208333333333334E-2</v>
      </c>
      <c r="AC80" s="225">
        <v>7.7061403508771928E-2</v>
      </c>
      <c r="AD80" s="257">
        <v>3345.9380000000001</v>
      </c>
      <c r="AE80" s="225">
        <v>0.13941408333333333</v>
      </c>
      <c r="AF80" s="225">
        <v>0.14675166666666667</v>
      </c>
      <c r="AG80" s="257">
        <v>3345.9380000000001</v>
      </c>
      <c r="AH80" s="225">
        <v>0.13941408333333333</v>
      </c>
      <c r="AI80" s="225">
        <v>0.14675166666666667</v>
      </c>
      <c r="AJ80" s="257">
        <v>3345.9380000000001</v>
      </c>
      <c r="AK80" s="225">
        <v>0.13941408333333333</v>
      </c>
      <c r="AL80" s="225">
        <v>0.14675166666666667</v>
      </c>
      <c r="AM80" s="257">
        <v>3345.9380000000001</v>
      </c>
      <c r="AN80" s="225">
        <v>0.13941408333333333</v>
      </c>
      <c r="AO80" s="225">
        <v>0.14675166666666667</v>
      </c>
      <c r="AP80" s="225"/>
      <c r="AQ80" s="257">
        <v>3345.9380000000001</v>
      </c>
      <c r="AR80" s="225">
        <v>0.13941408333333333</v>
      </c>
      <c r="AS80" s="225">
        <v>0.14675166666666667</v>
      </c>
      <c r="AT80" s="257">
        <v>3345.9380000000001</v>
      </c>
      <c r="AU80" s="225">
        <v>0.13941408333333333</v>
      </c>
      <c r="AV80" s="225">
        <v>0.14675166666666667</v>
      </c>
      <c r="AW80" s="257">
        <v>3345.9380000000001</v>
      </c>
      <c r="AX80" s="225">
        <v>0.13941408333333333</v>
      </c>
      <c r="AY80" s="225">
        <v>0.14675166666666667</v>
      </c>
      <c r="AZ80" s="257">
        <v>3345.9380000000001</v>
      </c>
      <c r="BA80" s="225">
        <v>0.13941408333333333</v>
      </c>
      <c r="BB80" s="225">
        <v>0.14675166666666667</v>
      </c>
      <c r="BC80" s="257">
        <v>3345.9380000000001</v>
      </c>
      <c r="BD80" s="225">
        <v>0.13941408333333333</v>
      </c>
      <c r="BE80" s="225">
        <v>0.14675166666666667</v>
      </c>
      <c r="BF80" s="257"/>
      <c r="BG80" s="257">
        <v>3828.0419999999995</v>
      </c>
      <c r="BH80" s="225">
        <v>0.15950174999999997</v>
      </c>
      <c r="BI80" s="225">
        <v>0.1678965789473684</v>
      </c>
      <c r="BJ80" s="257">
        <f t="shared" si="75"/>
        <v>22800</v>
      </c>
      <c r="BK80" s="257">
        <v>6522</v>
      </c>
      <c r="BL80" s="225">
        <f>BK80/$D80</f>
        <v>0.27174999999999999</v>
      </c>
      <c r="BM80" s="225">
        <f>BK80/(E80+0.95*F80)</f>
        <v>0.28605263157894739</v>
      </c>
      <c r="BN80" s="205">
        <f t="shared" si="73"/>
        <v>3176.0619999999999</v>
      </c>
      <c r="BO80" s="205"/>
      <c r="BP80" s="227">
        <v>0</v>
      </c>
      <c r="BQ80" s="224">
        <f>BP80/$D80</f>
        <v>0</v>
      </c>
      <c r="BR80" s="227">
        <v>3400</v>
      </c>
      <c r="BS80" s="224">
        <f>BR80/$D80</f>
        <v>0.14166666666666666</v>
      </c>
      <c r="BT80" s="227">
        <v>6800</v>
      </c>
      <c r="BU80" s="224">
        <f>BT80/$D80</f>
        <v>0.28333333333333333</v>
      </c>
      <c r="BV80" s="227">
        <v>10200</v>
      </c>
      <c r="BW80" s="224">
        <f>BV80/$D80</f>
        <v>0.42499999999999999</v>
      </c>
      <c r="BX80" s="227">
        <v>13600</v>
      </c>
      <c r="BY80" s="224">
        <f>BX80/$D80</f>
        <v>0.56666666666666665</v>
      </c>
      <c r="BZ80" s="227">
        <v>17000</v>
      </c>
      <c r="CA80" s="224">
        <f>BZ80/$D80</f>
        <v>0.70833333333333337</v>
      </c>
      <c r="CB80" s="227">
        <v>20400</v>
      </c>
      <c r="CC80" s="224">
        <f>CB80/$D80</f>
        <v>0.85</v>
      </c>
      <c r="CD80" s="227">
        <v>21400</v>
      </c>
      <c r="CE80" s="224">
        <f>CD80/$D80</f>
        <v>0.89166666666666672</v>
      </c>
      <c r="CF80" s="227">
        <v>22800</v>
      </c>
      <c r="CG80" s="224">
        <f>CF80/$D80</f>
        <v>0.95</v>
      </c>
      <c r="CH80" s="227">
        <v>22800</v>
      </c>
      <c r="CI80" s="224">
        <f>CH80/$D80</f>
        <v>0.95</v>
      </c>
      <c r="CJ80" s="227">
        <v>22800</v>
      </c>
      <c r="CK80" s="224">
        <f>CJ80/$D80</f>
        <v>0.95</v>
      </c>
      <c r="CL80" s="227">
        <v>22800</v>
      </c>
      <c r="CM80" s="224">
        <f>CL80/$D80</f>
        <v>0.95</v>
      </c>
      <c r="CN80" s="227">
        <v>22800</v>
      </c>
      <c r="CO80" s="224">
        <f>CN80/$D80</f>
        <v>0.95</v>
      </c>
      <c r="CP80" s="213" t="str">
        <f t="shared" si="82"/>
        <v>Không đạt</v>
      </c>
      <c r="CQ80" s="213" t="str">
        <f t="shared" si="83"/>
        <v>Không đạt</v>
      </c>
      <c r="CR80" s="192"/>
      <c r="CS80" s="257">
        <f t="shared" si="78"/>
        <v>3176.0619999999999</v>
      </c>
      <c r="CT80" s="223"/>
      <c r="CU80" s="163"/>
      <c r="CW80" s="195"/>
      <c r="CX80" s="196"/>
      <c r="CY80" s="196"/>
      <c r="CZ80" s="197"/>
      <c r="DA80" s="196"/>
      <c r="DB80" s="196"/>
      <c r="DC80" s="196"/>
      <c r="DE80" s="199"/>
      <c r="DF80" s="200"/>
      <c r="DG80" s="181"/>
    </row>
    <row r="81" spans="1:111" ht="25.5" hidden="1" outlineLevel="1" x14ac:dyDescent="0.25">
      <c r="A81" s="192">
        <f>MAX(A$69:$B80)+1</f>
        <v>11</v>
      </c>
      <c r="B81" s="222" t="s">
        <v>218</v>
      </c>
      <c r="C81" s="222">
        <v>8157651</v>
      </c>
      <c r="D81" s="214">
        <f>E81+F81</f>
        <v>1000</v>
      </c>
      <c r="E81" s="214"/>
      <c r="F81" s="214">
        <f>G81+H81+K81+M81</f>
        <v>1000</v>
      </c>
      <c r="G81" s="257">
        <v>1000</v>
      </c>
      <c r="H81" s="257"/>
      <c r="I81" s="235"/>
      <c r="J81" s="235"/>
      <c r="K81" s="257"/>
      <c r="L81" s="235"/>
      <c r="M81" s="223"/>
      <c r="N81" s="223"/>
      <c r="O81" s="257">
        <f>G81+I81+L81+N81</f>
        <v>1000</v>
      </c>
      <c r="P81" s="257">
        <v>0</v>
      </c>
      <c r="Q81" s="224">
        <f>P81/$D81</f>
        <v>0</v>
      </c>
      <c r="R81" s="257">
        <v>728.83799999999997</v>
      </c>
      <c r="S81" s="225">
        <v>0.72883799999999999</v>
      </c>
      <c r="T81" s="225">
        <v>0.76719789473684208</v>
      </c>
      <c r="U81" s="257">
        <v>728.83799999999997</v>
      </c>
      <c r="V81" s="225">
        <v>0.72883799999999999</v>
      </c>
      <c r="W81" s="225">
        <v>0.76719789473684208</v>
      </c>
      <c r="X81" s="257">
        <v>728.83799999999997</v>
      </c>
      <c r="Y81" s="225">
        <v>0.72883799999999999</v>
      </c>
      <c r="Z81" s="225">
        <v>0.76719789473684208</v>
      </c>
      <c r="AA81" s="257">
        <v>728.83799999999997</v>
      </c>
      <c r="AB81" s="225">
        <v>0.72883799999999999</v>
      </c>
      <c r="AC81" s="225">
        <v>0.76719789473684208</v>
      </c>
      <c r="AD81" s="257">
        <v>950</v>
      </c>
      <c r="AE81" s="225">
        <v>0.95</v>
      </c>
      <c r="AF81" s="225">
        <v>1</v>
      </c>
      <c r="AG81" s="257">
        <v>950</v>
      </c>
      <c r="AH81" s="225">
        <v>0.95</v>
      </c>
      <c r="AI81" s="225">
        <v>1</v>
      </c>
      <c r="AJ81" s="250">
        <v>950</v>
      </c>
      <c r="AK81" s="225">
        <v>0.95</v>
      </c>
      <c r="AL81" s="225">
        <v>1</v>
      </c>
      <c r="AM81" s="257">
        <v>950</v>
      </c>
      <c r="AN81" s="225">
        <v>0.95</v>
      </c>
      <c r="AO81" s="225">
        <v>1</v>
      </c>
      <c r="AP81" s="225"/>
      <c r="AQ81" s="257">
        <v>950</v>
      </c>
      <c r="AR81" s="225">
        <v>0.95</v>
      </c>
      <c r="AS81" s="225">
        <v>1</v>
      </c>
      <c r="AT81" s="257">
        <v>950</v>
      </c>
      <c r="AU81" s="225">
        <v>0.95</v>
      </c>
      <c r="AV81" s="225">
        <v>1</v>
      </c>
      <c r="AW81" s="257">
        <v>950</v>
      </c>
      <c r="AX81" s="225">
        <v>0.95</v>
      </c>
      <c r="AY81" s="225">
        <v>1</v>
      </c>
      <c r="AZ81" s="257">
        <v>950</v>
      </c>
      <c r="BA81" s="225">
        <v>0.95</v>
      </c>
      <c r="BB81" s="225">
        <v>1</v>
      </c>
      <c r="BC81" s="257">
        <v>950</v>
      </c>
      <c r="BD81" s="225">
        <v>0.95</v>
      </c>
      <c r="BE81" s="225">
        <v>1</v>
      </c>
      <c r="BF81" s="257"/>
      <c r="BG81" s="257">
        <v>950</v>
      </c>
      <c r="BH81" s="225">
        <v>0.95</v>
      </c>
      <c r="BI81" s="225">
        <v>1</v>
      </c>
      <c r="BJ81" s="257">
        <f t="shared" si="75"/>
        <v>950</v>
      </c>
      <c r="BK81" s="257">
        <v>950</v>
      </c>
      <c r="BL81" s="225">
        <f>BK81/$D81</f>
        <v>0.95</v>
      </c>
      <c r="BM81" s="225">
        <f>BK81/(E81+0.95*F81)</f>
        <v>1</v>
      </c>
      <c r="BN81" s="205">
        <f t="shared" si="73"/>
        <v>0</v>
      </c>
      <c r="BO81" s="205"/>
      <c r="BP81" s="227"/>
      <c r="BQ81" s="224">
        <f>BP81/$D81</f>
        <v>0</v>
      </c>
      <c r="BR81" s="227">
        <v>190</v>
      </c>
      <c r="BS81" s="224">
        <f>BR81/$D81</f>
        <v>0.19</v>
      </c>
      <c r="BT81" s="227">
        <v>380</v>
      </c>
      <c r="BU81" s="224">
        <f>BT81/$D81</f>
        <v>0.38</v>
      </c>
      <c r="BV81" s="227">
        <v>570</v>
      </c>
      <c r="BW81" s="224">
        <f>BV81/$D81</f>
        <v>0.56999999999999995</v>
      </c>
      <c r="BX81" s="227">
        <v>760</v>
      </c>
      <c r="BY81" s="224">
        <f>BX81/$D81</f>
        <v>0.76</v>
      </c>
      <c r="BZ81" s="227">
        <v>950</v>
      </c>
      <c r="CA81" s="224">
        <f>BZ81/$D81</f>
        <v>0.95</v>
      </c>
      <c r="CB81" s="227">
        <v>950</v>
      </c>
      <c r="CC81" s="224">
        <f>CB81/$D81</f>
        <v>0.95</v>
      </c>
      <c r="CD81" s="227">
        <v>950</v>
      </c>
      <c r="CE81" s="224">
        <f>CD81/$D81</f>
        <v>0.95</v>
      </c>
      <c r="CF81" s="227">
        <v>950</v>
      </c>
      <c r="CG81" s="224">
        <f>CF81/$D81</f>
        <v>0.95</v>
      </c>
      <c r="CH81" s="227">
        <v>950</v>
      </c>
      <c r="CI81" s="224">
        <f>CH81/$D81</f>
        <v>0.95</v>
      </c>
      <c r="CJ81" s="227">
        <v>950</v>
      </c>
      <c r="CK81" s="224">
        <f>CJ81/$D81</f>
        <v>0.95</v>
      </c>
      <c r="CL81" s="227">
        <v>950</v>
      </c>
      <c r="CM81" s="224">
        <f>CL81/$D81</f>
        <v>0.95</v>
      </c>
      <c r="CN81" s="227">
        <v>950</v>
      </c>
      <c r="CO81" s="224">
        <f>CN81/$D81</f>
        <v>0.95</v>
      </c>
      <c r="CP81" s="213" t="str">
        <f t="shared" si="82"/>
        <v>Đạt</v>
      </c>
      <c r="CQ81" s="213" t="str">
        <f t="shared" si="83"/>
        <v>Đạt</v>
      </c>
      <c r="CR81" s="192"/>
      <c r="CS81" s="257">
        <f t="shared" si="78"/>
        <v>0</v>
      </c>
      <c r="CT81" s="223"/>
      <c r="CU81" s="163"/>
      <c r="CW81" s="195"/>
      <c r="CX81" s="196"/>
      <c r="CY81" s="196"/>
      <c r="CZ81" s="197"/>
      <c r="DA81" s="196"/>
      <c r="DB81" s="196"/>
      <c r="DC81" s="196"/>
      <c r="DE81" s="199"/>
      <c r="DF81" s="200"/>
      <c r="DG81" s="181"/>
    </row>
    <row r="82" spans="1:111" hidden="1" outlineLevel="1" x14ac:dyDescent="0.25">
      <c r="A82" s="256"/>
      <c r="B82" s="210" t="s">
        <v>219</v>
      </c>
      <c r="C82" s="210"/>
      <c r="D82" s="214">
        <f t="shared" si="76"/>
        <v>0</v>
      </c>
      <c r="E82" s="214"/>
      <c r="F82" s="214">
        <f t="shared" si="77"/>
        <v>0</v>
      </c>
      <c r="G82" s="250"/>
      <c r="H82" s="250"/>
      <c r="I82" s="235"/>
      <c r="J82" s="235"/>
      <c r="K82" s="250"/>
      <c r="L82" s="235"/>
      <c r="M82" s="223"/>
      <c r="N82" s="223"/>
      <c r="O82" s="250">
        <f t="shared" si="26"/>
        <v>0</v>
      </c>
      <c r="P82" s="250">
        <v>0</v>
      </c>
      <c r="Q82" s="224" t="e">
        <f t="shared" si="79"/>
        <v>#DIV/0!</v>
      </c>
      <c r="R82" s="250"/>
      <c r="S82" s="225"/>
      <c r="T82" s="225" t="e">
        <v>#DIV/0!</v>
      </c>
      <c r="U82" s="250"/>
      <c r="V82" s="225"/>
      <c r="W82" s="225" t="e">
        <v>#DIV/0!</v>
      </c>
      <c r="X82" s="250"/>
      <c r="Y82" s="225"/>
      <c r="Z82" s="225"/>
      <c r="AA82" s="250"/>
      <c r="AB82" s="225"/>
      <c r="AC82" s="225"/>
      <c r="AD82" s="250"/>
      <c r="AE82" s="225"/>
      <c r="AF82" s="225"/>
      <c r="AG82" s="250"/>
      <c r="AH82" s="225"/>
      <c r="AI82" s="225"/>
      <c r="AJ82" s="257"/>
      <c r="AK82" s="225"/>
      <c r="AL82" s="225"/>
      <c r="AM82" s="250"/>
      <c r="AN82" s="225"/>
      <c r="AO82" s="225"/>
      <c r="AP82" s="225"/>
      <c r="AQ82" s="250"/>
      <c r="AR82" s="225"/>
      <c r="AS82" s="225"/>
      <c r="AT82" s="250"/>
      <c r="AU82" s="225"/>
      <c r="AV82" s="225"/>
      <c r="AW82" s="250"/>
      <c r="AX82" s="225"/>
      <c r="AY82" s="225"/>
      <c r="AZ82" s="250"/>
      <c r="BA82" s="225"/>
      <c r="BB82" s="225"/>
      <c r="BC82" s="250"/>
      <c r="BD82" s="225"/>
      <c r="BE82" s="225"/>
      <c r="BF82" s="250"/>
      <c r="BG82" s="250"/>
      <c r="BH82" s="225"/>
      <c r="BI82" s="225"/>
      <c r="BJ82" s="250">
        <f t="shared" si="75"/>
        <v>0</v>
      </c>
      <c r="BK82" s="250"/>
      <c r="BL82" s="225"/>
      <c r="BM82" s="225"/>
      <c r="BN82" s="205">
        <f t="shared" si="73"/>
        <v>0</v>
      </c>
      <c r="BO82" s="205"/>
      <c r="BP82" s="227"/>
      <c r="BQ82" s="224"/>
      <c r="BR82" s="227"/>
      <c r="BS82" s="224"/>
      <c r="BT82" s="227"/>
      <c r="BU82" s="224"/>
      <c r="BV82" s="227"/>
      <c r="BW82" s="224"/>
      <c r="BX82" s="227"/>
      <c r="BY82" s="224"/>
      <c r="BZ82" s="227"/>
      <c r="CA82" s="224"/>
      <c r="CB82" s="227"/>
      <c r="CC82" s="224"/>
      <c r="CD82" s="227"/>
      <c r="CE82" s="224"/>
      <c r="CF82" s="227"/>
      <c r="CG82" s="224"/>
      <c r="CH82" s="227"/>
      <c r="CI82" s="224"/>
      <c r="CJ82" s="227"/>
      <c r="CK82" s="224"/>
      <c r="CL82" s="227"/>
      <c r="CM82" s="224"/>
      <c r="CN82" s="227"/>
      <c r="CO82" s="224"/>
      <c r="CP82" s="213" t="str">
        <f t="shared" si="82"/>
        <v>Không đạt</v>
      </c>
      <c r="CQ82" s="213" t="str">
        <f t="shared" si="83"/>
        <v>Không đạt</v>
      </c>
      <c r="CR82" s="192"/>
      <c r="CS82" s="250">
        <f t="shared" si="78"/>
        <v>0</v>
      </c>
      <c r="CT82" s="223"/>
      <c r="CU82" s="163"/>
      <c r="CW82" s="195"/>
      <c r="CX82" s="196"/>
      <c r="CY82" s="196"/>
      <c r="CZ82" s="197"/>
      <c r="DA82" s="196"/>
      <c r="DB82" s="196"/>
      <c r="DC82" s="196"/>
      <c r="DE82" s="199"/>
      <c r="DF82" s="200"/>
      <c r="DG82" s="181"/>
    </row>
    <row r="83" spans="1:111" hidden="1" outlineLevel="1" x14ac:dyDescent="0.25">
      <c r="A83" s="192">
        <f>MAX(A$69:$B82)+1</f>
        <v>12</v>
      </c>
      <c r="B83" s="222" t="s">
        <v>220</v>
      </c>
      <c r="C83" s="222" t="s">
        <v>221</v>
      </c>
      <c r="D83" s="214">
        <f t="shared" si="76"/>
        <v>10000</v>
      </c>
      <c r="E83" s="214"/>
      <c r="F83" s="214">
        <f t="shared" si="77"/>
        <v>10000</v>
      </c>
      <c r="G83" s="257">
        <v>5000</v>
      </c>
      <c r="H83" s="257">
        <v>5000</v>
      </c>
      <c r="I83" s="235"/>
      <c r="J83" s="235"/>
      <c r="K83" s="257"/>
      <c r="L83" s="235"/>
      <c r="M83" s="223"/>
      <c r="N83" s="223"/>
      <c r="O83" s="257">
        <f t="shared" si="26"/>
        <v>5000</v>
      </c>
      <c r="P83" s="257">
        <v>0</v>
      </c>
      <c r="Q83" s="224">
        <f t="shared" si="79"/>
        <v>0</v>
      </c>
      <c r="R83" s="257"/>
      <c r="S83" s="225">
        <v>0</v>
      </c>
      <c r="T83" s="225">
        <v>0</v>
      </c>
      <c r="U83" s="257"/>
      <c r="V83" s="225">
        <v>0</v>
      </c>
      <c r="W83" s="225">
        <v>0</v>
      </c>
      <c r="X83" s="257"/>
      <c r="Y83" s="225">
        <v>0</v>
      </c>
      <c r="Z83" s="225">
        <v>0</v>
      </c>
      <c r="AA83" s="257">
        <v>273</v>
      </c>
      <c r="AB83" s="225">
        <v>2.7300000000000001E-2</v>
      </c>
      <c r="AC83" s="225">
        <v>2.8736842105263158E-2</v>
      </c>
      <c r="AD83" s="257">
        <v>273</v>
      </c>
      <c r="AE83" s="225">
        <v>2.7300000000000001E-2</v>
      </c>
      <c r="AF83" s="225">
        <v>2.8736842105263158E-2</v>
      </c>
      <c r="AG83" s="257">
        <v>273</v>
      </c>
      <c r="AH83" s="225">
        <v>2.7300000000000001E-2</v>
      </c>
      <c r="AI83" s="225">
        <v>2.8736842105263158E-2</v>
      </c>
      <c r="AJ83" s="257">
        <v>273</v>
      </c>
      <c r="AK83" s="225">
        <v>2.7300000000000001E-2</v>
      </c>
      <c r="AL83" s="225">
        <v>2.8736842105263158E-2</v>
      </c>
      <c r="AM83" s="257">
        <v>376.20099999999996</v>
      </c>
      <c r="AN83" s="225">
        <v>3.7620099999999997E-2</v>
      </c>
      <c r="AO83" s="225">
        <v>3.9600105263157888E-2</v>
      </c>
      <c r="AP83" s="225"/>
      <c r="AQ83" s="257">
        <v>376.20099999999996</v>
      </c>
      <c r="AR83" s="225">
        <v>3.7620099999999997E-2</v>
      </c>
      <c r="AS83" s="225">
        <v>3.9600105263157888E-2</v>
      </c>
      <c r="AT83" s="257">
        <v>376.20099999999996</v>
      </c>
      <c r="AU83" s="225">
        <v>3.7620099999999997E-2</v>
      </c>
      <c r="AV83" s="225">
        <v>3.9600105263157888E-2</v>
      </c>
      <c r="AW83" s="257">
        <v>376.20099999999996</v>
      </c>
      <c r="AX83" s="225">
        <v>3.7620099999999997E-2</v>
      </c>
      <c r="AY83" s="225">
        <v>3.9600105263157888E-2</v>
      </c>
      <c r="AZ83" s="257">
        <v>376.20099999999996</v>
      </c>
      <c r="BA83" s="225">
        <v>3.7620099999999997E-2</v>
      </c>
      <c r="BB83" s="225">
        <v>3.9600105263157888E-2</v>
      </c>
      <c r="BC83" s="257">
        <v>376.20099999999996</v>
      </c>
      <c r="BD83" s="225">
        <v>3.7620099999999997E-2</v>
      </c>
      <c r="BE83" s="225">
        <v>3.9600105263157888E-2</v>
      </c>
      <c r="BF83" s="257"/>
      <c r="BG83" s="257">
        <v>376.20099999999996</v>
      </c>
      <c r="BH83" s="225">
        <v>3.7620099999999997E-2</v>
      </c>
      <c r="BI83" s="225">
        <v>3.9600105263157888E-2</v>
      </c>
      <c r="BJ83" s="257">
        <f t="shared" si="75"/>
        <v>9500</v>
      </c>
      <c r="BK83" s="257">
        <v>376.20099999999996</v>
      </c>
      <c r="BL83" s="225">
        <f>BK83/$D83</f>
        <v>3.7620099999999997E-2</v>
      </c>
      <c r="BM83" s="225">
        <f t="shared" si="80"/>
        <v>3.9600105263157888E-2</v>
      </c>
      <c r="BN83" s="205">
        <f t="shared" si="73"/>
        <v>103.20099999999996</v>
      </c>
      <c r="BO83" s="205"/>
      <c r="BP83" s="227"/>
      <c r="BQ83" s="224">
        <f t="shared" si="81"/>
        <v>0</v>
      </c>
      <c r="BR83" s="227"/>
      <c r="BS83" s="224">
        <f>BR83/$D83</f>
        <v>0</v>
      </c>
      <c r="BT83" s="227"/>
      <c r="BU83" s="224">
        <f>BT83/$D83</f>
        <v>0</v>
      </c>
      <c r="BV83" s="227"/>
      <c r="BW83" s="224">
        <f>BV83/$D83</f>
        <v>0</v>
      </c>
      <c r="BX83" s="227"/>
      <c r="BY83" s="224">
        <f>BX83/$D83</f>
        <v>0</v>
      </c>
      <c r="BZ83" s="227">
        <v>2000</v>
      </c>
      <c r="CA83" s="224">
        <f>BZ83/$D83</f>
        <v>0.2</v>
      </c>
      <c r="CB83" s="227">
        <v>4000</v>
      </c>
      <c r="CC83" s="224">
        <f>CB83/$D83</f>
        <v>0.4</v>
      </c>
      <c r="CD83" s="227">
        <v>7000</v>
      </c>
      <c r="CE83" s="224">
        <f>CD83/$D83</f>
        <v>0.7</v>
      </c>
      <c r="CF83" s="227">
        <v>9500</v>
      </c>
      <c r="CG83" s="224">
        <f>CF83/$D83</f>
        <v>0.95</v>
      </c>
      <c r="CH83" s="227">
        <v>9500</v>
      </c>
      <c r="CI83" s="224">
        <f>CH83/$D83</f>
        <v>0.95</v>
      </c>
      <c r="CJ83" s="227">
        <v>9500</v>
      </c>
      <c r="CK83" s="224">
        <f>CJ83/$D83</f>
        <v>0.95</v>
      </c>
      <c r="CL83" s="227">
        <v>9500</v>
      </c>
      <c r="CM83" s="224">
        <f>CL83/$D83</f>
        <v>0.95</v>
      </c>
      <c r="CN83" s="227">
        <v>9500</v>
      </c>
      <c r="CO83" s="224">
        <f>CN83/$D83</f>
        <v>0.95</v>
      </c>
      <c r="CP83" s="213" t="str">
        <f t="shared" si="82"/>
        <v>Không đạt</v>
      </c>
      <c r="CQ83" s="213" t="str">
        <f t="shared" si="83"/>
        <v>Không đạt</v>
      </c>
      <c r="CR83" s="192"/>
      <c r="CS83" s="257">
        <f t="shared" si="78"/>
        <v>0</v>
      </c>
      <c r="CT83" s="223"/>
      <c r="CU83" s="163"/>
      <c r="CW83" s="195"/>
      <c r="CX83" s="196"/>
      <c r="CY83" s="196"/>
      <c r="CZ83" s="197"/>
      <c r="DA83" s="196"/>
      <c r="DB83" s="196"/>
      <c r="DC83" s="196"/>
      <c r="DE83" s="199"/>
      <c r="DF83" s="200"/>
      <c r="DG83" s="181"/>
    </row>
    <row r="84" spans="1:111" ht="25.5" hidden="1" outlineLevel="1" x14ac:dyDescent="0.25">
      <c r="A84" s="192">
        <f>MAX(A$69:$B83)+1</f>
        <v>13</v>
      </c>
      <c r="B84" s="222" t="s">
        <v>222</v>
      </c>
      <c r="C84" s="222" t="s">
        <v>223</v>
      </c>
      <c r="D84" s="214">
        <f t="shared" si="76"/>
        <v>20000</v>
      </c>
      <c r="E84" s="214"/>
      <c r="F84" s="214">
        <f t="shared" si="77"/>
        <v>20000</v>
      </c>
      <c r="G84" s="257">
        <v>5000</v>
      </c>
      <c r="H84" s="257">
        <v>15000</v>
      </c>
      <c r="I84" s="235"/>
      <c r="J84" s="235"/>
      <c r="K84" s="257"/>
      <c r="L84" s="235"/>
      <c r="M84" s="223"/>
      <c r="N84" s="223"/>
      <c r="O84" s="257">
        <f t="shared" si="26"/>
        <v>5000</v>
      </c>
      <c r="P84" s="257">
        <v>0</v>
      </c>
      <c r="Q84" s="224">
        <f t="shared" si="79"/>
        <v>0</v>
      </c>
      <c r="R84" s="257"/>
      <c r="S84" s="225">
        <v>0</v>
      </c>
      <c r="T84" s="225">
        <v>0</v>
      </c>
      <c r="U84" s="257"/>
      <c r="V84" s="225">
        <v>0</v>
      </c>
      <c r="W84" s="225">
        <v>0</v>
      </c>
      <c r="X84" s="257"/>
      <c r="Y84" s="225">
        <v>0</v>
      </c>
      <c r="Z84" s="225">
        <v>0</v>
      </c>
      <c r="AA84" s="257"/>
      <c r="AB84" s="225">
        <v>0</v>
      </c>
      <c r="AC84" s="225">
        <v>0</v>
      </c>
      <c r="AD84" s="257"/>
      <c r="AE84" s="225">
        <v>0</v>
      </c>
      <c r="AF84" s="225">
        <v>0</v>
      </c>
      <c r="AG84" s="257"/>
      <c r="AH84" s="225">
        <v>0</v>
      </c>
      <c r="AI84" s="225">
        <v>0</v>
      </c>
      <c r="AJ84" s="257"/>
      <c r="AK84" s="225">
        <v>0</v>
      </c>
      <c r="AL84" s="225">
        <v>0</v>
      </c>
      <c r="AM84" s="257">
        <v>71.393000000000001</v>
      </c>
      <c r="AN84" s="225">
        <v>3.5696500000000002E-3</v>
      </c>
      <c r="AO84" s="225">
        <v>3.7575263157894737E-3</v>
      </c>
      <c r="AP84" s="225"/>
      <c r="AQ84" s="257">
        <v>71.393000000000001</v>
      </c>
      <c r="AR84" s="225">
        <v>3.5696500000000002E-3</v>
      </c>
      <c r="AS84" s="225">
        <v>3.7575263157894737E-3</v>
      </c>
      <c r="AT84" s="257">
        <v>71.393000000000001</v>
      </c>
      <c r="AU84" s="225">
        <v>3.5696500000000002E-3</v>
      </c>
      <c r="AV84" s="225">
        <v>3.7575263157894737E-3</v>
      </c>
      <c r="AW84" s="257">
        <v>71.393000000000001</v>
      </c>
      <c r="AX84" s="225">
        <v>3.5696500000000002E-3</v>
      </c>
      <c r="AY84" s="225">
        <v>3.7575263157894737E-3</v>
      </c>
      <c r="AZ84" s="257">
        <v>165.51600000000002</v>
      </c>
      <c r="BA84" s="225">
        <v>8.2758000000000016E-3</v>
      </c>
      <c r="BB84" s="225">
        <v>8.7113684210526326E-3</v>
      </c>
      <c r="BC84" s="257">
        <v>165.51600000000002</v>
      </c>
      <c r="BD84" s="225">
        <v>8.2758000000000016E-3</v>
      </c>
      <c r="BE84" s="225">
        <v>8.7113684210526326E-3</v>
      </c>
      <c r="BF84" s="257"/>
      <c r="BG84" s="257">
        <v>285.94300000000004</v>
      </c>
      <c r="BH84" s="225">
        <v>1.4297150000000002E-2</v>
      </c>
      <c r="BI84" s="225">
        <v>1.504963157894737E-2</v>
      </c>
      <c r="BJ84" s="257">
        <f t="shared" si="75"/>
        <v>19000</v>
      </c>
      <c r="BK84" s="257">
        <v>285.94300000000004</v>
      </c>
      <c r="BL84" s="225">
        <f>BK84/$D84</f>
        <v>1.4297150000000002E-2</v>
      </c>
      <c r="BM84" s="225">
        <f t="shared" si="80"/>
        <v>1.504963157894737E-2</v>
      </c>
      <c r="BN84" s="205">
        <f t="shared" si="73"/>
        <v>285.94300000000004</v>
      </c>
      <c r="BO84" s="205"/>
      <c r="BP84" s="227"/>
      <c r="BQ84" s="224">
        <f t="shared" si="81"/>
        <v>0</v>
      </c>
      <c r="BR84" s="227">
        <v>260</v>
      </c>
      <c r="BS84" s="224">
        <f>BR84/$D84</f>
        <v>1.2999999999999999E-2</v>
      </c>
      <c r="BT84" s="227">
        <v>710</v>
      </c>
      <c r="BU84" s="224">
        <f>BT84/$D84</f>
        <v>3.5499999999999997E-2</v>
      </c>
      <c r="BV84" s="227">
        <v>1250</v>
      </c>
      <c r="BW84" s="224">
        <f>BV84/$D84</f>
        <v>6.25E-2</v>
      </c>
      <c r="BX84" s="227">
        <v>2250</v>
      </c>
      <c r="BY84" s="224">
        <f>BX84/$D84</f>
        <v>0.1125</v>
      </c>
      <c r="BZ84" s="227">
        <v>3200</v>
      </c>
      <c r="CA84" s="224">
        <f>BZ84/$D84</f>
        <v>0.16</v>
      </c>
      <c r="CB84" s="227">
        <v>5200</v>
      </c>
      <c r="CC84" s="224">
        <f>CB84/$D84</f>
        <v>0.26</v>
      </c>
      <c r="CD84" s="227">
        <v>7300</v>
      </c>
      <c r="CE84" s="224">
        <f>CD84/$D84</f>
        <v>0.36499999999999999</v>
      </c>
      <c r="CF84" s="227">
        <v>9500</v>
      </c>
      <c r="CG84" s="224">
        <f>CF84/$D84</f>
        <v>0.47499999999999998</v>
      </c>
      <c r="CH84" s="227">
        <v>12900</v>
      </c>
      <c r="CI84" s="224">
        <f>CH84/$D84</f>
        <v>0.64500000000000002</v>
      </c>
      <c r="CJ84" s="227">
        <v>16500</v>
      </c>
      <c r="CK84" s="224">
        <f>CJ84/$D84</f>
        <v>0.82499999999999996</v>
      </c>
      <c r="CL84" s="227">
        <v>19000</v>
      </c>
      <c r="CM84" s="224">
        <f>CL84/$D84</f>
        <v>0.95</v>
      </c>
      <c r="CN84" s="227">
        <v>19000</v>
      </c>
      <c r="CO84" s="224">
        <f>CN84/$D84</f>
        <v>0.95</v>
      </c>
      <c r="CP84" s="213" t="str">
        <f t="shared" si="82"/>
        <v>Không đạt</v>
      </c>
      <c r="CQ84" s="213" t="str">
        <f t="shared" si="83"/>
        <v>Không đạt</v>
      </c>
      <c r="CR84" s="192"/>
      <c r="CS84" s="257">
        <f t="shared" si="78"/>
        <v>120.42700000000002</v>
      </c>
      <c r="CT84" s="223"/>
      <c r="CU84" s="163"/>
      <c r="CW84" s="195"/>
      <c r="CX84" s="196"/>
      <c r="CY84" s="196"/>
      <c r="CZ84" s="197"/>
      <c r="DA84" s="196"/>
      <c r="DB84" s="196"/>
      <c r="DC84" s="196"/>
      <c r="DE84" s="199"/>
      <c r="DF84" s="200"/>
      <c r="DG84" s="181"/>
    </row>
    <row r="85" spans="1:111" ht="25.5" hidden="1" outlineLevel="1" x14ac:dyDescent="0.25">
      <c r="A85" s="192">
        <f>MAX(A$69:$B84)+1</f>
        <v>14</v>
      </c>
      <c r="B85" s="222" t="s">
        <v>224</v>
      </c>
      <c r="C85" s="222" t="s">
        <v>225</v>
      </c>
      <c r="D85" s="214">
        <f t="shared" si="76"/>
        <v>6000</v>
      </c>
      <c r="E85" s="214"/>
      <c r="F85" s="214">
        <f t="shared" si="77"/>
        <v>6000</v>
      </c>
      <c r="G85" s="257">
        <v>3000</v>
      </c>
      <c r="H85" s="257">
        <v>3000</v>
      </c>
      <c r="I85" s="235"/>
      <c r="J85" s="235"/>
      <c r="K85" s="257"/>
      <c r="L85" s="235"/>
      <c r="M85" s="223"/>
      <c r="N85" s="223"/>
      <c r="O85" s="257">
        <f t="shared" si="26"/>
        <v>3000</v>
      </c>
      <c r="P85" s="257">
        <v>0</v>
      </c>
      <c r="Q85" s="224">
        <f t="shared" si="79"/>
        <v>0</v>
      </c>
      <c r="R85" s="257"/>
      <c r="S85" s="225">
        <v>0</v>
      </c>
      <c r="T85" s="225">
        <v>0</v>
      </c>
      <c r="U85" s="257"/>
      <c r="V85" s="225">
        <v>0</v>
      </c>
      <c r="W85" s="225">
        <v>0</v>
      </c>
      <c r="X85" s="257"/>
      <c r="Y85" s="225">
        <v>0</v>
      </c>
      <c r="Z85" s="225">
        <v>0</v>
      </c>
      <c r="AA85" s="257"/>
      <c r="AB85" s="225">
        <v>0</v>
      </c>
      <c r="AC85" s="225">
        <v>0</v>
      </c>
      <c r="AD85" s="257">
        <v>1874.645</v>
      </c>
      <c r="AE85" s="225">
        <v>0.31244083333333333</v>
      </c>
      <c r="AF85" s="225">
        <v>0.32888508771929825</v>
      </c>
      <c r="AG85" s="257">
        <v>1874.645</v>
      </c>
      <c r="AH85" s="225">
        <v>0.31244083333333333</v>
      </c>
      <c r="AI85" s="225">
        <v>0.32888508771929825</v>
      </c>
      <c r="AJ85" s="250">
        <v>1874.645</v>
      </c>
      <c r="AK85" s="225">
        <v>0.31244083333333333</v>
      </c>
      <c r="AL85" s="225">
        <v>0.32888508771929825</v>
      </c>
      <c r="AM85" s="257">
        <v>1874.645</v>
      </c>
      <c r="AN85" s="225">
        <v>0.31244083333333333</v>
      </c>
      <c r="AO85" s="225">
        <v>0.32888508771929825</v>
      </c>
      <c r="AP85" s="225"/>
      <c r="AQ85" s="257">
        <v>1874.645</v>
      </c>
      <c r="AR85" s="225">
        <v>0.31244083333333333</v>
      </c>
      <c r="AS85" s="225">
        <v>0.32888508771929825</v>
      </c>
      <c r="AT85" s="257">
        <v>1874.645</v>
      </c>
      <c r="AU85" s="225">
        <v>0.31244083333333333</v>
      </c>
      <c r="AV85" s="225">
        <v>0.32888508771929825</v>
      </c>
      <c r="AW85" s="257">
        <v>1874.645</v>
      </c>
      <c r="AX85" s="225">
        <v>0.31244083333333333</v>
      </c>
      <c r="AY85" s="225">
        <v>0.32888508771929825</v>
      </c>
      <c r="AZ85" s="257">
        <v>1874.645</v>
      </c>
      <c r="BA85" s="225">
        <v>0.31244083333333333</v>
      </c>
      <c r="BB85" s="225">
        <v>0.32888508771929825</v>
      </c>
      <c r="BC85" s="257">
        <v>1874.645</v>
      </c>
      <c r="BD85" s="225">
        <v>0.31244083333333333</v>
      </c>
      <c r="BE85" s="225">
        <v>0.32888508771929825</v>
      </c>
      <c r="BF85" s="257"/>
      <c r="BG85" s="257">
        <v>2410.6590000000001</v>
      </c>
      <c r="BH85" s="225">
        <v>0.40177650000000004</v>
      </c>
      <c r="BI85" s="225">
        <v>0.42292263157894738</v>
      </c>
      <c r="BJ85" s="257">
        <f t="shared" si="75"/>
        <v>5700</v>
      </c>
      <c r="BK85" s="257">
        <v>2410.6590000000001</v>
      </c>
      <c r="BL85" s="225">
        <f>BK85/$D85</f>
        <v>0.40177650000000004</v>
      </c>
      <c r="BM85" s="225">
        <f t="shared" si="80"/>
        <v>0.42292263157894738</v>
      </c>
      <c r="BN85" s="205">
        <f t="shared" si="73"/>
        <v>536.01400000000012</v>
      </c>
      <c r="BO85" s="205"/>
      <c r="BP85" s="227"/>
      <c r="BQ85" s="224">
        <f t="shared" si="81"/>
        <v>0</v>
      </c>
      <c r="BR85" s="227"/>
      <c r="BS85" s="224">
        <f>BR85/$D85</f>
        <v>0</v>
      </c>
      <c r="BT85" s="227"/>
      <c r="BU85" s="224">
        <f>BT85/$D85</f>
        <v>0</v>
      </c>
      <c r="BV85" s="227">
        <v>2700</v>
      </c>
      <c r="BW85" s="224">
        <f>BV85/$D85</f>
        <v>0.45</v>
      </c>
      <c r="BX85" s="227">
        <v>5700</v>
      </c>
      <c r="BY85" s="224">
        <f>BX85/$D85</f>
        <v>0.95</v>
      </c>
      <c r="BZ85" s="227">
        <v>5700</v>
      </c>
      <c r="CA85" s="224">
        <f>BZ85/$D85</f>
        <v>0.95</v>
      </c>
      <c r="CB85" s="227">
        <v>5700</v>
      </c>
      <c r="CC85" s="224">
        <f>CB85/$D85</f>
        <v>0.95</v>
      </c>
      <c r="CD85" s="227">
        <v>5700</v>
      </c>
      <c r="CE85" s="224">
        <f>CD85/$D85</f>
        <v>0.95</v>
      </c>
      <c r="CF85" s="227">
        <v>5700</v>
      </c>
      <c r="CG85" s="224">
        <f>CF85/$D85</f>
        <v>0.95</v>
      </c>
      <c r="CH85" s="227">
        <v>5700</v>
      </c>
      <c r="CI85" s="224">
        <f>CH85/$D85</f>
        <v>0.95</v>
      </c>
      <c r="CJ85" s="227">
        <v>5700</v>
      </c>
      <c r="CK85" s="224">
        <f>CJ85/$D85</f>
        <v>0.95</v>
      </c>
      <c r="CL85" s="227">
        <v>5700</v>
      </c>
      <c r="CM85" s="224">
        <f>CL85/$D85</f>
        <v>0.95</v>
      </c>
      <c r="CN85" s="227">
        <v>5700</v>
      </c>
      <c r="CO85" s="224">
        <f>CN85/$D85</f>
        <v>0.95</v>
      </c>
      <c r="CP85" s="213" t="str">
        <f t="shared" si="82"/>
        <v>Đạt</v>
      </c>
      <c r="CQ85" s="213" t="str">
        <f t="shared" si="83"/>
        <v>Không đạt</v>
      </c>
      <c r="CR85" s="192"/>
      <c r="CS85" s="257">
        <f t="shared" si="78"/>
        <v>536.01400000000012</v>
      </c>
      <c r="CT85" s="223"/>
      <c r="CU85" s="163"/>
      <c r="CW85" s="195"/>
      <c r="CX85" s="196"/>
      <c r="CY85" s="196"/>
      <c r="CZ85" s="197"/>
      <c r="DA85" s="196"/>
      <c r="DB85" s="196"/>
      <c r="DC85" s="196"/>
      <c r="DE85" s="199"/>
      <c r="DF85" s="200"/>
      <c r="DG85" s="181"/>
    </row>
    <row r="86" spans="1:111" ht="25.5" hidden="1" outlineLevel="1" x14ac:dyDescent="0.25">
      <c r="A86" s="192">
        <f>MAX(A$69:$B85)+1</f>
        <v>15</v>
      </c>
      <c r="B86" s="222" t="s">
        <v>226</v>
      </c>
      <c r="C86" s="222" t="s">
        <v>227</v>
      </c>
      <c r="D86" s="214">
        <f>E86+F86</f>
        <v>39402</v>
      </c>
      <c r="E86" s="214"/>
      <c r="F86" s="214">
        <f>G86+H86+K86+M86</f>
        <v>39402</v>
      </c>
      <c r="G86" s="257">
        <f>20000+6350</f>
        <v>26350</v>
      </c>
      <c r="H86" s="257">
        <v>13052</v>
      </c>
      <c r="I86" s="235"/>
      <c r="J86" s="235"/>
      <c r="K86" s="257"/>
      <c r="L86" s="235"/>
      <c r="M86" s="223"/>
      <c r="N86" s="223"/>
      <c r="O86" s="257">
        <f>G86+I86+L86+N86</f>
        <v>26350</v>
      </c>
      <c r="P86" s="257">
        <v>0</v>
      </c>
      <c r="Q86" s="224">
        <f>P86/$D86</f>
        <v>0</v>
      </c>
      <c r="R86" s="257"/>
      <c r="S86" s="225">
        <v>0</v>
      </c>
      <c r="T86" s="225">
        <v>0</v>
      </c>
      <c r="U86" s="257"/>
      <c r="V86" s="225">
        <v>0</v>
      </c>
      <c r="W86" s="225">
        <v>0</v>
      </c>
      <c r="X86" s="257"/>
      <c r="Y86" s="225">
        <v>0</v>
      </c>
      <c r="Z86" s="225">
        <v>0</v>
      </c>
      <c r="AA86" s="257"/>
      <c r="AB86" s="225">
        <v>0</v>
      </c>
      <c r="AC86" s="225">
        <v>0</v>
      </c>
      <c r="AD86" s="257"/>
      <c r="AE86" s="225">
        <v>0</v>
      </c>
      <c r="AF86" s="225">
        <v>0</v>
      </c>
      <c r="AG86" s="257"/>
      <c r="AH86" s="225">
        <v>0</v>
      </c>
      <c r="AI86" s="225">
        <v>0</v>
      </c>
      <c r="AJ86" s="250"/>
      <c r="AK86" s="225">
        <v>0</v>
      </c>
      <c r="AL86" s="225">
        <v>0</v>
      </c>
      <c r="AM86" s="257"/>
      <c r="AN86" s="225">
        <v>0</v>
      </c>
      <c r="AO86" s="225">
        <v>0</v>
      </c>
      <c r="AP86" s="225"/>
      <c r="AQ86" s="257">
        <v>9668.5220000000008</v>
      </c>
      <c r="AR86" s="225">
        <v>0.48342610000000003</v>
      </c>
      <c r="AS86" s="225">
        <v>0.50886957894736851</v>
      </c>
      <c r="AT86" s="257">
        <v>9668.5220000000008</v>
      </c>
      <c r="AU86" s="225">
        <v>0.48342610000000003</v>
      </c>
      <c r="AV86" s="225">
        <v>0.50886957894736851</v>
      </c>
      <c r="AW86" s="257">
        <v>9668.5220000000008</v>
      </c>
      <c r="AX86" s="225">
        <v>0.48342610000000003</v>
      </c>
      <c r="AY86" s="225">
        <v>0.50886957894736851</v>
      </c>
      <c r="AZ86" s="257">
        <v>9905.3379999999979</v>
      </c>
      <c r="BA86" s="225">
        <v>0.4952668999999999</v>
      </c>
      <c r="BB86" s="225">
        <v>0.52133357894736831</v>
      </c>
      <c r="BC86" s="257">
        <v>9905.3379999999979</v>
      </c>
      <c r="BD86" s="225">
        <v>0.4952668999999999</v>
      </c>
      <c r="BE86" s="225">
        <v>0.52133357894736831</v>
      </c>
      <c r="BF86" s="257"/>
      <c r="BG86" s="257">
        <v>14367.805999999999</v>
      </c>
      <c r="BH86" s="225">
        <v>0.36464661692299882</v>
      </c>
      <c r="BI86" s="225">
        <v>0.38383854412947238</v>
      </c>
      <c r="BJ86" s="257">
        <f t="shared" si="75"/>
        <v>37431.9</v>
      </c>
      <c r="BK86" s="257">
        <v>14367.805999999999</v>
      </c>
      <c r="BL86" s="225">
        <f>BK86/$D86</f>
        <v>0.36464661692299882</v>
      </c>
      <c r="BM86" s="225">
        <f>BK86/(E86+0.95*F86)</f>
        <v>0.38383854412947238</v>
      </c>
      <c r="BN86" s="205">
        <f t="shared" si="73"/>
        <v>14367.805999999999</v>
      </c>
      <c r="BO86" s="205"/>
      <c r="BP86" s="227"/>
      <c r="BQ86" s="224">
        <f>BP86/$D86</f>
        <v>0</v>
      </c>
      <c r="BR86" s="227"/>
      <c r="BS86" s="224">
        <f>BR86/$D86</f>
        <v>0</v>
      </c>
      <c r="BT86" s="227">
        <v>5700</v>
      </c>
      <c r="BU86" s="224">
        <f>BT86/$D86</f>
        <v>0.14466270747677784</v>
      </c>
      <c r="BV86" s="227">
        <v>9200</v>
      </c>
      <c r="BW86" s="224">
        <f>BV86/$D86</f>
        <v>0.23349068575199228</v>
      </c>
      <c r="BX86" s="227">
        <v>12700</v>
      </c>
      <c r="BY86" s="224">
        <f>BX86/$D86</f>
        <v>0.32231866402720671</v>
      </c>
      <c r="BZ86" s="227">
        <v>12700</v>
      </c>
      <c r="CA86" s="224">
        <f>BZ86/$D86</f>
        <v>0.32231866402720671</v>
      </c>
      <c r="CB86" s="227">
        <v>19000</v>
      </c>
      <c r="CC86" s="224">
        <f>CB86/$D86</f>
        <v>0.48220902492259277</v>
      </c>
      <c r="CD86" s="227">
        <v>19000</v>
      </c>
      <c r="CE86" s="224">
        <f>CD86/$D86</f>
        <v>0.48220902492259277</v>
      </c>
      <c r="CF86" s="227">
        <v>19000</v>
      </c>
      <c r="CG86" s="224">
        <f>CF86/$D86</f>
        <v>0.48220902492259277</v>
      </c>
      <c r="CH86" s="227">
        <v>19000</v>
      </c>
      <c r="CI86" s="224">
        <f>CH86/$D86</f>
        <v>0.48220902492259277</v>
      </c>
      <c r="CJ86" s="227">
        <v>19000</v>
      </c>
      <c r="CK86" s="224">
        <f>CJ86/$D86</f>
        <v>0.48220902492259277</v>
      </c>
      <c r="CL86" s="227">
        <v>19000</v>
      </c>
      <c r="CM86" s="224">
        <f>CL86/$D86</f>
        <v>0.48220902492259277</v>
      </c>
      <c r="CN86" s="227">
        <v>19000</v>
      </c>
      <c r="CO86" s="224">
        <f>CN86/$D86</f>
        <v>0.48220902492259277</v>
      </c>
      <c r="CP86" s="213" t="str">
        <f t="shared" si="82"/>
        <v>Đạt</v>
      </c>
      <c r="CQ86" s="213" t="str">
        <f t="shared" si="83"/>
        <v>Không đạt</v>
      </c>
      <c r="CR86" s="192"/>
      <c r="CS86" s="257">
        <f t="shared" si="78"/>
        <v>4462.4680000000008</v>
      </c>
      <c r="CT86" s="223"/>
      <c r="CU86" s="163"/>
      <c r="CW86" s="195"/>
      <c r="CX86" s="196"/>
      <c r="CY86" s="196"/>
      <c r="CZ86" s="197"/>
      <c r="DA86" s="196"/>
      <c r="DB86" s="196"/>
      <c r="DC86" s="196"/>
      <c r="DE86" s="199"/>
      <c r="DF86" s="200"/>
      <c r="DG86" s="181"/>
    </row>
    <row r="87" spans="1:111" hidden="1" outlineLevel="1" x14ac:dyDescent="0.25">
      <c r="A87" s="256"/>
      <c r="B87" s="210" t="s">
        <v>228</v>
      </c>
      <c r="C87" s="210"/>
      <c r="D87" s="214">
        <f t="shared" si="76"/>
        <v>0</v>
      </c>
      <c r="E87" s="214"/>
      <c r="F87" s="214">
        <f t="shared" si="77"/>
        <v>0</v>
      </c>
      <c r="G87" s="250"/>
      <c r="H87" s="250"/>
      <c r="I87" s="235"/>
      <c r="J87" s="235"/>
      <c r="K87" s="250"/>
      <c r="L87" s="235"/>
      <c r="M87" s="223"/>
      <c r="N87" s="223"/>
      <c r="O87" s="250">
        <f t="shared" ref="O87:O150" si="84">G87+I87+L87+N87</f>
        <v>0</v>
      </c>
      <c r="P87" s="250">
        <v>0</v>
      </c>
      <c r="Q87" s="224" t="e">
        <f t="shared" si="79"/>
        <v>#DIV/0!</v>
      </c>
      <c r="R87" s="250"/>
      <c r="S87" s="225"/>
      <c r="T87" s="225" t="e">
        <v>#DIV/0!</v>
      </c>
      <c r="U87" s="250"/>
      <c r="V87" s="225"/>
      <c r="W87" s="225" t="e">
        <v>#DIV/0!</v>
      </c>
      <c r="X87" s="250"/>
      <c r="Y87" s="225"/>
      <c r="Z87" s="225"/>
      <c r="AA87" s="250"/>
      <c r="AB87" s="225"/>
      <c r="AC87" s="225"/>
      <c r="AD87" s="250"/>
      <c r="AE87" s="225"/>
      <c r="AF87" s="225"/>
      <c r="AG87" s="250"/>
      <c r="AH87" s="225"/>
      <c r="AI87" s="225"/>
      <c r="AJ87" s="257"/>
      <c r="AK87" s="225"/>
      <c r="AL87" s="225"/>
      <c r="AM87" s="250"/>
      <c r="AN87" s="225"/>
      <c r="AO87" s="225"/>
      <c r="AP87" s="225"/>
      <c r="AQ87" s="250"/>
      <c r="AR87" s="225"/>
      <c r="AS87" s="225"/>
      <c r="AT87" s="250"/>
      <c r="AU87" s="225"/>
      <c r="AV87" s="225"/>
      <c r="AW87" s="250"/>
      <c r="AX87" s="225"/>
      <c r="AY87" s="225"/>
      <c r="AZ87" s="250"/>
      <c r="BA87" s="225"/>
      <c r="BB87" s="225"/>
      <c r="BC87" s="250"/>
      <c r="BD87" s="225"/>
      <c r="BE87" s="225"/>
      <c r="BF87" s="250"/>
      <c r="BG87" s="250"/>
      <c r="BH87" s="225"/>
      <c r="BI87" s="225"/>
      <c r="BJ87" s="250">
        <f t="shared" si="75"/>
        <v>0</v>
      </c>
      <c r="BK87" s="250"/>
      <c r="BL87" s="225"/>
      <c r="BM87" s="225"/>
      <c r="BN87" s="205">
        <f t="shared" si="73"/>
        <v>0</v>
      </c>
      <c r="BO87" s="205"/>
      <c r="BP87" s="227"/>
      <c r="BQ87" s="224"/>
      <c r="BR87" s="227"/>
      <c r="BS87" s="224"/>
      <c r="BT87" s="227"/>
      <c r="BU87" s="224"/>
      <c r="BV87" s="227"/>
      <c r="BW87" s="224"/>
      <c r="BX87" s="227"/>
      <c r="BY87" s="224"/>
      <c r="BZ87" s="227"/>
      <c r="CA87" s="224"/>
      <c r="CB87" s="227"/>
      <c r="CC87" s="224"/>
      <c r="CD87" s="227"/>
      <c r="CE87" s="224"/>
      <c r="CF87" s="227"/>
      <c r="CG87" s="224"/>
      <c r="CH87" s="227"/>
      <c r="CI87" s="224"/>
      <c r="CJ87" s="227"/>
      <c r="CK87" s="224"/>
      <c r="CL87" s="227"/>
      <c r="CM87" s="224"/>
      <c r="CN87" s="227"/>
      <c r="CO87" s="224"/>
      <c r="CP87" s="213" t="str">
        <f t="shared" si="82"/>
        <v>Không đạt</v>
      </c>
      <c r="CQ87" s="213" t="str">
        <f t="shared" si="83"/>
        <v>Không đạt</v>
      </c>
      <c r="CR87" s="192"/>
      <c r="CS87" s="250">
        <f t="shared" si="78"/>
        <v>0</v>
      </c>
      <c r="CT87" s="223"/>
      <c r="CU87" s="163"/>
      <c r="CW87" s="195"/>
      <c r="CX87" s="196"/>
      <c r="CY87" s="196"/>
      <c r="CZ87" s="197"/>
      <c r="DA87" s="196"/>
      <c r="DB87" s="196"/>
      <c r="DC87" s="196"/>
      <c r="DE87" s="199"/>
      <c r="DF87" s="200"/>
      <c r="DG87" s="181"/>
    </row>
    <row r="88" spans="1:111" hidden="1" outlineLevel="1" x14ac:dyDescent="0.25">
      <c r="A88" s="192">
        <f>MAX(A$69:$B87)+1</f>
        <v>16</v>
      </c>
      <c r="B88" s="222" t="s">
        <v>229</v>
      </c>
      <c r="C88" s="222"/>
      <c r="D88" s="214">
        <f t="shared" si="76"/>
        <v>3500</v>
      </c>
      <c r="E88" s="214"/>
      <c r="F88" s="214">
        <f t="shared" si="77"/>
        <v>3500</v>
      </c>
      <c r="G88" s="257"/>
      <c r="H88" s="257">
        <v>3500</v>
      </c>
      <c r="I88" s="235"/>
      <c r="J88" s="235"/>
      <c r="K88" s="257"/>
      <c r="L88" s="235"/>
      <c r="M88" s="223"/>
      <c r="N88" s="223"/>
      <c r="O88" s="257">
        <f t="shared" si="84"/>
        <v>0</v>
      </c>
      <c r="P88" s="257">
        <v>0</v>
      </c>
      <c r="Q88" s="224">
        <f t="shared" si="79"/>
        <v>0</v>
      </c>
      <c r="R88" s="257">
        <v>0</v>
      </c>
      <c r="S88" s="225">
        <v>0</v>
      </c>
      <c r="T88" s="225">
        <v>0</v>
      </c>
      <c r="U88" s="257">
        <v>0</v>
      </c>
      <c r="V88" s="225">
        <v>0</v>
      </c>
      <c r="W88" s="225">
        <v>0</v>
      </c>
      <c r="X88" s="257">
        <v>0</v>
      </c>
      <c r="Y88" s="225">
        <v>0</v>
      </c>
      <c r="Z88" s="225">
        <v>0</v>
      </c>
      <c r="AA88" s="257">
        <v>0</v>
      </c>
      <c r="AB88" s="225">
        <v>0</v>
      </c>
      <c r="AC88" s="225">
        <v>0</v>
      </c>
      <c r="AD88" s="257">
        <v>0</v>
      </c>
      <c r="AE88" s="225">
        <v>0</v>
      </c>
      <c r="AF88" s="225">
        <v>0</v>
      </c>
      <c r="AG88" s="257">
        <v>0</v>
      </c>
      <c r="AH88" s="225">
        <v>0</v>
      </c>
      <c r="AI88" s="225">
        <v>0</v>
      </c>
      <c r="AJ88" s="257">
        <v>0</v>
      </c>
      <c r="AK88" s="225">
        <v>0</v>
      </c>
      <c r="AL88" s="225">
        <v>0</v>
      </c>
      <c r="AM88" s="257">
        <v>0</v>
      </c>
      <c r="AN88" s="225">
        <v>0</v>
      </c>
      <c r="AO88" s="225">
        <v>0</v>
      </c>
      <c r="AP88" s="225"/>
      <c r="AQ88" s="257">
        <v>0</v>
      </c>
      <c r="AR88" s="225">
        <v>0</v>
      </c>
      <c r="AS88" s="225">
        <v>0</v>
      </c>
      <c r="AT88" s="257">
        <v>0</v>
      </c>
      <c r="AU88" s="225">
        <v>0</v>
      </c>
      <c r="AV88" s="225">
        <v>0</v>
      </c>
      <c r="AW88" s="257">
        <v>0</v>
      </c>
      <c r="AX88" s="225">
        <v>0</v>
      </c>
      <c r="AY88" s="225">
        <v>0</v>
      </c>
      <c r="AZ88" s="257">
        <v>0</v>
      </c>
      <c r="BA88" s="225">
        <v>0</v>
      </c>
      <c r="BB88" s="225">
        <v>0</v>
      </c>
      <c r="BC88" s="257">
        <v>0</v>
      </c>
      <c r="BD88" s="225">
        <v>0</v>
      </c>
      <c r="BE88" s="225">
        <v>0</v>
      </c>
      <c r="BF88" s="257"/>
      <c r="BG88" s="257">
        <v>0</v>
      </c>
      <c r="BH88" s="225">
        <v>0</v>
      </c>
      <c r="BI88" s="225">
        <v>0</v>
      </c>
      <c r="BJ88" s="257">
        <f t="shared" si="75"/>
        <v>3325</v>
      </c>
      <c r="BK88" s="257">
        <v>0</v>
      </c>
      <c r="BL88" s="225">
        <f t="shared" ref="BL88:BL94" si="85">BK88/$D88</f>
        <v>0</v>
      </c>
      <c r="BM88" s="225">
        <f t="shared" si="80"/>
        <v>0</v>
      </c>
      <c r="BN88" s="205">
        <f t="shared" si="73"/>
        <v>0</v>
      </c>
      <c r="BO88" s="205"/>
      <c r="BP88" s="227">
        <v>0</v>
      </c>
      <c r="BQ88" s="224">
        <f t="shared" si="81"/>
        <v>0</v>
      </c>
      <c r="BR88" s="227">
        <v>0</v>
      </c>
      <c r="BS88" s="224">
        <f t="shared" ref="BS88:BS94" si="86">BR88/$D88</f>
        <v>0</v>
      </c>
      <c r="BT88" s="227">
        <v>0</v>
      </c>
      <c r="BU88" s="224">
        <f t="shared" ref="BU88:BU94" si="87">BT88/$D88</f>
        <v>0</v>
      </c>
      <c r="BV88" s="227">
        <v>0</v>
      </c>
      <c r="BW88" s="224">
        <f t="shared" ref="BW88:BW94" si="88">BV88/$D88</f>
        <v>0</v>
      </c>
      <c r="BX88" s="227">
        <v>500</v>
      </c>
      <c r="BY88" s="224">
        <f t="shared" ref="BY88:BY94" si="89">BX88/$D88</f>
        <v>0.14285714285714285</v>
      </c>
      <c r="BZ88" s="227">
        <v>1500</v>
      </c>
      <c r="CA88" s="224">
        <f t="shared" ref="CA88:CA94" si="90">BZ88/$D88</f>
        <v>0.42857142857142855</v>
      </c>
      <c r="CB88" s="227">
        <v>2500</v>
      </c>
      <c r="CC88" s="224">
        <f t="shared" ref="CC88:CC94" si="91">CB88/$D88</f>
        <v>0.7142857142857143</v>
      </c>
      <c r="CD88" s="227">
        <v>3325</v>
      </c>
      <c r="CE88" s="224">
        <f t="shared" ref="CE88:CE94" si="92">CD88/$D88</f>
        <v>0.95</v>
      </c>
      <c r="CF88" s="227">
        <v>3325</v>
      </c>
      <c r="CG88" s="224">
        <f t="shared" ref="CG88:CG94" si="93">CF88/$D88</f>
        <v>0.95</v>
      </c>
      <c r="CH88" s="227">
        <v>3325</v>
      </c>
      <c r="CI88" s="224">
        <f t="shared" ref="CI88:CI94" si="94">CH88/$D88</f>
        <v>0.95</v>
      </c>
      <c r="CJ88" s="227">
        <v>3325</v>
      </c>
      <c r="CK88" s="224">
        <f t="shared" ref="CK88:CK94" si="95">CJ88/$D88</f>
        <v>0.95</v>
      </c>
      <c r="CL88" s="227">
        <v>3325</v>
      </c>
      <c r="CM88" s="224">
        <f t="shared" ref="CM88:CM94" si="96">CL88/$D88</f>
        <v>0.95</v>
      </c>
      <c r="CN88" s="227">
        <v>3325</v>
      </c>
      <c r="CO88" s="224">
        <f t="shared" ref="CO88:CO94" si="97">CN88/$D88</f>
        <v>0.95</v>
      </c>
      <c r="CP88" s="213" t="str">
        <f t="shared" si="82"/>
        <v>Không đạt</v>
      </c>
      <c r="CQ88" s="213" t="str">
        <f t="shared" si="83"/>
        <v>Không đạt</v>
      </c>
      <c r="CR88" s="192"/>
      <c r="CS88" s="257">
        <f t="shared" si="78"/>
        <v>0</v>
      </c>
      <c r="CT88" s="223"/>
      <c r="CU88" s="163"/>
      <c r="CW88" s="195"/>
      <c r="CX88" s="196"/>
      <c r="CY88" s="196"/>
      <c r="CZ88" s="197"/>
      <c r="DA88" s="196"/>
      <c r="DB88" s="196"/>
      <c r="DC88" s="196"/>
      <c r="DE88" s="199"/>
      <c r="DF88" s="200"/>
      <c r="DG88" s="181"/>
    </row>
    <row r="89" spans="1:111" ht="25.5" hidden="1" outlineLevel="1" x14ac:dyDescent="0.25">
      <c r="A89" s="192">
        <f>MAX(A$69:$B88)+1</f>
        <v>17</v>
      </c>
      <c r="B89" s="222" t="s">
        <v>230</v>
      </c>
      <c r="C89" s="222" t="s">
        <v>231</v>
      </c>
      <c r="D89" s="214">
        <f t="shared" si="76"/>
        <v>5000</v>
      </c>
      <c r="E89" s="214"/>
      <c r="F89" s="214">
        <f t="shared" si="77"/>
        <v>5000</v>
      </c>
      <c r="G89" s="257">
        <f>5000-5000</f>
        <v>0</v>
      </c>
      <c r="H89" s="257">
        <v>5000</v>
      </c>
      <c r="I89" s="235"/>
      <c r="J89" s="235"/>
      <c r="K89" s="257"/>
      <c r="L89" s="235"/>
      <c r="M89" s="223"/>
      <c r="N89" s="223"/>
      <c r="O89" s="257">
        <f t="shared" si="84"/>
        <v>0</v>
      </c>
      <c r="P89" s="257">
        <v>0</v>
      </c>
      <c r="Q89" s="224">
        <f t="shared" si="79"/>
        <v>0</v>
      </c>
      <c r="R89" s="257">
        <v>0</v>
      </c>
      <c r="S89" s="225">
        <v>0</v>
      </c>
      <c r="T89" s="225">
        <v>0</v>
      </c>
      <c r="U89" s="257">
        <v>0</v>
      </c>
      <c r="V89" s="225">
        <v>0</v>
      </c>
      <c r="W89" s="225">
        <v>0</v>
      </c>
      <c r="X89" s="257">
        <v>0</v>
      </c>
      <c r="Y89" s="225">
        <v>0</v>
      </c>
      <c r="Z89" s="225">
        <v>0</v>
      </c>
      <c r="AA89" s="257">
        <v>43</v>
      </c>
      <c r="AB89" s="225">
        <v>4.3E-3</v>
      </c>
      <c r="AC89" s="225">
        <v>4.5263157894736838E-3</v>
      </c>
      <c r="AD89" s="257">
        <v>43</v>
      </c>
      <c r="AE89" s="225">
        <v>4.3E-3</v>
      </c>
      <c r="AF89" s="225">
        <v>4.5263157894736838E-3</v>
      </c>
      <c r="AG89" s="257">
        <v>43</v>
      </c>
      <c r="AH89" s="225">
        <v>4.3E-3</v>
      </c>
      <c r="AI89" s="225">
        <v>4.5263157894736838E-3</v>
      </c>
      <c r="AJ89" s="257">
        <v>43</v>
      </c>
      <c r="AK89" s="225">
        <v>4.3E-3</v>
      </c>
      <c r="AL89" s="225">
        <v>4.5263157894736838E-3</v>
      </c>
      <c r="AM89" s="257">
        <v>43</v>
      </c>
      <c r="AN89" s="225">
        <v>4.3E-3</v>
      </c>
      <c r="AO89" s="225">
        <v>4.5263157894736838E-3</v>
      </c>
      <c r="AP89" s="225"/>
      <c r="AQ89" s="257">
        <v>43</v>
      </c>
      <c r="AR89" s="225">
        <v>4.3E-3</v>
      </c>
      <c r="AS89" s="225">
        <v>4.5263157894736838E-3</v>
      </c>
      <c r="AT89" s="257">
        <v>43</v>
      </c>
      <c r="AU89" s="225">
        <v>4.3E-3</v>
      </c>
      <c r="AV89" s="225">
        <v>4.5263157894736838E-3</v>
      </c>
      <c r="AW89" s="257">
        <v>43</v>
      </c>
      <c r="AX89" s="225">
        <v>4.3E-3</v>
      </c>
      <c r="AY89" s="225">
        <v>4.5263157894736838E-3</v>
      </c>
      <c r="AZ89" s="257">
        <v>43</v>
      </c>
      <c r="BA89" s="225">
        <v>4.3E-3</v>
      </c>
      <c r="BB89" s="225">
        <v>4.5263157894736838E-3</v>
      </c>
      <c r="BC89" s="257">
        <v>43</v>
      </c>
      <c r="BD89" s="225">
        <v>4.3E-3</v>
      </c>
      <c r="BE89" s="225">
        <v>4.5263157894736838E-3</v>
      </c>
      <c r="BF89" s="257">
        <v>43</v>
      </c>
      <c r="BG89" s="257">
        <v>43</v>
      </c>
      <c r="BH89" s="225">
        <v>8.6E-3</v>
      </c>
      <c r="BI89" s="225">
        <v>9.0526315789473677E-3</v>
      </c>
      <c r="BJ89" s="257">
        <f t="shared" si="75"/>
        <v>4750</v>
      </c>
      <c r="BK89" s="257">
        <v>43</v>
      </c>
      <c r="BL89" s="225">
        <f t="shared" si="85"/>
        <v>8.6E-3</v>
      </c>
      <c r="BM89" s="225">
        <f t="shared" si="80"/>
        <v>9.0526315789473677E-3</v>
      </c>
      <c r="BN89" s="205">
        <f t="shared" si="73"/>
        <v>0</v>
      </c>
      <c r="BO89" s="205"/>
      <c r="BP89" s="227">
        <v>0</v>
      </c>
      <c r="BQ89" s="224">
        <f t="shared" si="81"/>
        <v>0</v>
      </c>
      <c r="BR89" s="227">
        <v>0</v>
      </c>
      <c r="BS89" s="224">
        <f t="shared" si="86"/>
        <v>0</v>
      </c>
      <c r="BT89" s="227">
        <v>0</v>
      </c>
      <c r="BU89" s="224">
        <f t="shared" si="87"/>
        <v>0</v>
      </c>
      <c r="BV89" s="227">
        <v>1250</v>
      </c>
      <c r="BW89" s="224">
        <f t="shared" si="88"/>
        <v>0.25</v>
      </c>
      <c r="BX89" s="227">
        <v>2500</v>
      </c>
      <c r="BY89" s="224">
        <f t="shared" si="89"/>
        <v>0.5</v>
      </c>
      <c r="BZ89" s="227">
        <v>3750</v>
      </c>
      <c r="CA89" s="224">
        <f t="shared" si="90"/>
        <v>0.75</v>
      </c>
      <c r="CB89" s="227">
        <v>5000</v>
      </c>
      <c r="CC89" s="224">
        <f t="shared" si="91"/>
        <v>1</v>
      </c>
      <c r="CD89" s="227">
        <v>6250</v>
      </c>
      <c r="CE89" s="224">
        <f t="shared" si="92"/>
        <v>1.25</v>
      </c>
      <c r="CF89" s="227">
        <v>7500</v>
      </c>
      <c r="CG89" s="224">
        <f t="shared" si="93"/>
        <v>1.5</v>
      </c>
      <c r="CH89" s="227">
        <v>7500</v>
      </c>
      <c r="CI89" s="224">
        <f t="shared" si="94"/>
        <v>1.5</v>
      </c>
      <c r="CJ89" s="227">
        <v>9500</v>
      </c>
      <c r="CK89" s="224">
        <f t="shared" si="95"/>
        <v>1.9</v>
      </c>
      <c r="CL89" s="227">
        <v>9500</v>
      </c>
      <c r="CM89" s="224">
        <f t="shared" si="96"/>
        <v>1.9</v>
      </c>
      <c r="CN89" s="227">
        <v>9500</v>
      </c>
      <c r="CO89" s="224">
        <f t="shared" si="97"/>
        <v>1.9</v>
      </c>
      <c r="CP89" s="213" t="str">
        <f t="shared" si="82"/>
        <v>Không đạt</v>
      </c>
      <c r="CQ89" s="213" t="str">
        <f t="shared" si="83"/>
        <v>Không đạt</v>
      </c>
      <c r="CR89" s="192"/>
      <c r="CS89" s="257">
        <f t="shared" si="78"/>
        <v>0</v>
      </c>
      <c r="CT89" s="223"/>
      <c r="CU89" s="163"/>
      <c r="CW89" s="195"/>
      <c r="CX89" s="196"/>
      <c r="CY89" s="196"/>
      <c r="CZ89" s="197"/>
      <c r="DA89" s="196"/>
      <c r="DB89" s="196"/>
      <c r="DC89" s="196"/>
      <c r="DE89" s="199"/>
      <c r="DF89" s="200"/>
      <c r="DG89" s="181"/>
    </row>
    <row r="90" spans="1:111" ht="25.5" hidden="1" outlineLevel="1" x14ac:dyDescent="0.25">
      <c r="A90" s="192">
        <f>MAX(A$69:$B89)+1</f>
        <v>18</v>
      </c>
      <c r="B90" s="222" t="s">
        <v>232</v>
      </c>
      <c r="C90" s="222">
        <v>7950226</v>
      </c>
      <c r="D90" s="214">
        <f t="shared" si="76"/>
        <v>16948</v>
      </c>
      <c r="E90" s="214"/>
      <c r="F90" s="214">
        <f t="shared" si="77"/>
        <v>16948</v>
      </c>
      <c r="G90" s="257">
        <v>5000</v>
      </c>
      <c r="H90" s="257">
        <f>25000-13052</f>
        <v>11948</v>
      </c>
      <c r="I90" s="235"/>
      <c r="J90" s="235"/>
      <c r="K90" s="257"/>
      <c r="L90" s="235"/>
      <c r="M90" s="223"/>
      <c r="N90" s="223"/>
      <c r="O90" s="257">
        <f t="shared" si="84"/>
        <v>5000</v>
      </c>
      <c r="P90" s="257">
        <v>2500.125</v>
      </c>
      <c r="Q90" s="224">
        <f t="shared" si="79"/>
        <v>0.1475174061836205</v>
      </c>
      <c r="R90" s="257">
        <v>2500.125</v>
      </c>
      <c r="S90" s="225">
        <v>8.3337499999999995E-2</v>
      </c>
      <c r="T90" s="225">
        <v>8.7723684210526315E-2</v>
      </c>
      <c r="U90" s="257">
        <v>2500.125</v>
      </c>
      <c r="V90" s="225">
        <v>8.3337499999999995E-2</v>
      </c>
      <c r="W90" s="225">
        <v>8.7723684210526315E-2</v>
      </c>
      <c r="X90" s="257">
        <v>2500.125</v>
      </c>
      <c r="Y90" s="225">
        <v>8.3337499999999995E-2</v>
      </c>
      <c r="Z90" s="225">
        <v>8.7723684210526315E-2</v>
      </c>
      <c r="AA90" s="257">
        <v>2563</v>
      </c>
      <c r="AB90" s="225">
        <v>8.5433333333333333E-2</v>
      </c>
      <c r="AC90" s="225">
        <v>8.9929824561403512E-2</v>
      </c>
      <c r="AD90" s="257">
        <v>2563</v>
      </c>
      <c r="AE90" s="225">
        <v>8.5433333333333333E-2</v>
      </c>
      <c r="AF90" s="225">
        <v>8.9929824561403512E-2</v>
      </c>
      <c r="AG90" s="257">
        <v>2563</v>
      </c>
      <c r="AH90" s="225">
        <v>8.5433333333333333E-2</v>
      </c>
      <c r="AI90" s="225">
        <v>8.9929824561403512E-2</v>
      </c>
      <c r="AJ90" s="250">
        <v>2563</v>
      </c>
      <c r="AK90" s="225">
        <v>8.5433333333333333E-2</v>
      </c>
      <c r="AL90" s="225">
        <v>8.9929824561403512E-2</v>
      </c>
      <c r="AM90" s="257">
        <v>2563</v>
      </c>
      <c r="AN90" s="225">
        <v>8.5433333333333333E-2</v>
      </c>
      <c r="AO90" s="225">
        <v>8.9929824561403512E-2</v>
      </c>
      <c r="AP90" s="225"/>
      <c r="AQ90" s="257">
        <v>2592.36</v>
      </c>
      <c r="AR90" s="225">
        <v>8.6412000000000003E-2</v>
      </c>
      <c r="AS90" s="225">
        <v>9.0959999999999999E-2</v>
      </c>
      <c r="AT90" s="257">
        <v>2592.36</v>
      </c>
      <c r="AU90" s="225">
        <v>8.6412000000000003E-2</v>
      </c>
      <c r="AV90" s="225">
        <v>9.0959999999999999E-2</v>
      </c>
      <c r="AW90" s="257">
        <v>2592.36</v>
      </c>
      <c r="AX90" s="225">
        <v>8.6412000000000003E-2</v>
      </c>
      <c r="AY90" s="225">
        <v>9.0959999999999999E-2</v>
      </c>
      <c r="AZ90" s="257">
        <v>2592.36</v>
      </c>
      <c r="BA90" s="225">
        <v>8.6412000000000003E-2</v>
      </c>
      <c r="BB90" s="225">
        <v>9.0959999999999999E-2</v>
      </c>
      <c r="BC90" s="257">
        <v>2592.36</v>
      </c>
      <c r="BD90" s="225">
        <v>8.6412000000000003E-2</v>
      </c>
      <c r="BE90" s="225">
        <v>9.0959999999999999E-2</v>
      </c>
      <c r="BF90" s="257"/>
      <c r="BG90" s="257">
        <v>2592.36</v>
      </c>
      <c r="BH90" s="225">
        <v>0.15295964125560538</v>
      </c>
      <c r="BI90" s="225">
        <v>0.16101014869011096</v>
      </c>
      <c r="BJ90" s="257">
        <f t="shared" si="75"/>
        <v>16100.599999999999</v>
      </c>
      <c r="BK90" s="257">
        <v>2592.36</v>
      </c>
      <c r="BL90" s="225">
        <f t="shared" si="85"/>
        <v>0.15295964125560538</v>
      </c>
      <c r="BM90" s="225">
        <f t="shared" si="80"/>
        <v>0.16101014869011096</v>
      </c>
      <c r="BN90" s="205">
        <f t="shared" si="73"/>
        <v>29.360000000000127</v>
      </c>
      <c r="BO90" s="205"/>
      <c r="BP90" s="227">
        <v>0</v>
      </c>
      <c r="BQ90" s="224">
        <f t="shared" si="81"/>
        <v>0</v>
      </c>
      <c r="BR90" s="227">
        <v>1600</v>
      </c>
      <c r="BS90" s="224">
        <f t="shared" si="86"/>
        <v>9.4406419636535288E-2</v>
      </c>
      <c r="BT90" s="227">
        <v>3200</v>
      </c>
      <c r="BU90" s="224">
        <f t="shared" si="87"/>
        <v>0.18881283927307058</v>
      </c>
      <c r="BV90" s="227">
        <v>4800</v>
      </c>
      <c r="BW90" s="224">
        <f t="shared" si="88"/>
        <v>0.28321925890960586</v>
      </c>
      <c r="BX90" s="227">
        <v>6400</v>
      </c>
      <c r="BY90" s="224">
        <f t="shared" si="89"/>
        <v>0.37762567854614115</v>
      </c>
      <c r="BZ90" s="227">
        <v>8000</v>
      </c>
      <c r="CA90" s="224">
        <f t="shared" si="90"/>
        <v>0.47203209818267644</v>
      </c>
      <c r="CB90" s="227">
        <v>9600</v>
      </c>
      <c r="CC90" s="224">
        <f t="shared" si="91"/>
        <v>0.56643851781921173</v>
      </c>
      <c r="CD90" s="227">
        <v>11200</v>
      </c>
      <c r="CE90" s="224">
        <f t="shared" si="92"/>
        <v>0.66084493745574702</v>
      </c>
      <c r="CF90" s="227">
        <v>12800</v>
      </c>
      <c r="CG90" s="224">
        <f t="shared" si="93"/>
        <v>0.7552513570922823</v>
      </c>
      <c r="CH90" s="227">
        <v>15000</v>
      </c>
      <c r="CI90" s="224">
        <f t="shared" si="94"/>
        <v>0.8850601840925183</v>
      </c>
      <c r="CJ90" s="227">
        <v>15000</v>
      </c>
      <c r="CK90" s="224">
        <f t="shared" si="95"/>
        <v>0.8850601840925183</v>
      </c>
      <c r="CL90" s="227">
        <v>28500</v>
      </c>
      <c r="CM90" s="224">
        <f t="shared" si="96"/>
        <v>1.6816143497757847</v>
      </c>
      <c r="CN90" s="227">
        <v>28500</v>
      </c>
      <c r="CO90" s="224">
        <f t="shared" si="97"/>
        <v>1.6816143497757847</v>
      </c>
      <c r="CP90" s="213" t="str">
        <f t="shared" si="82"/>
        <v>Không đạt</v>
      </c>
      <c r="CQ90" s="213" t="str">
        <f t="shared" si="83"/>
        <v>Không đạt</v>
      </c>
      <c r="CR90" s="192"/>
      <c r="CS90" s="257">
        <f t="shared" si="78"/>
        <v>0</v>
      </c>
      <c r="CT90" s="223"/>
      <c r="CU90" s="163"/>
      <c r="CW90" s="195"/>
      <c r="CX90" s="196"/>
      <c r="CY90" s="196"/>
      <c r="CZ90" s="197"/>
      <c r="DA90" s="196"/>
      <c r="DB90" s="196"/>
      <c r="DC90" s="196"/>
      <c r="DE90" s="199"/>
      <c r="DF90" s="200"/>
      <c r="DG90" s="181"/>
    </row>
    <row r="91" spans="1:111" ht="25.5" hidden="1" outlineLevel="1" x14ac:dyDescent="0.25">
      <c r="A91" s="192">
        <f>MAX(A$69:$B90)+1</f>
        <v>19</v>
      </c>
      <c r="B91" s="222" t="s">
        <v>233</v>
      </c>
      <c r="C91" s="222" t="s">
        <v>234</v>
      </c>
      <c r="D91" s="214">
        <f>E91+F91</f>
        <v>345</v>
      </c>
      <c r="E91" s="214"/>
      <c r="F91" s="214">
        <f>G91+H91+K91+M91</f>
        <v>345</v>
      </c>
      <c r="G91" s="257">
        <f>1000-655</f>
        <v>345</v>
      </c>
      <c r="H91" s="257"/>
      <c r="I91" s="235"/>
      <c r="J91" s="235"/>
      <c r="K91" s="257"/>
      <c r="L91" s="235"/>
      <c r="M91" s="223"/>
      <c r="N91" s="223"/>
      <c r="O91" s="257">
        <f>G91+I91+L91+N91</f>
        <v>345</v>
      </c>
      <c r="P91" s="257">
        <v>0</v>
      </c>
      <c r="Q91" s="224">
        <f>P91/$D91</f>
        <v>0</v>
      </c>
      <c r="R91" s="257">
        <v>0</v>
      </c>
      <c r="S91" s="225">
        <v>0</v>
      </c>
      <c r="T91" s="225">
        <v>0</v>
      </c>
      <c r="U91" s="257">
        <v>0</v>
      </c>
      <c r="V91" s="225">
        <v>0</v>
      </c>
      <c r="W91" s="225">
        <v>0</v>
      </c>
      <c r="X91" s="257">
        <v>0</v>
      </c>
      <c r="Y91" s="225">
        <v>0</v>
      </c>
      <c r="Z91" s="225">
        <v>0</v>
      </c>
      <c r="AA91" s="257">
        <v>0</v>
      </c>
      <c r="AB91" s="225">
        <v>0</v>
      </c>
      <c r="AC91" s="225">
        <v>0</v>
      </c>
      <c r="AD91" s="257">
        <v>216.119</v>
      </c>
      <c r="AE91" s="225">
        <v>0.21611900000000001</v>
      </c>
      <c r="AF91" s="225">
        <v>0.22749368421052632</v>
      </c>
      <c r="AG91" s="257">
        <v>216.119</v>
      </c>
      <c r="AH91" s="225">
        <v>0.21611900000000001</v>
      </c>
      <c r="AI91" s="225">
        <v>0.22749368421052632</v>
      </c>
      <c r="AJ91" s="257">
        <v>216.119</v>
      </c>
      <c r="AK91" s="225">
        <v>0.21611900000000001</v>
      </c>
      <c r="AL91" s="225">
        <v>0.22749368421052632</v>
      </c>
      <c r="AM91" s="257">
        <v>216.119</v>
      </c>
      <c r="AN91" s="225">
        <v>0.21611900000000001</v>
      </c>
      <c r="AO91" s="225">
        <v>0.22749368421052632</v>
      </c>
      <c r="AP91" s="225"/>
      <c r="AQ91" s="257">
        <v>271.11900000000003</v>
      </c>
      <c r="AR91" s="225">
        <v>0.27111900000000005</v>
      </c>
      <c r="AS91" s="225">
        <v>0.28538842105263162</v>
      </c>
      <c r="AT91" s="257">
        <v>271.11900000000003</v>
      </c>
      <c r="AU91" s="225">
        <v>0.27111900000000005</v>
      </c>
      <c r="AV91" s="225">
        <v>0.28538842105263162</v>
      </c>
      <c r="AW91" s="257">
        <v>271.11900000000003</v>
      </c>
      <c r="AX91" s="225">
        <v>0.27111900000000005</v>
      </c>
      <c r="AY91" s="225">
        <v>0.28538842105263162</v>
      </c>
      <c r="AZ91" s="257">
        <v>271.11900000000003</v>
      </c>
      <c r="BA91" s="225">
        <v>0.27111900000000005</v>
      </c>
      <c r="BB91" s="225">
        <v>0.28538842105263162</v>
      </c>
      <c r="BC91" s="257">
        <v>271.11900000000003</v>
      </c>
      <c r="BD91" s="225">
        <v>0.27111900000000005</v>
      </c>
      <c r="BE91" s="225">
        <v>0.28538842105263162</v>
      </c>
      <c r="BF91" s="257"/>
      <c r="BG91" s="257">
        <v>271.11900000000003</v>
      </c>
      <c r="BH91" s="225">
        <v>0.78585217391304352</v>
      </c>
      <c r="BI91" s="225">
        <v>0.82721281464530905</v>
      </c>
      <c r="BJ91" s="257">
        <f t="shared" si="75"/>
        <v>327.75</v>
      </c>
      <c r="BK91" s="257">
        <v>292.99900000000002</v>
      </c>
      <c r="BL91" s="225">
        <f t="shared" si="85"/>
        <v>0.84927246376811605</v>
      </c>
      <c r="BM91" s="225">
        <f>BK91/(E91+0.95*F91)</f>
        <v>0.89397101449275373</v>
      </c>
      <c r="BN91" s="205">
        <f t="shared" si="73"/>
        <v>76.880000000000024</v>
      </c>
      <c r="BO91" s="205"/>
      <c r="BP91" s="227">
        <v>0</v>
      </c>
      <c r="BQ91" s="224">
        <f>BP91/$D91</f>
        <v>0</v>
      </c>
      <c r="BR91" s="227">
        <v>350</v>
      </c>
      <c r="BS91" s="224">
        <f t="shared" si="86"/>
        <v>1.0144927536231885</v>
      </c>
      <c r="BT91" s="227">
        <v>350</v>
      </c>
      <c r="BU91" s="224">
        <f t="shared" si="87"/>
        <v>1.0144927536231885</v>
      </c>
      <c r="BV91" s="227">
        <v>350</v>
      </c>
      <c r="BW91" s="224">
        <f t="shared" si="88"/>
        <v>1.0144927536231885</v>
      </c>
      <c r="BX91" s="227">
        <v>950</v>
      </c>
      <c r="BY91" s="224">
        <f t="shared" si="89"/>
        <v>2.7536231884057969</v>
      </c>
      <c r="BZ91" s="227">
        <v>950</v>
      </c>
      <c r="CA91" s="224">
        <f t="shared" si="90"/>
        <v>2.7536231884057969</v>
      </c>
      <c r="CB91" s="227">
        <v>950</v>
      </c>
      <c r="CC91" s="224">
        <f t="shared" si="91"/>
        <v>2.7536231884057969</v>
      </c>
      <c r="CD91" s="227">
        <v>950</v>
      </c>
      <c r="CE91" s="224">
        <f t="shared" si="92"/>
        <v>2.7536231884057969</v>
      </c>
      <c r="CF91" s="227">
        <v>950</v>
      </c>
      <c r="CG91" s="224">
        <f t="shared" si="93"/>
        <v>2.7536231884057969</v>
      </c>
      <c r="CH91" s="227">
        <v>950</v>
      </c>
      <c r="CI91" s="224">
        <f t="shared" si="94"/>
        <v>2.7536231884057969</v>
      </c>
      <c r="CJ91" s="227">
        <v>950</v>
      </c>
      <c r="CK91" s="224">
        <f t="shared" si="95"/>
        <v>2.7536231884057969</v>
      </c>
      <c r="CL91" s="227">
        <v>950</v>
      </c>
      <c r="CM91" s="224">
        <f t="shared" si="96"/>
        <v>2.7536231884057969</v>
      </c>
      <c r="CN91" s="227">
        <v>950</v>
      </c>
      <c r="CO91" s="224">
        <f t="shared" si="97"/>
        <v>2.7536231884057969</v>
      </c>
      <c r="CP91" s="213" t="str">
        <f t="shared" si="82"/>
        <v>Đạt</v>
      </c>
      <c r="CQ91" s="213" t="str">
        <f t="shared" si="83"/>
        <v>Đạt</v>
      </c>
      <c r="CR91" s="192"/>
      <c r="CS91" s="257">
        <f t="shared" si="78"/>
        <v>21.879999999999995</v>
      </c>
      <c r="CT91" s="223"/>
      <c r="CU91" s="163"/>
      <c r="CW91" s="195"/>
      <c r="CX91" s="196"/>
      <c r="CY91" s="196"/>
      <c r="CZ91" s="197"/>
      <c r="DA91" s="196"/>
      <c r="DB91" s="196"/>
      <c r="DC91" s="196"/>
      <c r="DE91" s="199"/>
      <c r="DF91" s="200"/>
      <c r="DG91" s="181"/>
    </row>
    <row r="92" spans="1:111" hidden="1" outlineLevel="1" x14ac:dyDescent="0.25">
      <c r="A92" s="192">
        <f>MAX(A$69:$B91)+1</f>
        <v>20</v>
      </c>
      <c r="B92" s="222" t="s">
        <v>235</v>
      </c>
      <c r="C92" s="222">
        <v>8124248</v>
      </c>
      <c r="D92" s="214">
        <f>E92+F92</f>
        <v>1542</v>
      </c>
      <c r="E92" s="214"/>
      <c r="F92" s="214">
        <f>G92+H92+K92+M92</f>
        <v>1542</v>
      </c>
      <c r="G92" s="257">
        <f>500+1042</f>
        <v>1542</v>
      </c>
      <c r="H92" s="257"/>
      <c r="I92" s="235"/>
      <c r="J92" s="235"/>
      <c r="K92" s="257"/>
      <c r="L92" s="235"/>
      <c r="M92" s="223"/>
      <c r="N92" s="223"/>
      <c r="O92" s="257">
        <f>G92+I92+L92+N92</f>
        <v>1542</v>
      </c>
      <c r="P92" s="257">
        <v>0</v>
      </c>
      <c r="Q92" s="224">
        <f>P92/$D92</f>
        <v>0</v>
      </c>
      <c r="R92" s="257">
        <v>319.35399999999998</v>
      </c>
      <c r="S92" s="225">
        <v>0.63870799999999994</v>
      </c>
      <c r="T92" s="225">
        <v>0.67232421052631575</v>
      </c>
      <c r="U92" s="257">
        <v>319.35399999999998</v>
      </c>
      <c r="V92" s="225">
        <v>0.63870799999999994</v>
      </c>
      <c r="W92" s="225">
        <v>0.67232421052631575</v>
      </c>
      <c r="X92" s="257">
        <v>319.35399999999998</v>
      </c>
      <c r="Y92" s="225">
        <v>0.63870799999999994</v>
      </c>
      <c r="Z92" s="225">
        <v>0.67232421052631575</v>
      </c>
      <c r="AA92" s="257">
        <v>319.35399999999998</v>
      </c>
      <c r="AB92" s="225">
        <v>0.63870799999999994</v>
      </c>
      <c r="AC92" s="225">
        <v>0.67232421052631575</v>
      </c>
      <c r="AD92" s="257">
        <v>475</v>
      </c>
      <c r="AE92" s="225">
        <v>0.95</v>
      </c>
      <c r="AF92" s="225">
        <v>1</v>
      </c>
      <c r="AG92" s="257">
        <v>475</v>
      </c>
      <c r="AH92" s="225">
        <v>0.95</v>
      </c>
      <c r="AI92" s="225">
        <v>1</v>
      </c>
      <c r="AJ92" s="257">
        <v>475</v>
      </c>
      <c r="AK92" s="225">
        <v>0.95</v>
      </c>
      <c r="AL92" s="225">
        <v>1</v>
      </c>
      <c r="AM92" s="257">
        <v>475</v>
      </c>
      <c r="AN92" s="225">
        <v>0.95</v>
      </c>
      <c r="AO92" s="225">
        <v>1</v>
      </c>
      <c r="AP92" s="225"/>
      <c r="AQ92" s="257">
        <v>475</v>
      </c>
      <c r="AR92" s="225">
        <v>0.95</v>
      </c>
      <c r="AS92" s="225">
        <v>1</v>
      </c>
      <c r="AT92" s="257">
        <v>475</v>
      </c>
      <c r="AU92" s="225">
        <v>0.95</v>
      </c>
      <c r="AV92" s="225">
        <v>1</v>
      </c>
      <c r="AW92" s="257">
        <v>475</v>
      </c>
      <c r="AX92" s="225">
        <v>0.95</v>
      </c>
      <c r="AY92" s="225">
        <v>1</v>
      </c>
      <c r="AZ92" s="257">
        <v>475</v>
      </c>
      <c r="BA92" s="225">
        <v>0.95</v>
      </c>
      <c r="BB92" s="225">
        <v>1</v>
      </c>
      <c r="BC92" s="257">
        <v>475</v>
      </c>
      <c r="BD92" s="225">
        <v>0.95</v>
      </c>
      <c r="BE92" s="225">
        <v>1</v>
      </c>
      <c r="BF92" s="257"/>
      <c r="BG92" s="257">
        <v>475</v>
      </c>
      <c r="BH92" s="225">
        <v>0.30804150453955903</v>
      </c>
      <c r="BI92" s="225">
        <v>0.32425421530479898</v>
      </c>
      <c r="BJ92" s="257">
        <f t="shared" si="75"/>
        <v>1464.8999999999999</v>
      </c>
      <c r="BK92" s="257">
        <v>1395.8879999999999</v>
      </c>
      <c r="BL92" s="225">
        <f t="shared" si="85"/>
        <v>0.90524513618677038</v>
      </c>
      <c r="BM92" s="225">
        <f>BK92/(E92+0.95*F92)</f>
        <v>0.95288961703870578</v>
      </c>
      <c r="BN92" s="205">
        <f t="shared" si="73"/>
        <v>920.88799999999992</v>
      </c>
      <c r="BO92" s="205"/>
      <c r="BP92" s="227">
        <v>0</v>
      </c>
      <c r="BQ92" s="224">
        <f>BP92/$D92</f>
        <v>0</v>
      </c>
      <c r="BR92" s="227">
        <v>150</v>
      </c>
      <c r="BS92" s="224">
        <f t="shared" si="86"/>
        <v>9.727626459143969E-2</v>
      </c>
      <c r="BT92" s="227">
        <v>300</v>
      </c>
      <c r="BU92" s="224">
        <f t="shared" si="87"/>
        <v>0.19455252918287938</v>
      </c>
      <c r="BV92" s="227">
        <v>475</v>
      </c>
      <c r="BW92" s="224">
        <f t="shared" si="88"/>
        <v>0.30804150453955903</v>
      </c>
      <c r="BX92" s="227">
        <v>475</v>
      </c>
      <c r="BY92" s="224">
        <f t="shared" si="89"/>
        <v>0.30804150453955903</v>
      </c>
      <c r="BZ92" s="227">
        <v>475</v>
      </c>
      <c r="CA92" s="224">
        <f t="shared" si="90"/>
        <v>0.30804150453955903</v>
      </c>
      <c r="CB92" s="227">
        <v>475</v>
      </c>
      <c r="CC92" s="224">
        <f t="shared" si="91"/>
        <v>0.30804150453955903</v>
      </c>
      <c r="CD92" s="227">
        <v>475</v>
      </c>
      <c r="CE92" s="224">
        <f t="shared" si="92"/>
        <v>0.30804150453955903</v>
      </c>
      <c r="CF92" s="227">
        <v>475</v>
      </c>
      <c r="CG92" s="224">
        <f t="shared" si="93"/>
        <v>0.30804150453955903</v>
      </c>
      <c r="CH92" s="227">
        <v>475</v>
      </c>
      <c r="CI92" s="224">
        <f t="shared" si="94"/>
        <v>0.30804150453955903</v>
      </c>
      <c r="CJ92" s="227">
        <v>475</v>
      </c>
      <c r="CK92" s="224">
        <f t="shared" si="95"/>
        <v>0.30804150453955903</v>
      </c>
      <c r="CL92" s="227">
        <v>475</v>
      </c>
      <c r="CM92" s="224">
        <f t="shared" si="96"/>
        <v>0.30804150453955903</v>
      </c>
      <c r="CN92" s="227">
        <v>475</v>
      </c>
      <c r="CO92" s="224">
        <f t="shared" si="97"/>
        <v>0.30804150453955903</v>
      </c>
      <c r="CP92" s="213" t="str">
        <f t="shared" si="82"/>
        <v>Đạt</v>
      </c>
      <c r="CQ92" s="213" t="str">
        <f t="shared" si="83"/>
        <v>Đạt</v>
      </c>
      <c r="CR92" s="192"/>
      <c r="CS92" s="257">
        <f t="shared" si="78"/>
        <v>920.88799999999992</v>
      </c>
      <c r="CT92" s="223"/>
      <c r="CU92" s="163"/>
      <c r="CW92" s="195"/>
      <c r="CX92" s="196"/>
      <c r="CY92" s="196"/>
      <c r="CZ92" s="197"/>
      <c r="DA92" s="196"/>
      <c r="DB92" s="196"/>
      <c r="DC92" s="196"/>
      <c r="DE92" s="199"/>
      <c r="DF92" s="200"/>
      <c r="DG92" s="181"/>
    </row>
    <row r="93" spans="1:111" hidden="1" outlineLevel="1" x14ac:dyDescent="0.25">
      <c r="A93" s="192">
        <f>MAX(A$69:$B92)+1</f>
        <v>21</v>
      </c>
      <c r="B93" s="222" t="s">
        <v>236</v>
      </c>
      <c r="C93" s="222">
        <v>8124250</v>
      </c>
      <c r="D93" s="214">
        <f>E93+F93</f>
        <v>3105</v>
      </c>
      <c r="E93" s="214"/>
      <c r="F93" s="214">
        <f>G93+H93+K93+M93</f>
        <v>3105</v>
      </c>
      <c r="G93" s="257">
        <f>1000+2105</f>
        <v>3105</v>
      </c>
      <c r="H93" s="257"/>
      <c r="I93" s="235"/>
      <c r="J93" s="235"/>
      <c r="K93" s="257"/>
      <c r="L93" s="235"/>
      <c r="M93" s="223"/>
      <c r="N93" s="223"/>
      <c r="O93" s="257">
        <f>G93+I93+L93+N93</f>
        <v>3105</v>
      </c>
      <c r="P93" s="257">
        <v>135.33799999999999</v>
      </c>
      <c r="Q93" s="224">
        <f>P93/$D93</f>
        <v>4.3587117552334943E-2</v>
      </c>
      <c r="R93" s="257">
        <v>497.15699999999998</v>
      </c>
      <c r="S93" s="225">
        <v>0.49715699999999996</v>
      </c>
      <c r="T93" s="225">
        <v>0.52332315789473682</v>
      </c>
      <c r="U93" s="257">
        <v>497.15699999999998</v>
      </c>
      <c r="V93" s="225">
        <v>0.49715699999999996</v>
      </c>
      <c r="W93" s="225">
        <v>0.52332315789473682</v>
      </c>
      <c r="X93" s="257">
        <v>497.15699999999998</v>
      </c>
      <c r="Y93" s="225">
        <v>0.49715699999999996</v>
      </c>
      <c r="Z93" s="225">
        <v>0.52332315789473682</v>
      </c>
      <c r="AA93" s="257">
        <v>497.15699999999998</v>
      </c>
      <c r="AB93" s="225">
        <v>0.49715699999999996</v>
      </c>
      <c r="AC93" s="225">
        <v>0.52332315789473682</v>
      </c>
      <c r="AD93" s="257">
        <v>950</v>
      </c>
      <c r="AE93" s="225">
        <v>0.95</v>
      </c>
      <c r="AF93" s="225">
        <v>1</v>
      </c>
      <c r="AG93" s="257">
        <v>950</v>
      </c>
      <c r="AH93" s="225">
        <v>0.95</v>
      </c>
      <c r="AI93" s="225">
        <v>1</v>
      </c>
      <c r="AJ93" s="257">
        <v>950</v>
      </c>
      <c r="AK93" s="225">
        <v>0.95</v>
      </c>
      <c r="AL93" s="225">
        <v>1</v>
      </c>
      <c r="AM93" s="257">
        <v>950</v>
      </c>
      <c r="AN93" s="225">
        <v>0.95</v>
      </c>
      <c r="AO93" s="225">
        <v>1</v>
      </c>
      <c r="AP93" s="225"/>
      <c r="AQ93" s="257">
        <v>950</v>
      </c>
      <c r="AR93" s="225">
        <v>0.95</v>
      </c>
      <c r="AS93" s="225">
        <v>1</v>
      </c>
      <c r="AT93" s="257">
        <v>950</v>
      </c>
      <c r="AU93" s="225">
        <v>0.95</v>
      </c>
      <c r="AV93" s="225">
        <v>1</v>
      </c>
      <c r="AW93" s="257">
        <v>950</v>
      </c>
      <c r="AX93" s="225">
        <v>0.95</v>
      </c>
      <c r="AY93" s="225">
        <v>1</v>
      </c>
      <c r="AZ93" s="257">
        <v>950</v>
      </c>
      <c r="BA93" s="225">
        <v>0.95</v>
      </c>
      <c r="BB93" s="225">
        <v>1</v>
      </c>
      <c r="BC93" s="257">
        <v>950</v>
      </c>
      <c r="BD93" s="225">
        <v>0.95</v>
      </c>
      <c r="BE93" s="225">
        <v>1</v>
      </c>
      <c r="BF93" s="257"/>
      <c r="BG93" s="257">
        <v>950</v>
      </c>
      <c r="BH93" s="225">
        <v>0.30595813204508859</v>
      </c>
      <c r="BI93" s="225">
        <v>0.322061191626409</v>
      </c>
      <c r="BJ93" s="257">
        <f t="shared" si="75"/>
        <v>2949.75</v>
      </c>
      <c r="BK93" s="257">
        <v>950</v>
      </c>
      <c r="BL93" s="225">
        <f t="shared" si="85"/>
        <v>0.30595813204508859</v>
      </c>
      <c r="BM93" s="225">
        <f>BK93/(E93+0.95*F93)</f>
        <v>0.322061191626409</v>
      </c>
      <c r="BN93" s="205">
        <f t="shared" si="73"/>
        <v>0</v>
      </c>
      <c r="BO93" s="205"/>
      <c r="BP93" s="227">
        <v>0</v>
      </c>
      <c r="BQ93" s="224">
        <f>BP93/$D93</f>
        <v>0</v>
      </c>
      <c r="BR93" s="227">
        <v>200</v>
      </c>
      <c r="BS93" s="224">
        <f t="shared" si="86"/>
        <v>6.4412238325281798E-2</v>
      </c>
      <c r="BT93" s="227">
        <v>400</v>
      </c>
      <c r="BU93" s="224">
        <f t="shared" si="87"/>
        <v>0.1288244766505636</v>
      </c>
      <c r="BV93" s="227">
        <v>700</v>
      </c>
      <c r="BW93" s="224">
        <f t="shared" si="88"/>
        <v>0.22544283413848631</v>
      </c>
      <c r="BX93" s="227">
        <v>950</v>
      </c>
      <c r="BY93" s="224">
        <f t="shared" si="89"/>
        <v>0.30595813204508859</v>
      </c>
      <c r="BZ93" s="227">
        <v>950</v>
      </c>
      <c r="CA93" s="224">
        <f t="shared" si="90"/>
        <v>0.30595813204508859</v>
      </c>
      <c r="CB93" s="227">
        <v>950</v>
      </c>
      <c r="CC93" s="224">
        <f t="shared" si="91"/>
        <v>0.30595813204508859</v>
      </c>
      <c r="CD93" s="227">
        <v>950</v>
      </c>
      <c r="CE93" s="224">
        <f t="shared" si="92"/>
        <v>0.30595813204508859</v>
      </c>
      <c r="CF93" s="227">
        <v>950</v>
      </c>
      <c r="CG93" s="224">
        <f t="shared" si="93"/>
        <v>0.30595813204508859</v>
      </c>
      <c r="CH93" s="227">
        <v>950</v>
      </c>
      <c r="CI93" s="224">
        <f t="shared" si="94"/>
        <v>0.30595813204508859</v>
      </c>
      <c r="CJ93" s="227">
        <v>950</v>
      </c>
      <c r="CK93" s="224">
        <f t="shared" si="95"/>
        <v>0.30595813204508859</v>
      </c>
      <c r="CL93" s="227">
        <v>950</v>
      </c>
      <c r="CM93" s="224">
        <f t="shared" si="96"/>
        <v>0.30595813204508859</v>
      </c>
      <c r="CN93" s="227">
        <v>950</v>
      </c>
      <c r="CO93" s="224">
        <f t="shared" si="97"/>
        <v>0.30595813204508859</v>
      </c>
      <c r="CP93" s="213" t="str">
        <f t="shared" si="82"/>
        <v>Không đạt</v>
      </c>
      <c r="CQ93" s="213" t="str">
        <f t="shared" si="83"/>
        <v>Không đạt</v>
      </c>
      <c r="CR93" s="192"/>
      <c r="CS93" s="257">
        <f t="shared" si="78"/>
        <v>0</v>
      </c>
      <c r="CT93" s="223"/>
      <c r="CU93" s="163"/>
      <c r="CW93" s="195"/>
      <c r="CX93" s="196"/>
      <c r="CY93" s="196"/>
      <c r="CZ93" s="197"/>
      <c r="DA93" s="196"/>
      <c r="DB93" s="196"/>
      <c r="DC93" s="196"/>
      <c r="DE93" s="199"/>
      <c r="DF93" s="200"/>
      <c r="DG93" s="181"/>
    </row>
    <row r="94" spans="1:111" ht="25.5" hidden="1" outlineLevel="1" x14ac:dyDescent="0.25">
      <c r="A94" s="192">
        <f>MAX(A$69:$B93)+1</f>
        <v>22</v>
      </c>
      <c r="B94" s="222" t="s">
        <v>237</v>
      </c>
      <c r="C94" s="222">
        <v>8155901</v>
      </c>
      <c r="D94" s="214">
        <f>E94+F94</f>
        <v>10000</v>
      </c>
      <c r="E94" s="214"/>
      <c r="F94" s="214">
        <f>G94+H94+K94+M94</f>
        <v>10000</v>
      </c>
      <c r="G94" s="257"/>
      <c r="H94" s="257">
        <v>10000</v>
      </c>
      <c r="I94" s="235">
        <v>1835</v>
      </c>
      <c r="J94" s="257">
        <v>163</v>
      </c>
      <c r="K94" s="257"/>
      <c r="L94" s="235"/>
      <c r="M94" s="223"/>
      <c r="N94" s="223"/>
      <c r="O94" s="257">
        <f>G94+I94+L94+N94</f>
        <v>1835</v>
      </c>
      <c r="P94" s="257">
        <v>0</v>
      </c>
      <c r="Q94" s="224">
        <f>P94/$D94</f>
        <v>0</v>
      </c>
      <c r="R94" s="257">
        <v>103.04300000000001</v>
      </c>
      <c r="S94" s="225">
        <v>1.0304300000000001E-2</v>
      </c>
      <c r="T94" s="225">
        <v>1.084663157894737E-2</v>
      </c>
      <c r="U94" s="257">
        <v>103.04300000000001</v>
      </c>
      <c r="V94" s="225">
        <v>1.0304300000000001E-2</v>
      </c>
      <c r="W94" s="225">
        <v>1.084663157894737E-2</v>
      </c>
      <c r="X94" s="257">
        <v>103.04300000000001</v>
      </c>
      <c r="Y94" s="225">
        <v>1.0304300000000001E-2</v>
      </c>
      <c r="Z94" s="225">
        <v>1.084663157894737E-2</v>
      </c>
      <c r="AA94" s="257">
        <v>163</v>
      </c>
      <c r="AB94" s="225">
        <v>1.6299999999999999E-2</v>
      </c>
      <c r="AC94" s="225">
        <v>1.7157894736842105E-2</v>
      </c>
      <c r="AD94" s="257">
        <v>163</v>
      </c>
      <c r="AE94" s="225">
        <v>1.6299999999999999E-2</v>
      </c>
      <c r="AF94" s="225">
        <v>1.7157894736842105E-2</v>
      </c>
      <c r="AG94" s="257">
        <v>163</v>
      </c>
      <c r="AH94" s="225">
        <v>1.6299999999999999E-2</v>
      </c>
      <c r="AI94" s="225">
        <v>1.7157894736842105E-2</v>
      </c>
      <c r="AJ94" s="250">
        <v>163</v>
      </c>
      <c r="AK94" s="225">
        <v>1.6299999999999999E-2</v>
      </c>
      <c r="AL94" s="225">
        <v>1.7157894736842105E-2</v>
      </c>
      <c r="AM94" s="257">
        <v>163</v>
      </c>
      <c r="AN94" s="225">
        <v>1.6299999999999999E-2</v>
      </c>
      <c r="AO94" s="225">
        <v>1.7157894736842105E-2</v>
      </c>
      <c r="AP94" s="225"/>
      <c r="AQ94" s="257">
        <v>163</v>
      </c>
      <c r="AR94" s="225">
        <v>1.6299999999999999E-2</v>
      </c>
      <c r="AS94" s="225">
        <v>1.7157894736842105E-2</v>
      </c>
      <c r="AT94" s="257">
        <v>1835.0003409999999</v>
      </c>
      <c r="AU94" s="225">
        <v>0.18350003409999999</v>
      </c>
      <c r="AV94" s="225">
        <v>0.19315793063157893</v>
      </c>
      <c r="AW94" s="257">
        <v>1835.0003409999999</v>
      </c>
      <c r="AX94" s="225">
        <v>0.18350003409999999</v>
      </c>
      <c r="AY94" s="225">
        <v>0.19315793063157893</v>
      </c>
      <c r="AZ94" s="257">
        <v>1835.0003409999999</v>
      </c>
      <c r="BA94" s="225">
        <v>0.18350003409999999</v>
      </c>
      <c r="BB94" s="225">
        <v>0.19315793063157893</v>
      </c>
      <c r="BC94" s="257">
        <v>7438.8703409999998</v>
      </c>
      <c r="BD94" s="225">
        <v>0.74388703410000001</v>
      </c>
      <c r="BE94" s="225">
        <v>0.78303898326315791</v>
      </c>
      <c r="BF94" s="257">
        <v>7438.8703409999998</v>
      </c>
      <c r="BG94" s="257">
        <v>7438.8703409999998</v>
      </c>
      <c r="BH94" s="225">
        <v>0.74388703410000001</v>
      </c>
      <c r="BI94" s="225">
        <v>0.78303898326315791</v>
      </c>
      <c r="BJ94" s="257">
        <f t="shared" si="75"/>
        <v>9500</v>
      </c>
      <c r="BK94" s="257">
        <v>7438.8703409999998</v>
      </c>
      <c r="BL94" s="225">
        <f t="shared" si="85"/>
        <v>0.74388703410000001</v>
      </c>
      <c r="BM94" s="225">
        <f>BK94/(E94+0.95*F94)</f>
        <v>0.78303898326315791</v>
      </c>
      <c r="BN94" s="205">
        <f t="shared" si="73"/>
        <v>7275.8703409999998</v>
      </c>
      <c r="BO94" s="205"/>
      <c r="BP94" s="227">
        <v>0</v>
      </c>
      <c r="BQ94" s="224">
        <f>BP94/$D94</f>
        <v>0</v>
      </c>
      <c r="BR94" s="227">
        <v>500</v>
      </c>
      <c r="BS94" s="224">
        <f t="shared" si="86"/>
        <v>0.05</v>
      </c>
      <c r="BT94" s="227">
        <v>1500</v>
      </c>
      <c r="BU94" s="224">
        <f t="shared" si="87"/>
        <v>0.15</v>
      </c>
      <c r="BV94" s="227">
        <v>2500</v>
      </c>
      <c r="BW94" s="224">
        <f t="shared" si="88"/>
        <v>0.25</v>
      </c>
      <c r="BX94" s="227">
        <v>3500</v>
      </c>
      <c r="BY94" s="224">
        <f t="shared" si="89"/>
        <v>0.35</v>
      </c>
      <c r="BZ94" s="227">
        <v>4500</v>
      </c>
      <c r="CA94" s="224">
        <f t="shared" si="90"/>
        <v>0.45</v>
      </c>
      <c r="CB94" s="227">
        <v>5500</v>
      </c>
      <c r="CC94" s="224">
        <f t="shared" si="91"/>
        <v>0.55000000000000004</v>
      </c>
      <c r="CD94" s="227">
        <v>6500</v>
      </c>
      <c r="CE94" s="224">
        <f t="shared" si="92"/>
        <v>0.65</v>
      </c>
      <c r="CF94" s="227">
        <v>7500</v>
      </c>
      <c r="CG94" s="224">
        <f t="shared" si="93"/>
        <v>0.75</v>
      </c>
      <c r="CH94" s="227">
        <v>8500</v>
      </c>
      <c r="CI94" s="224">
        <f t="shared" si="94"/>
        <v>0.85</v>
      </c>
      <c r="CJ94" s="227">
        <v>9500</v>
      </c>
      <c r="CK94" s="224">
        <f t="shared" si="95"/>
        <v>0.95</v>
      </c>
      <c r="CL94" s="227">
        <v>9500</v>
      </c>
      <c r="CM94" s="224">
        <f t="shared" si="96"/>
        <v>0.95</v>
      </c>
      <c r="CN94" s="227">
        <v>9500</v>
      </c>
      <c r="CO94" s="224">
        <f t="shared" si="97"/>
        <v>0.95</v>
      </c>
      <c r="CP94" s="213" t="str">
        <f t="shared" si="82"/>
        <v>Đạt</v>
      </c>
      <c r="CQ94" s="213" t="str">
        <f t="shared" si="83"/>
        <v>Đạt</v>
      </c>
      <c r="CR94" s="192"/>
      <c r="CS94" s="257">
        <f t="shared" si="78"/>
        <v>5603.87</v>
      </c>
      <c r="CT94" s="223"/>
      <c r="CU94" s="163"/>
      <c r="CW94" s="195"/>
      <c r="CX94" s="196"/>
      <c r="CY94" s="196"/>
      <c r="CZ94" s="197"/>
      <c r="DA94" s="196"/>
      <c r="DB94" s="196"/>
      <c r="DC94" s="196"/>
      <c r="DE94" s="199"/>
      <c r="DF94" s="200"/>
      <c r="DG94" s="181"/>
    </row>
    <row r="95" spans="1:111" hidden="1" outlineLevel="1" x14ac:dyDescent="0.25">
      <c r="A95" s="256"/>
      <c r="B95" s="210" t="s">
        <v>238</v>
      </c>
      <c r="C95" s="210"/>
      <c r="D95" s="214">
        <f t="shared" si="76"/>
        <v>0</v>
      </c>
      <c r="E95" s="214"/>
      <c r="F95" s="214">
        <f t="shared" si="77"/>
        <v>0</v>
      </c>
      <c r="G95" s="250"/>
      <c r="H95" s="250"/>
      <c r="I95" s="235"/>
      <c r="J95" s="235"/>
      <c r="K95" s="250"/>
      <c r="L95" s="235"/>
      <c r="M95" s="223"/>
      <c r="N95" s="223"/>
      <c r="O95" s="250">
        <f t="shared" si="84"/>
        <v>0</v>
      </c>
      <c r="P95" s="250">
        <v>0</v>
      </c>
      <c r="Q95" s="224" t="e">
        <f t="shared" si="79"/>
        <v>#DIV/0!</v>
      </c>
      <c r="R95" s="250"/>
      <c r="S95" s="225"/>
      <c r="T95" s="225" t="e">
        <v>#DIV/0!</v>
      </c>
      <c r="U95" s="250"/>
      <c r="V95" s="225"/>
      <c r="W95" s="225" t="e">
        <v>#DIV/0!</v>
      </c>
      <c r="X95" s="250"/>
      <c r="Y95" s="225"/>
      <c r="Z95" s="225"/>
      <c r="AA95" s="250"/>
      <c r="AB95" s="225"/>
      <c r="AC95" s="225"/>
      <c r="AD95" s="250"/>
      <c r="AE95" s="225"/>
      <c r="AF95" s="225"/>
      <c r="AG95" s="250"/>
      <c r="AH95" s="225"/>
      <c r="AI95" s="225"/>
      <c r="AJ95" s="257"/>
      <c r="AK95" s="225"/>
      <c r="AL95" s="225"/>
      <c r="AM95" s="250"/>
      <c r="AN95" s="225"/>
      <c r="AO95" s="225"/>
      <c r="AP95" s="225"/>
      <c r="AQ95" s="250"/>
      <c r="AR95" s="225"/>
      <c r="AS95" s="225"/>
      <c r="AT95" s="250"/>
      <c r="AU95" s="225"/>
      <c r="AV95" s="225"/>
      <c r="AW95" s="250"/>
      <c r="AX95" s="225"/>
      <c r="AY95" s="225"/>
      <c r="AZ95" s="250"/>
      <c r="BA95" s="225"/>
      <c r="BB95" s="225"/>
      <c r="BC95" s="250"/>
      <c r="BD95" s="225"/>
      <c r="BE95" s="225"/>
      <c r="BF95" s="250"/>
      <c r="BG95" s="250"/>
      <c r="BH95" s="225"/>
      <c r="BI95" s="225"/>
      <c r="BJ95" s="250">
        <f t="shared" si="75"/>
        <v>0</v>
      </c>
      <c r="BK95" s="250"/>
      <c r="BL95" s="225"/>
      <c r="BM95" s="225"/>
      <c r="BN95" s="205">
        <f t="shared" si="73"/>
        <v>0</v>
      </c>
      <c r="BO95" s="205"/>
      <c r="BP95" s="227"/>
      <c r="BQ95" s="224"/>
      <c r="BR95" s="227"/>
      <c r="BS95" s="224"/>
      <c r="BT95" s="227"/>
      <c r="BU95" s="224"/>
      <c r="BV95" s="227"/>
      <c r="BW95" s="224"/>
      <c r="BX95" s="227"/>
      <c r="BY95" s="224"/>
      <c r="BZ95" s="227"/>
      <c r="CA95" s="224"/>
      <c r="CB95" s="227"/>
      <c r="CC95" s="224"/>
      <c r="CD95" s="227"/>
      <c r="CE95" s="224"/>
      <c r="CF95" s="227"/>
      <c r="CG95" s="224"/>
      <c r="CH95" s="227"/>
      <c r="CI95" s="224"/>
      <c r="CJ95" s="227"/>
      <c r="CK95" s="224"/>
      <c r="CL95" s="227"/>
      <c r="CM95" s="224"/>
      <c r="CN95" s="227"/>
      <c r="CO95" s="224"/>
      <c r="CP95" s="213" t="str">
        <f t="shared" si="82"/>
        <v>Không đạt</v>
      </c>
      <c r="CQ95" s="213" t="str">
        <f t="shared" si="83"/>
        <v>Không đạt</v>
      </c>
      <c r="CR95" s="192"/>
      <c r="CS95" s="250">
        <f t="shared" si="78"/>
        <v>0</v>
      </c>
      <c r="CT95" s="223"/>
      <c r="CU95" s="163"/>
      <c r="CW95" s="195"/>
      <c r="CX95" s="196"/>
      <c r="CY95" s="196"/>
      <c r="CZ95" s="197"/>
      <c r="DA95" s="196"/>
      <c r="DB95" s="196"/>
      <c r="DC95" s="196"/>
      <c r="DE95" s="199"/>
      <c r="DF95" s="200"/>
      <c r="DG95" s="181"/>
    </row>
    <row r="96" spans="1:111" ht="25.5" hidden="1" outlineLevel="1" x14ac:dyDescent="0.25">
      <c r="A96" s="192">
        <f>MAX(A$69:$B95)+1</f>
        <v>23</v>
      </c>
      <c r="B96" s="222" t="s">
        <v>239</v>
      </c>
      <c r="C96" s="222" t="s">
        <v>240</v>
      </c>
      <c r="D96" s="214">
        <f t="shared" si="76"/>
        <v>7000</v>
      </c>
      <c r="E96" s="214"/>
      <c r="F96" s="214">
        <f t="shared" si="77"/>
        <v>7000</v>
      </c>
      <c r="G96" s="257">
        <v>3000</v>
      </c>
      <c r="H96" s="257">
        <v>4000</v>
      </c>
      <c r="I96" s="235"/>
      <c r="J96" s="235"/>
      <c r="K96" s="257"/>
      <c r="L96" s="235"/>
      <c r="M96" s="223"/>
      <c r="N96" s="223"/>
      <c r="O96" s="257">
        <f t="shared" si="84"/>
        <v>3000</v>
      </c>
      <c r="P96" s="257">
        <v>0</v>
      </c>
      <c r="Q96" s="224">
        <f t="shared" si="79"/>
        <v>0</v>
      </c>
      <c r="R96" s="257"/>
      <c r="S96" s="225">
        <v>0</v>
      </c>
      <c r="T96" s="225">
        <v>0</v>
      </c>
      <c r="U96" s="257"/>
      <c r="V96" s="225">
        <v>0</v>
      </c>
      <c r="W96" s="225">
        <v>0</v>
      </c>
      <c r="X96" s="257"/>
      <c r="Y96" s="225">
        <v>0</v>
      </c>
      <c r="Z96" s="225">
        <v>0</v>
      </c>
      <c r="AA96" s="257"/>
      <c r="AB96" s="225">
        <v>0</v>
      </c>
      <c r="AC96" s="225">
        <v>0</v>
      </c>
      <c r="AD96" s="257"/>
      <c r="AE96" s="225">
        <v>0</v>
      </c>
      <c r="AF96" s="225">
        <v>0</v>
      </c>
      <c r="AG96" s="257"/>
      <c r="AH96" s="225">
        <v>0</v>
      </c>
      <c r="AI96" s="225">
        <v>0</v>
      </c>
      <c r="AJ96" s="257"/>
      <c r="AK96" s="225">
        <v>0</v>
      </c>
      <c r="AL96" s="225">
        <v>0</v>
      </c>
      <c r="AM96" s="257"/>
      <c r="AN96" s="225">
        <v>0</v>
      </c>
      <c r="AO96" s="225">
        <v>0</v>
      </c>
      <c r="AP96" s="225"/>
      <c r="AQ96" s="257"/>
      <c r="AR96" s="225">
        <v>0</v>
      </c>
      <c r="AS96" s="225">
        <v>0</v>
      </c>
      <c r="AT96" s="257"/>
      <c r="AU96" s="225">
        <v>0</v>
      </c>
      <c r="AV96" s="225">
        <v>0</v>
      </c>
      <c r="AW96" s="257"/>
      <c r="AX96" s="225">
        <v>0</v>
      </c>
      <c r="AY96" s="225">
        <v>0</v>
      </c>
      <c r="AZ96" s="257"/>
      <c r="BA96" s="225">
        <v>0</v>
      </c>
      <c r="BB96" s="225">
        <v>0</v>
      </c>
      <c r="BC96" s="257"/>
      <c r="BD96" s="225">
        <v>0</v>
      </c>
      <c r="BE96" s="225">
        <v>0</v>
      </c>
      <c r="BF96" s="257"/>
      <c r="BG96" s="257"/>
      <c r="BH96" s="225">
        <v>0</v>
      </c>
      <c r="BI96" s="225">
        <v>0</v>
      </c>
      <c r="BJ96" s="257">
        <f t="shared" si="75"/>
        <v>6650</v>
      </c>
      <c r="BK96" s="257"/>
      <c r="BL96" s="225">
        <f>BK96/$D96</f>
        <v>0</v>
      </c>
      <c r="BM96" s="225">
        <f t="shared" si="80"/>
        <v>0</v>
      </c>
      <c r="BN96" s="205">
        <f t="shared" si="73"/>
        <v>0</v>
      </c>
      <c r="BO96" s="205"/>
      <c r="BP96" s="227"/>
      <c r="BQ96" s="224">
        <f t="shared" si="81"/>
        <v>0</v>
      </c>
      <c r="BR96" s="227">
        <v>1000</v>
      </c>
      <c r="BS96" s="224">
        <f>BR96/$D96</f>
        <v>0.14285714285714285</v>
      </c>
      <c r="BT96" s="227">
        <v>2000</v>
      </c>
      <c r="BU96" s="224">
        <f>BT96/$D96</f>
        <v>0.2857142857142857</v>
      </c>
      <c r="BV96" s="227">
        <v>2500</v>
      </c>
      <c r="BW96" s="224">
        <f>BV96/$D96</f>
        <v>0.35714285714285715</v>
      </c>
      <c r="BX96" s="227">
        <v>3500</v>
      </c>
      <c r="BY96" s="224">
        <f>BX96/$D96</f>
        <v>0.5</v>
      </c>
      <c r="BZ96" s="227">
        <v>4000</v>
      </c>
      <c r="CA96" s="224">
        <f>BZ96/$D96</f>
        <v>0.5714285714285714</v>
      </c>
      <c r="CB96" s="227">
        <v>4500</v>
      </c>
      <c r="CC96" s="224">
        <f>CB96/$D96</f>
        <v>0.6428571428571429</v>
      </c>
      <c r="CD96" s="227">
        <v>5500</v>
      </c>
      <c r="CE96" s="224">
        <f>CD96/$D96</f>
        <v>0.7857142857142857</v>
      </c>
      <c r="CF96" s="227">
        <v>6000</v>
      </c>
      <c r="CG96" s="224">
        <f>CF96/$D96</f>
        <v>0.8571428571428571</v>
      </c>
      <c r="CH96" s="227">
        <v>6500</v>
      </c>
      <c r="CI96" s="224">
        <f>CH96/$D96</f>
        <v>0.9285714285714286</v>
      </c>
      <c r="CJ96" s="227">
        <v>6650</v>
      </c>
      <c r="CK96" s="224">
        <f>CJ96/$D96</f>
        <v>0.95</v>
      </c>
      <c r="CL96" s="227">
        <v>6650</v>
      </c>
      <c r="CM96" s="224">
        <f>CL96/$D96</f>
        <v>0.95</v>
      </c>
      <c r="CN96" s="227">
        <v>6650</v>
      </c>
      <c r="CO96" s="224">
        <f>CN96/$D96</f>
        <v>0.95</v>
      </c>
      <c r="CP96" s="213" t="str">
        <f t="shared" si="82"/>
        <v>Không đạt</v>
      </c>
      <c r="CQ96" s="213" t="str">
        <f t="shared" si="83"/>
        <v>Không đạt</v>
      </c>
      <c r="CR96" s="192"/>
      <c r="CS96" s="257">
        <f t="shared" si="78"/>
        <v>0</v>
      </c>
      <c r="CT96" s="223"/>
      <c r="CU96" s="163"/>
      <c r="CW96" s="195"/>
      <c r="CX96" s="196"/>
      <c r="CY96" s="196"/>
      <c r="CZ96" s="197"/>
      <c r="DA96" s="196"/>
      <c r="DB96" s="196"/>
      <c r="DC96" s="196"/>
      <c r="DE96" s="199"/>
      <c r="DF96" s="200"/>
      <c r="DG96" s="181"/>
    </row>
    <row r="97" spans="1:111" hidden="1" outlineLevel="1" x14ac:dyDescent="0.25">
      <c r="A97" s="192">
        <f>MAX(A$69:$B96)+1</f>
        <v>24</v>
      </c>
      <c r="B97" s="222" t="s">
        <v>241</v>
      </c>
      <c r="C97" s="222">
        <v>7337009</v>
      </c>
      <c r="D97" s="214">
        <f t="shared" si="76"/>
        <v>6000</v>
      </c>
      <c r="E97" s="214"/>
      <c r="F97" s="214">
        <f t="shared" si="77"/>
        <v>6000</v>
      </c>
      <c r="G97" s="257">
        <v>3000</v>
      </c>
      <c r="H97" s="257">
        <v>3000</v>
      </c>
      <c r="I97" s="235"/>
      <c r="J97" s="235"/>
      <c r="K97" s="257"/>
      <c r="L97" s="235"/>
      <c r="M97" s="223"/>
      <c r="N97" s="223"/>
      <c r="O97" s="257">
        <f t="shared" si="84"/>
        <v>3000</v>
      </c>
      <c r="P97" s="257">
        <v>0</v>
      </c>
      <c r="Q97" s="224">
        <f t="shared" si="79"/>
        <v>0</v>
      </c>
      <c r="R97" s="257">
        <v>309.96300000000002</v>
      </c>
      <c r="S97" s="225">
        <v>5.1660500000000005E-2</v>
      </c>
      <c r="T97" s="225">
        <v>5.4379473684210533E-2</v>
      </c>
      <c r="U97" s="257">
        <v>309.96300000000002</v>
      </c>
      <c r="V97" s="225">
        <v>5.1660500000000005E-2</v>
      </c>
      <c r="W97" s="225">
        <v>5.4379473684210533E-2</v>
      </c>
      <c r="X97" s="257">
        <v>309.96300000000002</v>
      </c>
      <c r="Y97" s="225">
        <v>5.1660500000000005E-2</v>
      </c>
      <c r="Z97" s="225">
        <v>5.4379473684210533E-2</v>
      </c>
      <c r="AA97" s="257">
        <v>372</v>
      </c>
      <c r="AB97" s="225">
        <v>6.2E-2</v>
      </c>
      <c r="AC97" s="225">
        <v>6.5263157894736842E-2</v>
      </c>
      <c r="AD97" s="257">
        <v>372</v>
      </c>
      <c r="AE97" s="225">
        <v>6.2E-2</v>
      </c>
      <c r="AF97" s="225">
        <v>6.5263157894736842E-2</v>
      </c>
      <c r="AG97" s="257">
        <v>372</v>
      </c>
      <c r="AH97" s="225">
        <v>6.2E-2</v>
      </c>
      <c r="AI97" s="225">
        <v>6.5263157894736842E-2</v>
      </c>
      <c r="AJ97" s="250">
        <v>372</v>
      </c>
      <c r="AK97" s="225">
        <v>6.2E-2</v>
      </c>
      <c r="AL97" s="225">
        <v>6.5263157894736842E-2</v>
      </c>
      <c r="AM97" s="257">
        <v>372</v>
      </c>
      <c r="AN97" s="225">
        <v>6.2E-2</v>
      </c>
      <c r="AO97" s="225">
        <v>6.5263157894736842E-2</v>
      </c>
      <c r="AP97" s="225"/>
      <c r="AQ97" s="257">
        <v>372</v>
      </c>
      <c r="AR97" s="225">
        <v>6.2E-2</v>
      </c>
      <c r="AS97" s="225">
        <v>6.5263157894736842E-2</v>
      </c>
      <c r="AT97" s="257">
        <v>372</v>
      </c>
      <c r="AU97" s="225">
        <v>6.2E-2</v>
      </c>
      <c r="AV97" s="225">
        <v>6.5263157894736842E-2</v>
      </c>
      <c r="AW97" s="257">
        <v>372</v>
      </c>
      <c r="AX97" s="225">
        <v>6.2E-2</v>
      </c>
      <c r="AY97" s="225">
        <v>6.5263157894736842E-2</v>
      </c>
      <c r="AZ97" s="257">
        <v>372</v>
      </c>
      <c r="BA97" s="225">
        <v>6.2E-2</v>
      </c>
      <c r="BB97" s="225">
        <v>6.5263157894736842E-2</v>
      </c>
      <c r="BC97" s="257">
        <v>372</v>
      </c>
      <c r="BD97" s="225">
        <v>6.2E-2</v>
      </c>
      <c r="BE97" s="225">
        <v>6.5263157894736842E-2</v>
      </c>
      <c r="BF97" s="257"/>
      <c r="BG97" s="257">
        <v>372</v>
      </c>
      <c r="BH97" s="225">
        <v>6.2E-2</v>
      </c>
      <c r="BI97" s="225">
        <v>6.5263157894736842E-2</v>
      </c>
      <c r="BJ97" s="257">
        <f t="shared" si="75"/>
        <v>5700</v>
      </c>
      <c r="BK97" s="257">
        <v>372</v>
      </c>
      <c r="BL97" s="225">
        <f>BK97/$D97</f>
        <v>6.2E-2</v>
      </c>
      <c r="BM97" s="225">
        <f t="shared" si="80"/>
        <v>6.5263157894736842E-2</v>
      </c>
      <c r="BN97" s="205">
        <f t="shared" si="73"/>
        <v>0</v>
      </c>
      <c r="BO97" s="205"/>
      <c r="BP97" s="227"/>
      <c r="BQ97" s="224">
        <f t="shared" si="81"/>
        <v>0</v>
      </c>
      <c r="BR97" s="227">
        <v>1000</v>
      </c>
      <c r="BS97" s="224">
        <f>BR97/$D97</f>
        <v>0.16666666666666666</v>
      </c>
      <c r="BT97" s="227">
        <v>1000</v>
      </c>
      <c r="BU97" s="224">
        <f>BT97/$D97</f>
        <v>0.16666666666666666</v>
      </c>
      <c r="BV97" s="227">
        <v>1500</v>
      </c>
      <c r="BW97" s="224">
        <f>BV97/$D97</f>
        <v>0.25</v>
      </c>
      <c r="BX97" s="227">
        <v>2000</v>
      </c>
      <c r="BY97" s="224">
        <f>BX97/$D97</f>
        <v>0.33333333333333331</v>
      </c>
      <c r="BZ97" s="227">
        <v>2500</v>
      </c>
      <c r="CA97" s="224">
        <f>BZ97/$D97</f>
        <v>0.41666666666666669</v>
      </c>
      <c r="CB97" s="227">
        <v>3000</v>
      </c>
      <c r="CC97" s="224">
        <f>CB97/$D97</f>
        <v>0.5</v>
      </c>
      <c r="CD97" s="227">
        <v>3500</v>
      </c>
      <c r="CE97" s="224">
        <f>CD97/$D97</f>
        <v>0.58333333333333337</v>
      </c>
      <c r="CF97" s="227">
        <v>4000</v>
      </c>
      <c r="CG97" s="224">
        <f>CF97/$D97</f>
        <v>0.66666666666666663</v>
      </c>
      <c r="CH97" s="227">
        <v>4500</v>
      </c>
      <c r="CI97" s="224">
        <f>CH97/$D97</f>
        <v>0.75</v>
      </c>
      <c r="CJ97" s="227">
        <v>5000</v>
      </c>
      <c r="CK97" s="224">
        <f>CJ97/$D97</f>
        <v>0.83333333333333337</v>
      </c>
      <c r="CL97" s="227">
        <v>5500</v>
      </c>
      <c r="CM97" s="224">
        <f>CL97/$D97</f>
        <v>0.91666666666666663</v>
      </c>
      <c r="CN97" s="227">
        <v>5700</v>
      </c>
      <c r="CO97" s="224">
        <f>CN97/$D97</f>
        <v>0.95</v>
      </c>
      <c r="CP97" s="213" t="str">
        <f t="shared" si="82"/>
        <v>Không đạt</v>
      </c>
      <c r="CQ97" s="213" t="str">
        <f t="shared" si="83"/>
        <v>Không đạt</v>
      </c>
      <c r="CR97" s="192"/>
      <c r="CS97" s="257">
        <f t="shared" si="78"/>
        <v>0</v>
      </c>
      <c r="CT97" s="223"/>
      <c r="CU97" s="163"/>
      <c r="CW97" s="195"/>
      <c r="CX97" s="196"/>
      <c r="CY97" s="196"/>
      <c r="CZ97" s="197"/>
      <c r="DA97" s="196"/>
      <c r="DB97" s="196"/>
      <c r="DC97" s="196"/>
      <c r="DE97" s="199"/>
      <c r="DF97" s="200"/>
      <c r="DG97" s="181"/>
    </row>
    <row r="98" spans="1:111" hidden="1" outlineLevel="1" x14ac:dyDescent="0.25">
      <c r="A98" s="192">
        <f>MAX(A$69:$B97)+1</f>
        <v>25</v>
      </c>
      <c r="B98" s="222" t="s">
        <v>242</v>
      </c>
      <c r="C98" s="222">
        <v>7724891</v>
      </c>
      <c r="D98" s="214">
        <f>E98+F98</f>
        <v>5000</v>
      </c>
      <c r="E98" s="214"/>
      <c r="F98" s="214">
        <f>G98+H98+K98+M98</f>
        <v>5000</v>
      </c>
      <c r="G98" s="257">
        <v>5000</v>
      </c>
      <c r="H98" s="257"/>
      <c r="I98" s="235"/>
      <c r="J98" s="235"/>
      <c r="K98" s="257"/>
      <c r="L98" s="235"/>
      <c r="M98" s="223"/>
      <c r="N98" s="223"/>
      <c r="O98" s="257">
        <f>G98+I98+L98+N98</f>
        <v>5000</v>
      </c>
      <c r="P98" s="257">
        <v>0</v>
      </c>
      <c r="Q98" s="224">
        <f>P98/$D98</f>
        <v>0</v>
      </c>
      <c r="R98" s="257">
        <v>149.537329</v>
      </c>
      <c r="S98" s="225">
        <v>2.9907465800000001E-2</v>
      </c>
      <c r="T98" s="225">
        <v>3.1481542947368421E-2</v>
      </c>
      <c r="U98" s="257">
        <v>149.537329</v>
      </c>
      <c r="V98" s="225">
        <v>2.9907465800000001E-2</v>
      </c>
      <c r="W98" s="225">
        <v>3.1481542947368421E-2</v>
      </c>
      <c r="X98" s="257">
        <v>149.537329</v>
      </c>
      <c r="Y98" s="225">
        <v>2.9907465800000001E-2</v>
      </c>
      <c r="Z98" s="225">
        <v>3.1481542947368421E-2</v>
      </c>
      <c r="AA98" s="257">
        <v>149.537329</v>
      </c>
      <c r="AB98" s="225">
        <v>2.9907465800000001E-2</v>
      </c>
      <c r="AC98" s="225">
        <v>3.1481542947368421E-2</v>
      </c>
      <c r="AD98" s="257">
        <v>149.537329</v>
      </c>
      <c r="AE98" s="225">
        <v>2.9907465800000001E-2</v>
      </c>
      <c r="AF98" s="225">
        <v>3.1481542947368421E-2</v>
      </c>
      <c r="AG98" s="257">
        <v>149.537329</v>
      </c>
      <c r="AH98" s="225">
        <v>2.9907465800000001E-2</v>
      </c>
      <c r="AI98" s="225">
        <v>3.1481542947368421E-2</v>
      </c>
      <c r="AJ98" s="257">
        <v>149.537329</v>
      </c>
      <c r="AK98" s="225">
        <v>2.9907465800000001E-2</v>
      </c>
      <c r="AL98" s="225">
        <v>3.1481542947368421E-2</v>
      </c>
      <c r="AM98" s="257">
        <v>149.537329</v>
      </c>
      <c r="AN98" s="225">
        <v>2.9907465800000001E-2</v>
      </c>
      <c r="AO98" s="225">
        <v>3.1481542947368421E-2</v>
      </c>
      <c r="AP98" s="225"/>
      <c r="AQ98" s="257">
        <v>149.537329</v>
      </c>
      <c r="AR98" s="225">
        <v>2.9907465800000001E-2</v>
      </c>
      <c r="AS98" s="225">
        <v>3.1481542947368421E-2</v>
      </c>
      <c r="AT98" s="257">
        <v>149.537329</v>
      </c>
      <c r="AU98" s="225">
        <v>2.9907465800000001E-2</v>
      </c>
      <c r="AV98" s="225">
        <v>3.1481542947368421E-2</v>
      </c>
      <c r="AW98" s="257">
        <v>149.537329</v>
      </c>
      <c r="AX98" s="225">
        <v>2.9907465800000001E-2</v>
      </c>
      <c r="AY98" s="225">
        <v>3.1481542947368421E-2</v>
      </c>
      <c r="AZ98" s="257">
        <v>149.537329</v>
      </c>
      <c r="BA98" s="225">
        <v>2.9907465800000001E-2</v>
      </c>
      <c r="BB98" s="225">
        <v>3.1481542947368421E-2</v>
      </c>
      <c r="BC98" s="257">
        <v>149.537329</v>
      </c>
      <c r="BD98" s="225">
        <v>2.9907465800000001E-2</v>
      </c>
      <c r="BE98" s="225">
        <v>3.1481542947368421E-2</v>
      </c>
      <c r="BF98" s="257"/>
      <c r="BG98" s="257">
        <v>149.537329</v>
      </c>
      <c r="BH98" s="225">
        <v>2.9907465800000001E-2</v>
      </c>
      <c r="BI98" s="225">
        <v>3.1481542947368421E-2</v>
      </c>
      <c r="BJ98" s="257">
        <f t="shared" si="75"/>
        <v>4750</v>
      </c>
      <c r="BK98" s="257">
        <v>149.537329</v>
      </c>
      <c r="BL98" s="225">
        <f>BK98/$D98</f>
        <v>2.9907465800000001E-2</v>
      </c>
      <c r="BM98" s="225">
        <f>BK98/(E98+0.95*F98)</f>
        <v>3.1481542947368421E-2</v>
      </c>
      <c r="BN98" s="205">
        <f t="shared" si="73"/>
        <v>0</v>
      </c>
      <c r="BO98" s="205"/>
      <c r="BP98" s="227"/>
      <c r="BQ98" s="224">
        <f>BP98/$D98</f>
        <v>0</v>
      </c>
      <c r="BR98" s="227">
        <v>0</v>
      </c>
      <c r="BS98" s="224">
        <f>BR98/$D98</f>
        <v>0</v>
      </c>
      <c r="BT98" s="227">
        <v>200</v>
      </c>
      <c r="BU98" s="224">
        <f>BT98/$D98</f>
        <v>0.04</v>
      </c>
      <c r="BV98" s="227">
        <v>500</v>
      </c>
      <c r="BW98" s="224">
        <f>BV98/$D98</f>
        <v>0.1</v>
      </c>
      <c r="BX98" s="227">
        <v>1000</v>
      </c>
      <c r="BY98" s="224">
        <f>BX98/$D98</f>
        <v>0.2</v>
      </c>
      <c r="BZ98" s="227">
        <v>1500</v>
      </c>
      <c r="CA98" s="224">
        <f>BZ98/$D98</f>
        <v>0.3</v>
      </c>
      <c r="CB98" s="227">
        <v>2000</v>
      </c>
      <c r="CC98" s="224">
        <f>CB98/$D98</f>
        <v>0.4</v>
      </c>
      <c r="CD98" s="227">
        <v>2500</v>
      </c>
      <c r="CE98" s="224">
        <f>CD98/$D98</f>
        <v>0.5</v>
      </c>
      <c r="CF98" s="227">
        <v>3000</v>
      </c>
      <c r="CG98" s="224">
        <f>CF98/$D98</f>
        <v>0.6</v>
      </c>
      <c r="CH98" s="227">
        <v>3500</v>
      </c>
      <c r="CI98" s="224">
        <f>CH98/$D98</f>
        <v>0.7</v>
      </c>
      <c r="CJ98" s="227">
        <v>4000</v>
      </c>
      <c r="CK98" s="224">
        <f>CJ98/$D98</f>
        <v>0.8</v>
      </c>
      <c r="CL98" s="227">
        <v>4500</v>
      </c>
      <c r="CM98" s="224">
        <f>CL98/$D98</f>
        <v>0.9</v>
      </c>
      <c r="CN98" s="227">
        <v>4750</v>
      </c>
      <c r="CO98" s="224">
        <f>CN98/$D98</f>
        <v>0.95</v>
      </c>
      <c r="CP98" s="213" t="str">
        <f t="shared" si="82"/>
        <v>Không đạt</v>
      </c>
      <c r="CQ98" s="213" t="str">
        <f t="shared" si="83"/>
        <v>Không đạt</v>
      </c>
      <c r="CR98" s="192"/>
      <c r="CS98" s="257">
        <f t="shared" si="78"/>
        <v>0</v>
      </c>
      <c r="CT98" s="223"/>
      <c r="CU98" s="163"/>
      <c r="CW98" s="195"/>
      <c r="CX98" s="196"/>
      <c r="CY98" s="196"/>
      <c r="CZ98" s="197"/>
      <c r="DA98" s="196"/>
      <c r="DB98" s="196"/>
      <c r="DC98" s="196"/>
      <c r="DE98" s="199"/>
      <c r="DF98" s="200"/>
      <c r="DG98" s="181"/>
    </row>
    <row r="99" spans="1:111" ht="25.5" hidden="1" outlineLevel="1" x14ac:dyDescent="0.25">
      <c r="A99" s="192">
        <f>MAX(A$69:$B98)+1</f>
        <v>26</v>
      </c>
      <c r="B99" s="222" t="s">
        <v>243</v>
      </c>
      <c r="C99" s="222">
        <v>8046200</v>
      </c>
      <c r="D99" s="214">
        <f>E99+F99</f>
        <v>30000</v>
      </c>
      <c r="E99" s="214"/>
      <c r="F99" s="214">
        <f>G99+H99+K99+M99</f>
        <v>30000</v>
      </c>
      <c r="G99" s="257">
        <v>20000</v>
      </c>
      <c r="H99" s="257">
        <v>10000</v>
      </c>
      <c r="I99" s="235"/>
      <c r="J99" s="235"/>
      <c r="K99" s="257"/>
      <c r="L99" s="235"/>
      <c r="M99" s="223"/>
      <c r="N99" s="223"/>
      <c r="O99" s="257">
        <f>G99+I99+L99+N99</f>
        <v>20000</v>
      </c>
      <c r="P99" s="257">
        <v>1442.722</v>
      </c>
      <c r="Q99" s="224">
        <f>P99/$D99</f>
        <v>4.809073333333333E-2</v>
      </c>
      <c r="R99" s="257">
        <v>1862.09</v>
      </c>
      <c r="S99" s="225">
        <v>6.2069666666666662E-2</v>
      </c>
      <c r="T99" s="225">
        <v>6.533649122807017E-2</v>
      </c>
      <c r="U99" s="257">
        <v>1862.09</v>
      </c>
      <c r="V99" s="225">
        <v>6.2069666666666662E-2</v>
      </c>
      <c r="W99" s="225">
        <v>6.533649122807017E-2</v>
      </c>
      <c r="X99" s="257">
        <v>1862.09</v>
      </c>
      <c r="Y99" s="225">
        <v>6.2069666666666662E-2</v>
      </c>
      <c r="Z99" s="225">
        <v>6.533649122807017E-2</v>
      </c>
      <c r="AA99" s="257">
        <v>1862.09</v>
      </c>
      <c r="AB99" s="225">
        <v>6.2069666666666662E-2</v>
      </c>
      <c r="AC99" s="225">
        <v>6.533649122807017E-2</v>
      </c>
      <c r="AD99" s="257">
        <v>1862.09</v>
      </c>
      <c r="AE99" s="225">
        <v>6.2069666666666662E-2</v>
      </c>
      <c r="AF99" s="225">
        <v>6.533649122807017E-2</v>
      </c>
      <c r="AG99" s="257">
        <v>1862.09</v>
      </c>
      <c r="AH99" s="225">
        <v>6.2069666666666662E-2</v>
      </c>
      <c r="AI99" s="225">
        <v>6.533649122807017E-2</v>
      </c>
      <c r="AJ99" s="257">
        <v>1862.09</v>
      </c>
      <c r="AK99" s="225">
        <v>6.2069666666666662E-2</v>
      </c>
      <c r="AL99" s="225">
        <v>6.533649122807017E-2</v>
      </c>
      <c r="AM99" s="257">
        <v>1862.09</v>
      </c>
      <c r="AN99" s="225">
        <v>6.2069666666666662E-2</v>
      </c>
      <c r="AO99" s="225">
        <v>6.533649122807017E-2</v>
      </c>
      <c r="AP99" s="225"/>
      <c r="AQ99" s="257">
        <v>6864.2860000000001</v>
      </c>
      <c r="AR99" s="225">
        <v>0.22880953333333334</v>
      </c>
      <c r="AS99" s="225">
        <v>0.24085214035087721</v>
      </c>
      <c r="AT99" s="257">
        <v>6864.2860000000001</v>
      </c>
      <c r="AU99" s="225">
        <v>0.22880953333333334</v>
      </c>
      <c r="AV99" s="225">
        <v>0.24085214035087721</v>
      </c>
      <c r="AW99" s="257">
        <v>6864.2860000000001</v>
      </c>
      <c r="AX99" s="225">
        <v>0.22880953333333334</v>
      </c>
      <c r="AY99" s="225">
        <v>0.24085214035087721</v>
      </c>
      <c r="AZ99" s="257">
        <v>6864.2860000000001</v>
      </c>
      <c r="BA99" s="225">
        <v>0.22880953333333334</v>
      </c>
      <c r="BB99" s="225">
        <v>0.24085214035087721</v>
      </c>
      <c r="BC99" s="257">
        <v>6864.2860000000001</v>
      </c>
      <c r="BD99" s="225">
        <v>0.22880953333333334</v>
      </c>
      <c r="BE99" s="225">
        <v>0.24085214035087721</v>
      </c>
      <c r="BF99" s="257"/>
      <c r="BG99" s="257">
        <v>11234.835999999999</v>
      </c>
      <c r="BH99" s="225">
        <v>0.37449453333333332</v>
      </c>
      <c r="BI99" s="225">
        <v>0.39420477192982456</v>
      </c>
      <c r="BJ99" s="257">
        <f t="shared" si="75"/>
        <v>28500</v>
      </c>
      <c r="BK99" s="257">
        <v>11234.835999999999</v>
      </c>
      <c r="BL99" s="225">
        <f>BK99/$D99</f>
        <v>0.37449453333333332</v>
      </c>
      <c r="BM99" s="225">
        <f>BK99/(E99+0.95*F99)</f>
        <v>0.39420477192982456</v>
      </c>
      <c r="BN99" s="205">
        <f t="shared" si="73"/>
        <v>9372.7459999999992</v>
      </c>
      <c r="BO99" s="205"/>
      <c r="BP99" s="227"/>
      <c r="BQ99" s="224">
        <f>BP99/$D99</f>
        <v>0</v>
      </c>
      <c r="BR99" s="227">
        <v>2000</v>
      </c>
      <c r="BS99" s="224">
        <f>BR99/$D99</f>
        <v>6.6666666666666666E-2</v>
      </c>
      <c r="BT99" s="227">
        <v>3000</v>
      </c>
      <c r="BU99" s="224">
        <f>BT99/$D99</f>
        <v>0.1</v>
      </c>
      <c r="BV99" s="227">
        <v>5000</v>
      </c>
      <c r="BW99" s="224">
        <f>BV99/$D99</f>
        <v>0.16666666666666666</v>
      </c>
      <c r="BX99" s="227">
        <v>10000</v>
      </c>
      <c r="BY99" s="224">
        <f>BX99/$D99</f>
        <v>0.33333333333333331</v>
      </c>
      <c r="BZ99" s="227">
        <v>15000</v>
      </c>
      <c r="CA99" s="224">
        <f>BZ99/$D99</f>
        <v>0.5</v>
      </c>
      <c r="CB99" s="227">
        <v>20000</v>
      </c>
      <c r="CC99" s="224">
        <f>CB99/$D99</f>
        <v>0.66666666666666663</v>
      </c>
      <c r="CD99" s="227">
        <v>25000</v>
      </c>
      <c r="CE99" s="224">
        <f>CD99/$D99</f>
        <v>0.83333333333333337</v>
      </c>
      <c r="CF99" s="227">
        <v>28500</v>
      </c>
      <c r="CG99" s="224">
        <f>CF99/$D99</f>
        <v>0.95</v>
      </c>
      <c r="CH99" s="227">
        <v>28500</v>
      </c>
      <c r="CI99" s="224">
        <f>CH99/$D99</f>
        <v>0.95</v>
      </c>
      <c r="CJ99" s="227">
        <v>28500</v>
      </c>
      <c r="CK99" s="224">
        <f>CJ99/$D99</f>
        <v>0.95</v>
      </c>
      <c r="CL99" s="227">
        <v>28500</v>
      </c>
      <c r="CM99" s="224">
        <f>CL99/$D99</f>
        <v>0.95</v>
      </c>
      <c r="CN99" s="227">
        <v>28500</v>
      </c>
      <c r="CO99" s="224">
        <f>CN99/$D99</f>
        <v>0.95</v>
      </c>
      <c r="CP99" s="213" t="str">
        <f t="shared" si="82"/>
        <v>Đạt</v>
      </c>
      <c r="CQ99" s="213" t="str">
        <f t="shared" si="83"/>
        <v>Không đạt</v>
      </c>
      <c r="CR99" s="192"/>
      <c r="CS99" s="257">
        <f t="shared" si="78"/>
        <v>4370.5499999999993</v>
      </c>
      <c r="CT99" s="223"/>
      <c r="CU99" s="163"/>
      <c r="CW99" s="195"/>
      <c r="CX99" s="196"/>
      <c r="CY99" s="196"/>
      <c r="CZ99" s="197"/>
      <c r="DA99" s="196"/>
      <c r="DB99" s="196"/>
      <c r="DC99" s="196"/>
      <c r="DE99" s="199"/>
      <c r="DF99" s="200"/>
      <c r="DG99" s="181"/>
    </row>
    <row r="100" spans="1:111" ht="25.5" hidden="1" outlineLevel="1" x14ac:dyDescent="0.25">
      <c r="A100" s="192">
        <f>MAX(A$69:$B99)+1</f>
        <v>27</v>
      </c>
      <c r="B100" s="222" t="s">
        <v>244</v>
      </c>
      <c r="C100" s="222">
        <v>8128141</v>
      </c>
      <c r="D100" s="214">
        <f>E100+F100</f>
        <v>1921</v>
      </c>
      <c r="E100" s="214"/>
      <c r="F100" s="214">
        <f>G100+H100+K100+M100</f>
        <v>1921</v>
      </c>
      <c r="G100" s="257">
        <f>3500-1579</f>
        <v>1921</v>
      </c>
      <c r="H100" s="257"/>
      <c r="I100" s="235"/>
      <c r="J100" s="235"/>
      <c r="K100" s="257"/>
      <c r="L100" s="235"/>
      <c r="M100" s="223"/>
      <c r="N100" s="223"/>
      <c r="O100" s="257">
        <f>G100+I100+L100+N100</f>
        <v>1921</v>
      </c>
      <c r="P100" s="257">
        <v>0</v>
      </c>
      <c r="Q100" s="224">
        <f>P100/$D100</f>
        <v>0</v>
      </c>
      <c r="R100" s="257">
        <v>1305.1510000000001</v>
      </c>
      <c r="S100" s="225">
        <v>0.37290028571428574</v>
      </c>
      <c r="T100" s="225">
        <v>0.3925266165413534</v>
      </c>
      <c r="U100" s="257">
        <v>1305.1510000000001</v>
      </c>
      <c r="V100" s="225">
        <v>0.37290028571428574</v>
      </c>
      <c r="W100" s="225">
        <v>0.3925266165413534</v>
      </c>
      <c r="X100" s="257">
        <v>1305.1510000000001</v>
      </c>
      <c r="Y100" s="225">
        <v>0.37290028571428574</v>
      </c>
      <c r="Z100" s="225">
        <v>0.3925266165413534</v>
      </c>
      <c r="AA100" s="257">
        <v>1305.1510000000001</v>
      </c>
      <c r="AB100" s="225">
        <v>0.37290028571428574</v>
      </c>
      <c r="AC100" s="225">
        <v>0.3925266165413534</v>
      </c>
      <c r="AD100" s="257">
        <v>1305.1510000000001</v>
      </c>
      <c r="AE100" s="225">
        <v>0.37290028571428574</v>
      </c>
      <c r="AF100" s="225">
        <v>0.3925266165413534</v>
      </c>
      <c r="AG100" s="257">
        <v>1305.1510000000001</v>
      </c>
      <c r="AH100" s="225">
        <v>0.37290028571428574</v>
      </c>
      <c r="AI100" s="225">
        <v>0.3925266165413534</v>
      </c>
      <c r="AJ100" s="250">
        <v>1305.1510000000001</v>
      </c>
      <c r="AK100" s="225">
        <v>0.37290028571428574</v>
      </c>
      <c r="AL100" s="225">
        <v>0.3925266165413534</v>
      </c>
      <c r="AM100" s="257">
        <v>1305.1510000000001</v>
      </c>
      <c r="AN100" s="225">
        <v>0.37290028571428574</v>
      </c>
      <c r="AO100" s="225">
        <v>0.3925266165413534</v>
      </c>
      <c r="AP100" s="225"/>
      <c r="AQ100" s="257">
        <v>1305.1510000000001</v>
      </c>
      <c r="AR100" s="225">
        <v>0.37290028571428574</v>
      </c>
      <c r="AS100" s="225">
        <v>0.3925266165413534</v>
      </c>
      <c r="AT100" s="257">
        <v>1305.1510000000001</v>
      </c>
      <c r="AU100" s="225">
        <v>0.37290028571428574</v>
      </c>
      <c r="AV100" s="225">
        <v>0.3925266165413534</v>
      </c>
      <c r="AW100" s="257">
        <v>1305.1510000000001</v>
      </c>
      <c r="AX100" s="225">
        <v>0.37290028571428574</v>
      </c>
      <c r="AY100" s="225">
        <v>0.3925266165413534</v>
      </c>
      <c r="AZ100" s="257">
        <v>1305.1510000000001</v>
      </c>
      <c r="BA100" s="225">
        <v>0.37290028571428574</v>
      </c>
      <c r="BB100" s="225">
        <v>0.3925266165413534</v>
      </c>
      <c r="BC100" s="257">
        <v>1446.6660000000002</v>
      </c>
      <c r="BD100" s="225">
        <v>0.4133331428571429</v>
      </c>
      <c r="BE100" s="225">
        <v>0.43508751879699253</v>
      </c>
      <c r="BF100" s="257"/>
      <c r="BG100" s="257">
        <v>1446.6660000000002</v>
      </c>
      <c r="BH100" s="225">
        <v>0.75307964601769917</v>
      </c>
      <c r="BI100" s="225">
        <v>0.7927154168607361</v>
      </c>
      <c r="BJ100" s="257">
        <f t="shared" si="75"/>
        <v>1824.9499999999998</v>
      </c>
      <c r="BK100" s="257">
        <v>1446.6660000000002</v>
      </c>
      <c r="BL100" s="225">
        <f>BK100/$D100</f>
        <v>0.75307964601769917</v>
      </c>
      <c r="BM100" s="225">
        <f>BK100/(E100+0.95*F100)</f>
        <v>0.7927154168607361</v>
      </c>
      <c r="BN100" s="205">
        <f t="shared" si="73"/>
        <v>141.5150000000001</v>
      </c>
      <c r="BO100" s="205"/>
      <c r="BP100" s="227"/>
      <c r="BQ100" s="224">
        <f>BP100/$D100</f>
        <v>0</v>
      </c>
      <c r="BR100" s="227">
        <v>2000</v>
      </c>
      <c r="BS100" s="224">
        <f>BR100/$D100</f>
        <v>1.0411244143675169</v>
      </c>
      <c r="BT100" s="227">
        <v>2500</v>
      </c>
      <c r="BU100" s="224">
        <f>BT100/$D100</f>
        <v>1.3014055179593962</v>
      </c>
      <c r="BV100" s="227">
        <v>3000</v>
      </c>
      <c r="BW100" s="224">
        <f>BV100/$D100</f>
        <v>1.5616866215512755</v>
      </c>
      <c r="BX100" s="227">
        <v>3325</v>
      </c>
      <c r="BY100" s="224">
        <f>BX100/$D100</f>
        <v>1.7308693388859968</v>
      </c>
      <c r="BZ100" s="227">
        <v>3325</v>
      </c>
      <c r="CA100" s="224">
        <f>BZ100/$D100</f>
        <v>1.7308693388859968</v>
      </c>
      <c r="CB100" s="227">
        <v>3325</v>
      </c>
      <c r="CC100" s="224">
        <f>CB100/$D100</f>
        <v>1.7308693388859968</v>
      </c>
      <c r="CD100" s="227">
        <v>3325</v>
      </c>
      <c r="CE100" s="224">
        <f>CD100/$D100</f>
        <v>1.7308693388859968</v>
      </c>
      <c r="CF100" s="227">
        <v>3325</v>
      </c>
      <c r="CG100" s="224">
        <f>CF100/$D100</f>
        <v>1.7308693388859968</v>
      </c>
      <c r="CH100" s="227">
        <v>3325</v>
      </c>
      <c r="CI100" s="224">
        <f>CH100/$D100</f>
        <v>1.7308693388859968</v>
      </c>
      <c r="CJ100" s="227">
        <v>3325</v>
      </c>
      <c r="CK100" s="224">
        <f>CJ100/$D100</f>
        <v>1.7308693388859968</v>
      </c>
      <c r="CL100" s="227">
        <v>3325</v>
      </c>
      <c r="CM100" s="224">
        <f>CL100/$D100</f>
        <v>1.7308693388859968</v>
      </c>
      <c r="CN100" s="227">
        <v>3325</v>
      </c>
      <c r="CO100" s="224">
        <f>CN100/$D100</f>
        <v>1.7308693388859968</v>
      </c>
      <c r="CP100" s="213" t="str">
        <f t="shared" si="82"/>
        <v>Đạt</v>
      </c>
      <c r="CQ100" s="213" t="str">
        <f t="shared" si="83"/>
        <v>Đạt</v>
      </c>
      <c r="CR100" s="192"/>
      <c r="CS100" s="257">
        <f t="shared" si="78"/>
        <v>141.5150000000001</v>
      </c>
      <c r="CT100" s="223"/>
      <c r="CU100" s="163"/>
      <c r="CW100" s="195"/>
      <c r="CX100" s="196"/>
      <c r="CY100" s="196"/>
      <c r="CZ100" s="197"/>
      <c r="DA100" s="196"/>
      <c r="DB100" s="196"/>
      <c r="DC100" s="196"/>
      <c r="DE100" s="199"/>
      <c r="DF100" s="200"/>
      <c r="DG100" s="181"/>
    </row>
    <row r="101" spans="1:111" hidden="1" outlineLevel="1" x14ac:dyDescent="0.25">
      <c r="A101" s="256"/>
      <c r="B101" s="210" t="s">
        <v>245</v>
      </c>
      <c r="C101" s="210"/>
      <c r="D101" s="214">
        <f t="shared" si="76"/>
        <v>0</v>
      </c>
      <c r="E101" s="214"/>
      <c r="F101" s="214">
        <f t="shared" si="77"/>
        <v>0</v>
      </c>
      <c r="G101" s="250"/>
      <c r="H101" s="250"/>
      <c r="I101" s="235"/>
      <c r="J101" s="235"/>
      <c r="K101" s="250"/>
      <c r="L101" s="235"/>
      <c r="M101" s="223"/>
      <c r="N101" s="223"/>
      <c r="O101" s="250">
        <f t="shared" si="84"/>
        <v>0</v>
      </c>
      <c r="P101" s="250">
        <v>0</v>
      </c>
      <c r="Q101" s="224" t="e">
        <f t="shared" si="79"/>
        <v>#DIV/0!</v>
      </c>
      <c r="R101" s="250"/>
      <c r="S101" s="225"/>
      <c r="T101" s="225" t="e">
        <v>#DIV/0!</v>
      </c>
      <c r="U101" s="250"/>
      <c r="V101" s="225"/>
      <c r="W101" s="225" t="e">
        <v>#DIV/0!</v>
      </c>
      <c r="X101" s="250"/>
      <c r="Y101" s="225"/>
      <c r="Z101" s="225" t="e">
        <v>#DIV/0!</v>
      </c>
      <c r="AA101" s="250"/>
      <c r="AB101" s="225"/>
      <c r="AC101" s="225" t="e">
        <v>#DIV/0!</v>
      </c>
      <c r="AD101" s="250"/>
      <c r="AE101" s="225"/>
      <c r="AF101" s="225" t="e">
        <v>#DIV/0!</v>
      </c>
      <c r="AG101" s="250"/>
      <c r="AH101" s="225"/>
      <c r="AI101" s="225" t="e">
        <v>#DIV/0!</v>
      </c>
      <c r="AJ101" s="257"/>
      <c r="AK101" s="225"/>
      <c r="AL101" s="225" t="e">
        <v>#DIV/0!</v>
      </c>
      <c r="AM101" s="250"/>
      <c r="AN101" s="225"/>
      <c r="AO101" s="225" t="e">
        <v>#DIV/0!</v>
      </c>
      <c r="AP101" s="225"/>
      <c r="AQ101" s="250"/>
      <c r="AR101" s="225"/>
      <c r="AS101" s="225"/>
      <c r="AT101" s="250"/>
      <c r="AU101" s="225"/>
      <c r="AV101" s="225"/>
      <c r="AW101" s="250"/>
      <c r="AX101" s="225"/>
      <c r="AY101" s="225"/>
      <c r="AZ101" s="250"/>
      <c r="BA101" s="225"/>
      <c r="BB101" s="225"/>
      <c r="BC101" s="250"/>
      <c r="BD101" s="225"/>
      <c r="BE101" s="225"/>
      <c r="BF101" s="250"/>
      <c r="BG101" s="250"/>
      <c r="BH101" s="225"/>
      <c r="BI101" s="225"/>
      <c r="BJ101" s="250">
        <f t="shared" si="75"/>
        <v>0</v>
      </c>
      <c r="BK101" s="250"/>
      <c r="BL101" s="225"/>
      <c r="BM101" s="225"/>
      <c r="BN101" s="205">
        <f t="shared" si="73"/>
        <v>0</v>
      </c>
      <c r="BO101" s="205"/>
      <c r="BP101" s="227"/>
      <c r="BQ101" s="224"/>
      <c r="BR101" s="227"/>
      <c r="BS101" s="224"/>
      <c r="BT101" s="227"/>
      <c r="BU101" s="224"/>
      <c r="BV101" s="227"/>
      <c r="BW101" s="224"/>
      <c r="BX101" s="227"/>
      <c r="BY101" s="224"/>
      <c r="BZ101" s="227"/>
      <c r="CA101" s="224"/>
      <c r="CB101" s="227"/>
      <c r="CC101" s="224"/>
      <c r="CD101" s="227"/>
      <c r="CE101" s="224"/>
      <c r="CF101" s="227"/>
      <c r="CG101" s="224"/>
      <c r="CH101" s="227"/>
      <c r="CI101" s="224"/>
      <c r="CJ101" s="227"/>
      <c r="CK101" s="224"/>
      <c r="CL101" s="227"/>
      <c r="CM101" s="224"/>
      <c r="CN101" s="227"/>
      <c r="CO101" s="224"/>
      <c r="CP101" s="213" t="str">
        <f t="shared" si="82"/>
        <v>Không đạt</v>
      </c>
      <c r="CQ101" s="213" t="str">
        <f t="shared" si="83"/>
        <v>Không đạt</v>
      </c>
      <c r="CR101" s="192"/>
      <c r="CS101" s="250">
        <f t="shared" si="78"/>
        <v>0</v>
      </c>
      <c r="CT101" s="223"/>
      <c r="CU101" s="163"/>
      <c r="CW101" s="195"/>
      <c r="CX101" s="196"/>
      <c r="CY101" s="196"/>
      <c r="CZ101" s="197"/>
      <c r="DA101" s="196"/>
      <c r="DB101" s="196"/>
      <c r="DC101" s="196"/>
      <c r="DE101" s="199"/>
      <c r="DF101" s="200"/>
      <c r="DG101" s="181"/>
    </row>
    <row r="102" spans="1:111" hidden="1" outlineLevel="1" x14ac:dyDescent="0.25">
      <c r="A102" s="192">
        <f>MAX(A$69:$B101)+1</f>
        <v>28</v>
      </c>
      <c r="B102" s="222" t="s">
        <v>246</v>
      </c>
      <c r="C102" s="222" t="s">
        <v>247</v>
      </c>
      <c r="D102" s="214">
        <f t="shared" si="76"/>
        <v>4000</v>
      </c>
      <c r="E102" s="214"/>
      <c r="F102" s="214">
        <f t="shared" si="77"/>
        <v>4000</v>
      </c>
      <c r="G102" s="257">
        <v>4000</v>
      </c>
      <c r="H102" s="257"/>
      <c r="I102" s="235"/>
      <c r="J102" s="235"/>
      <c r="K102" s="257"/>
      <c r="L102" s="235"/>
      <c r="M102" s="223"/>
      <c r="N102" s="223"/>
      <c r="O102" s="257">
        <f t="shared" si="84"/>
        <v>4000</v>
      </c>
      <c r="P102" s="257">
        <v>0</v>
      </c>
      <c r="Q102" s="224">
        <f t="shared" si="79"/>
        <v>0</v>
      </c>
      <c r="R102" s="257"/>
      <c r="S102" s="225">
        <v>0</v>
      </c>
      <c r="T102" s="225">
        <v>0</v>
      </c>
      <c r="U102" s="257"/>
      <c r="V102" s="225">
        <v>0</v>
      </c>
      <c r="W102" s="225">
        <v>0</v>
      </c>
      <c r="X102" s="257"/>
      <c r="Y102" s="225">
        <v>0</v>
      </c>
      <c r="Z102" s="225">
        <v>0</v>
      </c>
      <c r="AA102" s="257"/>
      <c r="AB102" s="225">
        <v>0</v>
      </c>
      <c r="AC102" s="225">
        <v>0</v>
      </c>
      <c r="AD102" s="257"/>
      <c r="AE102" s="225">
        <v>0</v>
      </c>
      <c r="AF102" s="225">
        <v>0</v>
      </c>
      <c r="AG102" s="257"/>
      <c r="AH102" s="225">
        <v>0</v>
      </c>
      <c r="AI102" s="225">
        <v>0</v>
      </c>
      <c r="AJ102" s="257"/>
      <c r="AK102" s="225">
        <v>0</v>
      </c>
      <c r="AL102" s="225">
        <v>0</v>
      </c>
      <c r="AM102" s="257"/>
      <c r="AN102" s="225">
        <v>0</v>
      </c>
      <c r="AO102" s="225">
        <v>0</v>
      </c>
      <c r="AP102" s="225"/>
      <c r="AQ102" s="257"/>
      <c r="AR102" s="225">
        <v>0</v>
      </c>
      <c r="AS102" s="225">
        <v>0</v>
      </c>
      <c r="AT102" s="257"/>
      <c r="AU102" s="225">
        <v>0</v>
      </c>
      <c r="AV102" s="225">
        <v>0</v>
      </c>
      <c r="AW102" s="257"/>
      <c r="AX102" s="225">
        <v>0</v>
      </c>
      <c r="AY102" s="225">
        <v>0</v>
      </c>
      <c r="AZ102" s="257"/>
      <c r="BA102" s="225">
        <v>0</v>
      </c>
      <c r="BB102" s="225">
        <v>0</v>
      </c>
      <c r="BC102" s="257"/>
      <c r="BD102" s="225">
        <v>0</v>
      </c>
      <c r="BE102" s="225">
        <v>0</v>
      </c>
      <c r="BF102" s="257"/>
      <c r="BG102" s="257"/>
      <c r="BH102" s="225">
        <v>0</v>
      </c>
      <c r="BI102" s="225">
        <v>0</v>
      </c>
      <c r="BJ102" s="257">
        <f t="shared" si="75"/>
        <v>3800</v>
      </c>
      <c r="BK102" s="257"/>
      <c r="BL102" s="225">
        <f>BK102/$D102</f>
        <v>0</v>
      </c>
      <c r="BM102" s="225">
        <f t="shared" si="80"/>
        <v>0</v>
      </c>
      <c r="BN102" s="205">
        <f t="shared" si="73"/>
        <v>0</v>
      </c>
      <c r="BO102" s="205"/>
      <c r="BP102" s="227"/>
      <c r="BQ102" s="224">
        <f t="shared" si="81"/>
        <v>0</v>
      </c>
      <c r="BR102" s="227"/>
      <c r="BS102" s="224">
        <f>BR102/$D102</f>
        <v>0</v>
      </c>
      <c r="BT102" s="227"/>
      <c r="BU102" s="224">
        <f>BT102/$D102</f>
        <v>0</v>
      </c>
      <c r="BV102" s="227">
        <v>2300</v>
      </c>
      <c r="BW102" s="224">
        <f>BV102/$D102</f>
        <v>0.57499999999999996</v>
      </c>
      <c r="BX102" s="227">
        <v>3500</v>
      </c>
      <c r="BY102" s="224">
        <f>BX102/$D102</f>
        <v>0.875</v>
      </c>
      <c r="BZ102" s="227">
        <v>3800</v>
      </c>
      <c r="CA102" s="224">
        <f>BZ102/$D102</f>
        <v>0.95</v>
      </c>
      <c r="CB102" s="227">
        <v>3800</v>
      </c>
      <c r="CC102" s="224">
        <f>CB102/$D102</f>
        <v>0.95</v>
      </c>
      <c r="CD102" s="227">
        <v>3800</v>
      </c>
      <c r="CE102" s="224">
        <f>CD102/$D102</f>
        <v>0.95</v>
      </c>
      <c r="CF102" s="227">
        <v>3800</v>
      </c>
      <c r="CG102" s="224">
        <f>CF102/$D102</f>
        <v>0.95</v>
      </c>
      <c r="CH102" s="227">
        <v>3800</v>
      </c>
      <c r="CI102" s="224">
        <f>CH102/$D102</f>
        <v>0.95</v>
      </c>
      <c r="CJ102" s="227">
        <v>3800</v>
      </c>
      <c r="CK102" s="224">
        <f>CJ102/$D102</f>
        <v>0.95</v>
      </c>
      <c r="CL102" s="227">
        <v>3800</v>
      </c>
      <c r="CM102" s="224">
        <f>CL102/$D102</f>
        <v>0.95</v>
      </c>
      <c r="CN102" s="227">
        <v>3800</v>
      </c>
      <c r="CO102" s="224">
        <f>CN102/$D102</f>
        <v>0.95</v>
      </c>
      <c r="CP102" s="213" t="str">
        <f t="shared" si="82"/>
        <v>Không đạt</v>
      </c>
      <c r="CQ102" s="213" t="str">
        <f t="shared" si="83"/>
        <v>Không đạt</v>
      </c>
      <c r="CR102" s="192"/>
      <c r="CS102" s="257">
        <f t="shared" si="78"/>
        <v>0</v>
      </c>
      <c r="CT102" s="223"/>
      <c r="CU102" s="163"/>
      <c r="CW102" s="195"/>
      <c r="CX102" s="196"/>
      <c r="CY102" s="196"/>
      <c r="CZ102" s="197"/>
      <c r="DA102" s="196"/>
      <c r="DB102" s="196"/>
      <c r="DC102" s="196"/>
      <c r="DE102" s="199"/>
      <c r="DF102" s="200"/>
      <c r="DG102" s="181"/>
    </row>
    <row r="103" spans="1:111" ht="25.5" hidden="1" outlineLevel="1" x14ac:dyDescent="0.25">
      <c r="A103" s="192">
        <f>MAX(A$69:$B102)+1</f>
        <v>29</v>
      </c>
      <c r="B103" s="222" t="s">
        <v>248</v>
      </c>
      <c r="C103" s="222" t="s">
        <v>249</v>
      </c>
      <c r="D103" s="214">
        <f t="shared" si="76"/>
        <v>10789</v>
      </c>
      <c r="E103" s="214"/>
      <c r="F103" s="214">
        <f t="shared" si="77"/>
        <v>10789</v>
      </c>
      <c r="G103" s="257">
        <f>5000-4211</f>
        <v>789</v>
      </c>
      <c r="H103" s="257">
        <v>10000</v>
      </c>
      <c r="I103" s="235"/>
      <c r="J103" s="235"/>
      <c r="K103" s="257"/>
      <c r="L103" s="235"/>
      <c r="M103" s="223"/>
      <c r="N103" s="223"/>
      <c r="O103" s="257">
        <f t="shared" si="84"/>
        <v>789</v>
      </c>
      <c r="P103" s="257">
        <v>0</v>
      </c>
      <c r="Q103" s="224">
        <f t="shared" si="79"/>
        <v>0</v>
      </c>
      <c r="R103" s="257"/>
      <c r="S103" s="225">
        <v>0</v>
      </c>
      <c r="T103" s="225">
        <v>0</v>
      </c>
      <c r="U103" s="257"/>
      <c r="V103" s="225">
        <v>0</v>
      </c>
      <c r="W103" s="225">
        <v>0</v>
      </c>
      <c r="X103" s="257"/>
      <c r="Y103" s="225">
        <v>0</v>
      </c>
      <c r="Z103" s="225">
        <v>0</v>
      </c>
      <c r="AA103" s="257"/>
      <c r="AB103" s="225">
        <v>0</v>
      </c>
      <c r="AC103" s="225">
        <v>0</v>
      </c>
      <c r="AD103" s="257">
        <v>256.86399999999998</v>
      </c>
      <c r="AE103" s="225">
        <v>1.7124266666666665E-2</v>
      </c>
      <c r="AF103" s="225">
        <v>1.8025543859649121E-2</v>
      </c>
      <c r="AG103" s="257">
        <v>256.86399999999998</v>
      </c>
      <c r="AH103" s="225">
        <v>1.7124266666666665E-2</v>
      </c>
      <c r="AI103" s="225">
        <v>1.8025543859649121E-2</v>
      </c>
      <c r="AJ103" s="257">
        <v>256.86399999999998</v>
      </c>
      <c r="AK103" s="225">
        <v>1.7124266666666665E-2</v>
      </c>
      <c r="AL103" s="225">
        <v>1.8025543859649121E-2</v>
      </c>
      <c r="AM103" s="257">
        <v>256.86399999999998</v>
      </c>
      <c r="AN103" s="225">
        <v>1.7124266666666665E-2</v>
      </c>
      <c r="AO103" s="225">
        <v>1.8025543859649121E-2</v>
      </c>
      <c r="AP103" s="225"/>
      <c r="AQ103" s="257">
        <v>256.86399999999998</v>
      </c>
      <c r="AR103" s="225">
        <v>1.7124266666666665E-2</v>
      </c>
      <c r="AS103" s="225">
        <v>1.8025543859649121E-2</v>
      </c>
      <c r="AT103" s="257">
        <v>256.86399999999998</v>
      </c>
      <c r="AU103" s="225">
        <v>1.7124266666666665E-2</v>
      </c>
      <c r="AV103" s="225">
        <v>1.8025543859649121E-2</v>
      </c>
      <c r="AW103" s="257">
        <v>256.86399999999998</v>
      </c>
      <c r="AX103" s="225">
        <v>1.7124266666666665E-2</v>
      </c>
      <c r="AY103" s="225">
        <v>1.8025543859649121E-2</v>
      </c>
      <c r="AZ103" s="257">
        <v>256.86399999999998</v>
      </c>
      <c r="BA103" s="225">
        <v>1.7124266666666665E-2</v>
      </c>
      <c r="BB103" s="225">
        <v>1.8025543859649121E-2</v>
      </c>
      <c r="BC103" s="257">
        <v>256.86399999999998</v>
      </c>
      <c r="BD103" s="225">
        <v>1.7124266666666665E-2</v>
      </c>
      <c r="BE103" s="225">
        <v>1.8025543859649121E-2</v>
      </c>
      <c r="BF103" s="257"/>
      <c r="BG103" s="257">
        <v>256.86399999999998</v>
      </c>
      <c r="BH103" s="225">
        <v>2.3807952544258038E-2</v>
      </c>
      <c r="BI103" s="225">
        <v>2.5061002678166359E-2</v>
      </c>
      <c r="BJ103" s="257">
        <f t="shared" si="75"/>
        <v>10249.549999999999</v>
      </c>
      <c r="BK103" s="257">
        <v>256.86399999999998</v>
      </c>
      <c r="BL103" s="225">
        <f>BK103/$D103</f>
        <v>2.3807952544258038E-2</v>
      </c>
      <c r="BM103" s="225">
        <f t="shared" si="80"/>
        <v>2.5061002678166359E-2</v>
      </c>
      <c r="BN103" s="205">
        <f t="shared" si="73"/>
        <v>0</v>
      </c>
      <c r="BO103" s="205"/>
      <c r="BP103" s="227"/>
      <c r="BQ103" s="224">
        <f t="shared" si="81"/>
        <v>0</v>
      </c>
      <c r="BR103" s="227"/>
      <c r="BS103" s="224">
        <f>BR103/$D103</f>
        <v>0</v>
      </c>
      <c r="BT103" s="227">
        <v>4250</v>
      </c>
      <c r="BU103" s="224">
        <f>BT103/$D103</f>
        <v>0.3939197330614515</v>
      </c>
      <c r="BV103" s="227">
        <v>4250</v>
      </c>
      <c r="BW103" s="224">
        <f>BV103/$D103</f>
        <v>0.3939197330614515</v>
      </c>
      <c r="BX103" s="227">
        <v>4250</v>
      </c>
      <c r="BY103" s="224">
        <f>BX103/$D103</f>
        <v>0.3939197330614515</v>
      </c>
      <c r="BZ103" s="227">
        <v>14250</v>
      </c>
      <c r="CA103" s="224">
        <f>BZ103/$D103</f>
        <v>1.3207896932060432</v>
      </c>
      <c r="CB103" s="227">
        <v>14250</v>
      </c>
      <c r="CC103" s="224">
        <f>CB103/$D103</f>
        <v>1.3207896932060432</v>
      </c>
      <c r="CD103" s="227">
        <v>14250</v>
      </c>
      <c r="CE103" s="224">
        <f>CD103/$D103</f>
        <v>1.3207896932060432</v>
      </c>
      <c r="CF103" s="227">
        <v>14250</v>
      </c>
      <c r="CG103" s="224">
        <f>CF103/$D103</f>
        <v>1.3207896932060432</v>
      </c>
      <c r="CH103" s="227">
        <v>14250</v>
      </c>
      <c r="CI103" s="224">
        <f>CH103/$D103</f>
        <v>1.3207896932060432</v>
      </c>
      <c r="CJ103" s="227">
        <v>14250</v>
      </c>
      <c r="CK103" s="224">
        <f>CJ103/$D103</f>
        <v>1.3207896932060432</v>
      </c>
      <c r="CL103" s="227">
        <v>14250</v>
      </c>
      <c r="CM103" s="224">
        <f>CL103/$D103</f>
        <v>1.3207896932060432</v>
      </c>
      <c r="CN103" s="227">
        <v>14250</v>
      </c>
      <c r="CO103" s="224">
        <f>CN103/$D103</f>
        <v>1.3207896932060432</v>
      </c>
      <c r="CP103" s="213" t="str">
        <f t="shared" si="82"/>
        <v>Không đạt</v>
      </c>
      <c r="CQ103" s="213" t="str">
        <f t="shared" si="83"/>
        <v>Không đạt</v>
      </c>
      <c r="CR103" s="192"/>
      <c r="CS103" s="257">
        <f t="shared" si="78"/>
        <v>0</v>
      </c>
      <c r="CT103" s="223"/>
      <c r="CU103" s="163"/>
      <c r="CW103" s="195"/>
      <c r="CX103" s="196"/>
      <c r="CY103" s="196"/>
      <c r="CZ103" s="197"/>
      <c r="DA103" s="196"/>
      <c r="DB103" s="196"/>
      <c r="DC103" s="196"/>
      <c r="DE103" s="199"/>
      <c r="DF103" s="200"/>
      <c r="DG103" s="181"/>
    </row>
    <row r="104" spans="1:111" ht="25.5" hidden="1" outlineLevel="1" x14ac:dyDescent="0.25">
      <c r="A104" s="192">
        <f>MAX(A$69:$B103)+1</f>
        <v>30</v>
      </c>
      <c r="B104" s="222" t="s">
        <v>250</v>
      </c>
      <c r="C104" s="222">
        <v>7947097</v>
      </c>
      <c r="D104" s="214">
        <f t="shared" si="76"/>
        <v>15000</v>
      </c>
      <c r="E104" s="214"/>
      <c r="F104" s="214">
        <f t="shared" si="77"/>
        <v>15000</v>
      </c>
      <c r="G104" s="257">
        <v>5000</v>
      </c>
      <c r="H104" s="257">
        <v>10000</v>
      </c>
      <c r="I104" s="235">
        <v>3000</v>
      </c>
      <c r="J104" s="235">
        <v>3000</v>
      </c>
      <c r="K104" s="257"/>
      <c r="L104" s="235"/>
      <c r="M104" s="223"/>
      <c r="N104" s="223"/>
      <c r="O104" s="257">
        <f t="shared" si="84"/>
        <v>8000</v>
      </c>
      <c r="P104" s="257">
        <v>945.81200000000001</v>
      </c>
      <c r="Q104" s="224">
        <f t="shared" si="79"/>
        <v>6.3054133333333331E-2</v>
      </c>
      <c r="R104" s="257">
        <v>2579.5230000000001</v>
      </c>
      <c r="S104" s="225">
        <v>0.17196820000000002</v>
      </c>
      <c r="T104" s="225">
        <v>0.18101915789473685</v>
      </c>
      <c r="U104" s="257">
        <v>2579.5230000000001</v>
      </c>
      <c r="V104" s="225">
        <v>0.17196820000000002</v>
      </c>
      <c r="W104" s="225">
        <v>0.18101915789473685</v>
      </c>
      <c r="X104" s="257">
        <v>2579.5230000000001</v>
      </c>
      <c r="Y104" s="225">
        <v>0.17196820000000002</v>
      </c>
      <c r="Z104" s="225">
        <v>0.18101915789473685</v>
      </c>
      <c r="AA104" s="257">
        <v>2579.5230000000001</v>
      </c>
      <c r="AB104" s="225">
        <v>0.17196820000000002</v>
      </c>
      <c r="AC104" s="225">
        <v>0.18101915789473685</v>
      </c>
      <c r="AD104" s="257">
        <v>3396.7919999999999</v>
      </c>
      <c r="AE104" s="225">
        <v>0.22645279999999998</v>
      </c>
      <c r="AF104" s="225">
        <v>0.23837136842105264</v>
      </c>
      <c r="AG104" s="257">
        <v>3396.7919999999999</v>
      </c>
      <c r="AH104" s="225">
        <v>0.22645279999999998</v>
      </c>
      <c r="AI104" s="225">
        <v>0.23837136842105264</v>
      </c>
      <c r="AJ104" s="250">
        <v>3396.7919999999999</v>
      </c>
      <c r="AK104" s="225">
        <v>0.22645279999999998</v>
      </c>
      <c r="AL104" s="225">
        <v>0.23837136842105264</v>
      </c>
      <c r="AM104" s="257">
        <v>3396.7919999999999</v>
      </c>
      <c r="AN104" s="225">
        <v>0.22645279999999998</v>
      </c>
      <c r="AO104" s="225">
        <v>0.23837136842105264</v>
      </c>
      <c r="AP104" s="225"/>
      <c r="AQ104" s="257">
        <v>3702</v>
      </c>
      <c r="AR104" s="225">
        <v>0.24679999999999999</v>
      </c>
      <c r="AS104" s="225">
        <v>0.25978947368421051</v>
      </c>
      <c r="AT104" s="257">
        <v>3702</v>
      </c>
      <c r="AU104" s="225">
        <v>0.24679999999999999</v>
      </c>
      <c r="AV104" s="225">
        <v>0.25978947368421051</v>
      </c>
      <c r="AW104" s="257">
        <v>3702</v>
      </c>
      <c r="AX104" s="225">
        <v>0.24679999999999999</v>
      </c>
      <c r="AY104" s="225">
        <v>0.25978947368421051</v>
      </c>
      <c r="AZ104" s="257">
        <v>3702</v>
      </c>
      <c r="BA104" s="225">
        <v>0.24679999999999999</v>
      </c>
      <c r="BB104" s="225">
        <v>0.25978947368421051</v>
      </c>
      <c r="BC104" s="257">
        <v>3702</v>
      </c>
      <c r="BD104" s="225">
        <v>0.24679999999999999</v>
      </c>
      <c r="BE104" s="225">
        <v>0.25978947368421051</v>
      </c>
      <c r="BF104" s="257"/>
      <c r="BG104" s="257">
        <v>3702</v>
      </c>
      <c r="BH104" s="225">
        <v>0.24679999999999999</v>
      </c>
      <c r="BI104" s="225">
        <v>0.25978947368421051</v>
      </c>
      <c r="BJ104" s="257">
        <f t="shared" si="75"/>
        <v>14250</v>
      </c>
      <c r="BK104" s="257">
        <v>4223</v>
      </c>
      <c r="BL104" s="225">
        <f>BK104/$D104</f>
        <v>0.28153333333333336</v>
      </c>
      <c r="BM104" s="225">
        <f t="shared" si="80"/>
        <v>0.29635087719298248</v>
      </c>
      <c r="BN104" s="205">
        <f t="shared" si="73"/>
        <v>826.20800000000008</v>
      </c>
      <c r="BO104" s="205"/>
      <c r="BP104" s="227">
        <v>1000</v>
      </c>
      <c r="BQ104" s="224">
        <f t="shared" si="81"/>
        <v>6.6666666666666666E-2</v>
      </c>
      <c r="BR104" s="227">
        <v>2000</v>
      </c>
      <c r="BS104" s="224">
        <f>BR104/$D104</f>
        <v>0.13333333333333333</v>
      </c>
      <c r="BT104" s="227">
        <v>4000</v>
      </c>
      <c r="BU104" s="224">
        <f>BT104/$D104</f>
        <v>0.26666666666666666</v>
      </c>
      <c r="BV104" s="227">
        <v>6000</v>
      </c>
      <c r="BW104" s="224">
        <f>BV104/$D104</f>
        <v>0.4</v>
      </c>
      <c r="BX104" s="227">
        <v>8000</v>
      </c>
      <c r="BY104" s="224">
        <f>BX104/$D104</f>
        <v>0.53333333333333333</v>
      </c>
      <c r="BZ104" s="227">
        <v>12000</v>
      </c>
      <c r="CA104" s="224">
        <f>BZ104/$D104</f>
        <v>0.8</v>
      </c>
      <c r="CB104" s="227">
        <v>14250</v>
      </c>
      <c r="CC104" s="224">
        <f>CB104/$D104</f>
        <v>0.95</v>
      </c>
      <c r="CD104" s="227">
        <v>14250</v>
      </c>
      <c r="CE104" s="224">
        <f>CD104/$D104</f>
        <v>0.95</v>
      </c>
      <c r="CF104" s="227">
        <v>14250</v>
      </c>
      <c r="CG104" s="224">
        <f>CF104/$D104</f>
        <v>0.95</v>
      </c>
      <c r="CH104" s="227">
        <v>14250</v>
      </c>
      <c r="CI104" s="224">
        <f>CH104/$D104</f>
        <v>0.95</v>
      </c>
      <c r="CJ104" s="227">
        <v>14250</v>
      </c>
      <c r="CK104" s="224">
        <f>CJ104/$D104</f>
        <v>0.95</v>
      </c>
      <c r="CL104" s="227">
        <v>14250</v>
      </c>
      <c r="CM104" s="224">
        <f>CL104/$D104</f>
        <v>0.95</v>
      </c>
      <c r="CN104" s="227">
        <v>14250</v>
      </c>
      <c r="CO104" s="224">
        <f>CN104/$D104</f>
        <v>0.95</v>
      </c>
      <c r="CP104" s="213" t="str">
        <f t="shared" si="82"/>
        <v>Không đạt</v>
      </c>
      <c r="CQ104" s="213" t="str">
        <f t="shared" si="83"/>
        <v>Không đạt</v>
      </c>
      <c r="CR104" s="192"/>
      <c r="CS104" s="257">
        <f t="shared" si="78"/>
        <v>521</v>
      </c>
      <c r="CT104" s="223"/>
      <c r="CU104" s="163"/>
      <c r="CW104" s="195"/>
      <c r="CX104" s="196"/>
      <c r="CY104" s="196"/>
      <c r="CZ104" s="197"/>
      <c r="DA104" s="196"/>
      <c r="DB104" s="196"/>
      <c r="DC104" s="196"/>
      <c r="DE104" s="199"/>
      <c r="DF104" s="200"/>
      <c r="DG104" s="181"/>
    </row>
    <row r="105" spans="1:111" ht="25.5" hidden="1" outlineLevel="1" x14ac:dyDescent="0.25">
      <c r="A105" s="192">
        <f>MAX(A$69:$B104)+1</f>
        <v>31</v>
      </c>
      <c r="B105" s="222" t="s">
        <v>251</v>
      </c>
      <c r="C105" s="222">
        <v>8078382</v>
      </c>
      <c r="D105" s="214">
        <f>E105+F105</f>
        <v>7263</v>
      </c>
      <c r="E105" s="214"/>
      <c r="F105" s="214">
        <f>G105+H105+K105+M105</f>
        <v>7263</v>
      </c>
      <c r="G105" s="257">
        <f>2000+5263</f>
        <v>7263</v>
      </c>
      <c r="H105" s="257"/>
      <c r="I105" s="235"/>
      <c r="J105" s="235"/>
      <c r="K105" s="257"/>
      <c r="L105" s="235"/>
      <c r="M105" s="223"/>
      <c r="N105" s="223"/>
      <c r="O105" s="257">
        <f>G105+I105+L105+N105</f>
        <v>7263</v>
      </c>
      <c r="P105" s="257">
        <v>0</v>
      </c>
      <c r="Q105" s="224">
        <f>P105/$D105</f>
        <v>0</v>
      </c>
      <c r="R105" s="257">
        <v>191.86799999999999</v>
      </c>
      <c r="S105" s="225">
        <v>9.5933999999999992E-2</v>
      </c>
      <c r="T105" s="225">
        <v>0.10098315789473684</v>
      </c>
      <c r="U105" s="257">
        <v>191.86799999999999</v>
      </c>
      <c r="V105" s="225">
        <v>9.5933999999999992E-2</v>
      </c>
      <c r="W105" s="225">
        <v>0.10098315789473684</v>
      </c>
      <c r="X105" s="257">
        <v>191.86799999999999</v>
      </c>
      <c r="Y105" s="225">
        <v>9.5933999999999992E-2</v>
      </c>
      <c r="Z105" s="225">
        <v>0.10098315789473684</v>
      </c>
      <c r="AA105" s="257">
        <v>191.86799999999999</v>
      </c>
      <c r="AB105" s="225">
        <v>9.5933999999999992E-2</v>
      </c>
      <c r="AC105" s="225">
        <v>0.10098315789473684</v>
      </c>
      <c r="AD105" s="257">
        <v>1740</v>
      </c>
      <c r="AE105" s="225">
        <v>0.87</v>
      </c>
      <c r="AF105" s="225">
        <v>0.91578947368421049</v>
      </c>
      <c r="AG105" s="257">
        <v>1740</v>
      </c>
      <c r="AH105" s="225">
        <v>0.87</v>
      </c>
      <c r="AI105" s="225">
        <v>0.91578947368421049</v>
      </c>
      <c r="AJ105" s="257">
        <v>1740</v>
      </c>
      <c r="AK105" s="225">
        <v>0.87</v>
      </c>
      <c r="AL105" s="225">
        <v>0.91578947368421049</v>
      </c>
      <c r="AM105" s="257">
        <v>1740</v>
      </c>
      <c r="AN105" s="225">
        <v>0.87</v>
      </c>
      <c r="AO105" s="225">
        <v>0.91578947368421049</v>
      </c>
      <c r="AP105" s="225"/>
      <c r="AQ105" s="257">
        <v>1900</v>
      </c>
      <c r="AR105" s="225">
        <v>0.95</v>
      </c>
      <c r="AS105" s="225">
        <v>1</v>
      </c>
      <c r="AT105" s="257">
        <v>1900</v>
      </c>
      <c r="AU105" s="225">
        <v>0.95</v>
      </c>
      <c r="AV105" s="225">
        <v>1</v>
      </c>
      <c r="AW105" s="257">
        <v>1900</v>
      </c>
      <c r="AX105" s="225">
        <v>0.95</v>
      </c>
      <c r="AY105" s="225">
        <v>1</v>
      </c>
      <c r="AZ105" s="257">
        <v>1900</v>
      </c>
      <c r="BA105" s="225">
        <v>0.95</v>
      </c>
      <c r="BB105" s="225">
        <v>1</v>
      </c>
      <c r="BC105" s="257">
        <v>1900</v>
      </c>
      <c r="BD105" s="225">
        <v>0.95</v>
      </c>
      <c r="BE105" s="225">
        <v>1</v>
      </c>
      <c r="BF105" s="257"/>
      <c r="BG105" s="257">
        <v>1900</v>
      </c>
      <c r="BH105" s="225">
        <v>0.26159988985267796</v>
      </c>
      <c r="BI105" s="225">
        <v>0.27536830510808208</v>
      </c>
      <c r="BJ105" s="257">
        <f t="shared" si="75"/>
        <v>6899.8499999999995</v>
      </c>
      <c r="BK105" s="257">
        <v>1900</v>
      </c>
      <c r="BL105" s="225">
        <f>BK105/$D105</f>
        <v>0.26159988985267796</v>
      </c>
      <c r="BM105" s="225">
        <f>BK105/(E105+0.95*F105)</f>
        <v>0.27536830510808208</v>
      </c>
      <c r="BN105" s="205">
        <f t="shared" si="73"/>
        <v>160</v>
      </c>
      <c r="BO105" s="205"/>
      <c r="BP105" s="227"/>
      <c r="BQ105" s="224">
        <f>BP105/$D105</f>
        <v>0</v>
      </c>
      <c r="BR105" s="227">
        <v>300</v>
      </c>
      <c r="BS105" s="224">
        <f>BR105/$D105</f>
        <v>4.1305245766212306E-2</v>
      </c>
      <c r="BT105" s="227">
        <v>800</v>
      </c>
      <c r="BU105" s="224">
        <f>BT105/$D105</f>
        <v>0.11014732204323283</v>
      </c>
      <c r="BV105" s="227">
        <v>1900</v>
      </c>
      <c r="BW105" s="224">
        <f>BV105/$D105</f>
        <v>0.26159988985267796</v>
      </c>
      <c r="BX105" s="227">
        <v>1900</v>
      </c>
      <c r="BY105" s="224">
        <f>BX105/$D105</f>
        <v>0.26159988985267796</v>
      </c>
      <c r="BZ105" s="227">
        <v>1900</v>
      </c>
      <c r="CA105" s="224">
        <f>BZ105/$D105</f>
        <v>0.26159988985267796</v>
      </c>
      <c r="CB105" s="227">
        <v>1900</v>
      </c>
      <c r="CC105" s="224">
        <f>CB105/$D105</f>
        <v>0.26159988985267796</v>
      </c>
      <c r="CD105" s="227">
        <v>1900</v>
      </c>
      <c r="CE105" s="224">
        <f>CD105/$D105</f>
        <v>0.26159988985267796</v>
      </c>
      <c r="CF105" s="227">
        <v>1900</v>
      </c>
      <c r="CG105" s="224">
        <f>CF105/$D105</f>
        <v>0.26159988985267796</v>
      </c>
      <c r="CH105" s="227">
        <v>1900</v>
      </c>
      <c r="CI105" s="224">
        <f>CH105/$D105</f>
        <v>0.26159988985267796</v>
      </c>
      <c r="CJ105" s="227">
        <v>1900</v>
      </c>
      <c r="CK105" s="224">
        <f>CJ105/$D105</f>
        <v>0.26159988985267796</v>
      </c>
      <c r="CL105" s="227">
        <v>1900</v>
      </c>
      <c r="CM105" s="224">
        <f>CL105/$D105</f>
        <v>0.26159988985267796</v>
      </c>
      <c r="CN105" s="227">
        <v>1900</v>
      </c>
      <c r="CO105" s="224">
        <f>CN105/$D105</f>
        <v>0.26159988985267796</v>
      </c>
      <c r="CP105" s="213" t="str">
        <f t="shared" si="82"/>
        <v>Không đạt</v>
      </c>
      <c r="CQ105" s="213" t="str">
        <f t="shared" si="83"/>
        <v>Không đạt</v>
      </c>
      <c r="CR105" s="192"/>
      <c r="CS105" s="257">
        <f t="shared" si="78"/>
        <v>0</v>
      </c>
      <c r="CT105" s="223"/>
      <c r="CU105" s="163"/>
      <c r="CW105" s="195"/>
      <c r="CX105" s="196"/>
      <c r="CY105" s="196"/>
      <c r="CZ105" s="197"/>
      <c r="DA105" s="196"/>
      <c r="DB105" s="196"/>
      <c r="DC105" s="196"/>
      <c r="DE105" s="199"/>
      <c r="DF105" s="200"/>
      <c r="DG105" s="181"/>
    </row>
    <row r="106" spans="1:111" ht="27" hidden="1" customHeight="1" outlineLevel="1" x14ac:dyDescent="0.25">
      <c r="A106" s="192">
        <f>MAX(A$69:$B105)+1</f>
        <v>32</v>
      </c>
      <c r="B106" s="222" t="s">
        <v>252</v>
      </c>
      <c r="C106" s="222" t="s">
        <v>253</v>
      </c>
      <c r="D106" s="214">
        <f>E106+F106</f>
        <v>2474</v>
      </c>
      <c r="E106" s="214"/>
      <c r="F106" s="214">
        <f>G106+H106+K106+M106</f>
        <v>2474</v>
      </c>
      <c r="G106" s="257">
        <f>1000+1474</f>
        <v>2474</v>
      </c>
      <c r="H106" s="257"/>
      <c r="I106" s="235"/>
      <c r="J106" s="235"/>
      <c r="K106" s="257"/>
      <c r="L106" s="235"/>
      <c r="M106" s="223"/>
      <c r="N106" s="223"/>
      <c r="O106" s="257">
        <f>G106+I106+L106+N106</f>
        <v>2474</v>
      </c>
      <c r="P106" s="257">
        <v>0</v>
      </c>
      <c r="Q106" s="224">
        <f>P106/$D106</f>
        <v>0</v>
      </c>
      <c r="R106" s="257"/>
      <c r="S106" s="225">
        <v>0</v>
      </c>
      <c r="T106" s="225">
        <v>0</v>
      </c>
      <c r="U106" s="257"/>
      <c r="V106" s="225">
        <v>0</v>
      </c>
      <c r="W106" s="225">
        <v>0</v>
      </c>
      <c r="X106" s="257"/>
      <c r="Y106" s="225">
        <v>0</v>
      </c>
      <c r="Z106" s="225">
        <v>0</v>
      </c>
      <c r="AA106" s="257"/>
      <c r="AB106" s="225">
        <v>0</v>
      </c>
      <c r="AC106" s="225">
        <v>0</v>
      </c>
      <c r="AD106" s="257">
        <v>950</v>
      </c>
      <c r="AE106" s="225">
        <v>0.95</v>
      </c>
      <c r="AF106" s="225">
        <v>1</v>
      </c>
      <c r="AG106" s="257">
        <v>950</v>
      </c>
      <c r="AH106" s="225">
        <v>0.95</v>
      </c>
      <c r="AI106" s="225">
        <v>1</v>
      </c>
      <c r="AJ106" s="250">
        <v>950</v>
      </c>
      <c r="AK106" s="225">
        <v>0.95</v>
      </c>
      <c r="AL106" s="225">
        <v>1</v>
      </c>
      <c r="AM106" s="257">
        <v>950</v>
      </c>
      <c r="AN106" s="225">
        <v>0.95</v>
      </c>
      <c r="AO106" s="225">
        <v>1</v>
      </c>
      <c r="AP106" s="225"/>
      <c r="AQ106" s="257">
        <v>950</v>
      </c>
      <c r="AR106" s="225">
        <v>0.95</v>
      </c>
      <c r="AS106" s="225">
        <v>1</v>
      </c>
      <c r="AT106" s="257">
        <v>950</v>
      </c>
      <c r="AU106" s="225">
        <v>0.95</v>
      </c>
      <c r="AV106" s="225">
        <v>1</v>
      </c>
      <c r="AW106" s="257">
        <v>950</v>
      </c>
      <c r="AX106" s="225">
        <v>0.95</v>
      </c>
      <c r="AY106" s="225">
        <v>1</v>
      </c>
      <c r="AZ106" s="257">
        <v>950</v>
      </c>
      <c r="BA106" s="225">
        <v>0.95</v>
      </c>
      <c r="BB106" s="225">
        <v>1</v>
      </c>
      <c r="BC106" s="257">
        <v>950</v>
      </c>
      <c r="BD106" s="225">
        <v>0.95</v>
      </c>
      <c r="BE106" s="225">
        <v>1</v>
      </c>
      <c r="BF106" s="257"/>
      <c r="BG106" s="257">
        <v>950</v>
      </c>
      <c r="BH106" s="225">
        <v>0.38399353274050119</v>
      </c>
      <c r="BI106" s="225">
        <v>0.40420371867421184</v>
      </c>
      <c r="BJ106" s="257">
        <f t="shared" si="75"/>
        <v>2350.2999999999997</v>
      </c>
      <c r="BK106" s="257">
        <v>950</v>
      </c>
      <c r="BL106" s="225">
        <f>BK106/$D106</f>
        <v>0.38399353274050119</v>
      </c>
      <c r="BM106" s="225">
        <f>BK106/(E106+0.95*F106)</f>
        <v>0.40420371867421184</v>
      </c>
      <c r="BN106" s="205">
        <f t="shared" si="73"/>
        <v>0</v>
      </c>
      <c r="BO106" s="205"/>
      <c r="BP106" s="227"/>
      <c r="BQ106" s="224">
        <f>BP106/$D106</f>
        <v>0</v>
      </c>
      <c r="BR106" s="227"/>
      <c r="BS106" s="224">
        <f>BR106/$D106</f>
        <v>0</v>
      </c>
      <c r="BT106" s="227">
        <v>300</v>
      </c>
      <c r="BU106" s="224">
        <f>BT106/$D106</f>
        <v>0.12126111560226355</v>
      </c>
      <c r="BV106" s="227">
        <v>650</v>
      </c>
      <c r="BW106" s="224">
        <f>BV106/$D106</f>
        <v>0.26273241713823769</v>
      </c>
      <c r="BX106" s="227">
        <v>950</v>
      </c>
      <c r="BY106" s="224">
        <f>BX106/$D106</f>
        <v>0.38399353274050119</v>
      </c>
      <c r="BZ106" s="227">
        <v>950</v>
      </c>
      <c r="CA106" s="224">
        <f>BZ106/$D106</f>
        <v>0.38399353274050119</v>
      </c>
      <c r="CB106" s="227">
        <v>950</v>
      </c>
      <c r="CC106" s="224">
        <f>CB106/$D106</f>
        <v>0.38399353274050119</v>
      </c>
      <c r="CD106" s="227">
        <v>950</v>
      </c>
      <c r="CE106" s="224">
        <f>CD106/$D106</f>
        <v>0.38399353274050119</v>
      </c>
      <c r="CF106" s="227">
        <v>950</v>
      </c>
      <c r="CG106" s="224">
        <f>CF106/$D106</f>
        <v>0.38399353274050119</v>
      </c>
      <c r="CH106" s="227">
        <v>950</v>
      </c>
      <c r="CI106" s="224">
        <f>CH106/$D106</f>
        <v>0.38399353274050119</v>
      </c>
      <c r="CJ106" s="227">
        <v>950</v>
      </c>
      <c r="CK106" s="224">
        <f>CJ106/$D106</f>
        <v>0.38399353274050119</v>
      </c>
      <c r="CL106" s="227">
        <v>950</v>
      </c>
      <c r="CM106" s="224">
        <f>CL106/$D106</f>
        <v>0.38399353274050119</v>
      </c>
      <c r="CN106" s="227">
        <v>950</v>
      </c>
      <c r="CO106" s="224">
        <f>CN106/$D106</f>
        <v>0.38399353274050119</v>
      </c>
      <c r="CP106" s="213" t="str">
        <f t="shared" si="82"/>
        <v>Đạt</v>
      </c>
      <c r="CQ106" s="213" t="str">
        <f t="shared" si="83"/>
        <v>Không đạt</v>
      </c>
      <c r="CR106" s="192"/>
      <c r="CS106" s="257">
        <f t="shared" si="78"/>
        <v>0</v>
      </c>
      <c r="CT106" s="223"/>
      <c r="CU106" s="163"/>
      <c r="CW106" s="195"/>
      <c r="CX106" s="196"/>
      <c r="CY106" s="196"/>
      <c r="CZ106" s="197"/>
      <c r="DA106" s="196"/>
      <c r="DB106" s="196"/>
      <c r="DC106" s="196"/>
      <c r="DE106" s="199"/>
      <c r="DF106" s="200"/>
      <c r="DG106" s="181"/>
    </row>
    <row r="107" spans="1:111" hidden="1" outlineLevel="1" x14ac:dyDescent="0.25">
      <c r="A107" s="256"/>
      <c r="B107" s="210" t="s">
        <v>254</v>
      </c>
      <c r="C107" s="210"/>
      <c r="D107" s="214">
        <f t="shared" si="76"/>
        <v>0</v>
      </c>
      <c r="E107" s="214"/>
      <c r="F107" s="214">
        <f t="shared" si="77"/>
        <v>0</v>
      </c>
      <c r="G107" s="250"/>
      <c r="H107" s="250"/>
      <c r="I107" s="235"/>
      <c r="J107" s="235"/>
      <c r="K107" s="250"/>
      <c r="L107" s="235"/>
      <c r="M107" s="223"/>
      <c r="N107" s="223"/>
      <c r="O107" s="250">
        <f t="shared" si="84"/>
        <v>0</v>
      </c>
      <c r="P107" s="250">
        <v>0</v>
      </c>
      <c r="Q107" s="224" t="e">
        <f t="shared" si="79"/>
        <v>#DIV/0!</v>
      </c>
      <c r="R107" s="250"/>
      <c r="S107" s="225"/>
      <c r="T107" s="225" t="e">
        <v>#DIV/0!</v>
      </c>
      <c r="U107" s="250"/>
      <c r="V107" s="225"/>
      <c r="W107" s="225" t="e">
        <v>#DIV/0!</v>
      </c>
      <c r="X107" s="250"/>
      <c r="Y107" s="225"/>
      <c r="Z107" s="225"/>
      <c r="AA107" s="250"/>
      <c r="AB107" s="225"/>
      <c r="AC107" s="225"/>
      <c r="AD107" s="250"/>
      <c r="AE107" s="225"/>
      <c r="AF107" s="225"/>
      <c r="AG107" s="250"/>
      <c r="AH107" s="225"/>
      <c r="AI107" s="225"/>
      <c r="AJ107" s="257"/>
      <c r="AK107" s="225"/>
      <c r="AL107" s="225"/>
      <c r="AM107" s="250"/>
      <c r="AN107" s="225"/>
      <c r="AO107" s="225"/>
      <c r="AP107" s="225"/>
      <c r="AQ107" s="250"/>
      <c r="AR107" s="225"/>
      <c r="AS107" s="225"/>
      <c r="AT107" s="250"/>
      <c r="AU107" s="225"/>
      <c r="AV107" s="225"/>
      <c r="AW107" s="250"/>
      <c r="AX107" s="225"/>
      <c r="AY107" s="225"/>
      <c r="AZ107" s="250"/>
      <c r="BA107" s="225"/>
      <c r="BB107" s="225"/>
      <c r="BC107" s="250"/>
      <c r="BD107" s="225"/>
      <c r="BE107" s="225"/>
      <c r="BF107" s="250"/>
      <c r="BG107" s="250"/>
      <c r="BH107" s="225"/>
      <c r="BI107" s="225"/>
      <c r="BJ107" s="250">
        <f t="shared" si="75"/>
        <v>0</v>
      </c>
      <c r="BK107" s="250"/>
      <c r="BL107" s="225"/>
      <c r="BM107" s="225"/>
      <c r="BN107" s="205">
        <f t="shared" si="73"/>
        <v>0</v>
      </c>
      <c r="BO107" s="205"/>
      <c r="BP107" s="227"/>
      <c r="BQ107" s="224"/>
      <c r="BR107" s="227"/>
      <c r="BS107" s="224"/>
      <c r="BT107" s="227"/>
      <c r="BU107" s="224"/>
      <c r="BV107" s="227"/>
      <c r="BW107" s="224"/>
      <c r="BX107" s="227"/>
      <c r="BY107" s="224"/>
      <c r="BZ107" s="227"/>
      <c r="CA107" s="224"/>
      <c r="CB107" s="227"/>
      <c r="CC107" s="224"/>
      <c r="CD107" s="227"/>
      <c r="CE107" s="224"/>
      <c r="CF107" s="227"/>
      <c r="CG107" s="224"/>
      <c r="CH107" s="227"/>
      <c r="CI107" s="224"/>
      <c r="CJ107" s="227"/>
      <c r="CK107" s="224"/>
      <c r="CL107" s="227"/>
      <c r="CM107" s="224"/>
      <c r="CN107" s="227"/>
      <c r="CO107" s="224"/>
      <c r="CP107" s="213" t="str">
        <f t="shared" si="82"/>
        <v>Không đạt</v>
      </c>
      <c r="CQ107" s="213" t="str">
        <f t="shared" si="83"/>
        <v>Không đạt</v>
      </c>
      <c r="CR107" s="192"/>
      <c r="CS107" s="250">
        <f t="shared" si="78"/>
        <v>0</v>
      </c>
      <c r="CT107" s="223"/>
      <c r="CU107" s="163"/>
      <c r="CW107" s="195"/>
      <c r="CX107" s="196"/>
      <c r="CY107" s="196"/>
      <c r="CZ107" s="197"/>
      <c r="DA107" s="196"/>
      <c r="DB107" s="196"/>
      <c r="DC107" s="196"/>
      <c r="DE107" s="199"/>
      <c r="DF107" s="200"/>
      <c r="DG107" s="181"/>
    </row>
    <row r="108" spans="1:111" ht="25.5" hidden="1" outlineLevel="1" x14ac:dyDescent="0.25">
      <c r="A108" s="192">
        <f>MAX(A$69:$B107)+1</f>
        <v>33</v>
      </c>
      <c r="B108" s="222" t="s">
        <v>255</v>
      </c>
      <c r="C108" s="222" t="s">
        <v>256</v>
      </c>
      <c r="D108" s="214">
        <f t="shared" si="76"/>
        <v>526</v>
      </c>
      <c r="E108" s="214"/>
      <c r="F108" s="214">
        <f t="shared" si="77"/>
        <v>526</v>
      </c>
      <c r="G108" s="257">
        <f>2000-1474</f>
        <v>526</v>
      </c>
      <c r="H108" s="257"/>
      <c r="I108" s="235"/>
      <c r="J108" s="235"/>
      <c r="K108" s="257"/>
      <c r="L108" s="235"/>
      <c r="M108" s="223"/>
      <c r="N108" s="223"/>
      <c r="O108" s="257">
        <f t="shared" si="84"/>
        <v>526</v>
      </c>
      <c r="P108" s="257">
        <v>0</v>
      </c>
      <c r="Q108" s="224">
        <f t="shared" si="79"/>
        <v>0</v>
      </c>
      <c r="R108" s="257"/>
      <c r="S108" s="225">
        <v>0</v>
      </c>
      <c r="T108" s="225">
        <v>0</v>
      </c>
      <c r="U108" s="257"/>
      <c r="V108" s="225">
        <v>0</v>
      </c>
      <c r="W108" s="225">
        <v>0</v>
      </c>
      <c r="X108" s="257"/>
      <c r="Y108" s="225">
        <v>0</v>
      </c>
      <c r="Z108" s="225">
        <v>0</v>
      </c>
      <c r="AA108" s="257"/>
      <c r="AB108" s="225">
        <v>0</v>
      </c>
      <c r="AC108" s="225">
        <v>0</v>
      </c>
      <c r="AD108" s="257"/>
      <c r="AE108" s="225">
        <v>0</v>
      </c>
      <c r="AF108" s="225">
        <v>0</v>
      </c>
      <c r="AG108" s="257"/>
      <c r="AH108" s="225">
        <v>0</v>
      </c>
      <c r="AI108" s="225">
        <v>0</v>
      </c>
      <c r="AJ108" s="257"/>
      <c r="AK108" s="225">
        <v>0</v>
      </c>
      <c r="AL108" s="225">
        <v>0</v>
      </c>
      <c r="AM108" s="257"/>
      <c r="AN108" s="225">
        <v>0</v>
      </c>
      <c r="AO108" s="225">
        <v>0</v>
      </c>
      <c r="AP108" s="225"/>
      <c r="AQ108" s="257"/>
      <c r="AR108" s="225">
        <v>0</v>
      </c>
      <c r="AS108" s="225">
        <v>0</v>
      </c>
      <c r="AT108" s="257"/>
      <c r="AU108" s="225">
        <v>0</v>
      </c>
      <c r="AV108" s="225">
        <v>0</v>
      </c>
      <c r="AW108" s="257"/>
      <c r="AX108" s="225">
        <v>0</v>
      </c>
      <c r="AY108" s="225">
        <v>0</v>
      </c>
      <c r="AZ108" s="257"/>
      <c r="BA108" s="225">
        <v>0</v>
      </c>
      <c r="BB108" s="225">
        <v>0</v>
      </c>
      <c r="BC108" s="257"/>
      <c r="BD108" s="225">
        <v>0</v>
      </c>
      <c r="BE108" s="225">
        <v>0</v>
      </c>
      <c r="BF108" s="257"/>
      <c r="BG108" s="257"/>
      <c r="BH108" s="225">
        <v>0</v>
      </c>
      <c r="BI108" s="225">
        <v>0</v>
      </c>
      <c r="BJ108" s="257">
        <f t="shared" si="75"/>
        <v>499.7</v>
      </c>
      <c r="BK108" s="257"/>
      <c r="BL108" s="225">
        <f t="shared" ref="BL108:BL155" si="98">BK108/$D108</f>
        <v>0</v>
      </c>
      <c r="BM108" s="225">
        <f t="shared" si="80"/>
        <v>0</v>
      </c>
      <c r="BN108" s="205">
        <f t="shared" si="73"/>
        <v>0</v>
      </c>
      <c r="BO108" s="205"/>
      <c r="BP108" s="227"/>
      <c r="BQ108" s="224">
        <f t="shared" si="81"/>
        <v>0</v>
      </c>
      <c r="BR108" s="227"/>
      <c r="BS108" s="224">
        <f t="shared" ref="BS108:BS135" si="99">BR108/$D108</f>
        <v>0</v>
      </c>
      <c r="BT108" s="227"/>
      <c r="BU108" s="224">
        <f t="shared" ref="BU108:BU135" si="100">BT108/$D108</f>
        <v>0</v>
      </c>
      <c r="BV108" s="227"/>
      <c r="BW108" s="224">
        <f t="shared" ref="BW108:BW135" si="101">BV108/$D108</f>
        <v>0</v>
      </c>
      <c r="BX108" s="227"/>
      <c r="BY108" s="224">
        <f t="shared" ref="BY108:BY135" si="102">BX108/$D108</f>
        <v>0</v>
      </c>
      <c r="BZ108" s="227"/>
      <c r="CA108" s="224">
        <f t="shared" ref="CA108:CA135" si="103">BZ108/$D108</f>
        <v>0</v>
      </c>
      <c r="CB108" s="227">
        <v>1900</v>
      </c>
      <c r="CC108" s="224">
        <f t="shared" ref="CC108:CC135" si="104">CB108/$D108</f>
        <v>3.6121673003802282</v>
      </c>
      <c r="CD108" s="227">
        <v>1900</v>
      </c>
      <c r="CE108" s="224">
        <f t="shared" ref="CE108:CE135" si="105">CD108/$D108</f>
        <v>3.6121673003802282</v>
      </c>
      <c r="CF108" s="227">
        <v>1900</v>
      </c>
      <c r="CG108" s="224">
        <f t="shared" ref="CG108:CG135" si="106">CF108/$D108</f>
        <v>3.6121673003802282</v>
      </c>
      <c r="CH108" s="227">
        <v>1900</v>
      </c>
      <c r="CI108" s="224">
        <f t="shared" ref="CI108:CI135" si="107">CH108/$D108</f>
        <v>3.6121673003802282</v>
      </c>
      <c r="CJ108" s="227">
        <v>1900</v>
      </c>
      <c r="CK108" s="224">
        <f t="shared" ref="CK108:CK135" si="108">CJ108/$D108</f>
        <v>3.6121673003802282</v>
      </c>
      <c r="CL108" s="227">
        <v>1900</v>
      </c>
      <c r="CM108" s="224">
        <f t="shared" ref="CM108:CM135" si="109">CL108/$D108</f>
        <v>3.6121673003802282</v>
      </c>
      <c r="CN108" s="227">
        <v>1900</v>
      </c>
      <c r="CO108" s="224">
        <f t="shared" ref="CO108:CO135" si="110">CN108/$D108</f>
        <v>3.6121673003802282</v>
      </c>
      <c r="CP108" s="213" t="str">
        <f t="shared" si="82"/>
        <v>Không đạt</v>
      </c>
      <c r="CQ108" s="213" t="str">
        <f t="shared" si="83"/>
        <v>Không đạt</v>
      </c>
      <c r="CR108" s="192"/>
      <c r="CS108" s="257">
        <f t="shared" si="78"/>
        <v>0</v>
      </c>
      <c r="CT108" s="223"/>
      <c r="CU108" s="163"/>
      <c r="CW108" s="195"/>
      <c r="CX108" s="196"/>
      <c r="CY108" s="196"/>
      <c r="CZ108" s="197"/>
      <c r="DA108" s="196"/>
      <c r="DB108" s="196"/>
      <c r="DC108" s="196"/>
      <c r="DE108" s="199"/>
      <c r="DF108" s="200"/>
      <c r="DG108" s="181"/>
    </row>
    <row r="109" spans="1:111" ht="25.5" hidden="1" outlineLevel="1" x14ac:dyDescent="0.25">
      <c r="A109" s="192">
        <f>MAX(A$69:$B108)+1</f>
        <v>34</v>
      </c>
      <c r="B109" s="222" t="s">
        <v>257</v>
      </c>
      <c r="C109" s="222" t="s">
        <v>258</v>
      </c>
      <c r="D109" s="214">
        <f t="shared" si="76"/>
        <v>368</v>
      </c>
      <c r="E109" s="214"/>
      <c r="F109" s="214">
        <f t="shared" si="77"/>
        <v>368</v>
      </c>
      <c r="G109" s="257">
        <f>1000-632</f>
        <v>368</v>
      </c>
      <c r="H109" s="257"/>
      <c r="I109" s="235"/>
      <c r="J109" s="235"/>
      <c r="K109" s="257"/>
      <c r="L109" s="235"/>
      <c r="M109" s="223"/>
      <c r="N109" s="223"/>
      <c r="O109" s="257">
        <f t="shared" si="84"/>
        <v>368</v>
      </c>
      <c r="P109" s="257">
        <v>0</v>
      </c>
      <c r="Q109" s="224">
        <f t="shared" si="79"/>
        <v>0</v>
      </c>
      <c r="R109" s="257"/>
      <c r="S109" s="225">
        <v>0</v>
      </c>
      <c r="T109" s="225">
        <v>0</v>
      </c>
      <c r="U109" s="257"/>
      <c r="V109" s="225">
        <v>0</v>
      </c>
      <c r="W109" s="225">
        <v>0</v>
      </c>
      <c r="X109" s="257"/>
      <c r="Y109" s="225">
        <v>0</v>
      </c>
      <c r="Z109" s="225">
        <v>0</v>
      </c>
      <c r="AA109" s="257"/>
      <c r="AB109" s="225">
        <v>0</v>
      </c>
      <c r="AC109" s="225">
        <v>0</v>
      </c>
      <c r="AD109" s="257"/>
      <c r="AE109" s="225">
        <v>0</v>
      </c>
      <c r="AF109" s="225">
        <v>0</v>
      </c>
      <c r="AG109" s="257"/>
      <c r="AH109" s="225">
        <v>0</v>
      </c>
      <c r="AI109" s="225">
        <v>0</v>
      </c>
      <c r="AJ109" s="257"/>
      <c r="AK109" s="225">
        <v>0</v>
      </c>
      <c r="AL109" s="225">
        <v>0</v>
      </c>
      <c r="AM109" s="257"/>
      <c r="AN109" s="225">
        <v>0</v>
      </c>
      <c r="AO109" s="225">
        <v>0</v>
      </c>
      <c r="AP109" s="225"/>
      <c r="AQ109" s="257"/>
      <c r="AR109" s="225">
        <v>0</v>
      </c>
      <c r="AS109" s="225">
        <v>0</v>
      </c>
      <c r="AT109" s="257"/>
      <c r="AU109" s="225">
        <v>0</v>
      </c>
      <c r="AV109" s="225">
        <v>0</v>
      </c>
      <c r="AW109" s="257"/>
      <c r="AX109" s="225">
        <v>0</v>
      </c>
      <c r="AY109" s="225">
        <v>0</v>
      </c>
      <c r="AZ109" s="257"/>
      <c r="BA109" s="225">
        <v>0</v>
      </c>
      <c r="BB109" s="225">
        <v>0</v>
      </c>
      <c r="BC109" s="257"/>
      <c r="BD109" s="225">
        <v>0</v>
      </c>
      <c r="BE109" s="225">
        <v>0</v>
      </c>
      <c r="BF109" s="257"/>
      <c r="BG109" s="257"/>
      <c r="BH109" s="225">
        <v>0</v>
      </c>
      <c r="BI109" s="225">
        <v>0</v>
      </c>
      <c r="BJ109" s="257">
        <f t="shared" si="75"/>
        <v>349.59999999999997</v>
      </c>
      <c r="BK109" s="257"/>
      <c r="BL109" s="225">
        <f t="shared" si="98"/>
        <v>0</v>
      </c>
      <c r="BM109" s="225">
        <f t="shared" si="80"/>
        <v>0</v>
      </c>
      <c r="BN109" s="205">
        <f t="shared" si="73"/>
        <v>0</v>
      </c>
      <c r="BO109" s="205"/>
      <c r="BP109" s="227"/>
      <c r="BQ109" s="224">
        <f t="shared" si="81"/>
        <v>0</v>
      </c>
      <c r="BR109" s="227"/>
      <c r="BS109" s="224">
        <f t="shared" si="99"/>
        <v>0</v>
      </c>
      <c r="BT109" s="227"/>
      <c r="BU109" s="224">
        <f t="shared" si="100"/>
        <v>0</v>
      </c>
      <c r="BV109" s="227"/>
      <c r="BW109" s="224">
        <f t="shared" si="101"/>
        <v>0</v>
      </c>
      <c r="BX109" s="227"/>
      <c r="BY109" s="224">
        <f t="shared" si="102"/>
        <v>0</v>
      </c>
      <c r="BZ109" s="227"/>
      <c r="CA109" s="224">
        <f t="shared" si="103"/>
        <v>0</v>
      </c>
      <c r="CB109" s="227">
        <v>950</v>
      </c>
      <c r="CC109" s="224">
        <f t="shared" si="104"/>
        <v>2.5815217391304346</v>
      </c>
      <c r="CD109" s="227">
        <v>950</v>
      </c>
      <c r="CE109" s="224">
        <f t="shared" si="105"/>
        <v>2.5815217391304346</v>
      </c>
      <c r="CF109" s="227">
        <v>950</v>
      </c>
      <c r="CG109" s="224">
        <f t="shared" si="106"/>
        <v>2.5815217391304346</v>
      </c>
      <c r="CH109" s="227">
        <v>950</v>
      </c>
      <c r="CI109" s="224">
        <f t="shared" si="107"/>
        <v>2.5815217391304346</v>
      </c>
      <c r="CJ109" s="227">
        <v>950</v>
      </c>
      <c r="CK109" s="224">
        <f t="shared" si="108"/>
        <v>2.5815217391304346</v>
      </c>
      <c r="CL109" s="227">
        <v>950</v>
      </c>
      <c r="CM109" s="224">
        <f t="shared" si="109"/>
        <v>2.5815217391304346</v>
      </c>
      <c r="CN109" s="227">
        <v>950</v>
      </c>
      <c r="CO109" s="224">
        <f t="shared" si="110"/>
        <v>2.5815217391304346</v>
      </c>
      <c r="CP109" s="213" t="str">
        <f t="shared" si="82"/>
        <v>Không đạt</v>
      </c>
      <c r="CQ109" s="213" t="str">
        <f t="shared" si="83"/>
        <v>Không đạt</v>
      </c>
      <c r="CR109" s="192"/>
      <c r="CS109" s="257">
        <f t="shared" si="78"/>
        <v>0</v>
      </c>
      <c r="CT109" s="223"/>
      <c r="CU109" s="163"/>
      <c r="CW109" s="195"/>
      <c r="CX109" s="196"/>
      <c r="CY109" s="196"/>
      <c r="CZ109" s="197"/>
      <c r="DA109" s="196"/>
      <c r="DB109" s="196"/>
      <c r="DC109" s="196"/>
      <c r="DE109" s="199"/>
      <c r="DF109" s="200"/>
      <c r="DG109" s="181"/>
    </row>
    <row r="110" spans="1:111" ht="38.25" hidden="1" outlineLevel="1" x14ac:dyDescent="0.25">
      <c r="A110" s="192">
        <f>MAX(A$69:$B109)+1</f>
        <v>35</v>
      </c>
      <c r="B110" s="222" t="s">
        <v>259</v>
      </c>
      <c r="C110" s="222" t="s">
        <v>260</v>
      </c>
      <c r="D110" s="214">
        <f t="shared" si="76"/>
        <v>1500</v>
      </c>
      <c r="E110" s="214"/>
      <c r="F110" s="214">
        <f t="shared" si="77"/>
        <v>1500</v>
      </c>
      <c r="G110" s="257">
        <v>1500</v>
      </c>
      <c r="H110" s="257"/>
      <c r="I110" s="235"/>
      <c r="J110" s="235"/>
      <c r="K110" s="257"/>
      <c r="L110" s="235"/>
      <c r="M110" s="223"/>
      <c r="N110" s="223"/>
      <c r="O110" s="257">
        <f t="shared" si="84"/>
        <v>1500</v>
      </c>
      <c r="P110" s="257">
        <v>0</v>
      </c>
      <c r="Q110" s="224">
        <f t="shared" si="79"/>
        <v>0</v>
      </c>
      <c r="R110" s="257"/>
      <c r="S110" s="225">
        <v>0</v>
      </c>
      <c r="T110" s="225">
        <v>0</v>
      </c>
      <c r="U110" s="257"/>
      <c r="V110" s="225">
        <v>0</v>
      </c>
      <c r="W110" s="225">
        <v>0</v>
      </c>
      <c r="X110" s="257"/>
      <c r="Y110" s="225">
        <v>0</v>
      </c>
      <c r="Z110" s="225">
        <v>0</v>
      </c>
      <c r="AA110" s="257"/>
      <c r="AB110" s="225">
        <v>0</v>
      </c>
      <c r="AC110" s="225">
        <v>0</v>
      </c>
      <c r="AD110" s="257"/>
      <c r="AE110" s="225">
        <v>0</v>
      </c>
      <c r="AF110" s="225">
        <v>0</v>
      </c>
      <c r="AG110" s="257"/>
      <c r="AH110" s="225">
        <v>0</v>
      </c>
      <c r="AI110" s="225">
        <v>0</v>
      </c>
      <c r="AJ110" s="257"/>
      <c r="AK110" s="225">
        <v>0</v>
      </c>
      <c r="AL110" s="225">
        <v>0</v>
      </c>
      <c r="AM110" s="257"/>
      <c r="AN110" s="225">
        <v>0</v>
      </c>
      <c r="AO110" s="225">
        <v>0</v>
      </c>
      <c r="AP110" s="225"/>
      <c r="AQ110" s="257"/>
      <c r="AR110" s="225">
        <v>0</v>
      </c>
      <c r="AS110" s="225">
        <v>0</v>
      </c>
      <c r="AT110" s="257"/>
      <c r="AU110" s="225">
        <v>0</v>
      </c>
      <c r="AV110" s="225">
        <v>0</v>
      </c>
      <c r="AW110" s="257"/>
      <c r="AX110" s="225">
        <v>0</v>
      </c>
      <c r="AY110" s="225">
        <v>0</v>
      </c>
      <c r="AZ110" s="257"/>
      <c r="BA110" s="225">
        <v>0</v>
      </c>
      <c r="BB110" s="225">
        <v>0</v>
      </c>
      <c r="BC110" s="257"/>
      <c r="BD110" s="225">
        <v>0</v>
      </c>
      <c r="BE110" s="225">
        <v>0</v>
      </c>
      <c r="BF110" s="257"/>
      <c r="BG110" s="257"/>
      <c r="BH110" s="225">
        <v>0</v>
      </c>
      <c r="BI110" s="225">
        <v>0</v>
      </c>
      <c r="BJ110" s="257">
        <f t="shared" si="75"/>
        <v>1425</v>
      </c>
      <c r="BK110" s="257"/>
      <c r="BL110" s="225">
        <f t="shared" si="98"/>
        <v>0</v>
      </c>
      <c r="BM110" s="225">
        <f t="shared" si="80"/>
        <v>0</v>
      </c>
      <c r="BN110" s="205">
        <f t="shared" si="73"/>
        <v>0</v>
      </c>
      <c r="BO110" s="205"/>
      <c r="BP110" s="227"/>
      <c r="BQ110" s="224">
        <f t="shared" si="81"/>
        <v>0</v>
      </c>
      <c r="BR110" s="227"/>
      <c r="BS110" s="224">
        <f t="shared" si="99"/>
        <v>0</v>
      </c>
      <c r="BT110" s="227"/>
      <c r="BU110" s="224">
        <f t="shared" si="100"/>
        <v>0</v>
      </c>
      <c r="BV110" s="227"/>
      <c r="BW110" s="224">
        <f t="shared" si="101"/>
        <v>0</v>
      </c>
      <c r="BX110" s="227"/>
      <c r="BY110" s="224">
        <f t="shared" si="102"/>
        <v>0</v>
      </c>
      <c r="BZ110" s="227"/>
      <c r="CA110" s="224">
        <f t="shared" si="103"/>
        <v>0</v>
      </c>
      <c r="CB110" s="227"/>
      <c r="CC110" s="224">
        <f t="shared" si="104"/>
        <v>0</v>
      </c>
      <c r="CD110" s="227"/>
      <c r="CE110" s="224">
        <f t="shared" si="105"/>
        <v>0</v>
      </c>
      <c r="CF110" s="227"/>
      <c r="CG110" s="224">
        <f t="shared" si="106"/>
        <v>0</v>
      </c>
      <c r="CH110" s="227"/>
      <c r="CI110" s="224">
        <f t="shared" si="107"/>
        <v>0</v>
      </c>
      <c r="CJ110" s="227"/>
      <c r="CK110" s="224">
        <f t="shared" si="108"/>
        <v>0</v>
      </c>
      <c r="CL110" s="227"/>
      <c r="CM110" s="224">
        <f t="shared" si="109"/>
        <v>0</v>
      </c>
      <c r="CN110" s="227">
        <v>1425</v>
      </c>
      <c r="CO110" s="224">
        <f t="shared" si="110"/>
        <v>0.95</v>
      </c>
      <c r="CP110" s="213" t="str">
        <f t="shared" si="82"/>
        <v>Không đạt</v>
      </c>
      <c r="CQ110" s="213" t="str">
        <f t="shared" si="83"/>
        <v>Không đạt</v>
      </c>
      <c r="CR110" s="192"/>
      <c r="CS110" s="257">
        <f t="shared" si="78"/>
        <v>0</v>
      </c>
      <c r="CT110" s="223"/>
      <c r="CU110" s="163"/>
      <c r="CW110" s="195"/>
      <c r="CX110" s="196"/>
      <c r="CY110" s="196"/>
      <c r="CZ110" s="197"/>
      <c r="DA110" s="196"/>
      <c r="DB110" s="196"/>
      <c r="DC110" s="196"/>
      <c r="DE110" s="199"/>
      <c r="DF110" s="200"/>
      <c r="DG110" s="181"/>
    </row>
    <row r="111" spans="1:111" ht="38.25" hidden="1" outlineLevel="1" x14ac:dyDescent="0.25">
      <c r="A111" s="192">
        <f>MAX(A$69:$B110)+1</f>
        <v>36</v>
      </c>
      <c r="B111" s="222" t="s">
        <v>261</v>
      </c>
      <c r="C111" s="222" t="s">
        <v>262</v>
      </c>
      <c r="D111" s="214">
        <f t="shared" si="76"/>
        <v>1237</v>
      </c>
      <c r="E111" s="214"/>
      <c r="F111" s="214">
        <f t="shared" si="77"/>
        <v>1237</v>
      </c>
      <c r="G111" s="257">
        <f>2500-1263</f>
        <v>1237</v>
      </c>
      <c r="H111" s="257"/>
      <c r="I111" s="235"/>
      <c r="J111" s="235"/>
      <c r="K111" s="257"/>
      <c r="L111" s="235"/>
      <c r="M111" s="223"/>
      <c r="N111" s="223"/>
      <c r="O111" s="257">
        <f t="shared" si="84"/>
        <v>1237</v>
      </c>
      <c r="P111" s="257">
        <v>0</v>
      </c>
      <c r="Q111" s="224">
        <f t="shared" si="79"/>
        <v>0</v>
      </c>
      <c r="R111" s="257"/>
      <c r="S111" s="225">
        <v>0</v>
      </c>
      <c r="T111" s="225">
        <v>0</v>
      </c>
      <c r="U111" s="257"/>
      <c r="V111" s="225">
        <v>0</v>
      </c>
      <c r="W111" s="225">
        <v>0</v>
      </c>
      <c r="X111" s="257"/>
      <c r="Y111" s="225">
        <v>0</v>
      </c>
      <c r="Z111" s="225">
        <v>0</v>
      </c>
      <c r="AA111" s="257"/>
      <c r="AB111" s="225">
        <v>0</v>
      </c>
      <c r="AC111" s="225">
        <v>0</v>
      </c>
      <c r="AD111" s="257"/>
      <c r="AE111" s="225">
        <v>0</v>
      </c>
      <c r="AF111" s="225">
        <v>0</v>
      </c>
      <c r="AG111" s="257"/>
      <c r="AH111" s="225">
        <v>0</v>
      </c>
      <c r="AI111" s="225">
        <v>0</v>
      </c>
      <c r="AJ111" s="257"/>
      <c r="AK111" s="225">
        <v>0</v>
      </c>
      <c r="AL111" s="225">
        <v>0</v>
      </c>
      <c r="AM111" s="257"/>
      <c r="AN111" s="225">
        <v>0</v>
      </c>
      <c r="AO111" s="225">
        <v>0</v>
      </c>
      <c r="AP111" s="225"/>
      <c r="AQ111" s="257"/>
      <c r="AR111" s="225">
        <v>0</v>
      </c>
      <c r="AS111" s="225">
        <v>0</v>
      </c>
      <c r="AT111" s="257"/>
      <c r="AU111" s="225">
        <v>0</v>
      </c>
      <c r="AV111" s="225">
        <v>0</v>
      </c>
      <c r="AW111" s="257"/>
      <c r="AX111" s="225">
        <v>0</v>
      </c>
      <c r="AY111" s="225">
        <v>0</v>
      </c>
      <c r="AZ111" s="257">
        <v>88.057000000000002</v>
      </c>
      <c r="BA111" s="225">
        <v>3.5222799999999999E-2</v>
      </c>
      <c r="BB111" s="225">
        <v>3.7076631578947368E-2</v>
      </c>
      <c r="BC111" s="257">
        <v>88.057000000000002</v>
      </c>
      <c r="BD111" s="225">
        <v>3.5222799999999999E-2</v>
      </c>
      <c r="BE111" s="225">
        <v>3.7076631578947368E-2</v>
      </c>
      <c r="BF111" s="257"/>
      <c r="BG111" s="257">
        <v>906.54500000000007</v>
      </c>
      <c r="BH111" s="225">
        <v>0.73285772029102669</v>
      </c>
      <c r="BI111" s="225">
        <v>0.77142917925371246</v>
      </c>
      <c r="BJ111" s="257">
        <f t="shared" si="75"/>
        <v>1175.1499999999999</v>
      </c>
      <c r="BK111" s="257">
        <v>906.54500000000007</v>
      </c>
      <c r="BL111" s="225">
        <f t="shared" si="98"/>
        <v>0.73285772029102669</v>
      </c>
      <c r="BM111" s="225">
        <f t="shared" si="80"/>
        <v>0.77142917925371246</v>
      </c>
      <c r="BN111" s="205">
        <f t="shared" si="73"/>
        <v>906.54500000000007</v>
      </c>
      <c r="BO111" s="205"/>
      <c r="BP111" s="227"/>
      <c r="BQ111" s="224">
        <f t="shared" si="81"/>
        <v>0</v>
      </c>
      <c r="BR111" s="227"/>
      <c r="BS111" s="224">
        <f t="shared" si="99"/>
        <v>0</v>
      </c>
      <c r="BT111" s="227"/>
      <c r="BU111" s="224">
        <f t="shared" si="100"/>
        <v>0</v>
      </c>
      <c r="BV111" s="227">
        <v>1000</v>
      </c>
      <c r="BW111" s="224">
        <f t="shared" si="101"/>
        <v>0.80840743734842357</v>
      </c>
      <c r="BX111" s="227">
        <v>1000</v>
      </c>
      <c r="BY111" s="224">
        <f t="shared" si="102"/>
        <v>0.80840743734842357</v>
      </c>
      <c r="BZ111" s="227">
        <v>1500</v>
      </c>
      <c r="CA111" s="224">
        <f t="shared" si="103"/>
        <v>1.2126111560226354</v>
      </c>
      <c r="CB111" s="227">
        <v>1500</v>
      </c>
      <c r="CC111" s="224">
        <f t="shared" si="104"/>
        <v>1.2126111560226354</v>
      </c>
      <c r="CD111" s="227">
        <v>1500</v>
      </c>
      <c r="CE111" s="224">
        <f t="shared" si="105"/>
        <v>1.2126111560226354</v>
      </c>
      <c r="CF111" s="227">
        <v>2000</v>
      </c>
      <c r="CG111" s="224">
        <f t="shared" si="106"/>
        <v>1.6168148746968471</v>
      </c>
      <c r="CH111" s="227">
        <v>2375</v>
      </c>
      <c r="CI111" s="224">
        <f t="shared" si="107"/>
        <v>1.919967663702506</v>
      </c>
      <c r="CJ111" s="227">
        <v>2375</v>
      </c>
      <c r="CK111" s="224">
        <f t="shared" si="108"/>
        <v>1.919967663702506</v>
      </c>
      <c r="CL111" s="227">
        <v>2375</v>
      </c>
      <c r="CM111" s="224">
        <f t="shared" si="109"/>
        <v>1.919967663702506</v>
      </c>
      <c r="CN111" s="227">
        <v>2375</v>
      </c>
      <c r="CO111" s="224">
        <f t="shared" si="110"/>
        <v>1.919967663702506</v>
      </c>
      <c r="CP111" s="213" t="str">
        <f t="shared" si="82"/>
        <v>Đạt</v>
      </c>
      <c r="CQ111" s="213" t="str">
        <f t="shared" si="83"/>
        <v>Đạt</v>
      </c>
      <c r="CR111" s="192"/>
      <c r="CS111" s="257">
        <f t="shared" si="78"/>
        <v>818.48800000000006</v>
      </c>
      <c r="CT111" s="223"/>
      <c r="CU111" s="163"/>
      <c r="CW111" s="195"/>
      <c r="CX111" s="196"/>
      <c r="CY111" s="196"/>
      <c r="CZ111" s="197"/>
      <c r="DA111" s="196"/>
      <c r="DB111" s="196"/>
      <c r="DC111" s="196"/>
      <c r="DE111" s="199"/>
      <c r="DF111" s="200"/>
      <c r="DG111" s="181"/>
    </row>
    <row r="112" spans="1:111" ht="38.25" hidden="1" outlineLevel="1" x14ac:dyDescent="0.25">
      <c r="A112" s="192">
        <f>MAX(A$69:$B111)+1</f>
        <v>37</v>
      </c>
      <c r="B112" s="222" t="s">
        <v>263</v>
      </c>
      <c r="C112" s="222" t="s">
        <v>264</v>
      </c>
      <c r="D112" s="214">
        <f t="shared" si="76"/>
        <v>10000</v>
      </c>
      <c r="E112" s="214"/>
      <c r="F112" s="214">
        <f t="shared" si="77"/>
        <v>10000</v>
      </c>
      <c r="G112" s="257">
        <f>5000-5000</f>
        <v>0</v>
      </c>
      <c r="H112" s="257">
        <v>10000</v>
      </c>
      <c r="I112" s="235"/>
      <c r="J112" s="235"/>
      <c r="K112" s="257"/>
      <c r="L112" s="235"/>
      <c r="M112" s="223"/>
      <c r="N112" s="223"/>
      <c r="O112" s="257">
        <f t="shared" si="84"/>
        <v>0</v>
      </c>
      <c r="P112" s="257">
        <v>0</v>
      </c>
      <c r="Q112" s="224">
        <f t="shared" si="79"/>
        <v>0</v>
      </c>
      <c r="R112" s="257"/>
      <c r="S112" s="225">
        <v>0</v>
      </c>
      <c r="T112" s="225">
        <v>0</v>
      </c>
      <c r="U112" s="257"/>
      <c r="V112" s="225">
        <v>0</v>
      </c>
      <c r="W112" s="225">
        <v>0</v>
      </c>
      <c r="X112" s="257"/>
      <c r="Y112" s="225">
        <v>0</v>
      </c>
      <c r="Z112" s="225">
        <v>0</v>
      </c>
      <c r="AA112" s="257"/>
      <c r="AB112" s="225">
        <v>0</v>
      </c>
      <c r="AC112" s="225">
        <v>0</v>
      </c>
      <c r="AD112" s="257"/>
      <c r="AE112" s="225">
        <v>0</v>
      </c>
      <c r="AF112" s="225">
        <v>0</v>
      </c>
      <c r="AG112" s="257"/>
      <c r="AH112" s="225">
        <v>0</v>
      </c>
      <c r="AI112" s="225">
        <v>0</v>
      </c>
      <c r="AJ112" s="257"/>
      <c r="AK112" s="225">
        <v>0</v>
      </c>
      <c r="AL112" s="225">
        <v>0</v>
      </c>
      <c r="AM112" s="257"/>
      <c r="AN112" s="225">
        <v>0</v>
      </c>
      <c r="AO112" s="225">
        <v>0</v>
      </c>
      <c r="AP112" s="225"/>
      <c r="AQ112" s="257"/>
      <c r="AR112" s="225">
        <v>0</v>
      </c>
      <c r="AS112" s="225">
        <v>0</v>
      </c>
      <c r="AT112" s="257"/>
      <c r="AU112" s="225">
        <v>0</v>
      </c>
      <c r="AV112" s="225">
        <v>0</v>
      </c>
      <c r="AW112" s="257"/>
      <c r="AX112" s="225">
        <v>0</v>
      </c>
      <c r="AY112" s="225">
        <v>0</v>
      </c>
      <c r="AZ112" s="257"/>
      <c r="BA112" s="225">
        <v>0</v>
      </c>
      <c r="BB112" s="225">
        <v>0</v>
      </c>
      <c r="BC112" s="257"/>
      <c r="BD112" s="225">
        <v>0</v>
      </c>
      <c r="BE112" s="225">
        <v>0</v>
      </c>
      <c r="BF112" s="257"/>
      <c r="BG112" s="257"/>
      <c r="BH112" s="225">
        <v>0</v>
      </c>
      <c r="BI112" s="225">
        <v>0</v>
      </c>
      <c r="BJ112" s="257">
        <f t="shared" si="75"/>
        <v>9500</v>
      </c>
      <c r="BK112" s="257"/>
      <c r="BL112" s="225">
        <f t="shared" si="98"/>
        <v>0</v>
      </c>
      <c r="BM112" s="225">
        <f t="shared" si="80"/>
        <v>0</v>
      </c>
      <c r="BN112" s="205">
        <f t="shared" si="73"/>
        <v>0</v>
      </c>
      <c r="BO112" s="205"/>
      <c r="BP112" s="227"/>
      <c r="BQ112" s="224">
        <f t="shared" si="81"/>
        <v>0</v>
      </c>
      <c r="BR112" s="227"/>
      <c r="BS112" s="224">
        <f t="shared" si="99"/>
        <v>0</v>
      </c>
      <c r="BT112" s="227"/>
      <c r="BU112" s="224">
        <f t="shared" si="100"/>
        <v>0</v>
      </c>
      <c r="BV112" s="227"/>
      <c r="BW112" s="224">
        <f t="shared" si="101"/>
        <v>0</v>
      </c>
      <c r="BX112" s="227"/>
      <c r="BY112" s="224">
        <f t="shared" si="102"/>
        <v>0</v>
      </c>
      <c r="BZ112" s="227"/>
      <c r="CA112" s="224">
        <f t="shared" si="103"/>
        <v>0</v>
      </c>
      <c r="CB112" s="227"/>
      <c r="CC112" s="224">
        <f t="shared" si="104"/>
        <v>0</v>
      </c>
      <c r="CD112" s="227"/>
      <c r="CE112" s="224">
        <f t="shared" si="105"/>
        <v>0</v>
      </c>
      <c r="CF112" s="227">
        <v>3000</v>
      </c>
      <c r="CG112" s="224">
        <f t="shared" si="106"/>
        <v>0.3</v>
      </c>
      <c r="CH112" s="227">
        <v>3000</v>
      </c>
      <c r="CI112" s="224">
        <f t="shared" si="107"/>
        <v>0.3</v>
      </c>
      <c r="CJ112" s="227">
        <v>8000</v>
      </c>
      <c r="CK112" s="224">
        <f t="shared" si="108"/>
        <v>0.8</v>
      </c>
      <c r="CL112" s="227">
        <v>8000</v>
      </c>
      <c r="CM112" s="224">
        <f t="shared" si="109"/>
        <v>0.8</v>
      </c>
      <c r="CN112" s="227">
        <v>14250</v>
      </c>
      <c r="CO112" s="224">
        <f t="shared" si="110"/>
        <v>1.425</v>
      </c>
      <c r="CP112" s="213" t="str">
        <f t="shared" si="82"/>
        <v>Không đạt</v>
      </c>
      <c r="CQ112" s="213" t="str">
        <f t="shared" si="83"/>
        <v>Không đạt</v>
      </c>
      <c r="CR112" s="192"/>
      <c r="CS112" s="257">
        <f t="shared" si="78"/>
        <v>0</v>
      </c>
      <c r="CT112" s="223"/>
      <c r="CU112" s="163"/>
      <c r="CW112" s="195"/>
      <c r="CX112" s="196"/>
      <c r="CY112" s="196"/>
      <c r="CZ112" s="197"/>
      <c r="DA112" s="196"/>
      <c r="DB112" s="196"/>
      <c r="DC112" s="196"/>
      <c r="DE112" s="199"/>
      <c r="DF112" s="200"/>
      <c r="DG112" s="181"/>
    </row>
    <row r="113" spans="1:112" ht="25.5" hidden="1" outlineLevel="1" x14ac:dyDescent="0.25">
      <c r="A113" s="192">
        <f>MAX(A$69:$B112)+1</f>
        <v>38</v>
      </c>
      <c r="B113" s="222" t="s">
        <v>265</v>
      </c>
      <c r="C113" s="222"/>
      <c r="D113" s="214">
        <f t="shared" si="76"/>
        <v>25263</v>
      </c>
      <c r="E113" s="214"/>
      <c r="F113" s="214">
        <f t="shared" si="77"/>
        <v>25263</v>
      </c>
      <c r="G113" s="257">
        <v>5263</v>
      </c>
      <c r="H113" s="257">
        <v>20000</v>
      </c>
      <c r="I113" s="235"/>
      <c r="J113" s="235"/>
      <c r="K113" s="257"/>
      <c r="L113" s="235"/>
      <c r="M113" s="223"/>
      <c r="N113" s="223"/>
      <c r="O113" s="257">
        <f t="shared" si="84"/>
        <v>5263</v>
      </c>
      <c r="P113" s="257">
        <v>0</v>
      </c>
      <c r="Q113" s="224">
        <f t="shared" si="79"/>
        <v>0</v>
      </c>
      <c r="R113" s="257"/>
      <c r="S113" s="225">
        <v>0</v>
      </c>
      <c r="T113" s="225">
        <v>0</v>
      </c>
      <c r="U113" s="257"/>
      <c r="V113" s="225">
        <v>0</v>
      </c>
      <c r="W113" s="225">
        <v>0</v>
      </c>
      <c r="X113" s="257"/>
      <c r="Y113" s="225">
        <v>0</v>
      </c>
      <c r="Z113" s="225">
        <v>0</v>
      </c>
      <c r="AA113" s="257"/>
      <c r="AB113" s="225">
        <v>0</v>
      </c>
      <c r="AC113" s="225">
        <v>0</v>
      </c>
      <c r="AD113" s="257"/>
      <c r="AE113" s="225">
        <v>0</v>
      </c>
      <c r="AF113" s="225">
        <v>0</v>
      </c>
      <c r="AG113" s="257"/>
      <c r="AH113" s="225">
        <v>0</v>
      </c>
      <c r="AI113" s="225">
        <v>0</v>
      </c>
      <c r="AJ113" s="257"/>
      <c r="AK113" s="225">
        <v>0</v>
      </c>
      <c r="AL113" s="225">
        <v>0</v>
      </c>
      <c r="AM113" s="257"/>
      <c r="AN113" s="225">
        <v>0</v>
      </c>
      <c r="AO113" s="225">
        <v>0</v>
      </c>
      <c r="AP113" s="225"/>
      <c r="AQ113" s="257"/>
      <c r="AR113" s="225">
        <v>0</v>
      </c>
      <c r="AS113" s="225">
        <v>0</v>
      </c>
      <c r="AT113" s="257"/>
      <c r="AU113" s="225">
        <v>0</v>
      </c>
      <c r="AV113" s="225">
        <v>0</v>
      </c>
      <c r="AW113" s="257"/>
      <c r="AX113" s="225">
        <v>0</v>
      </c>
      <c r="AY113" s="225">
        <v>0</v>
      </c>
      <c r="AZ113" s="257">
        <v>121.712</v>
      </c>
      <c r="BA113" s="225">
        <v>6.0856E-3</v>
      </c>
      <c r="BB113" s="225">
        <v>6.4058947368421052E-3</v>
      </c>
      <c r="BC113" s="257">
        <v>121.712</v>
      </c>
      <c r="BD113" s="225">
        <v>6.0856E-3</v>
      </c>
      <c r="BE113" s="225">
        <v>6.4058947368421052E-3</v>
      </c>
      <c r="BF113" s="257"/>
      <c r="BG113" s="257">
        <v>121.712</v>
      </c>
      <c r="BH113" s="225">
        <v>4.8177967778965285E-3</v>
      </c>
      <c r="BI113" s="225">
        <v>5.0713650293647671E-3</v>
      </c>
      <c r="BJ113" s="257">
        <f t="shared" si="75"/>
        <v>23999.85</v>
      </c>
      <c r="BK113" s="257">
        <v>121.712</v>
      </c>
      <c r="BL113" s="225">
        <f t="shared" si="98"/>
        <v>4.8177967778965285E-3</v>
      </c>
      <c r="BM113" s="225">
        <f t="shared" si="80"/>
        <v>5.0713650293647671E-3</v>
      </c>
      <c r="BN113" s="205">
        <f t="shared" si="73"/>
        <v>121.712</v>
      </c>
      <c r="BO113" s="205"/>
      <c r="BP113" s="227"/>
      <c r="BQ113" s="224">
        <f t="shared" si="81"/>
        <v>0</v>
      </c>
      <c r="BR113" s="227"/>
      <c r="BS113" s="224">
        <f t="shared" si="99"/>
        <v>0</v>
      </c>
      <c r="BT113" s="227">
        <v>5000</v>
      </c>
      <c r="BU113" s="224">
        <f t="shared" si="100"/>
        <v>0.19791790365356451</v>
      </c>
      <c r="BV113" s="227">
        <v>5000</v>
      </c>
      <c r="BW113" s="224">
        <f t="shared" si="101"/>
        <v>0.19791790365356451</v>
      </c>
      <c r="BX113" s="227">
        <v>10000</v>
      </c>
      <c r="BY113" s="224">
        <f t="shared" si="102"/>
        <v>0.39583580730712903</v>
      </c>
      <c r="BZ113" s="227">
        <v>10000</v>
      </c>
      <c r="CA113" s="224">
        <f t="shared" si="103"/>
        <v>0.39583580730712903</v>
      </c>
      <c r="CB113" s="227">
        <v>15000</v>
      </c>
      <c r="CC113" s="224">
        <f t="shared" si="104"/>
        <v>0.59375371096069351</v>
      </c>
      <c r="CD113" s="227">
        <v>15000</v>
      </c>
      <c r="CE113" s="224">
        <f t="shared" si="105"/>
        <v>0.59375371096069351</v>
      </c>
      <c r="CF113" s="227">
        <v>15000</v>
      </c>
      <c r="CG113" s="224">
        <f t="shared" si="106"/>
        <v>0.59375371096069351</v>
      </c>
      <c r="CH113" s="227">
        <v>19000</v>
      </c>
      <c r="CI113" s="224">
        <f t="shared" si="107"/>
        <v>0.75208803388354506</v>
      </c>
      <c r="CJ113" s="227">
        <v>19000</v>
      </c>
      <c r="CK113" s="224">
        <f t="shared" si="108"/>
        <v>0.75208803388354506</v>
      </c>
      <c r="CL113" s="227">
        <v>19000</v>
      </c>
      <c r="CM113" s="224">
        <f t="shared" si="109"/>
        <v>0.75208803388354506</v>
      </c>
      <c r="CN113" s="227">
        <v>19000</v>
      </c>
      <c r="CO113" s="224">
        <f t="shared" si="110"/>
        <v>0.75208803388354506</v>
      </c>
      <c r="CP113" s="213" t="str">
        <f t="shared" si="82"/>
        <v>Không đạt</v>
      </c>
      <c r="CQ113" s="213" t="str">
        <f t="shared" si="83"/>
        <v>Không đạt</v>
      </c>
      <c r="CR113" s="192"/>
      <c r="CS113" s="257">
        <f t="shared" si="78"/>
        <v>0</v>
      </c>
      <c r="CT113" s="223"/>
      <c r="CU113" s="163"/>
      <c r="CW113" s="195"/>
      <c r="CX113" s="196"/>
      <c r="CY113" s="196"/>
      <c r="CZ113" s="197"/>
      <c r="DA113" s="196"/>
      <c r="DB113" s="196"/>
      <c r="DC113" s="196"/>
      <c r="DE113" s="199"/>
      <c r="DF113" s="200"/>
      <c r="DG113" s="181"/>
    </row>
    <row r="114" spans="1:112" ht="25.5" hidden="1" outlineLevel="1" x14ac:dyDescent="0.25">
      <c r="A114" s="192">
        <f>MAX(A$69:$B113)+1</f>
        <v>39</v>
      </c>
      <c r="B114" s="222" t="s">
        <v>266</v>
      </c>
      <c r="C114" s="222"/>
      <c r="D114" s="214">
        <f t="shared" si="76"/>
        <v>40000</v>
      </c>
      <c r="E114" s="214"/>
      <c r="F114" s="214">
        <f t="shared" si="77"/>
        <v>40000</v>
      </c>
      <c r="G114" s="257"/>
      <c r="H114" s="257"/>
      <c r="I114" s="235"/>
      <c r="J114" s="235"/>
      <c r="K114" s="257">
        <v>40000</v>
      </c>
      <c r="L114" s="235"/>
      <c r="M114" s="223"/>
      <c r="N114" s="223"/>
      <c r="O114" s="257">
        <f t="shared" si="84"/>
        <v>0</v>
      </c>
      <c r="P114" s="257">
        <v>0</v>
      </c>
      <c r="Q114" s="224">
        <f t="shared" si="79"/>
        <v>0</v>
      </c>
      <c r="R114" s="257"/>
      <c r="S114" s="225">
        <v>0</v>
      </c>
      <c r="T114" s="225">
        <v>0</v>
      </c>
      <c r="U114" s="257"/>
      <c r="V114" s="225">
        <v>0</v>
      </c>
      <c r="W114" s="225">
        <v>0</v>
      </c>
      <c r="X114" s="257"/>
      <c r="Y114" s="225">
        <v>0</v>
      </c>
      <c r="Z114" s="225">
        <v>0</v>
      </c>
      <c r="AA114" s="257"/>
      <c r="AB114" s="225">
        <v>0</v>
      </c>
      <c r="AC114" s="225">
        <v>0</v>
      </c>
      <c r="AD114" s="257"/>
      <c r="AE114" s="225">
        <v>0</v>
      </c>
      <c r="AF114" s="225">
        <v>0</v>
      </c>
      <c r="AG114" s="257"/>
      <c r="AH114" s="225">
        <v>0</v>
      </c>
      <c r="AI114" s="225">
        <v>0</v>
      </c>
      <c r="AJ114" s="257"/>
      <c r="AK114" s="225">
        <v>0</v>
      </c>
      <c r="AL114" s="225">
        <v>0</v>
      </c>
      <c r="AM114" s="257"/>
      <c r="AN114" s="225">
        <v>0</v>
      </c>
      <c r="AO114" s="225">
        <v>0</v>
      </c>
      <c r="AP114" s="225"/>
      <c r="AQ114" s="257">
        <v>1566.424</v>
      </c>
      <c r="AR114" s="225">
        <v>3.9160599999999997E-2</v>
      </c>
      <c r="AS114" s="225">
        <v>4.1221684210526313E-2</v>
      </c>
      <c r="AT114" s="257">
        <v>1566.424</v>
      </c>
      <c r="AU114" s="225">
        <v>3.9160599999999997E-2</v>
      </c>
      <c r="AV114" s="225">
        <v>4.1221684210526313E-2</v>
      </c>
      <c r="AW114" s="257">
        <v>1566.424</v>
      </c>
      <c r="AX114" s="225">
        <v>3.9160599999999997E-2</v>
      </c>
      <c r="AY114" s="225">
        <v>4.1221684210526313E-2</v>
      </c>
      <c r="AZ114" s="257">
        <v>1566.424</v>
      </c>
      <c r="BA114" s="225">
        <v>3.9160599999999997E-2</v>
      </c>
      <c r="BB114" s="225">
        <v>4.1221684210526313E-2</v>
      </c>
      <c r="BC114" s="257">
        <v>3584.2780000000002</v>
      </c>
      <c r="BD114" s="225">
        <v>8.9606950000000005E-2</v>
      </c>
      <c r="BE114" s="225">
        <v>9.4323105263157903E-2</v>
      </c>
      <c r="BF114" s="257"/>
      <c r="BG114" s="257">
        <v>3584.2780000000002</v>
      </c>
      <c r="BH114" s="225">
        <v>8.9606950000000005E-2</v>
      </c>
      <c r="BI114" s="225">
        <v>9.4323105263157903E-2</v>
      </c>
      <c r="BJ114" s="257">
        <f t="shared" si="75"/>
        <v>38000</v>
      </c>
      <c r="BK114" s="257">
        <v>3584.2780000000002</v>
      </c>
      <c r="BL114" s="225">
        <f t="shared" si="98"/>
        <v>8.9606950000000005E-2</v>
      </c>
      <c r="BM114" s="225">
        <f t="shared" si="80"/>
        <v>9.4323105263157903E-2</v>
      </c>
      <c r="BN114" s="205">
        <f t="shared" si="73"/>
        <v>3584.2780000000002</v>
      </c>
      <c r="BO114" s="205"/>
      <c r="BP114" s="227"/>
      <c r="BQ114" s="224">
        <f t="shared" si="81"/>
        <v>0</v>
      </c>
      <c r="BR114" s="227"/>
      <c r="BS114" s="224">
        <f t="shared" si="99"/>
        <v>0</v>
      </c>
      <c r="BT114" s="227"/>
      <c r="BU114" s="224">
        <f t="shared" si="100"/>
        <v>0</v>
      </c>
      <c r="BV114" s="227"/>
      <c r="BW114" s="224">
        <f t="shared" si="101"/>
        <v>0</v>
      </c>
      <c r="BX114" s="227"/>
      <c r="BY114" s="224">
        <f t="shared" si="102"/>
        <v>0</v>
      </c>
      <c r="BZ114" s="227">
        <v>20000</v>
      </c>
      <c r="CA114" s="224">
        <f t="shared" si="103"/>
        <v>0.5</v>
      </c>
      <c r="CB114" s="227">
        <v>20000</v>
      </c>
      <c r="CC114" s="224">
        <f t="shared" si="104"/>
        <v>0.5</v>
      </c>
      <c r="CD114" s="227">
        <v>20000</v>
      </c>
      <c r="CE114" s="224">
        <f t="shared" si="105"/>
        <v>0.5</v>
      </c>
      <c r="CF114" s="227">
        <v>25000</v>
      </c>
      <c r="CG114" s="224">
        <f t="shared" si="106"/>
        <v>0.625</v>
      </c>
      <c r="CH114" s="227">
        <v>25000</v>
      </c>
      <c r="CI114" s="224">
        <f t="shared" si="107"/>
        <v>0.625</v>
      </c>
      <c r="CJ114" s="227">
        <v>30000</v>
      </c>
      <c r="CK114" s="224">
        <f t="shared" si="108"/>
        <v>0.75</v>
      </c>
      <c r="CL114" s="227">
        <v>35000</v>
      </c>
      <c r="CM114" s="224">
        <f t="shared" si="109"/>
        <v>0.875</v>
      </c>
      <c r="CN114" s="227">
        <v>38000</v>
      </c>
      <c r="CO114" s="224">
        <f t="shared" si="110"/>
        <v>0.95</v>
      </c>
      <c r="CP114" s="213" t="str">
        <f t="shared" si="82"/>
        <v>Không đạt</v>
      </c>
      <c r="CQ114" s="213" t="str">
        <f t="shared" si="83"/>
        <v>Không đạt</v>
      </c>
      <c r="CR114" s="192"/>
      <c r="CS114" s="257">
        <f t="shared" si="78"/>
        <v>2017.8540000000003</v>
      </c>
      <c r="CT114" s="257"/>
      <c r="CU114" s="163"/>
      <c r="CW114" s="195"/>
      <c r="CX114" s="196"/>
      <c r="CY114" s="196"/>
      <c r="CZ114" s="197"/>
      <c r="DA114" s="196"/>
      <c r="DB114" s="196"/>
      <c r="DC114" s="196"/>
      <c r="DE114" s="199"/>
      <c r="DF114" s="200"/>
      <c r="DG114" s="181"/>
      <c r="DH114" s="257"/>
    </row>
    <row r="115" spans="1:112" ht="51" hidden="1" outlineLevel="1" x14ac:dyDescent="0.25">
      <c r="A115" s="192">
        <f>MAX(A$69:$B114)+1</f>
        <v>40</v>
      </c>
      <c r="B115" s="222" t="s">
        <v>267</v>
      </c>
      <c r="C115" s="222" t="s">
        <v>268</v>
      </c>
      <c r="D115" s="214">
        <f t="shared" si="76"/>
        <v>843</v>
      </c>
      <c r="E115" s="214"/>
      <c r="F115" s="214">
        <f t="shared" si="77"/>
        <v>843</v>
      </c>
      <c r="G115" s="257">
        <f>7000-6157</f>
        <v>843</v>
      </c>
      <c r="H115" s="257"/>
      <c r="I115" s="235"/>
      <c r="J115" s="235"/>
      <c r="K115" s="257"/>
      <c r="L115" s="235"/>
      <c r="M115" s="223"/>
      <c r="N115" s="223"/>
      <c r="O115" s="257">
        <f t="shared" si="84"/>
        <v>843</v>
      </c>
      <c r="P115" s="257">
        <v>0</v>
      </c>
      <c r="Q115" s="224">
        <f t="shared" si="79"/>
        <v>0</v>
      </c>
      <c r="R115" s="257"/>
      <c r="S115" s="225">
        <v>0</v>
      </c>
      <c r="T115" s="225">
        <v>0</v>
      </c>
      <c r="U115" s="257"/>
      <c r="V115" s="225">
        <v>0</v>
      </c>
      <c r="W115" s="225">
        <v>0</v>
      </c>
      <c r="X115" s="257"/>
      <c r="Y115" s="225">
        <v>0</v>
      </c>
      <c r="Z115" s="225">
        <v>0</v>
      </c>
      <c r="AA115" s="257"/>
      <c r="AB115" s="225">
        <v>0</v>
      </c>
      <c r="AC115" s="225">
        <v>0</v>
      </c>
      <c r="AD115" s="257"/>
      <c r="AE115" s="225">
        <v>0</v>
      </c>
      <c r="AF115" s="225">
        <v>0</v>
      </c>
      <c r="AG115" s="257"/>
      <c r="AH115" s="225">
        <v>0</v>
      </c>
      <c r="AI115" s="225">
        <v>0</v>
      </c>
      <c r="AJ115" s="257"/>
      <c r="AK115" s="225">
        <v>0</v>
      </c>
      <c r="AL115" s="225">
        <v>0</v>
      </c>
      <c r="AM115" s="257"/>
      <c r="AN115" s="225">
        <v>0</v>
      </c>
      <c r="AO115" s="225">
        <v>0</v>
      </c>
      <c r="AP115" s="225"/>
      <c r="AQ115" s="257">
        <v>180.21100000000001</v>
      </c>
      <c r="AR115" s="225">
        <v>2.5744428571428574E-2</v>
      </c>
      <c r="AS115" s="225">
        <v>2.7099398496240604E-2</v>
      </c>
      <c r="AT115" s="257">
        <v>180.21100000000001</v>
      </c>
      <c r="AU115" s="225">
        <v>2.5744428571428574E-2</v>
      </c>
      <c r="AV115" s="225">
        <v>2.7099398496240604E-2</v>
      </c>
      <c r="AW115" s="257">
        <v>180.21100000000001</v>
      </c>
      <c r="AX115" s="225">
        <v>2.5744428571428574E-2</v>
      </c>
      <c r="AY115" s="225">
        <v>2.7099398496240604E-2</v>
      </c>
      <c r="AZ115" s="257">
        <v>180.21100000000001</v>
      </c>
      <c r="BA115" s="225">
        <v>2.5744428571428574E-2</v>
      </c>
      <c r="BB115" s="225">
        <v>2.7099398496240604E-2</v>
      </c>
      <c r="BC115" s="257">
        <v>180.21100000000001</v>
      </c>
      <c r="BD115" s="225">
        <v>2.5744428571428574E-2</v>
      </c>
      <c r="BE115" s="225">
        <v>2.7099398496240604E-2</v>
      </c>
      <c r="BF115" s="257"/>
      <c r="BG115" s="257">
        <v>180.21100000000001</v>
      </c>
      <c r="BH115" s="225">
        <v>0.21377342823250298</v>
      </c>
      <c r="BI115" s="225">
        <v>0.22502466129737159</v>
      </c>
      <c r="BJ115" s="257">
        <f t="shared" si="75"/>
        <v>800.84999999999991</v>
      </c>
      <c r="BK115" s="257">
        <v>180.21100000000001</v>
      </c>
      <c r="BL115" s="225">
        <f>BK115/$D115</f>
        <v>0.21377342823250298</v>
      </c>
      <c r="BM115" s="225">
        <f t="shared" si="80"/>
        <v>0.22502466129737159</v>
      </c>
      <c r="BN115" s="205">
        <f t="shared" si="73"/>
        <v>180.21100000000001</v>
      </c>
      <c r="BO115" s="205"/>
      <c r="BP115" s="227"/>
      <c r="BQ115" s="224">
        <f t="shared" si="81"/>
        <v>0</v>
      </c>
      <c r="BR115" s="227"/>
      <c r="BS115" s="224">
        <f t="shared" si="99"/>
        <v>0</v>
      </c>
      <c r="BT115" s="227"/>
      <c r="BU115" s="224">
        <f t="shared" si="100"/>
        <v>0</v>
      </c>
      <c r="BV115" s="227"/>
      <c r="BW115" s="224">
        <f t="shared" si="101"/>
        <v>0</v>
      </c>
      <c r="BX115" s="227"/>
      <c r="BY115" s="224">
        <f t="shared" si="102"/>
        <v>0</v>
      </c>
      <c r="BZ115" s="227">
        <v>2000</v>
      </c>
      <c r="CA115" s="224">
        <f t="shared" si="103"/>
        <v>2.3724792408066429</v>
      </c>
      <c r="CB115" s="227">
        <v>2000</v>
      </c>
      <c r="CC115" s="224">
        <f t="shared" si="104"/>
        <v>2.3724792408066429</v>
      </c>
      <c r="CD115" s="227">
        <v>2000</v>
      </c>
      <c r="CE115" s="224">
        <f t="shared" si="105"/>
        <v>2.3724792408066429</v>
      </c>
      <c r="CF115" s="227">
        <v>2000</v>
      </c>
      <c r="CG115" s="224">
        <f t="shared" si="106"/>
        <v>2.3724792408066429</v>
      </c>
      <c r="CH115" s="227">
        <v>2000</v>
      </c>
      <c r="CI115" s="224">
        <f t="shared" si="107"/>
        <v>2.3724792408066429</v>
      </c>
      <c r="CJ115" s="227">
        <v>2000</v>
      </c>
      <c r="CK115" s="224">
        <f t="shared" si="108"/>
        <v>2.3724792408066429</v>
      </c>
      <c r="CL115" s="227">
        <v>2000</v>
      </c>
      <c r="CM115" s="224">
        <f t="shared" si="109"/>
        <v>2.3724792408066429</v>
      </c>
      <c r="CN115" s="227">
        <v>6650</v>
      </c>
      <c r="CO115" s="224">
        <f t="shared" si="110"/>
        <v>7.8884934756820879</v>
      </c>
      <c r="CP115" s="213" t="str">
        <f t="shared" si="82"/>
        <v>Không đạt</v>
      </c>
      <c r="CQ115" s="213" t="str">
        <f t="shared" si="83"/>
        <v>Không đạt</v>
      </c>
      <c r="CR115" s="192"/>
      <c r="CS115" s="257">
        <f t="shared" si="78"/>
        <v>0</v>
      </c>
      <c r="CT115" s="223"/>
      <c r="CU115" s="163"/>
      <c r="CW115" s="195"/>
      <c r="CX115" s="196"/>
      <c r="CY115" s="196"/>
      <c r="CZ115" s="197"/>
      <c r="DA115" s="196"/>
      <c r="DB115" s="196"/>
      <c r="DC115" s="196"/>
      <c r="DE115" s="199"/>
      <c r="DF115" s="200"/>
      <c r="DG115" s="181"/>
    </row>
    <row r="116" spans="1:112" ht="38.25" hidden="1" outlineLevel="1" x14ac:dyDescent="0.25">
      <c r="A116" s="192">
        <f>MAX(A$69:$B115)+1</f>
        <v>41</v>
      </c>
      <c r="B116" s="222" t="s">
        <v>269</v>
      </c>
      <c r="C116" s="222" t="s">
        <v>270</v>
      </c>
      <c r="D116" s="214">
        <f t="shared" si="76"/>
        <v>10000</v>
      </c>
      <c r="E116" s="214"/>
      <c r="F116" s="214">
        <f t="shared" si="77"/>
        <v>10000</v>
      </c>
      <c r="G116" s="257">
        <v>5000</v>
      </c>
      <c r="H116" s="257">
        <v>5000</v>
      </c>
      <c r="I116" s="235"/>
      <c r="J116" s="235"/>
      <c r="K116" s="257"/>
      <c r="L116" s="235"/>
      <c r="M116" s="223"/>
      <c r="N116" s="223"/>
      <c r="O116" s="257">
        <f t="shared" si="84"/>
        <v>5000</v>
      </c>
      <c r="P116" s="257">
        <v>0</v>
      </c>
      <c r="Q116" s="224">
        <f t="shared" si="79"/>
        <v>0</v>
      </c>
      <c r="R116" s="257"/>
      <c r="S116" s="225">
        <v>0</v>
      </c>
      <c r="T116" s="225">
        <v>0</v>
      </c>
      <c r="U116" s="257"/>
      <c r="V116" s="225">
        <v>0</v>
      </c>
      <c r="W116" s="225">
        <v>0</v>
      </c>
      <c r="X116" s="257"/>
      <c r="Y116" s="225">
        <v>0</v>
      </c>
      <c r="Z116" s="225">
        <v>0</v>
      </c>
      <c r="AA116" s="257"/>
      <c r="AB116" s="225">
        <v>0</v>
      </c>
      <c r="AC116" s="225">
        <v>0</v>
      </c>
      <c r="AD116" s="257"/>
      <c r="AE116" s="225">
        <v>0</v>
      </c>
      <c r="AF116" s="225">
        <v>0</v>
      </c>
      <c r="AG116" s="257"/>
      <c r="AH116" s="225">
        <v>0</v>
      </c>
      <c r="AI116" s="225">
        <v>0</v>
      </c>
      <c r="AJ116" s="257"/>
      <c r="AK116" s="225">
        <v>0</v>
      </c>
      <c r="AL116" s="225">
        <v>0</v>
      </c>
      <c r="AM116" s="257"/>
      <c r="AN116" s="225">
        <v>0</v>
      </c>
      <c r="AO116" s="225">
        <v>0</v>
      </c>
      <c r="AP116" s="225"/>
      <c r="AQ116" s="257"/>
      <c r="AR116" s="225">
        <v>0</v>
      </c>
      <c r="AS116" s="225">
        <v>0</v>
      </c>
      <c r="AT116" s="257"/>
      <c r="AU116" s="225">
        <v>0</v>
      </c>
      <c r="AV116" s="225">
        <v>0</v>
      </c>
      <c r="AW116" s="257"/>
      <c r="AX116" s="225">
        <v>0</v>
      </c>
      <c r="AY116" s="225">
        <v>0</v>
      </c>
      <c r="AZ116" s="257"/>
      <c r="BA116" s="225">
        <v>0</v>
      </c>
      <c r="BB116" s="225">
        <v>0</v>
      </c>
      <c r="BC116" s="257"/>
      <c r="BD116" s="225">
        <v>0</v>
      </c>
      <c r="BE116" s="225">
        <v>0</v>
      </c>
      <c r="BF116" s="257"/>
      <c r="BG116" s="257"/>
      <c r="BH116" s="225">
        <v>0</v>
      </c>
      <c r="BI116" s="225">
        <v>0</v>
      </c>
      <c r="BJ116" s="257">
        <f t="shared" si="75"/>
        <v>9500</v>
      </c>
      <c r="BK116" s="257"/>
      <c r="BL116" s="225">
        <f t="shared" si="98"/>
        <v>0</v>
      </c>
      <c r="BM116" s="225">
        <f t="shared" si="80"/>
        <v>0</v>
      </c>
      <c r="BN116" s="205">
        <f t="shared" si="73"/>
        <v>0</v>
      </c>
      <c r="BO116" s="205"/>
      <c r="BP116" s="227"/>
      <c r="BQ116" s="224">
        <f t="shared" si="81"/>
        <v>0</v>
      </c>
      <c r="BR116" s="227"/>
      <c r="BS116" s="224">
        <f t="shared" si="99"/>
        <v>0</v>
      </c>
      <c r="BT116" s="227"/>
      <c r="BU116" s="224">
        <f t="shared" si="100"/>
        <v>0</v>
      </c>
      <c r="BV116" s="227">
        <v>3000</v>
      </c>
      <c r="BW116" s="224">
        <f t="shared" si="101"/>
        <v>0.3</v>
      </c>
      <c r="BX116" s="227">
        <v>3000</v>
      </c>
      <c r="BY116" s="224">
        <f t="shared" si="102"/>
        <v>0.3</v>
      </c>
      <c r="BZ116" s="227">
        <v>5000</v>
      </c>
      <c r="CA116" s="224">
        <f t="shared" si="103"/>
        <v>0.5</v>
      </c>
      <c r="CB116" s="227">
        <v>5000</v>
      </c>
      <c r="CC116" s="224">
        <f t="shared" si="104"/>
        <v>0.5</v>
      </c>
      <c r="CD116" s="227">
        <v>5000</v>
      </c>
      <c r="CE116" s="224">
        <f t="shared" si="105"/>
        <v>0.5</v>
      </c>
      <c r="CF116" s="227">
        <v>8000</v>
      </c>
      <c r="CG116" s="224">
        <f t="shared" si="106"/>
        <v>0.8</v>
      </c>
      <c r="CH116" s="227">
        <v>8000</v>
      </c>
      <c r="CI116" s="224">
        <f t="shared" si="107"/>
        <v>0.8</v>
      </c>
      <c r="CJ116" s="227">
        <v>9500</v>
      </c>
      <c r="CK116" s="224">
        <f t="shared" si="108"/>
        <v>0.95</v>
      </c>
      <c r="CL116" s="227">
        <v>9500</v>
      </c>
      <c r="CM116" s="224">
        <f t="shared" si="109"/>
        <v>0.95</v>
      </c>
      <c r="CN116" s="227">
        <v>9500</v>
      </c>
      <c r="CO116" s="224">
        <f t="shared" si="110"/>
        <v>0.95</v>
      </c>
      <c r="CP116" s="213" t="str">
        <f t="shared" si="82"/>
        <v>Không đạt</v>
      </c>
      <c r="CQ116" s="213" t="str">
        <f t="shared" si="83"/>
        <v>Không đạt</v>
      </c>
      <c r="CR116" s="192"/>
      <c r="CS116" s="257">
        <f t="shared" si="78"/>
        <v>0</v>
      </c>
      <c r="CT116" s="223"/>
      <c r="CU116" s="163"/>
      <c r="CW116" s="195"/>
      <c r="CX116" s="196"/>
      <c r="CY116" s="196"/>
      <c r="CZ116" s="197"/>
      <c r="DA116" s="196"/>
      <c r="DB116" s="196"/>
      <c r="DC116" s="196"/>
      <c r="DE116" s="199"/>
      <c r="DF116" s="200"/>
      <c r="DG116" s="181"/>
    </row>
    <row r="117" spans="1:112" hidden="1" outlineLevel="1" x14ac:dyDescent="0.25">
      <c r="A117" s="192">
        <f>MAX(A$69:$B116)+1</f>
        <v>42</v>
      </c>
      <c r="B117" s="222" t="s">
        <v>271</v>
      </c>
      <c r="C117" s="222" t="s">
        <v>272</v>
      </c>
      <c r="D117" s="214">
        <f t="shared" si="76"/>
        <v>10000</v>
      </c>
      <c r="E117" s="214"/>
      <c r="F117" s="214">
        <f t="shared" si="77"/>
        <v>10000</v>
      </c>
      <c r="G117" s="257">
        <v>5000</v>
      </c>
      <c r="H117" s="257">
        <v>5000</v>
      </c>
      <c r="I117" s="235"/>
      <c r="J117" s="235"/>
      <c r="K117" s="257"/>
      <c r="L117" s="235"/>
      <c r="M117" s="223"/>
      <c r="N117" s="223"/>
      <c r="O117" s="257">
        <f t="shared" si="84"/>
        <v>5000</v>
      </c>
      <c r="P117" s="257">
        <v>0</v>
      </c>
      <c r="Q117" s="224">
        <f t="shared" si="79"/>
        <v>0</v>
      </c>
      <c r="R117" s="257"/>
      <c r="S117" s="225">
        <v>0</v>
      </c>
      <c r="T117" s="225">
        <v>0</v>
      </c>
      <c r="U117" s="257"/>
      <c r="V117" s="225">
        <v>0</v>
      </c>
      <c r="W117" s="225">
        <v>0</v>
      </c>
      <c r="X117" s="257"/>
      <c r="Y117" s="225">
        <v>0</v>
      </c>
      <c r="Z117" s="225">
        <v>0</v>
      </c>
      <c r="AA117" s="257"/>
      <c r="AB117" s="225">
        <v>0</v>
      </c>
      <c r="AC117" s="225">
        <v>0</v>
      </c>
      <c r="AD117" s="257"/>
      <c r="AE117" s="225">
        <v>0</v>
      </c>
      <c r="AF117" s="225">
        <v>0</v>
      </c>
      <c r="AG117" s="257"/>
      <c r="AH117" s="225">
        <v>0</v>
      </c>
      <c r="AI117" s="225">
        <v>0</v>
      </c>
      <c r="AJ117" s="257"/>
      <c r="AK117" s="225">
        <v>0</v>
      </c>
      <c r="AL117" s="225">
        <v>0</v>
      </c>
      <c r="AM117" s="257"/>
      <c r="AN117" s="225">
        <v>0</v>
      </c>
      <c r="AO117" s="225">
        <v>0</v>
      </c>
      <c r="AP117" s="225"/>
      <c r="AQ117" s="257"/>
      <c r="AR117" s="225">
        <v>0</v>
      </c>
      <c r="AS117" s="225">
        <v>0</v>
      </c>
      <c r="AT117" s="257"/>
      <c r="AU117" s="225">
        <v>0</v>
      </c>
      <c r="AV117" s="225">
        <v>0</v>
      </c>
      <c r="AW117" s="257"/>
      <c r="AX117" s="225">
        <v>0</v>
      </c>
      <c r="AY117" s="225">
        <v>0</v>
      </c>
      <c r="AZ117" s="257"/>
      <c r="BA117" s="225">
        <v>0</v>
      </c>
      <c r="BB117" s="225">
        <v>0</v>
      </c>
      <c r="BC117" s="257"/>
      <c r="BD117" s="225">
        <v>0</v>
      </c>
      <c r="BE117" s="225">
        <v>0</v>
      </c>
      <c r="BF117" s="257"/>
      <c r="BG117" s="257"/>
      <c r="BH117" s="225">
        <v>0</v>
      </c>
      <c r="BI117" s="225">
        <v>0</v>
      </c>
      <c r="BJ117" s="257">
        <f t="shared" si="75"/>
        <v>9500</v>
      </c>
      <c r="BK117" s="257"/>
      <c r="BL117" s="225">
        <f t="shared" si="98"/>
        <v>0</v>
      </c>
      <c r="BM117" s="225">
        <f t="shared" si="80"/>
        <v>0</v>
      </c>
      <c r="BN117" s="205">
        <f t="shared" si="73"/>
        <v>0</v>
      </c>
      <c r="BO117" s="205"/>
      <c r="BP117" s="227"/>
      <c r="BQ117" s="224">
        <f t="shared" si="81"/>
        <v>0</v>
      </c>
      <c r="BR117" s="227"/>
      <c r="BS117" s="224">
        <f t="shared" si="99"/>
        <v>0</v>
      </c>
      <c r="BT117" s="227"/>
      <c r="BU117" s="224">
        <f t="shared" si="100"/>
        <v>0</v>
      </c>
      <c r="BV117" s="227">
        <v>3000</v>
      </c>
      <c r="BW117" s="224">
        <f t="shared" si="101"/>
        <v>0.3</v>
      </c>
      <c r="BX117" s="227">
        <v>3000</v>
      </c>
      <c r="BY117" s="224">
        <f t="shared" si="102"/>
        <v>0.3</v>
      </c>
      <c r="BZ117" s="227">
        <v>5000</v>
      </c>
      <c r="CA117" s="224">
        <f t="shared" si="103"/>
        <v>0.5</v>
      </c>
      <c r="CB117" s="227">
        <v>5000</v>
      </c>
      <c r="CC117" s="224">
        <f t="shared" si="104"/>
        <v>0.5</v>
      </c>
      <c r="CD117" s="227">
        <v>5000</v>
      </c>
      <c r="CE117" s="224">
        <f t="shared" si="105"/>
        <v>0.5</v>
      </c>
      <c r="CF117" s="227">
        <v>8000</v>
      </c>
      <c r="CG117" s="224">
        <f t="shared" si="106"/>
        <v>0.8</v>
      </c>
      <c r="CH117" s="227">
        <v>8000</v>
      </c>
      <c r="CI117" s="224">
        <f t="shared" si="107"/>
        <v>0.8</v>
      </c>
      <c r="CJ117" s="227">
        <v>9500</v>
      </c>
      <c r="CK117" s="224">
        <f t="shared" si="108"/>
        <v>0.95</v>
      </c>
      <c r="CL117" s="227">
        <v>9500</v>
      </c>
      <c r="CM117" s="224">
        <f t="shared" si="109"/>
        <v>0.95</v>
      </c>
      <c r="CN117" s="227">
        <v>9500</v>
      </c>
      <c r="CO117" s="224">
        <f t="shared" si="110"/>
        <v>0.95</v>
      </c>
      <c r="CP117" s="213" t="str">
        <f t="shared" si="82"/>
        <v>Không đạt</v>
      </c>
      <c r="CQ117" s="213" t="str">
        <f t="shared" si="83"/>
        <v>Không đạt</v>
      </c>
      <c r="CR117" s="192"/>
      <c r="CS117" s="257">
        <f t="shared" si="78"/>
        <v>0</v>
      </c>
      <c r="CT117" s="223"/>
      <c r="CU117" s="163"/>
      <c r="CW117" s="195"/>
      <c r="CX117" s="196"/>
      <c r="CY117" s="196"/>
      <c r="CZ117" s="197"/>
      <c r="DA117" s="196"/>
      <c r="DB117" s="196"/>
      <c r="DC117" s="196"/>
      <c r="DE117" s="199"/>
      <c r="DF117" s="200"/>
      <c r="DG117" s="181"/>
    </row>
    <row r="118" spans="1:112" ht="25.5" hidden="1" outlineLevel="1" x14ac:dyDescent="0.25">
      <c r="A118" s="192">
        <f>MAX(A$69:$B117)+1</f>
        <v>43</v>
      </c>
      <c r="B118" s="222" t="s">
        <v>273</v>
      </c>
      <c r="C118" s="222" t="s">
        <v>274</v>
      </c>
      <c r="D118" s="214">
        <f t="shared" si="76"/>
        <v>10000</v>
      </c>
      <c r="E118" s="214"/>
      <c r="F118" s="214">
        <f t="shared" si="77"/>
        <v>10000</v>
      </c>
      <c r="G118" s="257">
        <v>5000</v>
      </c>
      <c r="H118" s="257">
        <v>5000</v>
      </c>
      <c r="I118" s="235"/>
      <c r="J118" s="235"/>
      <c r="K118" s="257"/>
      <c r="L118" s="235"/>
      <c r="M118" s="223"/>
      <c r="N118" s="223"/>
      <c r="O118" s="257">
        <f t="shared" si="84"/>
        <v>5000</v>
      </c>
      <c r="P118" s="257">
        <v>0</v>
      </c>
      <c r="Q118" s="224">
        <f t="shared" si="79"/>
        <v>0</v>
      </c>
      <c r="R118" s="257"/>
      <c r="S118" s="225">
        <v>0</v>
      </c>
      <c r="T118" s="225">
        <v>0</v>
      </c>
      <c r="U118" s="257"/>
      <c r="V118" s="225">
        <v>0</v>
      </c>
      <c r="W118" s="225">
        <v>0</v>
      </c>
      <c r="X118" s="257"/>
      <c r="Y118" s="225">
        <v>0</v>
      </c>
      <c r="Z118" s="225">
        <v>0</v>
      </c>
      <c r="AA118" s="257"/>
      <c r="AB118" s="225">
        <v>0</v>
      </c>
      <c r="AC118" s="225">
        <v>0</v>
      </c>
      <c r="AD118" s="257">
        <v>14</v>
      </c>
      <c r="AE118" s="225">
        <v>1.4E-3</v>
      </c>
      <c r="AF118" s="225">
        <v>1.4736842105263158E-3</v>
      </c>
      <c r="AG118" s="257">
        <v>14</v>
      </c>
      <c r="AH118" s="225">
        <v>1.4E-3</v>
      </c>
      <c r="AI118" s="225">
        <v>1.4736842105263158E-3</v>
      </c>
      <c r="AJ118" s="257">
        <v>14</v>
      </c>
      <c r="AK118" s="225">
        <v>1.4E-3</v>
      </c>
      <c r="AL118" s="225">
        <v>1.4736842105263158E-3</v>
      </c>
      <c r="AM118" s="257">
        <v>14</v>
      </c>
      <c r="AN118" s="225">
        <v>1.4E-3</v>
      </c>
      <c r="AO118" s="225">
        <v>1.4736842105263158E-3</v>
      </c>
      <c r="AP118" s="225"/>
      <c r="AQ118" s="257">
        <v>14</v>
      </c>
      <c r="AR118" s="225">
        <v>1.4E-3</v>
      </c>
      <c r="AS118" s="225">
        <v>1.4736842105263158E-3</v>
      </c>
      <c r="AT118" s="257">
        <v>14</v>
      </c>
      <c r="AU118" s="225">
        <v>1.4E-3</v>
      </c>
      <c r="AV118" s="225">
        <v>1.4736842105263158E-3</v>
      </c>
      <c r="AW118" s="257">
        <v>14</v>
      </c>
      <c r="AX118" s="225">
        <v>1.4E-3</v>
      </c>
      <c r="AY118" s="225">
        <v>1.4736842105263158E-3</v>
      </c>
      <c r="AZ118" s="257">
        <v>14</v>
      </c>
      <c r="BA118" s="225">
        <v>1.4E-3</v>
      </c>
      <c r="BB118" s="225">
        <v>1.4736842105263158E-3</v>
      </c>
      <c r="BC118" s="257">
        <v>14</v>
      </c>
      <c r="BD118" s="225">
        <v>1.4E-3</v>
      </c>
      <c r="BE118" s="225">
        <v>1.4736842105263158E-3</v>
      </c>
      <c r="BF118" s="257"/>
      <c r="BG118" s="257">
        <v>14</v>
      </c>
      <c r="BH118" s="225">
        <v>1.4E-3</v>
      </c>
      <c r="BI118" s="225">
        <v>1.4736842105263158E-3</v>
      </c>
      <c r="BJ118" s="257">
        <f t="shared" si="75"/>
        <v>9500</v>
      </c>
      <c r="BK118" s="257">
        <v>14</v>
      </c>
      <c r="BL118" s="225">
        <f t="shared" si="98"/>
        <v>1.4E-3</v>
      </c>
      <c r="BM118" s="225">
        <f t="shared" si="80"/>
        <v>1.4736842105263158E-3</v>
      </c>
      <c r="BN118" s="205">
        <f t="shared" si="73"/>
        <v>0</v>
      </c>
      <c r="BO118" s="205"/>
      <c r="BP118" s="227"/>
      <c r="BQ118" s="224">
        <f t="shared" si="81"/>
        <v>0</v>
      </c>
      <c r="BR118" s="227"/>
      <c r="BS118" s="224">
        <f t="shared" si="99"/>
        <v>0</v>
      </c>
      <c r="BT118" s="227"/>
      <c r="BU118" s="224">
        <f t="shared" si="100"/>
        <v>0</v>
      </c>
      <c r="BV118" s="227"/>
      <c r="BW118" s="224">
        <f t="shared" si="101"/>
        <v>0</v>
      </c>
      <c r="BX118" s="227">
        <v>3000</v>
      </c>
      <c r="BY118" s="224">
        <f t="shared" si="102"/>
        <v>0.3</v>
      </c>
      <c r="BZ118" s="227">
        <v>3000</v>
      </c>
      <c r="CA118" s="224">
        <f t="shared" si="103"/>
        <v>0.3</v>
      </c>
      <c r="CB118" s="227">
        <v>5000</v>
      </c>
      <c r="CC118" s="224">
        <f t="shared" si="104"/>
        <v>0.5</v>
      </c>
      <c r="CD118" s="227">
        <v>5000</v>
      </c>
      <c r="CE118" s="224">
        <f t="shared" si="105"/>
        <v>0.5</v>
      </c>
      <c r="CF118" s="227">
        <v>7000</v>
      </c>
      <c r="CG118" s="224">
        <f t="shared" si="106"/>
        <v>0.7</v>
      </c>
      <c r="CH118" s="227">
        <v>7000</v>
      </c>
      <c r="CI118" s="224">
        <f t="shared" si="107"/>
        <v>0.7</v>
      </c>
      <c r="CJ118" s="227">
        <v>9000</v>
      </c>
      <c r="CK118" s="224">
        <f t="shared" si="108"/>
        <v>0.9</v>
      </c>
      <c r="CL118" s="227">
        <v>9500</v>
      </c>
      <c r="CM118" s="224">
        <f t="shared" si="109"/>
        <v>0.95</v>
      </c>
      <c r="CN118" s="227">
        <v>9500</v>
      </c>
      <c r="CO118" s="224">
        <f t="shared" si="110"/>
        <v>0.95</v>
      </c>
      <c r="CP118" s="213" t="str">
        <f t="shared" si="82"/>
        <v>Không đạt</v>
      </c>
      <c r="CQ118" s="213" t="str">
        <f t="shared" si="83"/>
        <v>Không đạt</v>
      </c>
      <c r="CR118" s="192"/>
      <c r="CS118" s="257">
        <f t="shared" si="78"/>
        <v>0</v>
      </c>
      <c r="CT118" s="223"/>
      <c r="CU118" s="163"/>
      <c r="CW118" s="195"/>
      <c r="CX118" s="196"/>
      <c r="CY118" s="196"/>
      <c r="CZ118" s="197"/>
      <c r="DA118" s="196"/>
      <c r="DB118" s="196"/>
      <c r="DC118" s="196"/>
      <c r="DE118" s="199"/>
      <c r="DF118" s="200"/>
      <c r="DG118" s="181"/>
    </row>
    <row r="119" spans="1:112" ht="25.5" hidden="1" outlineLevel="1" x14ac:dyDescent="0.25">
      <c r="A119" s="192">
        <f>MAX(A$69:$B118)+1</f>
        <v>44</v>
      </c>
      <c r="B119" s="222" t="s">
        <v>275</v>
      </c>
      <c r="C119" s="222" t="s">
        <v>276</v>
      </c>
      <c r="D119" s="214">
        <f t="shared" si="76"/>
        <v>1316</v>
      </c>
      <c r="E119" s="214"/>
      <c r="F119" s="214">
        <f t="shared" si="77"/>
        <v>1316</v>
      </c>
      <c r="G119" s="257">
        <f>5000-3684</f>
        <v>1316</v>
      </c>
      <c r="H119" s="257"/>
      <c r="I119" s="235"/>
      <c r="J119" s="235"/>
      <c r="K119" s="257"/>
      <c r="L119" s="235"/>
      <c r="M119" s="223"/>
      <c r="N119" s="223"/>
      <c r="O119" s="257">
        <f t="shared" si="84"/>
        <v>1316</v>
      </c>
      <c r="P119" s="257">
        <v>0</v>
      </c>
      <c r="Q119" s="224">
        <f t="shared" si="79"/>
        <v>0</v>
      </c>
      <c r="R119" s="257"/>
      <c r="S119" s="225">
        <v>0</v>
      </c>
      <c r="T119" s="225">
        <v>0</v>
      </c>
      <c r="U119" s="257"/>
      <c r="V119" s="225">
        <v>0</v>
      </c>
      <c r="W119" s="225">
        <v>0</v>
      </c>
      <c r="X119" s="257"/>
      <c r="Y119" s="225">
        <v>0</v>
      </c>
      <c r="Z119" s="225">
        <v>0</v>
      </c>
      <c r="AA119" s="257"/>
      <c r="AB119" s="225">
        <v>0</v>
      </c>
      <c r="AC119" s="225">
        <v>0</v>
      </c>
      <c r="AD119" s="257"/>
      <c r="AE119" s="225">
        <v>0</v>
      </c>
      <c r="AF119" s="225">
        <v>0</v>
      </c>
      <c r="AG119" s="257"/>
      <c r="AH119" s="225">
        <v>0</v>
      </c>
      <c r="AI119" s="225">
        <v>0</v>
      </c>
      <c r="AJ119" s="250"/>
      <c r="AK119" s="225">
        <v>0</v>
      </c>
      <c r="AL119" s="225">
        <v>0</v>
      </c>
      <c r="AM119" s="257"/>
      <c r="AN119" s="225">
        <v>0</v>
      </c>
      <c r="AO119" s="225">
        <v>0</v>
      </c>
      <c r="AP119" s="225"/>
      <c r="AQ119" s="257"/>
      <c r="AR119" s="225">
        <v>0</v>
      </c>
      <c r="AS119" s="225">
        <v>0</v>
      </c>
      <c r="AT119" s="257"/>
      <c r="AU119" s="225">
        <v>0</v>
      </c>
      <c r="AV119" s="225">
        <v>0</v>
      </c>
      <c r="AW119" s="257"/>
      <c r="AX119" s="225">
        <v>0</v>
      </c>
      <c r="AY119" s="225">
        <v>0</v>
      </c>
      <c r="AZ119" s="257"/>
      <c r="BA119" s="225">
        <v>0</v>
      </c>
      <c r="BB119" s="225">
        <v>0</v>
      </c>
      <c r="BC119" s="257"/>
      <c r="BD119" s="225">
        <v>0</v>
      </c>
      <c r="BE119" s="225">
        <v>0</v>
      </c>
      <c r="BF119" s="257"/>
      <c r="BG119" s="257"/>
      <c r="BH119" s="225">
        <v>0</v>
      </c>
      <c r="BI119" s="225">
        <v>0</v>
      </c>
      <c r="BJ119" s="257">
        <f t="shared" si="75"/>
        <v>1250.2</v>
      </c>
      <c r="BK119" s="257"/>
      <c r="BL119" s="225">
        <f t="shared" si="98"/>
        <v>0</v>
      </c>
      <c r="BM119" s="225">
        <f t="shared" si="80"/>
        <v>0</v>
      </c>
      <c r="BN119" s="205">
        <f t="shared" si="73"/>
        <v>0</v>
      </c>
      <c r="BO119" s="205"/>
      <c r="BP119" s="227"/>
      <c r="BQ119" s="224">
        <f t="shared" si="81"/>
        <v>0</v>
      </c>
      <c r="BR119" s="227"/>
      <c r="BS119" s="224">
        <f t="shared" si="99"/>
        <v>0</v>
      </c>
      <c r="BT119" s="227"/>
      <c r="BU119" s="224">
        <f t="shared" si="100"/>
        <v>0</v>
      </c>
      <c r="BV119" s="227"/>
      <c r="BW119" s="224">
        <f t="shared" si="101"/>
        <v>0</v>
      </c>
      <c r="BX119" s="227"/>
      <c r="BY119" s="224">
        <f t="shared" si="102"/>
        <v>0</v>
      </c>
      <c r="BZ119" s="227">
        <v>1000</v>
      </c>
      <c r="CA119" s="224">
        <f t="shared" si="103"/>
        <v>0.75987841945288759</v>
      </c>
      <c r="CB119" s="227">
        <v>1000</v>
      </c>
      <c r="CC119" s="224">
        <f t="shared" si="104"/>
        <v>0.75987841945288759</v>
      </c>
      <c r="CD119" s="227">
        <v>1000</v>
      </c>
      <c r="CE119" s="224">
        <f t="shared" si="105"/>
        <v>0.75987841945288759</v>
      </c>
      <c r="CF119" s="227">
        <v>2000</v>
      </c>
      <c r="CG119" s="224">
        <f t="shared" si="106"/>
        <v>1.5197568389057752</v>
      </c>
      <c r="CH119" s="227">
        <v>2000</v>
      </c>
      <c r="CI119" s="224">
        <f t="shared" si="107"/>
        <v>1.5197568389057752</v>
      </c>
      <c r="CJ119" s="227">
        <v>3000</v>
      </c>
      <c r="CK119" s="224">
        <f t="shared" si="108"/>
        <v>2.2796352583586628</v>
      </c>
      <c r="CL119" s="227">
        <v>3000</v>
      </c>
      <c r="CM119" s="224">
        <f t="shared" si="109"/>
        <v>2.2796352583586628</v>
      </c>
      <c r="CN119" s="227">
        <v>4750</v>
      </c>
      <c r="CO119" s="224">
        <f t="shared" si="110"/>
        <v>3.6094224924012157</v>
      </c>
      <c r="CP119" s="213" t="str">
        <f t="shared" si="82"/>
        <v>Không đạt</v>
      </c>
      <c r="CQ119" s="213" t="str">
        <f t="shared" si="83"/>
        <v>Không đạt</v>
      </c>
      <c r="CR119" s="192"/>
      <c r="CS119" s="257">
        <f t="shared" si="78"/>
        <v>0</v>
      </c>
      <c r="CT119" s="223"/>
      <c r="CU119" s="163"/>
      <c r="CW119" s="195"/>
      <c r="CX119" s="196"/>
      <c r="CY119" s="196"/>
      <c r="CZ119" s="197"/>
      <c r="DA119" s="196"/>
      <c r="DB119" s="196"/>
      <c r="DC119" s="196"/>
      <c r="DE119" s="199"/>
      <c r="DF119" s="200"/>
      <c r="DG119" s="181"/>
    </row>
    <row r="120" spans="1:112" ht="25.5" hidden="1" outlineLevel="1" x14ac:dyDescent="0.25">
      <c r="A120" s="192">
        <f ca="1">MAX(A$14:$B126)+1</f>
        <v>70</v>
      </c>
      <c r="B120" s="222" t="s">
        <v>277</v>
      </c>
      <c r="C120" s="222" t="s">
        <v>278</v>
      </c>
      <c r="D120" s="214">
        <f t="shared" si="76"/>
        <v>10000</v>
      </c>
      <c r="E120" s="214"/>
      <c r="F120" s="214">
        <f t="shared" si="77"/>
        <v>10000</v>
      </c>
      <c r="G120" s="257">
        <v>10000</v>
      </c>
      <c r="H120" s="257"/>
      <c r="I120" s="235"/>
      <c r="J120" s="235"/>
      <c r="K120" s="257"/>
      <c r="L120" s="235"/>
      <c r="M120" s="223"/>
      <c r="N120" s="223"/>
      <c r="O120" s="257">
        <f t="shared" si="84"/>
        <v>10000</v>
      </c>
      <c r="P120" s="257">
        <v>0</v>
      </c>
      <c r="Q120" s="224">
        <f t="shared" si="79"/>
        <v>0</v>
      </c>
      <c r="R120" s="257"/>
      <c r="S120" s="225">
        <v>0</v>
      </c>
      <c r="T120" s="225">
        <v>0</v>
      </c>
      <c r="U120" s="257"/>
      <c r="V120" s="225">
        <v>0</v>
      </c>
      <c r="W120" s="225">
        <v>0</v>
      </c>
      <c r="X120" s="257"/>
      <c r="Y120" s="225">
        <v>0</v>
      </c>
      <c r="Z120" s="225">
        <v>0</v>
      </c>
      <c r="AA120" s="257"/>
      <c r="AB120" s="225">
        <v>0</v>
      </c>
      <c r="AC120" s="225">
        <v>0</v>
      </c>
      <c r="AD120" s="257"/>
      <c r="AE120" s="225">
        <v>0</v>
      </c>
      <c r="AF120" s="225">
        <v>0</v>
      </c>
      <c r="AG120" s="257"/>
      <c r="AH120" s="225">
        <v>0</v>
      </c>
      <c r="AI120" s="225">
        <v>0</v>
      </c>
      <c r="AJ120" s="257"/>
      <c r="AK120" s="225">
        <v>0</v>
      </c>
      <c r="AL120" s="225">
        <v>0</v>
      </c>
      <c r="AM120" s="257"/>
      <c r="AN120" s="225">
        <v>0</v>
      </c>
      <c r="AO120" s="225">
        <v>0</v>
      </c>
      <c r="AP120" s="225"/>
      <c r="AQ120" s="257">
        <v>265.08</v>
      </c>
      <c r="AR120" s="225">
        <v>2.6507999999999997E-2</v>
      </c>
      <c r="AS120" s="225">
        <v>2.7903157894736842E-2</v>
      </c>
      <c r="AT120" s="257">
        <v>265.08</v>
      </c>
      <c r="AU120" s="225">
        <v>2.6507999999999997E-2</v>
      </c>
      <c r="AV120" s="225">
        <v>2.7903157894736842E-2</v>
      </c>
      <c r="AW120" s="257">
        <v>265.08</v>
      </c>
      <c r="AX120" s="225">
        <v>2.6507999999999997E-2</v>
      </c>
      <c r="AY120" s="225">
        <v>2.7903157894736842E-2</v>
      </c>
      <c r="AZ120" s="257">
        <v>265.08</v>
      </c>
      <c r="BA120" s="225">
        <v>2.6507999999999997E-2</v>
      </c>
      <c r="BB120" s="225">
        <v>2.7903157894736842E-2</v>
      </c>
      <c r="BC120" s="257">
        <v>541.07999999999993</v>
      </c>
      <c r="BD120" s="225">
        <v>5.4107999999999989E-2</v>
      </c>
      <c r="BE120" s="225">
        <v>5.6955789473684203E-2</v>
      </c>
      <c r="BF120" s="257"/>
      <c r="BG120" s="257">
        <v>541.07999999999993</v>
      </c>
      <c r="BH120" s="225">
        <v>5.4107999999999989E-2</v>
      </c>
      <c r="BI120" s="225">
        <v>5.6955789473684203E-2</v>
      </c>
      <c r="BJ120" s="257">
        <f t="shared" si="75"/>
        <v>9500</v>
      </c>
      <c r="BK120" s="257">
        <v>551.31699999999989</v>
      </c>
      <c r="BL120" s="225">
        <f t="shared" si="98"/>
        <v>5.5131699999999992E-2</v>
      </c>
      <c r="BM120" s="225">
        <f t="shared" si="80"/>
        <v>5.8033368421052618E-2</v>
      </c>
      <c r="BN120" s="205">
        <f t="shared" si="73"/>
        <v>551.31699999999989</v>
      </c>
      <c r="BO120" s="205"/>
      <c r="BP120" s="227"/>
      <c r="BQ120" s="224">
        <f t="shared" si="81"/>
        <v>0</v>
      </c>
      <c r="BR120" s="227"/>
      <c r="BS120" s="224">
        <f t="shared" si="99"/>
        <v>0</v>
      </c>
      <c r="BT120" s="227">
        <v>2000</v>
      </c>
      <c r="BU120" s="224">
        <f t="shared" si="100"/>
        <v>0.2</v>
      </c>
      <c r="BV120" s="227">
        <v>2000</v>
      </c>
      <c r="BW120" s="224">
        <f t="shared" si="101"/>
        <v>0.2</v>
      </c>
      <c r="BX120" s="227">
        <v>2000</v>
      </c>
      <c r="BY120" s="224">
        <f t="shared" si="102"/>
        <v>0.2</v>
      </c>
      <c r="BZ120" s="227">
        <v>4000</v>
      </c>
      <c r="CA120" s="224">
        <f t="shared" si="103"/>
        <v>0.4</v>
      </c>
      <c r="CB120" s="227">
        <v>4000</v>
      </c>
      <c r="CC120" s="224">
        <f t="shared" si="104"/>
        <v>0.4</v>
      </c>
      <c r="CD120" s="227">
        <v>4000</v>
      </c>
      <c r="CE120" s="224">
        <f t="shared" si="105"/>
        <v>0.4</v>
      </c>
      <c r="CF120" s="227">
        <v>4000</v>
      </c>
      <c r="CG120" s="224">
        <f t="shared" si="106"/>
        <v>0.4</v>
      </c>
      <c r="CH120" s="227">
        <v>6000</v>
      </c>
      <c r="CI120" s="224">
        <f t="shared" si="107"/>
        <v>0.6</v>
      </c>
      <c r="CJ120" s="227">
        <v>6000</v>
      </c>
      <c r="CK120" s="224">
        <f t="shared" si="108"/>
        <v>0.6</v>
      </c>
      <c r="CL120" s="227">
        <v>9500</v>
      </c>
      <c r="CM120" s="224">
        <f t="shared" si="109"/>
        <v>0.95</v>
      </c>
      <c r="CN120" s="227">
        <v>9500</v>
      </c>
      <c r="CO120" s="224">
        <f t="shared" si="110"/>
        <v>0.95</v>
      </c>
      <c r="CP120" s="213" t="str">
        <f t="shared" si="82"/>
        <v>Không đạt</v>
      </c>
      <c r="CQ120" s="213" t="str">
        <f t="shared" si="83"/>
        <v>Không đạt</v>
      </c>
      <c r="CR120" s="192"/>
      <c r="CS120" s="257">
        <f t="shared" si="78"/>
        <v>286.23699999999991</v>
      </c>
      <c r="CT120" s="223"/>
      <c r="CU120" s="163"/>
      <c r="CW120" s="195"/>
      <c r="CX120" s="196"/>
      <c r="CY120" s="196"/>
      <c r="CZ120" s="197"/>
      <c r="DA120" s="196"/>
      <c r="DB120" s="196"/>
      <c r="DC120" s="196"/>
      <c r="DE120" s="199"/>
      <c r="DF120" s="200"/>
      <c r="DG120" s="181"/>
    </row>
    <row r="121" spans="1:112" ht="38.25" hidden="1" outlineLevel="1" x14ac:dyDescent="0.25">
      <c r="A121" s="192">
        <f ca="1">MAX(A$14:$B120)+1</f>
        <v>68</v>
      </c>
      <c r="B121" s="222" t="s">
        <v>279</v>
      </c>
      <c r="C121" s="222">
        <v>8033132</v>
      </c>
      <c r="D121" s="214">
        <f t="shared" si="76"/>
        <v>15000</v>
      </c>
      <c r="E121" s="214"/>
      <c r="F121" s="214">
        <f t="shared" si="77"/>
        <v>15000</v>
      </c>
      <c r="G121" s="257"/>
      <c r="H121" s="257">
        <v>15000</v>
      </c>
      <c r="I121" s="235">
        <v>12300</v>
      </c>
      <c r="J121" s="257">
        <v>12300</v>
      </c>
      <c r="K121" s="257"/>
      <c r="L121" s="235"/>
      <c r="M121" s="223"/>
      <c r="N121" s="223"/>
      <c r="O121" s="257">
        <f t="shared" si="84"/>
        <v>12300</v>
      </c>
      <c r="P121" s="257">
        <v>0</v>
      </c>
      <c r="Q121" s="224">
        <f t="shared" si="79"/>
        <v>0</v>
      </c>
      <c r="R121" s="257"/>
      <c r="S121" s="225">
        <v>0</v>
      </c>
      <c r="T121" s="225">
        <v>0</v>
      </c>
      <c r="U121" s="257">
        <v>3066.4749999999999</v>
      </c>
      <c r="V121" s="225">
        <v>0.20443166666666665</v>
      </c>
      <c r="W121" s="225">
        <v>0.21519122807017543</v>
      </c>
      <c r="X121" s="257">
        <v>3066.4749999999999</v>
      </c>
      <c r="Y121" s="225">
        <v>0.20443166666666665</v>
      </c>
      <c r="Z121" s="225">
        <v>0.21519122807017543</v>
      </c>
      <c r="AA121" s="257">
        <v>3066.4749999999999</v>
      </c>
      <c r="AB121" s="225">
        <v>0.20443166666666665</v>
      </c>
      <c r="AC121" s="225">
        <v>0.21519122807017543</v>
      </c>
      <c r="AD121" s="257">
        <v>10084.593999999999</v>
      </c>
      <c r="AE121" s="225">
        <v>0.6723062666666666</v>
      </c>
      <c r="AF121" s="225">
        <v>0.70769080701754383</v>
      </c>
      <c r="AG121" s="257">
        <v>10237.308999999999</v>
      </c>
      <c r="AH121" s="225">
        <v>0.68248726666666659</v>
      </c>
      <c r="AI121" s="225">
        <v>0.71840764912280697</v>
      </c>
      <c r="AJ121" s="257">
        <v>10237.308999999999</v>
      </c>
      <c r="AK121" s="225">
        <v>0.68248726666666659</v>
      </c>
      <c r="AL121" s="225">
        <v>0.71840764912280697</v>
      </c>
      <c r="AM121" s="257">
        <v>10237.308999999999</v>
      </c>
      <c r="AN121" s="225">
        <v>0.68248726666666659</v>
      </c>
      <c r="AO121" s="225">
        <v>0.71840764912280697</v>
      </c>
      <c r="AP121" s="225"/>
      <c r="AQ121" s="257">
        <v>12300</v>
      </c>
      <c r="AR121" s="225">
        <v>0.82</v>
      </c>
      <c r="AS121" s="225">
        <v>0.86315789473684212</v>
      </c>
      <c r="AT121" s="257">
        <v>12300</v>
      </c>
      <c r="AU121" s="225">
        <v>0.82</v>
      </c>
      <c r="AV121" s="225">
        <v>0.86315789473684212</v>
      </c>
      <c r="AW121" s="257">
        <v>12300</v>
      </c>
      <c r="AX121" s="225">
        <v>0.82</v>
      </c>
      <c r="AY121" s="225">
        <v>0.86315789473684212</v>
      </c>
      <c r="AZ121" s="257">
        <v>12300</v>
      </c>
      <c r="BA121" s="225">
        <v>0.82</v>
      </c>
      <c r="BB121" s="225">
        <v>0.86315789473684212</v>
      </c>
      <c r="BC121" s="257">
        <v>12300</v>
      </c>
      <c r="BD121" s="225">
        <v>0.82</v>
      </c>
      <c r="BE121" s="225">
        <v>0.86315789473684212</v>
      </c>
      <c r="BF121" s="257">
        <v>14250</v>
      </c>
      <c r="BG121" s="257">
        <v>14250</v>
      </c>
      <c r="BH121" s="225">
        <v>0.95</v>
      </c>
      <c r="BI121" s="225">
        <v>1</v>
      </c>
      <c r="BJ121" s="257">
        <f t="shared" si="75"/>
        <v>14250</v>
      </c>
      <c r="BK121" s="257">
        <v>14250</v>
      </c>
      <c r="BL121" s="225">
        <f t="shared" si="98"/>
        <v>0.95</v>
      </c>
      <c r="BM121" s="225">
        <f t="shared" si="80"/>
        <v>1</v>
      </c>
      <c r="BN121" s="205">
        <f t="shared" si="73"/>
        <v>4165.4060000000009</v>
      </c>
      <c r="BO121" s="205"/>
      <c r="BP121" s="227"/>
      <c r="BQ121" s="224">
        <f t="shared" si="81"/>
        <v>0</v>
      </c>
      <c r="BR121" s="227"/>
      <c r="BS121" s="224">
        <f t="shared" si="99"/>
        <v>0</v>
      </c>
      <c r="BT121" s="227">
        <v>3000</v>
      </c>
      <c r="BU121" s="224">
        <f t="shared" si="100"/>
        <v>0.2</v>
      </c>
      <c r="BV121" s="227">
        <v>5000</v>
      </c>
      <c r="BW121" s="224">
        <f t="shared" si="101"/>
        <v>0.33333333333333331</v>
      </c>
      <c r="BX121" s="227">
        <v>7000</v>
      </c>
      <c r="BY121" s="224">
        <f t="shared" si="102"/>
        <v>0.46666666666666667</v>
      </c>
      <c r="BZ121" s="227">
        <v>9000</v>
      </c>
      <c r="CA121" s="224">
        <f t="shared" si="103"/>
        <v>0.6</v>
      </c>
      <c r="CB121" s="227">
        <v>11000</v>
      </c>
      <c r="CC121" s="224">
        <f t="shared" si="104"/>
        <v>0.73333333333333328</v>
      </c>
      <c r="CD121" s="227">
        <v>13000</v>
      </c>
      <c r="CE121" s="224">
        <f t="shared" si="105"/>
        <v>0.8666666666666667</v>
      </c>
      <c r="CF121" s="227">
        <v>13250</v>
      </c>
      <c r="CG121" s="224">
        <f t="shared" si="106"/>
        <v>0.8833333333333333</v>
      </c>
      <c r="CH121" s="227">
        <v>14250</v>
      </c>
      <c r="CI121" s="224">
        <f t="shared" si="107"/>
        <v>0.95</v>
      </c>
      <c r="CJ121" s="227">
        <v>14250</v>
      </c>
      <c r="CK121" s="224">
        <f t="shared" si="108"/>
        <v>0.95</v>
      </c>
      <c r="CL121" s="227">
        <v>14250</v>
      </c>
      <c r="CM121" s="224">
        <f t="shared" si="109"/>
        <v>0.95</v>
      </c>
      <c r="CN121" s="227">
        <v>14250</v>
      </c>
      <c r="CO121" s="224">
        <f t="shared" si="110"/>
        <v>0.95</v>
      </c>
      <c r="CP121" s="213" t="str">
        <f t="shared" si="82"/>
        <v>Đạt</v>
      </c>
      <c r="CQ121" s="213" t="str">
        <f t="shared" si="83"/>
        <v>Đạt</v>
      </c>
      <c r="CR121" s="192"/>
      <c r="CS121" s="257">
        <f t="shared" si="78"/>
        <v>1950</v>
      </c>
      <c r="CT121" s="257"/>
      <c r="CU121" s="163"/>
      <c r="CW121" s="195"/>
      <c r="CX121" s="196"/>
      <c r="CY121" s="196"/>
      <c r="CZ121" s="197"/>
      <c r="DA121" s="196"/>
      <c r="DB121" s="196"/>
      <c r="DC121" s="196"/>
      <c r="DE121" s="199"/>
      <c r="DF121" s="200"/>
      <c r="DG121" s="181"/>
    </row>
    <row r="122" spans="1:112" ht="25.5" hidden="1" outlineLevel="1" x14ac:dyDescent="0.25">
      <c r="A122" s="192">
        <f ca="1">MAX(A$14:$B121)+1</f>
        <v>68</v>
      </c>
      <c r="B122" s="222" t="s">
        <v>280</v>
      </c>
      <c r="C122" s="222"/>
      <c r="D122" s="214">
        <f t="shared" si="76"/>
        <v>30000</v>
      </c>
      <c r="E122" s="214"/>
      <c r="F122" s="214">
        <f t="shared" si="77"/>
        <v>30000</v>
      </c>
      <c r="G122" s="257"/>
      <c r="H122" s="257"/>
      <c r="I122" s="235"/>
      <c r="J122" s="235"/>
      <c r="K122" s="257">
        <v>30000</v>
      </c>
      <c r="L122" s="235"/>
      <c r="M122" s="223"/>
      <c r="N122" s="223"/>
      <c r="O122" s="257">
        <f t="shared" si="84"/>
        <v>0</v>
      </c>
      <c r="P122" s="257">
        <v>0</v>
      </c>
      <c r="Q122" s="224">
        <f t="shared" si="79"/>
        <v>0</v>
      </c>
      <c r="R122" s="257"/>
      <c r="S122" s="225">
        <v>0</v>
      </c>
      <c r="T122" s="225">
        <v>0</v>
      </c>
      <c r="U122" s="257"/>
      <c r="V122" s="225">
        <v>0</v>
      </c>
      <c r="W122" s="225">
        <v>0</v>
      </c>
      <c r="X122" s="257"/>
      <c r="Y122" s="225">
        <v>0</v>
      </c>
      <c r="Z122" s="225">
        <v>0</v>
      </c>
      <c r="AA122" s="257"/>
      <c r="AB122" s="225">
        <v>0</v>
      </c>
      <c r="AC122" s="225">
        <v>0</v>
      </c>
      <c r="AD122" s="257"/>
      <c r="AE122" s="225">
        <v>0</v>
      </c>
      <c r="AF122" s="225">
        <v>0</v>
      </c>
      <c r="AG122" s="257"/>
      <c r="AH122" s="225">
        <v>0</v>
      </c>
      <c r="AI122" s="225">
        <v>0</v>
      </c>
      <c r="AJ122" s="257"/>
      <c r="AK122" s="225">
        <v>0</v>
      </c>
      <c r="AL122" s="225">
        <v>0</v>
      </c>
      <c r="AM122" s="257"/>
      <c r="AN122" s="225">
        <v>0</v>
      </c>
      <c r="AO122" s="225">
        <v>0</v>
      </c>
      <c r="AP122" s="225"/>
      <c r="AQ122" s="257">
        <v>5932.1229999999996</v>
      </c>
      <c r="AR122" s="225">
        <v>0.19773743333333332</v>
      </c>
      <c r="AS122" s="225">
        <v>0.20814466666666664</v>
      </c>
      <c r="AT122" s="257">
        <v>5932.1229999999996</v>
      </c>
      <c r="AU122" s="225">
        <v>0.19773743333333332</v>
      </c>
      <c r="AV122" s="225">
        <v>0.20814466666666664</v>
      </c>
      <c r="AW122" s="257">
        <v>5932.1229999999996</v>
      </c>
      <c r="AX122" s="225">
        <v>0.19773743333333332</v>
      </c>
      <c r="AY122" s="225">
        <v>0.20814466666666664</v>
      </c>
      <c r="AZ122" s="257">
        <v>5932.1229999999996</v>
      </c>
      <c r="BA122" s="225">
        <v>0.19773743333333332</v>
      </c>
      <c r="BB122" s="225">
        <v>0.20814466666666664</v>
      </c>
      <c r="BC122" s="257">
        <v>6840.8897699999998</v>
      </c>
      <c r="BD122" s="225">
        <v>0.228029659</v>
      </c>
      <c r="BE122" s="225">
        <v>0.24003121999999999</v>
      </c>
      <c r="BF122" s="257"/>
      <c r="BG122" s="257">
        <v>7248.0707700000003</v>
      </c>
      <c r="BH122" s="225">
        <v>0.24160235900000002</v>
      </c>
      <c r="BI122" s="225">
        <v>0.25431827263157897</v>
      </c>
      <c r="BJ122" s="257">
        <f t="shared" si="75"/>
        <v>28500</v>
      </c>
      <c r="BK122" s="257">
        <v>8138.3257700000004</v>
      </c>
      <c r="BL122" s="225">
        <f t="shared" si="98"/>
        <v>0.27127752566666669</v>
      </c>
      <c r="BM122" s="225">
        <f t="shared" si="80"/>
        <v>0.28555529017543863</v>
      </c>
      <c r="BN122" s="205">
        <f t="shared" si="73"/>
        <v>8138.3257700000004</v>
      </c>
      <c r="BO122" s="205"/>
      <c r="BP122" s="227"/>
      <c r="BQ122" s="224">
        <f t="shared" si="81"/>
        <v>0</v>
      </c>
      <c r="BR122" s="227"/>
      <c r="BS122" s="224">
        <f t="shared" si="99"/>
        <v>0</v>
      </c>
      <c r="BT122" s="227">
        <v>1000</v>
      </c>
      <c r="BU122" s="224">
        <f t="shared" si="100"/>
        <v>3.3333333333333333E-2</v>
      </c>
      <c r="BV122" s="227">
        <v>1000</v>
      </c>
      <c r="BW122" s="224">
        <f t="shared" si="101"/>
        <v>3.3333333333333333E-2</v>
      </c>
      <c r="BX122" s="227">
        <v>3000</v>
      </c>
      <c r="BY122" s="224">
        <f t="shared" si="102"/>
        <v>0.1</v>
      </c>
      <c r="BZ122" s="227">
        <v>5000</v>
      </c>
      <c r="CA122" s="224">
        <f t="shared" si="103"/>
        <v>0.16666666666666666</v>
      </c>
      <c r="CB122" s="227">
        <v>5000</v>
      </c>
      <c r="CC122" s="224">
        <f t="shared" si="104"/>
        <v>0.16666666666666666</v>
      </c>
      <c r="CD122" s="227">
        <v>20000</v>
      </c>
      <c r="CE122" s="224">
        <f t="shared" si="105"/>
        <v>0.66666666666666663</v>
      </c>
      <c r="CF122" s="227">
        <v>20000</v>
      </c>
      <c r="CG122" s="224">
        <f t="shared" si="106"/>
        <v>0.66666666666666663</v>
      </c>
      <c r="CH122" s="227">
        <v>25000</v>
      </c>
      <c r="CI122" s="224">
        <f t="shared" si="107"/>
        <v>0.83333333333333337</v>
      </c>
      <c r="CJ122" s="227">
        <v>25000</v>
      </c>
      <c r="CK122" s="224">
        <f t="shared" si="108"/>
        <v>0.83333333333333337</v>
      </c>
      <c r="CL122" s="227">
        <v>28500</v>
      </c>
      <c r="CM122" s="224">
        <f t="shared" si="109"/>
        <v>0.95</v>
      </c>
      <c r="CN122" s="227">
        <v>28500</v>
      </c>
      <c r="CO122" s="224">
        <f t="shared" si="110"/>
        <v>0.95</v>
      </c>
      <c r="CP122" s="213" t="str">
        <f t="shared" si="82"/>
        <v>Không đạt</v>
      </c>
      <c r="CQ122" s="213" t="str">
        <f t="shared" si="83"/>
        <v>Không đạt</v>
      </c>
      <c r="CR122" s="192"/>
      <c r="CS122" s="257">
        <f t="shared" si="78"/>
        <v>2206.2027700000008</v>
      </c>
      <c r="CT122" s="223"/>
      <c r="CU122" s="163"/>
      <c r="CW122" s="195"/>
      <c r="CX122" s="196"/>
      <c r="CY122" s="196"/>
      <c r="CZ122" s="197"/>
      <c r="DA122" s="196"/>
      <c r="DB122" s="196"/>
      <c r="DC122" s="196"/>
      <c r="DE122" s="199"/>
      <c r="DF122" s="200"/>
      <c r="DG122" s="181"/>
    </row>
    <row r="123" spans="1:112" ht="25.5" hidden="1" outlineLevel="1" x14ac:dyDescent="0.25">
      <c r="A123" s="192">
        <f ca="1">MAX(A$14:$B122)+1</f>
        <v>68</v>
      </c>
      <c r="B123" s="222" t="s">
        <v>281</v>
      </c>
      <c r="C123" s="222">
        <v>8094548</v>
      </c>
      <c r="D123" s="214">
        <f t="shared" si="76"/>
        <v>15000</v>
      </c>
      <c r="E123" s="214"/>
      <c r="F123" s="214">
        <f t="shared" si="77"/>
        <v>15000</v>
      </c>
      <c r="G123" s="257"/>
      <c r="H123" s="257"/>
      <c r="I123" s="235"/>
      <c r="J123" s="235"/>
      <c r="K123" s="257">
        <v>15000</v>
      </c>
      <c r="L123" s="235"/>
      <c r="M123" s="223"/>
      <c r="N123" s="223"/>
      <c r="O123" s="257">
        <f t="shared" si="84"/>
        <v>0</v>
      </c>
      <c r="P123" s="257">
        <v>0</v>
      </c>
      <c r="Q123" s="224">
        <f t="shared" si="79"/>
        <v>0</v>
      </c>
      <c r="R123" s="257">
        <v>695.27599999999995</v>
      </c>
      <c r="S123" s="225">
        <v>4.6351733333333332E-2</v>
      </c>
      <c r="T123" s="225">
        <v>4.8791298245614033E-2</v>
      </c>
      <c r="U123" s="257">
        <v>914.10900000000004</v>
      </c>
      <c r="V123" s="225">
        <v>6.0940600000000004E-2</v>
      </c>
      <c r="W123" s="225">
        <v>6.4147999999999997E-2</v>
      </c>
      <c r="X123" s="257">
        <v>914.10900000000004</v>
      </c>
      <c r="Y123" s="225">
        <v>6.0940600000000004E-2</v>
      </c>
      <c r="Z123" s="225">
        <v>6.4147999999999997E-2</v>
      </c>
      <c r="AA123" s="257">
        <v>914.10900000000004</v>
      </c>
      <c r="AB123" s="225">
        <v>6.0940600000000004E-2</v>
      </c>
      <c r="AC123" s="225">
        <v>6.4147999999999997E-2</v>
      </c>
      <c r="AD123" s="257">
        <v>2408.6179999999999</v>
      </c>
      <c r="AE123" s="225">
        <v>0.16057453333333332</v>
      </c>
      <c r="AF123" s="225">
        <v>0.1690258245614035</v>
      </c>
      <c r="AG123" s="257">
        <v>2408.6179999999999</v>
      </c>
      <c r="AH123" s="225">
        <v>0.16057453333333332</v>
      </c>
      <c r="AI123" s="225">
        <v>0.1690258245614035</v>
      </c>
      <c r="AJ123" s="257">
        <v>2408.6179999999999</v>
      </c>
      <c r="AK123" s="225">
        <v>0.16057453333333332</v>
      </c>
      <c r="AL123" s="225">
        <v>0.1690258245614035</v>
      </c>
      <c r="AM123" s="257">
        <v>2408.6179999999999</v>
      </c>
      <c r="AN123" s="225">
        <v>0.16057453333333332</v>
      </c>
      <c r="AO123" s="225">
        <v>0.1690258245614035</v>
      </c>
      <c r="AP123" s="225"/>
      <c r="AQ123" s="257">
        <v>3762.261</v>
      </c>
      <c r="AR123" s="225">
        <v>0.25081740000000002</v>
      </c>
      <c r="AS123" s="225">
        <v>0.26401831578947366</v>
      </c>
      <c r="AT123" s="257">
        <v>3762.261</v>
      </c>
      <c r="AU123" s="225">
        <v>0.25081740000000002</v>
      </c>
      <c r="AV123" s="225">
        <v>0.26401831578947366</v>
      </c>
      <c r="AW123" s="257">
        <v>3762.261</v>
      </c>
      <c r="AX123" s="225">
        <v>0.25081740000000002</v>
      </c>
      <c r="AY123" s="225">
        <v>0.26401831578947366</v>
      </c>
      <c r="AZ123" s="257">
        <v>3762.261</v>
      </c>
      <c r="BA123" s="225">
        <v>0.25081740000000002</v>
      </c>
      <c r="BB123" s="225">
        <v>0.26401831578947366</v>
      </c>
      <c r="BC123" s="257">
        <v>3762.261</v>
      </c>
      <c r="BD123" s="225">
        <v>0.25081740000000002</v>
      </c>
      <c r="BE123" s="225">
        <v>0.26401831578947366</v>
      </c>
      <c r="BF123" s="257"/>
      <c r="BG123" s="257">
        <v>4703.0509999999995</v>
      </c>
      <c r="BH123" s="225">
        <v>0.31353673333333332</v>
      </c>
      <c r="BI123" s="225">
        <v>0.33003866666666665</v>
      </c>
      <c r="BJ123" s="257">
        <f t="shared" si="75"/>
        <v>14250</v>
      </c>
      <c r="BK123" s="257">
        <v>4794.8509999999997</v>
      </c>
      <c r="BL123" s="225">
        <f t="shared" si="98"/>
        <v>0.31965673333333333</v>
      </c>
      <c r="BM123" s="225">
        <f t="shared" si="80"/>
        <v>0.33648077192982456</v>
      </c>
      <c r="BN123" s="205">
        <f t="shared" si="73"/>
        <v>2386.2329999999997</v>
      </c>
      <c r="BO123" s="205"/>
      <c r="BP123" s="227"/>
      <c r="BQ123" s="224">
        <f t="shared" si="81"/>
        <v>0</v>
      </c>
      <c r="BR123" s="227"/>
      <c r="BS123" s="224">
        <f t="shared" si="99"/>
        <v>0</v>
      </c>
      <c r="BT123" s="227">
        <v>2000</v>
      </c>
      <c r="BU123" s="224">
        <f t="shared" si="100"/>
        <v>0.13333333333333333</v>
      </c>
      <c r="BV123" s="227">
        <v>4000</v>
      </c>
      <c r="BW123" s="224">
        <f t="shared" si="101"/>
        <v>0.26666666666666666</v>
      </c>
      <c r="BX123" s="227">
        <v>6000</v>
      </c>
      <c r="BY123" s="224">
        <f t="shared" si="102"/>
        <v>0.4</v>
      </c>
      <c r="BZ123" s="227">
        <v>7000</v>
      </c>
      <c r="CA123" s="224">
        <f t="shared" si="103"/>
        <v>0.46666666666666667</v>
      </c>
      <c r="CB123" s="227">
        <v>9000</v>
      </c>
      <c r="CC123" s="224">
        <f t="shared" si="104"/>
        <v>0.6</v>
      </c>
      <c r="CD123" s="227">
        <v>11000</v>
      </c>
      <c r="CE123" s="224">
        <f t="shared" si="105"/>
        <v>0.73333333333333328</v>
      </c>
      <c r="CF123" s="227">
        <v>13000</v>
      </c>
      <c r="CG123" s="224">
        <f t="shared" si="106"/>
        <v>0.8666666666666667</v>
      </c>
      <c r="CH123" s="227">
        <v>13000</v>
      </c>
      <c r="CI123" s="224">
        <f t="shared" si="107"/>
        <v>0.8666666666666667</v>
      </c>
      <c r="CJ123" s="227">
        <v>13000</v>
      </c>
      <c r="CK123" s="224">
        <f t="shared" si="108"/>
        <v>0.8666666666666667</v>
      </c>
      <c r="CL123" s="227">
        <v>14250</v>
      </c>
      <c r="CM123" s="224">
        <f t="shared" si="109"/>
        <v>0.95</v>
      </c>
      <c r="CN123" s="227">
        <v>14250</v>
      </c>
      <c r="CO123" s="224">
        <f t="shared" si="110"/>
        <v>0.95</v>
      </c>
      <c r="CP123" s="213" t="str">
        <f t="shared" si="82"/>
        <v>Không đạt</v>
      </c>
      <c r="CQ123" s="213" t="str">
        <f t="shared" si="83"/>
        <v>Không đạt</v>
      </c>
      <c r="CR123" s="192"/>
      <c r="CS123" s="257">
        <f t="shared" si="78"/>
        <v>1032.5899999999997</v>
      </c>
      <c r="CT123" s="223"/>
      <c r="CU123" s="163"/>
      <c r="CW123" s="195"/>
      <c r="CX123" s="196"/>
      <c r="CY123" s="196"/>
      <c r="CZ123" s="197"/>
      <c r="DA123" s="196"/>
      <c r="DB123" s="196"/>
      <c r="DC123" s="196"/>
      <c r="DE123" s="199"/>
      <c r="DF123" s="200"/>
      <c r="DG123" s="181"/>
    </row>
    <row r="124" spans="1:112" ht="25.5" hidden="1" outlineLevel="1" x14ac:dyDescent="0.25">
      <c r="A124" s="192">
        <f ca="1">MAX(A$14:$B123)+1</f>
        <v>68</v>
      </c>
      <c r="B124" s="222" t="s">
        <v>282</v>
      </c>
      <c r="C124" s="222"/>
      <c r="D124" s="214">
        <f t="shared" si="76"/>
        <v>40000</v>
      </c>
      <c r="E124" s="214"/>
      <c r="F124" s="214">
        <f t="shared" si="77"/>
        <v>40000</v>
      </c>
      <c r="G124" s="257"/>
      <c r="H124" s="257"/>
      <c r="I124" s="235"/>
      <c r="J124" s="235"/>
      <c r="K124" s="257">
        <v>40000</v>
      </c>
      <c r="L124" s="235"/>
      <c r="M124" s="223"/>
      <c r="N124" s="223"/>
      <c r="O124" s="257">
        <f t="shared" si="84"/>
        <v>0</v>
      </c>
      <c r="P124" s="257">
        <v>0</v>
      </c>
      <c r="Q124" s="224">
        <f t="shared" si="79"/>
        <v>0</v>
      </c>
      <c r="R124" s="257"/>
      <c r="S124" s="225">
        <v>0</v>
      </c>
      <c r="T124" s="225">
        <v>0</v>
      </c>
      <c r="U124" s="257"/>
      <c r="V124" s="225">
        <v>0</v>
      </c>
      <c r="W124" s="225">
        <v>0</v>
      </c>
      <c r="X124" s="257"/>
      <c r="Y124" s="225">
        <v>0</v>
      </c>
      <c r="Z124" s="225">
        <v>0</v>
      </c>
      <c r="AA124" s="257"/>
      <c r="AB124" s="225">
        <v>0</v>
      </c>
      <c r="AC124" s="225">
        <v>0</v>
      </c>
      <c r="AD124" s="257"/>
      <c r="AE124" s="225">
        <v>0</v>
      </c>
      <c r="AF124" s="225">
        <v>0</v>
      </c>
      <c r="AG124" s="257"/>
      <c r="AH124" s="225">
        <v>0</v>
      </c>
      <c r="AI124" s="225">
        <v>0</v>
      </c>
      <c r="AJ124" s="257"/>
      <c r="AK124" s="225">
        <v>0</v>
      </c>
      <c r="AL124" s="225">
        <v>0</v>
      </c>
      <c r="AM124" s="257"/>
      <c r="AN124" s="225">
        <v>0</v>
      </c>
      <c r="AO124" s="225">
        <v>0</v>
      </c>
      <c r="AP124" s="225"/>
      <c r="AQ124" s="257"/>
      <c r="AR124" s="225">
        <v>0</v>
      </c>
      <c r="AS124" s="225">
        <v>0</v>
      </c>
      <c r="AT124" s="257"/>
      <c r="AU124" s="225">
        <v>0</v>
      </c>
      <c r="AV124" s="225">
        <v>0</v>
      </c>
      <c r="AW124" s="257"/>
      <c r="AX124" s="225">
        <v>0</v>
      </c>
      <c r="AY124" s="225">
        <v>0</v>
      </c>
      <c r="AZ124" s="257"/>
      <c r="BA124" s="225">
        <v>0</v>
      </c>
      <c r="BB124" s="225">
        <v>0</v>
      </c>
      <c r="BC124" s="257"/>
      <c r="BD124" s="225">
        <v>0</v>
      </c>
      <c r="BE124" s="225">
        <v>0</v>
      </c>
      <c r="BF124" s="257"/>
      <c r="BG124" s="257"/>
      <c r="BH124" s="225">
        <v>0</v>
      </c>
      <c r="BI124" s="225">
        <v>0</v>
      </c>
      <c r="BJ124" s="257">
        <f t="shared" si="75"/>
        <v>38000</v>
      </c>
      <c r="BK124" s="257"/>
      <c r="BL124" s="225">
        <f t="shared" si="98"/>
        <v>0</v>
      </c>
      <c r="BM124" s="225">
        <f t="shared" si="80"/>
        <v>0</v>
      </c>
      <c r="BN124" s="205">
        <f t="shared" si="73"/>
        <v>0</v>
      </c>
      <c r="BO124" s="205"/>
      <c r="BP124" s="227"/>
      <c r="BQ124" s="224">
        <f t="shared" si="81"/>
        <v>0</v>
      </c>
      <c r="BR124" s="227"/>
      <c r="BS124" s="224">
        <f t="shared" si="99"/>
        <v>0</v>
      </c>
      <c r="BT124" s="227"/>
      <c r="BU124" s="224">
        <f t="shared" si="100"/>
        <v>0</v>
      </c>
      <c r="BV124" s="227"/>
      <c r="BW124" s="224">
        <f t="shared" si="101"/>
        <v>0</v>
      </c>
      <c r="BX124" s="227"/>
      <c r="BY124" s="224">
        <f t="shared" si="102"/>
        <v>0</v>
      </c>
      <c r="BZ124" s="227"/>
      <c r="CA124" s="224">
        <f t="shared" si="103"/>
        <v>0</v>
      </c>
      <c r="CB124" s="227">
        <v>20000</v>
      </c>
      <c r="CC124" s="224">
        <f t="shared" si="104"/>
        <v>0.5</v>
      </c>
      <c r="CD124" s="227">
        <v>20000</v>
      </c>
      <c r="CE124" s="224">
        <f t="shared" si="105"/>
        <v>0.5</v>
      </c>
      <c r="CF124" s="227">
        <v>20000</v>
      </c>
      <c r="CG124" s="224">
        <f t="shared" si="106"/>
        <v>0.5</v>
      </c>
      <c r="CH124" s="227">
        <v>20000</v>
      </c>
      <c r="CI124" s="224">
        <f t="shared" si="107"/>
        <v>0.5</v>
      </c>
      <c r="CJ124" s="227">
        <v>30000</v>
      </c>
      <c r="CK124" s="224">
        <f t="shared" si="108"/>
        <v>0.75</v>
      </c>
      <c r="CL124" s="227">
        <v>30000</v>
      </c>
      <c r="CM124" s="224">
        <f t="shared" si="109"/>
        <v>0.75</v>
      </c>
      <c r="CN124" s="227">
        <v>38000</v>
      </c>
      <c r="CO124" s="224">
        <f t="shared" si="110"/>
        <v>0.95</v>
      </c>
      <c r="CP124" s="213" t="str">
        <f t="shared" si="82"/>
        <v>Không đạt</v>
      </c>
      <c r="CQ124" s="213" t="str">
        <f t="shared" si="83"/>
        <v>Không đạt</v>
      </c>
      <c r="CR124" s="192"/>
      <c r="CS124" s="257">
        <f t="shared" si="78"/>
        <v>0</v>
      </c>
      <c r="CT124" s="223"/>
      <c r="CU124" s="163"/>
      <c r="CW124" s="195"/>
      <c r="CX124" s="196"/>
      <c r="CY124" s="196"/>
      <c r="CZ124" s="197"/>
      <c r="DA124" s="196"/>
      <c r="DB124" s="196"/>
      <c r="DC124" s="196"/>
      <c r="DE124" s="199"/>
      <c r="DF124" s="200"/>
      <c r="DG124" s="181"/>
    </row>
    <row r="125" spans="1:112" ht="25.5" hidden="1" outlineLevel="1" x14ac:dyDescent="0.25">
      <c r="A125" s="192">
        <f ca="1">MAX(A$14:$B124)+1</f>
        <v>69</v>
      </c>
      <c r="B125" s="222" t="s">
        <v>283</v>
      </c>
      <c r="C125" s="222"/>
      <c r="D125" s="214">
        <f t="shared" si="76"/>
        <v>21579</v>
      </c>
      <c r="E125" s="214"/>
      <c r="F125" s="214">
        <f t="shared" si="77"/>
        <v>21579</v>
      </c>
      <c r="G125" s="257">
        <v>11579</v>
      </c>
      <c r="H125" s="257">
        <f>5000+5000</f>
        <v>10000</v>
      </c>
      <c r="I125" s="235">
        <v>2000</v>
      </c>
      <c r="J125" s="257">
        <v>975.50699999999995</v>
      </c>
      <c r="K125" s="257"/>
      <c r="L125" s="235"/>
      <c r="M125" s="223"/>
      <c r="N125" s="223"/>
      <c r="O125" s="257">
        <f t="shared" si="84"/>
        <v>13579</v>
      </c>
      <c r="P125" s="257">
        <v>0</v>
      </c>
      <c r="Q125" s="224">
        <f t="shared" si="79"/>
        <v>0</v>
      </c>
      <c r="R125" s="257"/>
      <c r="S125" s="225">
        <v>0</v>
      </c>
      <c r="T125" s="225">
        <v>0</v>
      </c>
      <c r="U125" s="257"/>
      <c r="V125" s="225">
        <v>0</v>
      </c>
      <c r="W125" s="225">
        <v>0</v>
      </c>
      <c r="X125" s="257"/>
      <c r="Y125" s="225">
        <v>0</v>
      </c>
      <c r="Z125" s="225">
        <v>0</v>
      </c>
      <c r="AA125" s="257"/>
      <c r="AB125" s="225">
        <v>0</v>
      </c>
      <c r="AC125" s="225">
        <v>0</v>
      </c>
      <c r="AD125" s="257"/>
      <c r="AE125" s="225">
        <v>0</v>
      </c>
      <c r="AF125" s="225">
        <v>0</v>
      </c>
      <c r="AG125" s="257"/>
      <c r="AH125" s="225">
        <v>0</v>
      </c>
      <c r="AI125" s="225">
        <v>0</v>
      </c>
      <c r="AJ125" s="257"/>
      <c r="AK125" s="225">
        <v>0</v>
      </c>
      <c r="AL125" s="225">
        <v>0</v>
      </c>
      <c r="AM125" s="257"/>
      <c r="AN125" s="225">
        <v>0</v>
      </c>
      <c r="AO125" s="225">
        <v>0</v>
      </c>
      <c r="AP125" s="225"/>
      <c r="AQ125" s="257">
        <v>975.50699999999995</v>
      </c>
      <c r="AR125" s="225">
        <v>0.19510139999999998</v>
      </c>
      <c r="AS125" s="225">
        <v>0.20536989473684208</v>
      </c>
      <c r="AT125" s="257">
        <v>975.50699999999995</v>
      </c>
      <c r="AU125" s="225">
        <v>0.19510139999999998</v>
      </c>
      <c r="AV125" s="225">
        <v>0.20536989473684208</v>
      </c>
      <c r="AW125" s="257">
        <v>975.50699999999995</v>
      </c>
      <c r="AX125" s="225">
        <v>0.19510139999999998</v>
      </c>
      <c r="AY125" s="225">
        <v>0.20536989473684208</v>
      </c>
      <c r="AZ125" s="257">
        <v>975.50699999999995</v>
      </c>
      <c r="BA125" s="225">
        <v>0.19510139999999998</v>
      </c>
      <c r="BB125" s="225">
        <v>0.20536989473684208</v>
      </c>
      <c r="BC125" s="257">
        <v>1014.5069999999999</v>
      </c>
      <c r="BD125" s="225">
        <v>0.20290139999999998</v>
      </c>
      <c r="BE125" s="225">
        <v>0.21358042105263156</v>
      </c>
      <c r="BF125" s="257"/>
      <c r="BG125" s="257">
        <v>1014.5069999999999</v>
      </c>
      <c r="BH125" s="225">
        <v>4.7013624357013763E-2</v>
      </c>
      <c r="BI125" s="225">
        <v>4.9488025638961854E-2</v>
      </c>
      <c r="BJ125" s="257">
        <f t="shared" si="75"/>
        <v>20500.05</v>
      </c>
      <c r="BK125" s="257">
        <v>1014.5069999999999</v>
      </c>
      <c r="BL125" s="225">
        <f t="shared" si="98"/>
        <v>4.7013624357013763E-2</v>
      </c>
      <c r="BM125" s="225">
        <f t="shared" si="80"/>
        <v>4.9488025638961854E-2</v>
      </c>
      <c r="BN125" s="205">
        <f t="shared" si="73"/>
        <v>1014.5069999999999</v>
      </c>
      <c r="BO125" s="205"/>
      <c r="BP125" s="227"/>
      <c r="BQ125" s="224">
        <f t="shared" si="81"/>
        <v>0</v>
      </c>
      <c r="BR125" s="227"/>
      <c r="BS125" s="224">
        <f t="shared" si="99"/>
        <v>0</v>
      </c>
      <c r="BT125" s="227"/>
      <c r="BU125" s="224">
        <f t="shared" si="100"/>
        <v>0</v>
      </c>
      <c r="BV125" s="227"/>
      <c r="BW125" s="224">
        <f t="shared" si="101"/>
        <v>0</v>
      </c>
      <c r="BX125" s="227">
        <v>2000</v>
      </c>
      <c r="BY125" s="224">
        <f t="shared" si="102"/>
        <v>9.2682700773900548E-2</v>
      </c>
      <c r="BZ125" s="227">
        <v>2000</v>
      </c>
      <c r="CA125" s="224">
        <f t="shared" si="103"/>
        <v>9.2682700773900548E-2</v>
      </c>
      <c r="CB125" s="227">
        <v>4750</v>
      </c>
      <c r="CC125" s="224">
        <f t="shared" si="104"/>
        <v>0.2201214143380138</v>
      </c>
      <c r="CD125" s="227">
        <v>4750</v>
      </c>
      <c r="CE125" s="224">
        <f t="shared" si="105"/>
        <v>0.2201214143380138</v>
      </c>
      <c r="CF125" s="227">
        <v>4750</v>
      </c>
      <c r="CG125" s="224">
        <f t="shared" si="106"/>
        <v>0.2201214143380138</v>
      </c>
      <c r="CH125" s="227">
        <v>4750</v>
      </c>
      <c r="CI125" s="224">
        <f t="shared" si="107"/>
        <v>0.2201214143380138</v>
      </c>
      <c r="CJ125" s="227">
        <v>4750</v>
      </c>
      <c r="CK125" s="224">
        <f t="shared" si="108"/>
        <v>0.2201214143380138</v>
      </c>
      <c r="CL125" s="227">
        <v>4750</v>
      </c>
      <c r="CM125" s="224">
        <f t="shared" si="109"/>
        <v>0.2201214143380138</v>
      </c>
      <c r="CN125" s="227">
        <v>4750</v>
      </c>
      <c r="CO125" s="224">
        <f t="shared" si="110"/>
        <v>0.2201214143380138</v>
      </c>
      <c r="CP125" s="213" t="str">
        <f t="shared" si="82"/>
        <v>Không đạt</v>
      </c>
      <c r="CQ125" s="213" t="str">
        <f t="shared" si="83"/>
        <v>Không đạt</v>
      </c>
      <c r="CR125" s="192"/>
      <c r="CS125" s="257">
        <f t="shared" si="78"/>
        <v>39</v>
      </c>
      <c r="CT125" s="257"/>
      <c r="CU125" s="163"/>
      <c r="CW125" s="195"/>
      <c r="CX125" s="196"/>
      <c r="CY125" s="196"/>
      <c r="CZ125" s="197"/>
      <c r="DA125" s="196"/>
      <c r="DB125" s="196"/>
      <c r="DC125" s="196"/>
      <c r="DE125" s="199"/>
      <c r="DF125" s="200"/>
      <c r="DG125" s="181"/>
    </row>
    <row r="126" spans="1:112" ht="38.25" hidden="1" outlineLevel="1" x14ac:dyDescent="0.25">
      <c r="A126" s="192">
        <f ca="1">MAX(A$14:$B125)+1</f>
        <v>69</v>
      </c>
      <c r="B126" s="222" t="s">
        <v>284</v>
      </c>
      <c r="C126" s="222" t="s">
        <v>285</v>
      </c>
      <c r="D126" s="214">
        <f t="shared" si="76"/>
        <v>1579</v>
      </c>
      <c r="E126" s="214"/>
      <c r="F126" s="214">
        <f t="shared" si="77"/>
        <v>1579</v>
      </c>
      <c r="G126" s="257">
        <f>5000-3421</f>
        <v>1579</v>
      </c>
      <c r="H126" s="257">
        <f>5000-5000</f>
        <v>0</v>
      </c>
      <c r="I126" s="235"/>
      <c r="J126" s="235"/>
      <c r="K126" s="257"/>
      <c r="L126" s="235"/>
      <c r="M126" s="223"/>
      <c r="N126" s="223"/>
      <c r="O126" s="257">
        <f t="shared" si="84"/>
        <v>1579</v>
      </c>
      <c r="P126" s="257">
        <v>0</v>
      </c>
      <c r="Q126" s="224">
        <f t="shared" si="79"/>
        <v>0</v>
      </c>
      <c r="R126" s="257"/>
      <c r="S126" s="225">
        <v>0</v>
      </c>
      <c r="T126" s="225">
        <v>0</v>
      </c>
      <c r="U126" s="257"/>
      <c r="V126" s="225">
        <v>0</v>
      </c>
      <c r="W126" s="225">
        <v>0</v>
      </c>
      <c r="X126" s="257"/>
      <c r="Y126" s="225">
        <v>0</v>
      </c>
      <c r="Z126" s="225">
        <v>0</v>
      </c>
      <c r="AA126" s="257"/>
      <c r="AB126" s="225">
        <v>0</v>
      </c>
      <c r="AC126" s="225">
        <v>0</v>
      </c>
      <c r="AD126" s="257">
        <v>100</v>
      </c>
      <c r="AE126" s="225">
        <v>0.01</v>
      </c>
      <c r="AF126" s="225">
        <v>1.0526315789473684E-2</v>
      </c>
      <c r="AG126" s="257">
        <v>100</v>
      </c>
      <c r="AH126" s="225">
        <v>0.01</v>
      </c>
      <c r="AI126" s="225">
        <v>1.0526315789473684E-2</v>
      </c>
      <c r="AJ126" s="205">
        <v>100</v>
      </c>
      <c r="AK126" s="225">
        <v>0.01</v>
      </c>
      <c r="AL126" s="225">
        <v>1.0526315789473684E-2</v>
      </c>
      <c r="AM126" s="257">
        <v>100</v>
      </c>
      <c r="AN126" s="225">
        <v>0.01</v>
      </c>
      <c r="AO126" s="225">
        <v>1.0526315789473684E-2</v>
      </c>
      <c r="AP126" s="225"/>
      <c r="AQ126" s="257">
        <v>329.15499999999997</v>
      </c>
      <c r="AR126" s="225">
        <v>3.29155E-2</v>
      </c>
      <c r="AS126" s="225">
        <v>3.46478947368421E-2</v>
      </c>
      <c r="AT126" s="257">
        <v>329.15499999999997</v>
      </c>
      <c r="AU126" s="225">
        <v>3.29155E-2</v>
      </c>
      <c r="AV126" s="225">
        <v>3.46478947368421E-2</v>
      </c>
      <c r="AW126" s="257">
        <v>329.15499999999997</v>
      </c>
      <c r="AX126" s="225">
        <v>3.29155E-2</v>
      </c>
      <c r="AY126" s="225">
        <v>3.46478947368421E-2</v>
      </c>
      <c r="AZ126" s="257">
        <v>329.15499999999997</v>
      </c>
      <c r="BA126" s="225">
        <v>3.29155E-2</v>
      </c>
      <c r="BB126" s="225">
        <v>3.46478947368421E-2</v>
      </c>
      <c r="BC126" s="257">
        <v>329.15499999999997</v>
      </c>
      <c r="BD126" s="225">
        <v>3.29155E-2</v>
      </c>
      <c r="BE126" s="225">
        <v>3.46478947368421E-2</v>
      </c>
      <c r="BF126" s="257"/>
      <c r="BG126" s="257">
        <v>329.15499999999997</v>
      </c>
      <c r="BH126" s="225">
        <v>0.20845788473717541</v>
      </c>
      <c r="BI126" s="225">
        <v>0.2194293523549215</v>
      </c>
      <c r="BJ126" s="257">
        <f t="shared" si="75"/>
        <v>1500.05</v>
      </c>
      <c r="BK126" s="257">
        <v>329.15499999999997</v>
      </c>
      <c r="BL126" s="225">
        <f t="shared" si="98"/>
        <v>0.20845788473717541</v>
      </c>
      <c r="BM126" s="225">
        <f t="shared" si="80"/>
        <v>0.2194293523549215</v>
      </c>
      <c r="BN126" s="205">
        <f t="shared" si="73"/>
        <v>229.15499999999997</v>
      </c>
      <c r="BO126" s="205"/>
      <c r="BP126" s="227"/>
      <c r="BQ126" s="224">
        <f t="shared" si="81"/>
        <v>0</v>
      </c>
      <c r="BR126" s="227"/>
      <c r="BS126" s="224">
        <f t="shared" si="99"/>
        <v>0</v>
      </c>
      <c r="BT126" s="227"/>
      <c r="BU126" s="224">
        <f t="shared" si="100"/>
        <v>0</v>
      </c>
      <c r="BV126" s="227"/>
      <c r="BW126" s="224">
        <f t="shared" si="101"/>
        <v>0</v>
      </c>
      <c r="BX126" s="227"/>
      <c r="BY126" s="224">
        <f t="shared" si="102"/>
        <v>0</v>
      </c>
      <c r="BZ126" s="227">
        <v>2000</v>
      </c>
      <c r="CA126" s="224">
        <f t="shared" si="103"/>
        <v>1.266624445851805</v>
      </c>
      <c r="CB126" s="227">
        <v>2000</v>
      </c>
      <c r="CC126" s="224">
        <f t="shared" si="104"/>
        <v>1.266624445851805</v>
      </c>
      <c r="CD126" s="227">
        <v>2000</v>
      </c>
      <c r="CE126" s="224">
        <f t="shared" si="105"/>
        <v>1.266624445851805</v>
      </c>
      <c r="CF126" s="227">
        <v>2000</v>
      </c>
      <c r="CG126" s="224">
        <f t="shared" si="106"/>
        <v>1.266624445851805</v>
      </c>
      <c r="CH126" s="227">
        <v>2000</v>
      </c>
      <c r="CI126" s="224">
        <f t="shared" si="107"/>
        <v>1.266624445851805</v>
      </c>
      <c r="CJ126" s="227">
        <v>2000</v>
      </c>
      <c r="CK126" s="224">
        <f t="shared" si="108"/>
        <v>1.266624445851805</v>
      </c>
      <c r="CL126" s="227">
        <v>2000</v>
      </c>
      <c r="CM126" s="224">
        <f t="shared" si="109"/>
        <v>1.266624445851805</v>
      </c>
      <c r="CN126" s="227">
        <v>9500</v>
      </c>
      <c r="CO126" s="224">
        <f t="shared" si="110"/>
        <v>6.0164661177960737</v>
      </c>
      <c r="CP126" s="213" t="str">
        <f t="shared" si="82"/>
        <v>Không đạt</v>
      </c>
      <c r="CQ126" s="213" t="str">
        <f t="shared" si="83"/>
        <v>Không đạt</v>
      </c>
      <c r="CR126" s="192"/>
      <c r="CS126" s="257">
        <f t="shared" si="78"/>
        <v>0</v>
      </c>
      <c r="CT126" s="223"/>
      <c r="CU126" s="163"/>
      <c r="CW126" s="195"/>
      <c r="CX126" s="196"/>
      <c r="CY126" s="196"/>
      <c r="CZ126" s="197"/>
      <c r="DA126" s="196"/>
      <c r="DB126" s="196"/>
      <c r="DC126" s="196"/>
      <c r="DE126" s="199"/>
      <c r="DF126" s="200"/>
      <c r="DG126" s="181"/>
    </row>
    <row r="127" spans="1:112" s="234" customFormat="1" ht="29.45" customHeight="1" collapsed="1" x14ac:dyDescent="0.25">
      <c r="A127" s="191">
        <v>3</v>
      </c>
      <c r="B127" s="210" t="s">
        <v>286</v>
      </c>
      <c r="C127" s="210"/>
      <c r="D127" s="205">
        <f t="shared" ref="D127:I127" si="111">D128</f>
        <v>1488134.8597350002</v>
      </c>
      <c r="E127" s="205">
        <f t="shared" si="111"/>
        <v>856774.85973500018</v>
      </c>
      <c r="F127" s="205">
        <f t="shared" si="111"/>
        <v>631360</v>
      </c>
      <c r="G127" s="205">
        <f t="shared" si="111"/>
        <v>424000</v>
      </c>
      <c r="H127" s="205">
        <f t="shared" si="111"/>
        <v>207360</v>
      </c>
      <c r="I127" s="205">
        <f t="shared" si="111"/>
        <v>-52000</v>
      </c>
      <c r="J127" s="205"/>
      <c r="K127" s="205">
        <f>K128</f>
        <v>0</v>
      </c>
      <c r="L127" s="205">
        <f>L128</f>
        <v>30000</v>
      </c>
      <c r="M127" s="231"/>
      <c r="N127" s="231"/>
      <c r="O127" s="205">
        <f t="shared" si="84"/>
        <v>402000</v>
      </c>
      <c r="P127" s="205">
        <v>75293.688796000002</v>
      </c>
      <c r="Q127" s="186">
        <f t="shared" si="79"/>
        <v>5.0596011714561899E-2</v>
      </c>
      <c r="R127" s="205">
        <v>206894.52794599999</v>
      </c>
      <c r="S127" s="185">
        <v>0.17311944381585762</v>
      </c>
      <c r="T127" s="185">
        <v>0.17833751931552438</v>
      </c>
      <c r="U127" s="205">
        <v>214027.35655399997</v>
      </c>
      <c r="V127" s="185">
        <v>0.17908785358343296</v>
      </c>
      <c r="W127" s="185">
        <v>0.18448582576075589</v>
      </c>
      <c r="X127" s="205">
        <v>214027.35655399997</v>
      </c>
      <c r="Y127" s="185">
        <v>0.17908785358343296</v>
      </c>
      <c r="Z127" s="185">
        <v>0.18448582576075589</v>
      </c>
      <c r="AA127" s="205">
        <v>214027.35655399997</v>
      </c>
      <c r="AB127" s="185">
        <v>0.17908785358343296</v>
      </c>
      <c r="AC127" s="185">
        <v>0.18448582576075589</v>
      </c>
      <c r="AD127" s="205">
        <v>304094.039009</v>
      </c>
      <c r="AE127" s="185">
        <v>0.23157145081113995</v>
      </c>
      <c r="AF127" s="185">
        <v>0.23790656323459408</v>
      </c>
      <c r="AG127" s="205">
        <v>305374.039009</v>
      </c>
      <c r="AH127" s="185">
        <v>0.23254618697500631</v>
      </c>
      <c r="AI127" s="185">
        <v>0.23890796530723146</v>
      </c>
      <c r="AJ127" s="189">
        <v>305374.039009</v>
      </c>
      <c r="AK127" s="185">
        <v>0.23254618697500631</v>
      </c>
      <c r="AL127" s="185">
        <v>0.23890796530723146</v>
      </c>
      <c r="AM127" s="205">
        <v>305374.039009</v>
      </c>
      <c r="AN127" s="185">
        <v>0.23254618697500631</v>
      </c>
      <c r="AO127" s="185">
        <v>0.23890796530723146</v>
      </c>
      <c r="AP127" s="185"/>
      <c r="AQ127" s="205">
        <v>356349.44240499998</v>
      </c>
      <c r="AR127" s="185">
        <v>0.27136460037950405</v>
      </c>
      <c r="AS127" s="185">
        <v>0.27878833609963782</v>
      </c>
      <c r="AT127" s="205">
        <v>356349.44240499998</v>
      </c>
      <c r="AU127" s="185">
        <v>0.27136460037950405</v>
      </c>
      <c r="AV127" s="185">
        <v>0.27878833609963782</v>
      </c>
      <c r="AW127" s="185"/>
      <c r="AX127" s="185"/>
      <c r="AY127" s="185"/>
      <c r="AZ127" s="185"/>
      <c r="BA127" s="185"/>
      <c r="BB127" s="185"/>
      <c r="BC127" s="205">
        <v>356349.44240499998</v>
      </c>
      <c r="BD127" s="185">
        <v>0.27136460037950405</v>
      </c>
      <c r="BE127" s="185">
        <v>0.27878833609963782</v>
      </c>
      <c r="BF127" s="205"/>
      <c r="BG127" s="205">
        <v>548080.71770899999</v>
      </c>
      <c r="BH127" s="185">
        <v>0.36830043602808926</v>
      </c>
      <c r="BI127" s="185">
        <v>0.37628256749485212</v>
      </c>
      <c r="BJ127" s="205">
        <f t="shared" si="75"/>
        <v>1456566.8597350002</v>
      </c>
      <c r="BK127" s="205">
        <v>724167.333079</v>
      </c>
      <c r="BL127" s="185">
        <f t="shared" si="98"/>
        <v>0.48662749101110109</v>
      </c>
      <c r="BM127" s="185">
        <f t="shared" si="80"/>
        <v>0.49717411064175321</v>
      </c>
      <c r="BN127" s="205">
        <f t="shared" si="73"/>
        <v>420073.29407</v>
      </c>
      <c r="BO127" s="205"/>
      <c r="BP127" s="189">
        <f>BP128</f>
        <v>37000</v>
      </c>
      <c r="BQ127" s="186">
        <f t="shared" si="81"/>
        <v>2.4863337995179268E-2</v>
      </c>
      <c r="BR127" s="189">
        <f>BR128</f>
        <v>81000</v>
      </c>
      <c r="BS127" s="186">
        <f t="shared" si="99"/>
        <v>5.443055074620326E-2</v>
      </c>
      <c r="BT127" s="189">
        <f>BT128</f>
        <v>121000</v>
      </c>
      <c r="BU127" s="186">
        <f t="shared" si="100"/>
        <v>8.1309835065315986E-2</v>
      </c>
      <c r="BV127" s="189">
        <f>BV128</f>
        <v>179000</v>
      </c>
      <c r="BW127" s="186">
        <f t="shared" si="101"/>
        <v>0.12028479732802944</v>
      </c>
      <c r="BX127" s="189">
        <f>BX128</f>
        <v>235500</v>
      </c>
      <c r="BY127" s="186">
        <f t="shared" si="102"/>
        <v>0.15825178642877616</v>
      </c>
      <c r="BZ127" s="189">
        <f>BZ128</f>
        <v>295500</v>
      </c>
      <c r="CA127" s="186">
        <f t="shared" si="103"/>
        <v>0.19857071290744524</v>
      </c>
      <c r="CB127" s="189">
        <f>CB128</f>
        <v>347300</v>
      </c>
      <c r="CC127" s="186">
        <f t="shared" si="104"/>
        <v>0.2333793861006962</v>
      </c>
      <c r="CD127" s="189">
        <f>CD128</f>
        <v>397800</v>
      </c>
      <c r="CE127" s="186">
        <f t="shared" si="105"/>
        <v>0.26731448255357604</v>
      </c>
      <c r="CF127" s="189">
        <f>CF128</f>
        <v>500800</v>
      </c>
      <c r="CG127" s="186">
        <f t="shared" si="106"/>
        <v>0.33652863967529129</v>
      </c>
      <c r="CH127" s="189">
        <f>CH128</f>
        <v>500800</v>
      </c>
      <c r="CI127" s="186">
        <f t="shared" si="107"/>
        <v>0.33652863967529129</v>
      </c>
      <c r="CJ127" s="189">
        <f>CJ128</f>
        <v>556800</v>
      </c>
      <c r="CK127" s="186">
        <f t="shared" si="108"/>
        <v>0.37415963772204908</v>
      </c>
      <c r="CL127" s="189">
        <f>CL128</f>
        <v>613400</v>
      </c>
      <c r="CM127" s="186">
        <f t="shared" si="109"/>
        <v>0.41219382503359359</v>
      </c>
      <c r="CN127" s="189">
        <f>CN128</f>
        <v>664050</v>
      </c>
      <c r="CO127" s="186">
        <f t="shared" si="110"/>
        <v>0.44622971880267009</v>
      </c>
      <c r="CP127" s="213" t="str">
        <f t="shared" si="82"/>
        <v>Đạt</v>
      </c>
      <c r="CQ127" s="213" t="str">
        <f t="shared" si="83"/>
        <v>Đạt</v>
      </c>
      <c r="CR127" s="213"/>
      <c r="CS127" s="213"/>
      <c r="CT127" s="213"/>
      <c r="CU127" s="163"/>
      <c r="CV127" s="243"/>
      <c r="CW127" s="195"/>
      <c r="CX127" s="196"/>
      <c r="CY127" s="196"/>
      <c r="CZ127" s="197"/>
      <c r="DA127" s="196"/>
      <c r="DB127" s="196"/>
      <c r="DC127" s="196"/>
      <c r="DE127" s="199"/>
      <c r="DF127" s="200"/>
      <c r="DG127" s="181"/>
    </row>
    <row r="128" spans="1:112" s="255" customFormat="1" hidden="1" outlineLevel="1" x14ac:dyDescent="0.25">
      <c r="A128" s="191" t="s">
        <v>29</v>
      </c>
      <c r="B128" s="210" t="s">
        <v>157</v>
      </c>
      <c r="C128" s="210"/>
      <c r="D128" s="189">
        <f>SUM(D129:D140)</f>
        <v>1488134.8597350002</v>
      </c>
      <c r="E128" s="189">
        <f>SUM(E129:E140)</f>
        <v>856774.85973500018</v>
      </c>
      <c r="F128" s="189">
        <f>SUM(F129:F140)</f>
        <v>631360</v>
      </c>
      <c r="G128" s="189">
        <f>SUM(G129:G140)</f>
        <v>424000</v>
      </c>
      <c r="H128" s="189">
        <f>SUM(H129:H140)</f>
        <v>207360</v>
      </c>
      <c r="I128" s="189">
        <f t="shared" ref="I128:O128" si="112">SUM(I129:I139)</f>
        <v>-52000</v>
      </c>
      <c r="J128" s="189"/>
      <c r="K128" s="189">
        <f>SUM(K129:K139)</f>
        <v>0</v>
      </c>
      <c r="L128" s="189">
        <f t="shared" si="112"/>
        <v>30000</v>
      </c>
      <c r="M128" s="189">
        <f t="shared" si="112"/>
        <v>0</v>
      </c>
      <c r="N128" s="189">
        <f t="shared" si="112"/>
        <v>0</v>
      </c>
      <c r="O128" s="189">
        <f t="shared" si="112"/>
        <v>402000</v>
      </c>
      <c r="P128" s="189">
        <v>27078.295252</v>
      </c>
      <c r="Q128" s="258">
        <f t="shared" si="79"/>
        <v>1.8196129923884703E-2</v>
      </c>
      <c r="R128" s="189">
        <v>206894.52794599999</v>
      </c>
      <c r="S128" s="185">
        <v>0.17311944381585762</v>
      </c>
      <c r="T128" s="185">
        <v>0.17833751931552438</v>
      </c>
      <c r="U128" s="189">
        <f>SUM(U129:U140)</f>
        <v>239217.17055399995</v>
      </c>
      <c r="V128" s="185">
        <v>0.17908785358343296</v>
      </c>
      <c r="W128" s="185">
        <v>0.18448582576075589</v>
      </c>
      <c r="X128" s="189">
        <f>SUM(X129:X140)</f>
        <v>239217.17055399995</v>
      </c>
      <c r="Y128" s="185">
        <v>0.17908785358343296</v>
      </c>
      <c r="Z128" s="185">
        <v>0.18448582576075589</v>
      </c>
      <c r="AA128" s="189">
        <f>SUM(AA129:AA140)</f>
        <v>239217.17055399995</v>
      </c>
      <c r="AB128" s="185">
        <v>0.17908785358343296</v>
      </c>
      <c r="AC128" s="185">
        <v>0.18448582576075589</v>
      </c>
      <c r="AD128" s="189">
        <v>304094.039009</v>
      </c>
      <c r="AE128" s="185">
        <v>0.23157145081113995</v>
      </c>
      <c r="AF128" s="185">
        <v>0.23790656323459408</v>
      </c>
      <c r="AG128" s="189">
        <v>305374.039009</v>
      </c>
      <c r="AH128" s="185">
        <v>0.23254618697500631</v>
      </c>
      <c r="AI128" s="185">
        <v>0.23890796530723146</v>
      </c>
      <c r="AJ128" s="257">
        <v>305374.039009</v>
      </c>
      <c r="AK128" s="185">
        <v>0.23254618697500631</v>
      </c>
      <c r="AL128" s="185">
        <v>0.23890796530723146</v>
      </c>
      <c r="AM128" s="189">
        <v>305374.039009</v>
      </c>
      <c r="AN128" s="185">
        <v>0.23254618697500631</v>
      </c>
      <c r="AO128" s="185">
        <v>0.23890796530723146</v>
      </c>
      <c r="AP128" s="185"/>
      <c r="AQ128" s="189">
        <v>356349.44240499998</v>
      </c>
      <c r="AR128" s="185">
        <v>0.27136460037950405</v>
      </c>
      <c r="AS128" s="185">
        <v>0.27878833609963782</v>
      </c>
      <c r="AT128" s="189">
        <v>356349.44240499998</v>
      </c>
      <c r="AU128" s="185">
        <v>0.27136460037950405</v>
      </c>
      <c r="AV128" s="185">
        <v>0.27878833609963782</v>
      </c>
      <c r="AW128" s="185"/>
      <c r="AX128" s="185"/>
      <c r="AY128" s="185"/>
      <c r="AZ128" s="185"/>
      <c r="BA128" s="185"/>
      <c r="BB128" s="185"/>
      <c r="BC128" s="189">
        <v>356349.44240499998</v>
      </c>
      <c r="BD128" s="185">
        <v>0.27136460037950405</v>
      </c>
      <c r="BE128" s="185">
        <v>0.27878833609963782</v>
      </c>
      <c r="BF128" s="189"/>
      <c r="BG128" s="189">
        <v>548080.71770899999</v>
      </c>
      <c r="BH128" s="185">
        <v>0.36830043602808926</v>
      </c>
      <c r="BI128" s="185">
        <v>0.37628256749485212</v>
      </c>
      <c r="BJ128" s="189">
        <f t="shared" si="75"/>
        <v>1456566.8597350002</v>
      </c>
      <c r="BK128" s="189">
        <v>645202.81626999995</v>
      </c>
      <c r="BL128" s="185">
        <f t="shared" si="98"/>
        <v>0.43356474855033938</v>
      </c>
      <c r="BM128" s="185">
        <f t="shared" si="80"/>
        <v>0.44296134568610507</v>
      </c>
      <c r="BN128" s="205">
        <f t="shared" si="73"/>
        <v>341108.77726099995</v>
      </c>
      <c r="BO128" s="205"/>
      <c r="BP128" s="245">
        <f t="shared" ref="BP128:CN128" si="113">SUM(BP129:BP135)</f>
        <v>37000</v>
      </c>
      <c r="BQ128" s="258">
        <f t="shared" si="81"/>
        <v>2.4863337995179268E-2</v>
      </c>
      <c r="BR128" s="245">
        <f t="shared" si="113"/>
        <v>81000</v>
      </c>
      <c r="BS128" s="258">
        <f t="shared" si="99"/>
        <v>5.443055074620326E-2</v>
      </c>
      <c r="BT128" s="245">
        <f t="shared" si="113"/>
        <v>121000</v>
      </c>
      <c r="BU128" s="258">
        <f t="shared" si="100"/>
        <v>8.1309835065315986E-2</v>
      </c>
      <c r="BV128" s="245">
        <f t="shared" si="113"/>
        <v>179000</v>
      </c>
      <c r="BW128" s="258">
        <f t="shared" si="101"/>
        <v>0.12028479732802944</v>
      </c>
      <c r="BX128" s="245">
        <f t="shared" si="113"/>
        <v>235500</v>
      </c>
      <c r="BY128" s="258">
        <f t="shared" si="102"/>
        <v>0.15825178642877616</v>
      </c>
      <c r="BZ128" s="245">
        <f t="shared" si="113"/>
        <v>295500</v>
      </c>
      <c r="CA128" s="258">
        <f t="shared" si="103"/>
        <v>0.19857071290744524</v>
      </c>
      <c r="CB128" s="245">
        <f t="shared" si="113"/>
        <v>347300</v>
      </c>
      <c r="CC128" s="258">
        <f t="shared" si="104"/>
        <v>0.2333793861006962</v>
      </c>
      <c r="CD128" s="245">
        <f t="shared" si="113"/>
        <v>397800</v>
      </c>
      <c r="CE128" s="258">
        <f t="shared" si="105"/>
        <v>0.26731448255357604</v>
      </c>
      <c r="CF128" s="245">
        <f t="shared" si="113"/>
        <v>500800</v>
      </c>
      <c r="CG128" s="258">
        <f t="shared" si="106"/>
        <v>0.33652863967529129</v>
      </c>
      <c r="CH128" s="245">
        <f t="shared" si="113"/>
        <v>500800</v>
      </c>
      <c r="CI128" s="258">
        <f t="shared" si="107"/>
        <v>0.33652863967529129</v>
      </c>
      <c r="CJ128" s="245">
        <f t="shared" si="113"/>
        <v>556800</v>
      </c>
      <c r="CK128" s="258">
        <f t="shared" si="108"/>
        <v>0.37415963772204908</v>
      </c>
      <c r="CL128" s="245">
        <f t="shared" si="113"/>
        <v>613400</v>
      </c>
      <c r="CM128" s="258">
        <f t="shared" si="109"/>
        <v>0.41219382503359359</v>
      </c>
      <c r="CN128" s="245">
        <f t="shared" si="113"/>
        <v>664050</v>
      </c>
      <c r="CO128" s="258">
        <f t="shared" si="110"/>
        <v>0.44622971880267009</v>
      </c>
      <c r="CP128" s="213" t="str">
        <f t="shared" si="82"/>
        <v>Đạt</v>
      </c>
      <c r="CQ128" s="213" t="str">
        <f t="shared" si="83"/>
        <v>Đạt</v>
      </c>
      <c r="CR128" s="213"/>
      <c r="CS128" s="213"/>
      <c r="CT128" s="231"/>
      <c r="CU128" s="163"/>
      <c r="CV128" s="142"/>
      <c r="CW128" s="195"/>
      <c r="CX128" s="196"/>
      <c r="CY128" s="196"/>
      <c r="CZ128" s="197"/>
      <c r="DA128" s="196"/>
      <c r="DB128" s="196"/>
      <c r="DC128" s="196"/>
      <c r="DD128" s="144"/>
      <c r="DE128" s="199"/>
      <c r="DF128" s="200"/>
      <c r="DG128" s="181"/>
    </row>
    <row r="129" spans="1:111" ht="51" hidden="1" outlineLevel="1" x14ac:dyDescent="0.25">
      <c r="A129" s="192">
        <v>1</v>
      </c>
      <c r="B129" s="247" t="s">
        <v>287</v>
      </c>
      <c r="C129" s="259">
        <v>7909745</v>
      </c>
      <c r="D129" s="214">
        <f t="shared" ref="D129:D195" si="114">E129+F129</f>
        <v>98000</v>
      </c>
      <c r="E129" s="205"/>
      <c r="F129" s="214">
        <f t="shared" ref="F129:F135" si="115">G129+H129+K129+M129</f>
        <v>98000</v>
      </c>
      <c r="G129" s="257">
        <v>68000</v>
      </c>
      <c r="H129" s="257">
        <v>30000</v>
      </c>
      <c r="I129" s="235">
        <v>-52000</v>
      </c>
      <c r="J129" s="235">
        <v>-52000</v>
      </c>
      <c r="K129" s="223"/>
      <c r="L129" s="235">
        <v>30000</v>
      </c>
      <c r="M129" s="223"/>
      <c r="N129" s="223"/>
      <c r="O129" s="257">
        <f t="shared" si="84"/>
        <v>46000</v>
      </c>
      <c r="P129" s="257">
        <v>10000.268410999999</v>
      </c>
      <c r="Q129" s="224">
        <f t="shared" si="79"/>
        <v>0.10204355521428571</v>
      </c>
      <c r="R129" s="257">
        <v>10000.268410999999</v>
      </c>
      <c r="S129" s="225">
        <v>6.6668456073333326E-2</v>
      </c>
      <c r="T129" s="225">
        <v>7.0177322182456134E-2</v>
      </c>
      <c r="U129" s="257">
        <v>10000.268410999999</v>
      </c>
      <c r="V129" s="225">
        <v>6.6668456073333326E-2</v>
      </c>
      <c r="W129" s="225">
        <v>7.0177322182456134E-2</v>
      </c>
      <c r="X129" s="257">
        <v>10000.268410999999</v>
      </c>
      <c r="Y129" s="225">
        <v>6.6668456073333326E-2</v>
      </c>
      <c r="Z129" s="225">
        <v>7.0177322182456134E-2</v>
      </c>
      <c r="AA129" s="257">
        <v>10000.268410999999</v>
      </c>
      <c r="AB129" s="225">
        <v>6.6668456073333326E-2</v>
      </c>
      <c r="AC129" s="225">
        <v>7.0177322182456134E-2</v>
      </c>
      <c r="AD129" s="257">
        <v>15019.397411</v>
      </c>
      <c r="AE129" s="225">
        <v>0.10012931607333334</v>
      </c>
      <c r="AF129" s="225">
        <v>0.10539928007719299</v>
      </c>
      <c r="AG129" s="257">
        <v>15019.397411</v>
      </c>
      <c r="AH129" s="225">
        <v>0.10012931607333334</v>
      </c>
      <c r="AI129" s="225">
        <v>0.10539928007719299</v>
      </c>
      <c r="AJ129" s="257">
        <v>15019.397411</v>
      </c>
      <c r="AK129" s="225">
        <v>0.10012931607333334</v>
      </c>
      <c r="AL129" s="225">
        <v>0.10539928007719299</v>
      </c>
      <c r="AM129" s="257">
        <v>15019.397411</v>
      </c>
      <c r="AN129" s="225">
        <v>0.10012931607333334</v>
      </c>
      <c r="AO129" s="225">
        <v>0.10539928007719299</v>
      </c>
      <c r="AP129" s="225"/>
      <c r="AQ129" s="257">
        <v>15019.397411</v>
      </c>
      <c r="AR129" s="225">
        <v>0.10012931607333334</v>
      </c>
      <c r="AS129" s="225">
        <v>0.10539928007719299</v>
      </c>
      <c r="AT129" s="257">
        <v>15019.397411</v>
      </c>
      <c r="AU129" s="225">
        <v>0.10012931607333334</v>
      </c>
      <c r="AV129" s="225">
        <v>0.10539928007719299</v>
      </c>
      <c r="AW129" s="225"/>
      <c r="AX129" s="225"/>
      <c r="AY129" s="225"/>
      <c r="AZ129" s="225"/>
      <c r="BA129" s="225"/>
      <c r="BB129" s="225"/>
      <c r="BC129" s="257">
        <v>15019.397411</v>
      </c>
      <c r="BD129" s="225">
        <v>0.10012931607333334</v>
      </c>
      <c r="BE129" s="225">
        <v>0.10539928007719299</v>
      </c>
      <c r="BF129" s="257"/>
      <c r="BG129" s="257">
        <v>25817.661</v>
      </c>
      <c r="BH129" s="225">
        <v>0.26344552040816327</v>
      </c>
      <c r="BI129" s="225">
        <v>0.27731107411385608</v>
      </c>
      <c r="BJ129" s="257">
        <f t="shared" si="75"/>
        <v>93100</v>
      </c>
      <c r="BK129" s="257">
        <v>25817.661</v>
      </c>
      <c r="BL129" s="225">
        <f t="shared" si="98"/>
        <v>0.26344552040816327</v>
      </c>
      <c r="BM129" s="225">
        <f t="shared" si="80"/>
        <v>0.27731107411385608</v>
      </c>
      <c r="BN129" s="205">
        <f t="shared" si="73"/>
        <v>10798.263589</v>
      </c>
      <c r="BO129" s="205"/>
      <c r="BP129" s="227">
        <v>10000</v>
      </c>
      <c r="BQ129" s="224">
        <f t="shared" si="81"/>
        <v>0.10204081632653061</v>
      </c>
      <c r="BR129" s="227">
        <v>20000</v>
      </c>
      <c r="BS129" s="224">
        <f t="shared" si="99"/>
        <v>0.20408163265306123</v>
      </c>
      <c r="BT129" s="227">
        <v>30000</v>
      </c>
      <c r="BU129" s="224">
        <f t="shared" si="100"/>
        <v>0.30612244897959184</v>
      </c>
      <c r="BV129" s="227">
        <v>40000</v>
      </c>
      <c r="BW129" s="224">
        <f t="shared" si="101"/>
        <v>0.40816326530612246</v>
      </c>
      <c r="BX129" s="227">
        <v>50000</v>
      </c>
      <c r="BY129" s="224">
        <f t="shared" si="102"/>
        <v>0.51020408163265307</v>
      </c>
      <c r="BZ129" s="227">
        <v>60000</v>
      </c>
      <c r="CA129" s="224">
        <f t="shared" si="103"/>
        <v>0.61224489795918369</v>
      </c>
      <c r="CB129" s="227">
        <v>70000</v>
      </c>
      <c r="CC129" s="224">
        <f t="shared" si="104"/>
        <v>0.7142857142857143</v>
      </c>
      <c r="CD129" s="227">
        <v>80000</v>
      </c>
      <c r="CE129" s="224">
        <f t="shared" si="105"/>
        <v>0.81632653061224492</v>
      </c>
      <c r="CF129" s="227">
        <v>100000</v>
      </c>
      <c r="CG129" s="224">
        <f t="shared" si="106"/>
        <v>1.0204081632653061</v>
      </c>
      <c r="CH129" s="227">
        <v>100000</v>
      </c>
      <c r="CI129" s="224">
        <f t="shared" si="107"/>
        <v>1.0204081632653061</v>
      </c>
      <c r="CJ129" s="227">
        <v>110000</v>
      </c>
      <c r="CK129" s="224">
        <f t="shared" si="108"/>
        <v>1.1224489795918366</v>
      </c>
      <c r="CL129" s="227">
        <v>120000</v>
      </c>
      <c r="CM129" s="224">
        <f t="shared" si="109"/>
        <v>1.2244897959183674</v>
      </c>
      <c r="CN129" s="227">
        <v>142500</v>
      </c>
      <c r="CO129" s="224">
        <f t="shared" si="110"/>
        <v>1.4540816326530612</v>
      </c>
      <c r="CP129" s="213" t="str">
        <f t="shared" si="82"/>
        <v>Không đạt</v>
      </c>
      <c r="CQ129" s="213" t="str">
        <f t="shared" si="83"/>
        <v>Không đạt</v>
      </c>
      <c r="CR129" s="192"/>
      <c r="CS129" s="192"/>
      <c r="CT129" s="223"/>
      <c r="CU129" s="163"/>
      <c r="CW129" s="195"/>
      <c r="CX129" s="196"/>
      <c r="CY129" s="196"/>
      <c r="CZ129" s="197"/>
      <c r="DA129" s="196"/>
      <c r="DB129" s="196"/>
      <c r="DC129" s="196"/>
      <c r="DE129" s="199"/>
      <c r="DF129" s="200"/>
      <c r="DG129" s="181"/>
    </row>
    <row r="130" spans="1:111" ht="38.25" hidden="1" outlineLevel="1" x14ac:dyDescent="0.25">
      <c r="A130" s="192">
        <f>MAX(A$129:A129)+1</f>
        <v>2</v>
      </c>
      <c r="B130" s="222" t="s">
        <v>288</v>
      </c>
      <c r="C130" s="222">
        <v>7907249</v>
      </c>
      <c r="D130" s="214">
        <f t="shared" si="114"/>
        <v>12000</v>
      </c>
      <c r="E130" s="205"/>
      <c r="F130" s="214">
        <f t="shared" si="115"/>
        <v>12000</v>
      </c>
      <c r="G130" s="257">
        <v>12000</v>
      </c>
      <c r="H130" s="257"/>
      <c r="I130" s="235"/>
      <c r="J130" s="235"/>
      <c r="K130" s="223"/>
      <c r="L130" s="235"/>
      <c r="M130" s="223"/>
      <c r="N130" s="223"/>
      <c r="O130" s="257">
        <f t="shared" si="84"/>
        <v>12000</v>
      </c>
      <c r="P130" s="257">
        <v>2100.6079450000002</v>
      </c>
      <c r="Q130" s="224">
        <f t="shared" si="79"/>
        <v>0.17505066208333336</v>
      </c>
      <c r="R130" s="257">
        <v>2100.6079450000002</v>
      </c>
      <c r="S130" s="225">
        <v>0.17505066208333336</v>
      </c>
      <c r="T130" s="225">
        <v>0.18426385482456142</v>
      </c>
      <c r="U130" s="257">
        <v>2100.6079450000002</v>
      </c>
      <c r="V130" s="225">
        <v>0.17505066208333336</v>
      </c>
      <c r="W130" s="225">
        <v>0.18426385482456142</v>
      </c>
      <c r="X130" s="257">
        <v>2100.6079450000002</v>
      </c>
      <c r="Y130" s="225">
        <v>0.17505066208333336</v>
      </c>
      <c r="Z130" s="225">
        <v>0.18426385482456142</v>
      </c>
      <c r="AA130" s="257">
        <v>2100.6079450000002</v>
      </c>
      <c r="AB130" s="225">
        <v>0.17505066208333336</v>
      </c>
      <c r="AC130" s="225">
        <v>0.18426385482456142</v>
      </c>
      <c r="AD130" s="257">
        <v>2100.6079450000002</v>
      </c>
      <c r="AE130" s="225">
        <v>0.17505066208333336</v>
      </c>
      <c r="AF130" s="225">
        <v>0.18426385482456142</v>
      </c>
      <c r="AG130" s="257">
        <v>2100.6079450000002</v>
      </c>
      <c r="AH130" s="225">
        <v>0.17505066208333336</v>
      </c>
      <c r="AI130" s="225">
        <v>0.18426385482456142</v>
      </c>
      <c r="AJ130" s="257">
        <v>2100.6079450000002</v>
      </c>
      <c r="AK130" s="225">
        <v>0.17505066208333336</v>
      </c>
      <c r="AL130" s="225">
        <v>0.18426385482456142</v>
      </c>
      <c r="AM130" s="257">
        <v>2100.6079450000002</v>
      </c>
      <c r="AN130" s="225">
        <v>0.17505066208333336</v>
      </c>
      <c r="AO130" s="225">
        <v>0.18426385482456142</v>
      </c>
      <c r="AP130" s="225"/>
      <c r="AQ130" s="257">
        <v>2100.6079450000002</v>
      </c>
      <c r="AR130" s="225">
        <v>0.17505066208333336</v>
      </c>
      <c r="AS130" s="225">
        <v>0.18426385482456142</v>
      </c>
      <c r="AT130" s="257">
        <v>2100.6079450000002</v>
      </c>
      <c r="AU130" s="225">
        <v>0.17505066208333336</v>
      </c>
      <c r="AV130" s="225">
        <v>0.18426385482456142</v>
      </c>
      <c r="AW130" s="225"/>
      <c r="AX130" s="225"/>
      <c r="AY130" s="225"/>
      <c r="AZ130" s="225"/>
      <c r="BA130" s="225"/>
      <c r="BB130" s="225"/>
      <c r="BC130" s="257">
        <v>2100.6079450000002</v>
      </c>
      <c r="BD130" s="225">
        <v>0.17505066208333336</v>
      </c>
      <c r="BE130" s="225">
        <v>0.18426385482456142</v>
      </c>
      <c r="BF130" s="257"/>
      <c r="BG130" s="257">
        <v>4941.2447840000004</v>
      </c>
      <c r="BH130" s="225">
        <v>0.4117703986666667</v>
      </c>
      <c r="BI130" s="225">
        <v>0.43344252491228075</v>
      </c>
      <c r="BJ130" s="257">
        <f t="shared" si="75"/>
        <v>11400</v>
      </c>
      <c r="BK130" s="257">
        <v>6748.191918999999</v>
      </c>
      <c r="BL130" s="225">
        <f t="shared" si="98"/>
        <v>0.56234932658333325</v>
      </c>
      <c r="BM130" s="225">
        <f t="shared" si="80"/>
        <v>0.59194665956140347</v>
      </c>
      <c r="BN130" s="205">
        <f t="shared" si="73"/>
        <v>4647.5839739999992</v>
      </c>
      <c r="BO130" s="205"/>
      <c r="BP130" s="227"/>
      <c r="BQ130" s="224">
        <f t="shared" si="81"/>
        <v>0</v>
      </c>
      <c r="BR130" s="227">
        <v>1000</v>
      </c>
      <c r="BS130" s="224">
        <f t="shared" si="99"/>
        <v>8.3333333333333329E-2</v>
      </c>
      <c r="BT130" s="227">
        <v>2000</v>
      </c>
      <c r="BU130" s="224">
        <f t="shared" si="100"/>
        <v>0.16666666666666666</v>
      </c>
      <c r="BV130" s="227">
        <v>3000</v>
      </c>
      <c r="BW130" s="224">
        <f t="shared" si="101"/>
        <v>0.25</v>
      </c>
      <c r="BX130" s="227">
        <v>4000</v>
      </c>
      <c r="BY130" s="224">
        <f t="shared" si="102"/>
        <v>0.33333333333333331</v>
      </c>
      <c r="BZ130" s="227">
        <v>5000</v>
      </c>
      <c r="CA130" s="224">
        <f t="shared" si="103"/>
        <v>0.41666666666666669</v>
      </c>
      <c r="CB130" s="227">
        <v>6000</v>
      </c>
      <c r="CC130" s="224">
        <f t="shared" si="104"/>
        <v>0.5</v>
      </c>
      <c r="CD130" s="227">
        <v>7000</v>
      </c>
      <c r="CE130" s="224">
        <f t="shared" si="105"/>
        <v>0.58333333333333337</v>
      </c>
      <c r="CF130" s="227">
        <v>9000</v>
      </c>
      <c r="CG130" s="224">
        <f t="shared" si="106"/>
        <v>0.75</v>
      </c>
      <c r="CH130" s="227">
        <v>9000</v>
      </c>
      <c r="CI130" s="224">
        <f t="shared" si="107"/>
        <v>0.75</v>
      </c>
      <c r="CJ130" s="227">
        <v>10500</v>
      </c>
      <c r="CK130" s="224">
        <f t="shared" si="108"/>
        <v>0.875</v>
      </c>
      <c r="CL130" s="227">
        <v>11400</v>
      </c>
      <c r="CM130" s="224">
        <f t="shared" si="109"/>
        <v>0.95</v>
      </c>
      <c r="CN130" s="227">
        <v>11400</v>
      </c>
      <c r="CO130" s="224">
        <f t="shared" si="110"/>
        <v>0.95</v>
      </c>
      <c r="CP130" s="213" t="str">
        <f t="shared" si="82"/>
        <v>Đạt</v>
      </c>
      <c r="CQ130" s="213" t="str">
        <f t="shared" si="83"/>
        <v>Đạt</v>
      </c>
      <c r="CR130" s="192"/>
      <c r="CS130" s="192"/>
      <c r="CT130" s="223"/>
      <c r="CU130" s="163"/>
      <c r="CW130" s="195"/>
      <c r="CX130" s="196"/>
      <c r="CY130" s="196"/>
      <c r="CZ130" s="197"/>
      <c r="DA130" s="196"/>
      <c r="DB130" s="196"/>
      <c r="DC130" s="196"/>
      <c r="DE130" s="199"/>
      <c r="DF130" s="200"/>
      <c r="DG130" s="181"/>
    </row>
    <row r="131" spans="1:111" ht="51" hidden="1" outlineLevel="1" x14ac:dyDescent="0.25">
      <c r="A131" s="192">
        <f>MAX(A$129:A130)+1</f>
        <v>3</v>
      </c>
      <c r="B131" s="222" t="s">
        <v>289</v>
      </c>
      <c r="C131" s="222">
        <v>7906860</v>
      </c>
      <c r="D131" s="214">
        <f t="shared" si="114"/>
        <v>0</v>
      </c>
      <c r="E131" s="205"/>
      <c r="F131" s="214">
        <f t="shared" si="115"/>
        <v>0</v>
      </c>
      <c r="G131" s="257">
        <v>0</v>
      </c>
      <c r="H131" s="257"/>
      <c r="I131" s="235"/>
      <c r="J131" s="235"/>
      <c r="K131" s="223"/>
      <c r="L131" s="235"/>
      <c r="M131" s="223"/>
      <c r="N131" s="223"/>
      <c r="O131" s="257">
        <f t="shared" si="84"/>
        <v>0</v>
      </c>
      <c r="P131" s="257">
        <v>0</v>
      </c>
      <c r="Q131" s="224" t="e">
        <f t="shared" si="79"/>
        <v>#DIV/0!</v>
      </c>
      <c r="R131" s="257"/>
      <c r="S131" s="225">
        <v>0</v>
      </c>
      <c r="T131" s="225">
        <v>0</v>
      </c>
      <c r="U131" s="257"/>
      <c r="V131" s="225">
        <v>0</v>
      </c>
      <c r="W131" s="225">
        <v>0</v>
      </c>
      <c r="X131" s="257"/>
      <c r="Y131" s="225">
        <v>0</v>
      </c>
      <c r="Z131" s="225">
        <v>0</v>
      </c>
      <c r="AA131" s="257"/>
      <c r="AB131" s="225">
        <v>0</v>
      </c>
      <c r="AC131" s="225">
        <v>0</v>
      </c>
      <c r="AD131" s="257"/>
      <c r="AE131" s="225">
        <v>0</v>
      </c>
      <c r="AF131" s="225">
        <v>0</v>
      </c>
      <c r="AG131" s="257"/>
      <c r="AH131" s="225">
        <v>0</v>
      </c>
      <c r="AI131" s="225">
        <v>0</v>
      </c>
      <c r="AJ131" s="214"/>
      <c r="AK131" s="225">
        <v>0</v>
      </c>
      <c r="AL131" s="225">
        <v>0</v>
      </c>
      <c r="AM131" s="257"/>
      <c r="AN131" s="225">
        <v>0</v>
      </c>
      <c r="AO131" s="225">
        <v>0</v>
      </c>
      <c r="AP131" s="225"/>
      <c r="AQ131" s="257"/>
      <c r="AR131" s="225">
        <v>0</v>
      </c>
      <c r="AS131" s="225">
        <v>0</v>
      </c>
      <c r="AT131" s="257"/>
      <c r="AU131" s="225">
        <v>0</v>
      </c>
      <c r="AV131" s="225">
        <v>0</v>
      </c>
      <c r="AW131" s="225"/>
      <c r="AX131" s="225"/>
      <c r="AY131" s="225"/>
      <c r="AZ131" s="225"/>
      <c r="BA131" s="225"/>
      <c r="BB131" s="225"/>
      <c r="BC131" s="257"/>
      <c r="BD131" s="225">
        <v>0</v>
      </c>
      <c r="BE131" s="225">
        <v>0</v>
      </c>
      <c r="BF131" s="257"/>
      <c r="BG131" s="257"/>
      <c r="BH131" s="225" t="e">
        <v>#DIV/0!</v>
      </c>
      <c r="BI131" s="225" t="e">
        <v>#DIV/0!</v>
      </c>
      <c r="BJ131" s="257">
        <f t="shared" si="75"/>
        <v>0</v>
      </c>
      <c r="BK131" s="257">
        <v>0</v>
      </c>
      <c r="BL131" s="225" t="e">
        <f t="shared" si="98"/>
        <v>#DIV/0!</v>
      </c>
      <c r="BM131" s="225" t="e">
        <f t="shared" si="80"/>
        <v>#DIV/0!</v>
      </c>
      <c r="BN131" s="205">
        <f t="shared" si="73"/>
        <v>0</v>
      </c>
      <c r="BO131" s="205"/>
      <c r="BP131" s="227">
        <v>0</v>
      </c>
      <c r="BQ131" s="224" t="e">
        <f t="shared" si="81"/>
        <v>#DIV/0!</v>
      </c>
      <c r="BR131" s="227">
        <v>1000</v>
      </c>
      <c r="BS131" s="224" t="e">
        <f t="shared" si="99"/>
        <v>#DIV/0!</v>
      </c>
      <c r="BT131" s="227">
        <v>2000</v>
      </c>
      <c r="BU131" s="224" t="e">
        <f t="shared" si="100"/>
        <v>#DIV/0!</v>
      </c>
      <c r="BV131" s="227">
        <v>3000</v>
      </c>
      <c r="BW131" s="224" t="e">
        <f t="shared" si="101"/>
        <v>#DIV/0!</v>
      </c>
      <c r="BX131" s="227">
        <v>4500</v>
      </c>
      <c r="BY131" s="224" t="e">
        <f t="shared" si="102"/>
        <v>#DIV/0!</v>
      </c>
      <c r="BZ131" s="227">
        <v>8500</v>
      </c>
      <c r="CA131" s="224" t="e">
        <f t="shared" si="103"/>
        <v>#DIV/0!</v>
      </c>
      <c r="CB131" s="227">
        <v>9500</v>
      </c>
      <c r="CC131" s="224" t="e">
        <f t="shared" si="104"/>
        <v>#DIV/0!</v>
      </c>
      <c r="CD131" s="227">
        <v>10500</v>
      </c>
      <c r="CE131" s="224" t="e">
        <f t="shared" si="105"/>
        <v>#DIV/0!</v>
      </c>
      <c r="CF131" s="227">
        <v>13000</v>
      </c>
      <c r="CG131" s="224" t="e">
        <f t="shared" si="106"/>
        <v>#DIV/0!</v>
      </c>
      <c r="CH131" s="227">
        <v>13000</v>
      </c>
      <c r="CI131" s="224" t="e">
        <f t="shared" si="107"/>
        <v>#DIV/0!</v>
      </c>
      <c r="CJ131" s="227">
        <v>14500</v>
      </c>
      <c r="CK131" s="224" t="e">
        <f t="shared" si="108"/>
        <v>#DIV/0!</v>
      </c>
      <c r="CL131" s="227">
        <v>15200</v>
      </c>
      <c r="CM131" s="224" t="e">
        <f t="shared" si="109"/>
        <v>#DIV/0!</v>
      </c>
      <c r="CN131" s="227">
        <v>15200</v>
      </c>
      <c r="CO131" s="224" t="e">
        <f t="shared" si="110"/>
        <v>#DIV/0!</v>
      </c>
      <c r="CP131" s="213" t="e">
        <f t="shared" si="82"/>
        <v>#DIV/0!</v>
      </c>
      <c r="CQ131" s="213" t="e">
        <f t="shared" si="83"/>
        <v>#DIV/0!</v>
      </c>
      <c r="CR131" s="192"/>
      <c r="CS131" s="192"/>
      <c r="CT131" s="223"/>
      <c r="CU131" s="163"/>
      <c r="CW131" s="195"/>
      <c r="CX131" s="196"/>
      <c r="CY131" s="196"/>
      <c r="CZ131" s="197"/>
      <c r="DA131" s="196"/>
      <c r="DB131" s="196"/>
      <c r="DC131" s="196"/>
      <c r="DE131" s="199"/>
      <c r="DF131" s="200"/>
      <c r="DG131" s="181"/>
    </row>
    <row r="132" spans="1:111" ht="38.25" hidden="1" outlineLevel="1" x14ac:dyDescent="0.25">
      <c r="A132" s="192">
        <f>MAX(A$129:A131)+1</f>
        <v>4</v>
      </c>
      <c r="B132" s="222" t="s">
        <v>290</v>
      </c>
      <c r="C132" s="222">
        <v>7796933</v>
      </c>
      <c r="D132" s="214">
        <f t="shared" si="114"/>
        <v>130000</v>
      </c>
      <c r="E132" s="205"/>
      <c r="F132" s="214">
        <f t="shared" si="115"/>
        <v>130000</v>
      </c>
      <c r="G132" s="257">
        <v>100000</v>
      </c>
      <c r="H132" s="257">
        <v>30000</v>
      </c>
      <c r="I132" s="235"/>
      <c r="J132" s="235"/>
      <c r="K132" s="223"/>
      <c r="L132" s="235"/>
      <c r="M132" s="223"/>
      <c r="N132" s="223"/>
      <c r="O132" s="257">
        <f t="shared" si="84"/>
        <v>100000</v>
      </c>
      <c r="P132" s="257">
        <v>32201.963486000001</v>
      </c>
      <c r="Q132" s="224">
        <f t="shared" si="79"/>
        <v>0.24770741143076924</v>
      </c>
      <c r="R132" s="257">
        <v>44287.941791999998</v>
      </c>
      <c r="S132" s="225">
        <v>0.34067647532307693</v>
      </c>
      <c r="T132" s="225">
        <v>0.35860681612955464</v>
      </c>
      <c r="U132" s="257">
        <v>44797.949399999998</v>
      </c>
      <c r="V132" s="225">
        <v>0.34459961076923074</v>
      </c>
      <c r="W132" s="225">
        <v>0.36273643238866393</v>
      </c>
      <c r="X132" s="257">
        <v>44797.949399999998</v>
      </c>
      <c r="Y132" s="225">
        <v>0.34459961076923074</v>
      </c>
      <c r="Z132" s="225">
        <v>0.36273643238866393</v>
      </c>
      <c r="AA132" s="257">
        <v>44797.949399999998</v>
      </c>
      <c r="AB132" s="225">
        <v>0.34459961076923074</v>
      </c>
      <c r="AC132" s="225">
        <v>0.36273643238866393</v>
      </c>
      <c r="AD132" s="257">
        <v>46162.187564</v>
      </c>
      <c r="AE132" s="225">
        <v>0.35509375049230768</v>
      </c>
      <c r="AF132" s="225">
        <v>0.37378289525506075</v>
      </c>
      <c r="AG132" s="214">
        <v>47442.187564</v>
      </c>
      <c r="AH132" s="225">
        <v>0.36493990433846152</v>
      </c>
      <c r="AI132" s="225">
        <v>0.38414726772469637</v>
      </c>
      <c r="AJ132" s="257">
        <v>47442.187564</v>
      </c>
      <c r="AK132" s="225">
        <v>0.36493990433846152</v>
      </c>
      <c r="AL132" s="225">
        <v>0.38414726772469637</v>
      </c>
      <c r="AM132" s="214">
        <v>47442.187564</v>
      </c>
      <c r="AN132" s="225">
        <v>0.36493990433846152</v>
      </c>
      <c r="AO132" s="225">
        <v>0.38414726772469637</v>
      </c>
      <c r="AP132" s="225"/>
      <c r="AQ132" s="214">
        <v>48787.195335999997</v>
      </c>
      <c r="AR132" s="225">
        <v>0.37528611796923073</v>
      </c>
      <c r="AS132" s="225">
        <v>0.39503801891497975</v>
      </c>
      <c r="AT132" s="214">
        <v>48787.195335999997</v>
      </c>
      <c r="AU132" s="225">
        <v>0.37528611796923073</v>
      </c>
      <c r="AV132" s="225">
        <v>0.39503801891497975</v>
      </c>
      <c r="AW132" s="225"/>
      <c r="AX132" s="225"/>
      <c r="AY132" s="225"/>
      <c r="AZ132" s="225"/>
      <c r="BA132" s="225"/>
      <c r="BB132" s="225"/>
      <c r="BC132" s="214">
        <v>48787.195335999997</v>
      </c>
      <c r="BD132" s="225">
        <v>0.37528611796923073</v>
      </c>
      <c r="BE132" s="225">
        <v>0.39503801891497975</v>
      </c>
      <c r="BF132" s="214"/>
      <c r="BG132" s="214">
        <v>50571.82</v>
      </c>
      <c r="BH132" s="225">
        <v>0.38901399999999997</v>
      </c>
      <c r="BI132" s="225">
        <v>0.40948842105263156</v>
      </c>
      <c r="BJ132" s="214">
        <f t="shared" si="75"/>
        <v>123500</v>
      </c>
      <c r="BK132" s="214">
        <v>52512.059588999997</v>
      </c>
      <c r="BL132" s="225">
        <f t="shared" si="98"/>
        <v>0.40393891991538461</v>
      </c>
      <c r="BM132" s="225">
        <f t="shared" si="80"/>
        <v>0.42519886306882587</v>
      </c>
      <c r="BN132" s="205">
        <f t="shared" ref="BN132:BN195" si="116">BK132-AD132</f>
        <v>6349.8720249999969</v>
      </c>
      <c r="BO132" s="205"/>
      <c r="BP132" s="227">
        <v>10000</v>
      </c>
      <c r="BQ132" s="224">
        <f t="shared" si="81"/>
        <v>7.6923076923076927E-2</v>
      </c>
      <c r="BR132" s="227">
        <v>20000</v>
      </c>
      <c r="BS132" s="224">
        <f t="shared" si="99"/>
        <v>0.15384615384615385</v>
      </c>
      <c r="BT132" s="227">
        <v>30000</v>
      </c>
      <c r="BU132" s="224">
        <f t="shared" si="100"/>
        <v>0.23076923076923078</v>
      </c>
      <c r="BV132" s="227">
        <v>40000</v>
      </c>
      <c r="BW132" s="224">
        <f t="shared" si="101"/>
        <v>0.30769230769230771</v>
      </c>
      <c r="BX132" s="227">
        <v>50000</v>
      </c>
      <c r="BY132" s="224">
        <f t="shared" si="102"/>
        <v>0.38461538461538464</v>
      </c>
      <c r="BZ132" s="227">
        <v>60000</v>
      </c>
      <c r="CA132" s="224">
        <f t="shared" si="103"/>
        <v>0.46153846153846156</v>
      </c>
      <c r="CB132" s="227">
        <v>70000</v>
      </c>
      <c r="CC132" s="224">
        <f t="shared" si="104"/>
        <v>0.53846153846153844</v>
      </c>
      <c r="CD132" s="227">
        <v>80000</v>
      </c>
      <c r="CE132" s="224">
        <f t="shared" si="105"/>
        <v>0.61538461538461542</v>
      </c>
      <c r="CF132" s="227">
        <v>100000</v>
      </c>
      <c r="CG132" s="224">
        <f t="shared" si="106"/>
        <v>0.76923076923076927</v>
      </c>
      <c r="CH132" s="227">
        <v>100000</v>
      </c>
      <c r="CI132" s="224">
        <f t="shared" si="107"/>
        <v>0.76923076923076927</v>
      </c>
      <c r="CJ132" s="227">
        <v>110000</v>
      </c>
      <c r="CK132" s="224">
        <f t="shared" si="108"/>
        <v>0.84615384615384615</v>
      </c>
      <c r="CL132" s="227">
        <v>120000</v>
      </c>
      <c r="CM132" s="224">
        <f t="shared" si="109"/>
        <v>0.92307692307692313</v>
      </c>
      <c r="CN132" s="227">
        <v>123500</v>
      </c>
      <c r="CO132" s="224">
        <f t="shared" si="110"/>
        <v>0.95</v>
      </c>
      <c r="CP132" s="213" t="str">
        <f t="shared" si="82"/>
        <v>Đạt</v>
      </c>
      <c r="CQ132" s="213" t="str">
        <f t="shared" si="83"/>
        <v>Không đạt</v>
      </c>
      <c r="CR132" s="192"/>
      <c r="CS132" s="192"/>
      <c r="CT132" s="223"/>
      <c r="CU132" s="163"/>
      <c r="CW132" s="195"/>
      <c r="CX132" s="196"/>
      <c r="CY132" s="196"/>
      <c r="CZ132" s="197"/>
      <c r="DA132" s="196"/>
      <c r="DB132" s="196"/>
      <c r="DC132" s="196"/>
      <c r="DE132" s="199"/>
      <c r="DF132" s="200"/>
      <c r="DG132" s="181"/>
    </row>
    <row r="133" spans="1:111" ht="25.5" hidden="1" outlineLevel="1" x14ac:dyDescent="0.25">
      <c r="A133" s="192">
        <f>MAX(A$129:A132)+1</f>
        <v>5</v>
      </c>
      <c r="B133" s="222" t="s">
        <v>291</v>
      </c>
      <c r="C133" s="222">
        <v>7778423</v>
      </c>
      <c r="D133" s="214">
        <f t="shared" si="114"/>
        <v>4000</v>
      </c>
      <c r="E133" s="205"/>
      <c r="F133" s="214">
        <f t="shared" si="115"/>
        <v>4000</v>
      </c>
      <c r="G133" s="257">
        <v>4000</v>
      </c>
      <c r="H133" s="257"/>
      <c r="I133" s="235"/>
      <c r="J133" s="235"/>
      <c r="K133" s="223"/>
      <c r="L133" s="235"/>
      <c r="M133" s="223"/>
      <c r="N133" s="223"/>
      <c r="O133" s="257">
        <f t="shared" si="84"/>
        <v>4000</v>
      </c>
      <c r="P133" s="257">
        <v>223.76499999999999</v>
      </c>
      <c r="Q133" s="224">
        <f t="shared" si="79"/>
        <v>5.5941249999999998E-2</v>
      </c>
      <c r="R133" s="257">
        <v>223.76499999999999</v>
      </c>
      <c r="S133" s="225">
        <v>5.5941249999999998E-2</v>
      </c>
      <c r="T133" s="225">
        <v>5.8885526315789471E-2</v>
      </c>
      <c r="U133" s="257">
        <v>340.54300000000001</v>
      </c>
      <c r="V133" s="225">
        <v>8.5135749999999996E-2</v>
      </c>
      <c r="W133" s="225">
        <v>8.9616578947368422E-2</v>
      </c>
      <c r="X133" s="257">
        <v>340.54300000000001</v>
      </c>
      <c r="Y133" s="225">
        <v>8.5135749999999996E-2</v>
      </c>
      <c r="Z133" s="225">
        <v>8.9616578947368422E-2</v>
      </c>
      <c r="AA133" s="257">
        <v>340.54300000000001</v>
      </c>
      <c r="AB133" s="225">
        <v>8.5135749999999996E-2</v>
      </c>
      <c r="AC133" s="225">
        <v>8.9616578947368422E-2</v>
      </c>
      <c r="AD133" s="257">
        <v>340.54300000000001</v>
      </c>
      <c r="AE133" s="225">
        <v>8.5135749999999996E-2</v>
      </c>
      <c r="AF133" s="225">
        <v>8.9616578947368422E-2</v>
      </c>
      <c r="AG133" s="257">
        <v>340.54300000000001</v>
      </c>
      <c r="AH133" s="225">
        <v>8.5135749999999996E-2</v>
      </c>
      <c r="AI133" s="225">
        <v>8.9616578947368422E-2</v>
      </c>
      <c r="AJ133" s="257">
        <v>340.54300000000001</v>
      </c>
      <c r="AK133" s="225">
        <v>8.5135749999999996E-2</v>
      </c>
      <c r="AL133" s="225">
        <v>8.9616578947368422E-2</v>
      </c>
      <c r="AM133" s="257">
        <v>340.54300000000001</v>
      </c>
      <c r="AN133" s="225">
        <v>8.5135749999999996E-2</v>
      </c>
      <c r="AO133" s="225">
        <v>8.9616578947368422E-2</v>
      </c>
      <c r="AP133" s="225"/>
      <c r="AQ133" s="257">
        <v>340.54300000000001</v>
      </c>
      <c r="AR133" s="225">
        <v>8.5135749999999996E-2</v>
      </c>
      <c r="AS133" s="225">
        <v>8.9616578947368422E-2</v>
      </c>
      <c r="AT133" s="257">
        <v>340.54300000000001</v>
      </c>
      <c r="AU133" s="225">
        <v>8.5135749999999996E-2</v>
      </c>
      <c r="AV133" s="225">
        <v>8.9616578947368422E-2</v>
      </c>
      <c r="AW133" s="225"/>
      <c r="AX133" s="225"/>
      <c r="AY133" s="225"/>
      <c r="AZ133" s="225"/>
      <c r="BA133" s="225"/>
      <c r="BB133" s="225"/>
      <c r="BC133" s="257">
        <v>340.54300000000001</v>
      </c>
      <c r="BD133" s="225">
        <v>8.5135749999999996E-2</v>
      </c>
      <c r="BE133" s="225">
        <v>8.9616578947368422E-2</v>
      </c>
      <c r="BF133" s="257"/>
      <c r="BG133" s="257">
        <v>340.54300000000001</v>
      </c>
      <c r="BH133" s="225">
        <v>8.5135749999999996E-2</v>
      </c>
      <c r="BI133" s="225">
        <v>8.9616578947368422E-2</v>
      </c>
      <c r="BJ133" s="257">
        <f t="shared" si="75"/>
        <v>3800</v>
      </c>
      <c r="BK133" s="257">
        <v>340.54300000000001</v>
      </c>
      <c r="BL133" s="225">
        <f t="shared" si="98"/>
        <v>8.5135749999999996E-2</v>
      </c>
      <c r="BM133" s="225">
        <f t="shared" si="80"/>
        <v>8.9616578947368422E-2</v>
      </c>
      <c r="BN133" s="205">
        <f t="shared" si="116"/>
        <v>0</v>
      </c>
      <c r="BO133" s="205"/>
      <c r="BP133" s="227">
        <v>0</v>
      </c>
      <c r="BQ133" s="224">
        <f t="shared" si="81"/>
        <v>0</v>
      </c>
      <c r="BR133" s="227">
        <v>0</v>
      </c>
      <c r="BS133" s="224">
        <f t="shared" si="99"/>
        <v>0</v>
      </c>
      <c r="BT133" s="227">
        <v>0</v>
      </c>
      <c r="BU133" s="224">
        <f t="shared" si="100"/>
        <v>0</v>
      </c>
      <c r="BV133" s="227">
        <v>2000</v>
      </c>
      <c r="BW133" s="224">
        <f t="shared" si="101"/>
        <v>0.5</v>
      </c>
      <c r="BX133" s="227">
        <v>2000</v>
      </c>
      <c r="BY133" s="224">
        <f t="shared" si="102"/>
        <v>0.5</v>
      </c>
      <c r="BZ133" s="227">
        <v>3000</v>
      </c>
      <c r="CA133" s="224">
        <f t="shared" si="103"/>
        <v>0.75</v>
      </c>
      <c r="CB133" s="227">
        <v>3800</v>
      </c>
      <c r="CC133" s="224">
        <f t="shared" si="104"/>
        <v>0.95</v>
      </c>
      <c r="CD133" s="227">
        <v>3800</v>
      </c>
      <c r="CE133" s="224">
        <f t="shared" si="105"/>
        <v>0.95</v>
      </c>
      <c r="CF133" s="227">
        <v>3800</v>
      </c>
      <c r="CG133" s="224">
        <f t="shared" si="106"/>
        <v>0.95</v>
      </c>
      <c r="CH133" s="227">
        <v>3800</v>
      </c>
      <c r="CI133" s="224">
        <f t="shared" si="107"/>
        <v>0.95</v>
      </c>
      <c r="CJ133" s="227">
        <v>3800</v>
      </c>
      <c r="CK133" s="224">
        <f t="shared" si="108"/>
        <v>0.95</v>
      </c>
      <c r="CL133" s="227">
        <v>3800</v>
      </c>
      <c r="CM133" s="224">
        <f t="shared" si="109"/>
        <v>0.95</v>
      </c>
      <c r="CN133" s="227">
        <v>3800</v>
      </c>
      <c r="CO133" s="224">
        <f t="shared" si="110"/>
        <v>0.95</v>
      </c>
      <c r="CP133" s="213" t="str">
        <f t="shared" si="82"/>
        <v>Không đạt</v>
      </c>
      <c r="CQ133" s="213" t="str">
        <f t="shared" si="83"/>
        <v>Không đạt</v>
      </c>
      <c r="CR133" s="192"/>
      <c r="CS133" s="192"/>
      <c r="CT133" s="223"/>
      <c r="CU133" s="163"/>
      <c r="CW133" s="195"/>
      <c r="CX133" s="196"/>
      <c r="CY133" s="196"/>
      <c r="CZ133" s="197"/>
      <c r="DA133" s="196"/>
      <c r="DB133" s="196"/>
      <c r="DC133" s="196"/>
      <c r="DE133" s="199"/>
      <c r="DF133" s="200"/>
      <c r="DG133" s="181"/>
    </row>
    <row r="134" spans="1:111" ht="25.5" hidden="1" outlineLevel="1" x14ac:dyDescent="0.25">
      <c r="A134" s="192">
        <f>MAX(A$129:A133)+1</f>
        <v>6</v>
      </c>
      <c r="B134" s="222" t="s">
        <v>292</v>
      </c>
      <c r="C134" s="222">
        <v>7904207</v>
      </c>
      <c r="D134" s="214">
        <f t="shared" si="114"/>
        <v>40000</v>
      </c>
      <c r="E134" s="205"/>
      <c r="F134" s="214">
        <f t="shared" si="115"/>
        <v>40000</v>
      </c>
      <c r="G134" s="257">
        <v>40000</v>
      </c>
      <c r="H134" s="257"/>
      <c r="I134" s="235"/>
      <c r="J134" s="235"/>
      <c r="K134" s="223"/>
      <c r="L134" s="235"/>
      <c r="M134" s="223"/>
      <c r="N134" s="223"/>
      <c r="O134" s="257">
        <f t="shared" si="84"/>
        <v>40000</v>
      </c>
      <c r="P134" s="257">
        <v>498</v>
      </c>
      <c r="Q134" s="224">
        <f t="shared" si="79"/>
        <v>1.2449999999999999E-2</v>
      </c>
      <c r="R134" s="257">
        <v>498</v>
      </c>
      <c r="S134" s="225">
        <v>1.2449999999999999E-2</v>
      </c>
      <c r="T134" s="225">
        <v>1.3105263157894736E-2</v>
      </c>
      <c r="U134" s="257">
        <v>498</v>
      </c>
      <c r="V134" s="225">
        <v>1.2449999999999999E-2</v>
      </c>
      <c r="W134" s="225">
        <v>1.3105263157894736E-2</v>
      </c>
      <c r="X134" s="257">
        <v>498</v>
      </c>
      <c r="Y134" s="225">
        <v>1.2449999999999999E-2</v>
      </c>
      <c r="Z134" s="225">
        <v>1.3105263157894736E-2</v>
      </c>
      <c r="AA134" s="257">
        <v>498</v>
      </c>
      <c r="AB134" s="225">
        <v>1.2449999999999999E-2</v>
      </c>
      <c r="AC134" s="225">
        <v>1.3105263157894736E-2</v>
      </c>
      <c r="AD134" s="257">
        <v>1349.611091</v>
      </c>
      <c r="AE134" s="225">
        <v>3.3740277275000001E-2</v>
      </c>
      <c r="AF134" s="225">
        <v>3.5516081342105266E-2</v>
      </c>
      <c r="AG134" s="257">
        <v>1349.611091</v>
      </c>
      <c r="AH134" s="225">
        <v>3.3740277275000001E-2</v>
      </c>
      <c r="AI134" s="225">
        <v>3.5516081342105266E-2</v>
      </c>
      <c r="AJ134" s="257">
        <v>1349.611091</v>
      </c>
      <c r="AK134" s="225">
        <v>3.3740277275000001E-2</v>
      </c>
      <c r="AL134" s="225">
        <v>3.5516081342105266E-2</v>
      </c>
      <c r="AM134" s="257">
        <v>1349.611091</v>
      </c>
      <c r="AN134" s="225">
        <v>3.3740277275000001E-2</v>
      </c>
      <c r="AO134" s="225">
        <v>3.5516081342105266E-2</v>
      </c>
      <c r="AP134" s="225"/>
      <c r="AQ134" s="257">
        <v>1349.611091</v>
      </c>
      <c r="AR134" s="225">
        <v>3.3740277275000001E-2</v>
      </c>
      <c r="AS134" s="225">
        <v>3.5516081342105266E-2</v>
      </c>
      <c r="AT134" s="257">
        <v>1349.611091</v>
      </c>
      <c r="AU134" s="225">
        <v>3.3740277275000001E-2</v>
      </c>
      <c r="AV134" s="225">
        <v>3.5516081342105266E-2</v>
      </c>
      <c r="AW134" s="225"/>
      <c r="AX134" s="225"/>
      <c r="AY134" s="225"/>
      <c r="AZ134" s="225"/>
      <c r="BA134" s="225"/>
      <c r="BB134" s="225"/>
      <c r="BC134" s="257">
        <v>1349.611091</v>
      </c>
      <c r="BD134" s="225">
        <v>3.3740277275000001E-2</v>
      </c>
      <c r="BE134" s="225">
        <v>3.5516081342105266E-2</v>
      </c>
      <c r="BF134" s="257"/>
      <c r="BG134" s="257">
        <v>1349.611091</v>
      </c>
      <c r="BH134" s="225">
        <v>3.3740277275000001E-2</v>
      </c>
      <c r="BI134" s="225">
        <v>3.5516081342105266E-2</v>
      </c>
      <c r="BJ134" s="257">
        <f t="shared" si="75"/>
        <v>38000</v>
      </c>
      <c r="BK134" s="257">
        <v>1349.611091</v>
      </c>
      <c r="BL134" s="225">
        <f t="shared" si="98"/>
        <v>3.3740277275000001E-2</v>
      </c>
      <c r="BM134" s="225">
        <f t="shared" si="80"/>
        <v>3.5516081342105266E-2</v>
      </c>
      <c r="BN134" s="205">
        <f t="shared" si="116"/>
        <v>0</v>
      </c>
      <c r="BO134" s="205"/>
      <c r="BP134" s="227">
        <v>2000</v>
      </c>
      <c r="BQ134" s="224">
        <f t="shared" si="81"/>
        <v>0.05</v>
      </c>
      <c r="BR134" s="227">
        <v>4000</v>
      </c>
      <c r="BS134" s="224">
        <f t="shared" si="99"/>
        <v>0.1</v>
      </c>
      <c r="BT134" s="227">
        <v>7000</v>
      </c>
      <c r="BU134" s="224">
        <f t="shared" si="100"/>
        <v>0.17499999999999999</v>
      </c>
      <c r="BV134" s="227">
        <v>11000</v>
      </c>
      <c r="BW134" s="224">
        <f t="shared" si="101"/>
        <v>0.27500000000000002</v>
      </c>
      <c r="BX134" s="227">
        <v>15000</v>
      </c>
      <c r="BY134" s="224">
        <f t="shared" si="102"/>
        <v>0.375</v>
      </c>
      <c r="BZ134" s="227">
        <v>19000</v>
      </c>
      <c r="CA134" s="224">
        <f t="shared" si="103"/>
        <v>0.47499999999999998</v>
      </c>
      <c r="CB134" s="227">
        <v>23000</v>
      </c>
      <c r="CC134" s="224">
        <f t="shared" si="104"/>
        <v>0.57499999999999996</v>
      </c>
      <c r="CD134" s="227">
        <v>26500</v>
      </c>
      <c r="CE134" s="224">
        <f t="shared" si="105"/>
        <v>0.66249999999999998</v>
      </c>
      <c r="CF134" s="227">
        <v>35000</v>
      </c>
      <c r="CG134" s="224">
        <f t="shared" si="106"/>
        <v>0.875</v>
      </c>
      <c r="CH134" s="227">
        <v>35000</v>
      </c>
      <c r="CI134" s="224">
        <f t="shared" si="107"/>
        <v>0.875</v>
      </c>
      <c r="CJ134" s="227">
        <v>38000</v>
      </c>
      <c r="CK134" s="224">
        <f t="shared" si="108"/>
        <v>0.95</v>
      </c>
      <c r="CL134" s="227">
        <v>38000</v>
      </c>
      <c r="CM134" s="224">
        <f t="shared" si="109"/>
        <v>0.95</v>
      </c>
      <c r="CN134" s="227">
        <v>38000</v>
      </c>
      <c r="CO134" s="224">
        <f t="shared" si="110"/>
        <v>0.95</v>
      </c>
      <c r="CP134" s="213" t="str">
        <f t="shared" si="82"/>
        <v>Không đạt</v>
      </c>
      <c r="CQ134" s="213" t="str">
        <f t="shared" si="83"/>
        <v>Không đạt</v>
      </c>
      <c r="CR134" s="192"/>
      <c r="CS134" s="192"/>
      <c r="CT134" s="223"/>
      <c r="CU134" s="163"/>
      <c r="CW134" s="195"/>
      <c r="CX134" s="196"/>
      <c r="CY134" s="196"/>
      <c r="CZ134" s="197"/>
      <c r="DA134" s="196"/>
      <c r="DB134" s="196"/>
      <c r="DC134" s="196"/>
      <c r="DE134" s="199"/>
      <c r="DF134" s="200"/>
      <c r="DG134" s="181"/>
    </row>
    <row r="135" spans="1:111" ht="25.5" hidden="1" outlineLevel="1" x14ac:dyDescent="0.25">
      <c r="A135" s="192">
        <f>MAX(A$129:A134)+1</f>
        <v>7</v>
      </c>
      <c r="B135" s="222" t="s">
        <v>293</v>
      </c>
      <c r="C135" s="222">
        <v>7829563</v>
      </c>
      <c r="D135" s="214">
        <f t="shared" si="114"/>
        <v>347360</v>
      </c>
      <c r="E135" s="205"/>
      <c r="F135" s="214">
        <f t="shared" si="115"/>
        <v>347360</v>
      </c>
      <c r="G135" s="257">
        <v>200000</v>
      </c>
      <c r="H135" s="257">
        <f>100000+52360-5000</f>
        <v>147360</v>
      </c>
      <c r="I135" s="235"/>
      <c r="J135" s="235"/>
      <c r="K135" s="223"/>
      <c r="L135" s="235"/>
      <c r="M135" s="223"/>
      <c r="N135" s="223"/>
      <c r="O135" s="257">
        <f t="shared" si="84"/>
        <v>200000</v>
      </c>
      <c r="P135" s="257">
        <v>30269.083954000002</v>
      </c>
      <c r="Q135" s="224">
        <f t="shared" si="79"/>
        <v>8.7140384482957162E-2</v>
      </c>
      <c r="R135" s="257">
        <v>38896.393299000003</v>
      </c>
      <c r="S135" s="225">
        <v>0.1119771801560341</v>
      </c>
      <c r="T135" s="225">
        <v>0.1178707159537201</v>
      </c>
      <c r="U135" s="257">
        <v>39256.846298999997</v>
      </c>
      <c r="V135" s="225">
        <v>0.11301487303949792</v>
      </c>
      <c r="W135" s="225">
        <v>0.11896302425210308</v>
      </c>
      <c r="X135" s="257">
        <v>39256.846298999997</v>
      </c>
      <c r="Y135" s="225">
        <v>0.11301487303949792</v>
      </c>
      <c r="Z135" s="225">
        <v>0.11896302425210308</v>
      </c>
      <c r="AA135" s="257">
        <v>39256.846298999997</v>
      </c>
      <c r="AB135" s="225">
        <v>0.11301487303949792</v>
      </c>
      <c r="AC135" s="225">
        <v>0.11896302425210308</v>
      </c>
      <c r="AD135" s="257">
        <v>45892.229746999998</v>
      </c>
      <c r="AE135" s="225">
        <v>0.13211719756736526</v>
      </c>
      <c r="AF135" s="225">
        <v>0.13907073428143713</v>
      </c>
      <c r="AG135" s="257">
        <v>45892.229746999998</v>
      </c>
      <c r="AH135" s="225">
        <v>0.13211719756736526</v>
      </c>
      <c r="AI135" s="225">
        <v>0.13907073428143713</v>
      </c>
      <c r="AJ135" s="257">
        <v>45892.229746999998</v>
      </c>
      <c r="AK135" s="225">
        <v>0.13211719756736526</v>
      </c>
      <c r="AL135" s="225">
        <v>0.13907073428143713</v>
      </c>
      <c r="AM135" s="257">
        <v>45892.229746999998</v>
      </c>
      <c r="AN135" s="225">
        <v>0.13211719756736526</v>
      </c>
      <c r="AO135" s="225">
        <v>0.13907073428143713</v>
      </c>
      <c r="AP135" s="225"/>
      <c r="AQ135" s="257">
        <v>46670.336911999999</v>
      </c>
      <c r="AR135" s="225">
        <v>0.13435725734684476</v>
      </c>
      <c r="AS135" s="225">
        <v>0.14142869194404711</v>
      </c>
      <c r="AT135" s="257">
        <v>46670.336911999999</v>
      </c>
      <c r="AU135" s="225">
        <v>0.13435725734684476</v>
      </c>
      <c r="AV135" s="225">
        <v>0.14142869194404711</v>
      </c>
      <c r="AW135" s="225"/>
      <c r="AX135" s="225"/>
      <c r="AY135" s="225"/>
      <c r="AZ135" s="225"/>
      <c r="BA135" s="225"/>
      <c r="BB135" s="225"/>
      <c r="BC135" s="257">
        <v>46670.336911999999</v>
      </c>
      <c r="BD135" s="225">
        <v>0.13435725734684476</v>
      </c>
      <c r="BE135" s="225">
        <v>0.14142869194404711</v>
      </c>
      <c r="BF135" s="257"/>
      <c r="BG135" s="257">
        <v>66480.591023999994</v>
      </c>
      <c r="BH135" s="225">
        <v>0.19138815932749884</v>
      </c>
      <c r="BI135" s="225">
        <v>0.20146122034473563</v>
      </c>
      <c r="BJ135" s="257">
        <f t="shared" si="75"/>
        <v>329992</v>
      </c>
      <c r="BK135" s="257">
        <v>68514.169504000005</v>
      </c>
      <c r="BL135" s="225">
        <f t="shared" si="98"/>
        <v>0.19724254233072319</v>
      </c>
      <c r="BM135" s="225">
        <f t="shared" si="80"/>
        <v>0.20762372876918231</v>
      </c>
      <c r="BN135" s="205">
        <f t="shared" si="116"/>
        <v>22621.939757000007</v>
      </c>
      <c r="BO135" s="205"/>
      <c r="BP135" s="227">
        <v>15000</v>
      </c>
      <c r="BQ135" s="224">
        <f t="shared" si="81"/>
        <v>4.3182865039152467E-2</v>
      </c>
      <c r="BR135" s="227">
        <v>35000</v>
      </c>
      <c r="BS135" s="224">
        <f t="shared" si="99"/>
        <v>0.10076001842468908</v>
      </c>
      <c r="BT135" s="227">
        <v>50000</v>
      </c>
      <c r="BU135" s="224">
        <f t="shared" si="100"/>
        <v>0.14394288346384154</v>
      </c>
      <c r="BV135" s="227">
        <v>80000</v>
      </c>
      <c r="BW135" s="224">
        <f t="shared" si="101"/>
        <v>0.23030861354214649</v>
      </c>
      <c r="BX135" s="227">
        <v>110000</v>
      </c>
      <c r="BY135" s="224">
        <f t="shared" si="102"/>
        <v>0.31667434362045138</v>
      </c>
      <c r="BZ135" s="227">
        <v>140000</v>
      </c>
      <c r="CA135" s="224">
        <f t="shared" si="103"/>
        <v>0.40304007369875633</v>
      </c>
      <c r="CB135" s="227">
        <v>165000</v>
      </c>
      <c r="CC135" s="224">
        <f t="shared" si="104"/>
        <v>0.4750115154306771</v>
      </c>
      <c r="CD135" s="227">
        <v>190000</v>
      </c>
      <c r="CE135" s="224">
        <f t="shared" si="105"/>
        <v>0.54698295716259793</v>
      </c>
      <c r="CF135" s="227">
        <v>240000</v>
      </c>
      <c r="CG135" s="224">
        <f t="shared" si="106"/>
        <v>0.69092584062643947</v>
      </c>
      <c r="CH135" s="227">
        <v>240000</v>
      </c>
      <c r="CI135" s="224">
        <f t="shared" si="107"/>
        <v>0.69092584062643947</v>
      </c>
      <c r="CJ135" s="227">
        <v>270000</v>
      </c>
      <c r="CK135" s="224">
        <f t="shared" si="108"/>
        <v>0.77729157070474431</v>
      </c>
      <c r="CL135" s="227">
        <v>305000</v>
      </c>
      <c r="CM135" s="224">
        <f t="shared" si="109"/>
        <v>0.87805158912943349</v>
      </c>
      <c r="CN135" s="227">
        <v>329650</v>
      </c>
      <c r="CO135" s="224">
        <f t="shared" si="110"/>
        <v>0.94901543067710736</v>
      </c>
      <c r="CP135" s="213" t="str">
        <f t="shared" si="82"/>
        <v>Không đạt</v>
      </c>
      <c r="CQ135" s="213" t="str">
        <f t="shared" si="83"/>
        <v>Không đạt</v>
      </c>
      <c r="CR135" s="192"/>
      <c r="CS135" s="192"/>
      <c r="CT135" s="223"/>
      <c r="CU135" s="163"/>
      <c r="CW135" s="195"/>
      <c r="CX135" s="196"/>
      <c r="CY135" s="196"/>
      <c r="CZ135" s="197"/>
      <c r="DA135" s="196"/>
      <c r="DB135" s="196"/>
      <c r="DC135" s="196"/>
      <c r="DE135" s="199"/>
      <c r="DF135" s="200"/>
      <c r="DG135" s="181"/>
    </row>
    <row r="136" spans="1:111" ht="25.5" hidden="1" outlineLevel="1" x14ac:dyDescent="0.25">
      <c r="A136" s="192">
        <f ca="1">MAX(A$17:A135)+1</f>
        <v>71</v>
      </c>
      <c r="B136" s="222" t="s">
        <v>294</v>
      </c>
      <c r="C136" s="222">
        <v>8172948</v>
      </c>
      <c r="D136" s="214">
        <f t="shared" si="114"/>
        <v>188000</v>
      </c>
      <c r="E136" s="215">
        <v>188000</v>
      </c>
      <c r="F136" s="214"/>
      <c r="G136" s="215"/>
      <c r="H136" s="257"/>
      <c r="I136" s="235"/>
      <c r="J136" s="235"/>
      <c r="K136" s="223"/>
      <c r="L136" s="235"/>
      <c r="M136" s="223"/>
      <c r="N136" s="223"/>
      <c r="O136" s="257"/>
      <c r="P136" s="257"/>
      <c r="Q136" s="224"/>
      <c r="R136" s="257">
        <v>26679.622399</v>
      </c>
      <c r="S136" s="225">
        <v>0.18655513103096244</v>
      </c>
      <c r="T136" s="225">
        <v>0.18655513103096244</v>
      </c>
      <c r="U136" s="257">
        <v>27937.945399</v>
      </c>
      <c r="V136" s="225">
        <v>0.1953538542150309</v>
      </c>
      <c r="W136" s="225">
        <v>0.1953538542150309</v>
      </c>
      <c r="X136" s="257">
        <v>27937.945399</v>
      </c>
      <c r="Y136" s="225">
        <v>0.1953538542150309</v>
      </c>
      <c r="Z136" s="225">
        <v>0.1953538542150309</v>
      </c>
      <c r="AA136" s="257">
        <v>27937.945399</v>
      </c>
      <c r="AB136" s="225">
        <v>0.1953538542150309</v>
      </c>
      <c r="AC136" s="225">
        <v>0.1953538542150309</v>
      </c>
      <c r="AD136" s="257">
        <v>28253.442399</v>
      </c>
      <c r="AE136" s="225">
        <v>0.19755994181607137</v>
      </c>
      <c r="AF136" s="225">
        <v>0.19755994181607137</v>
      </c>
      <c r="AG136" s="257">
        <v>28253.442399</v>
      </c>
      <c r="AH136" s="225">
        <v>0.19755994181607137</v>
      </c>
      <c r="AI136" s="225">
        <v>0.19755994181607137</v>
      </c>
      <c r="AJ136" s="257">
        <v>28253.442399</v>
      </c>
      <c r="AK136" s="225">
        <v>0.19755994181607137</v>
      </c>
      <c r="AL136" s="225">
        <v>0.19755994181607137</v>
      </c>
      <c r="AM136" s="257">
        <v>28253.442399</v>
      </c>
      <c r="AN136" s="225">
        <v>0.19755994181607137</v>
      </c>
      <c r="AO136" s="225">
        <v>0.19755994181607137</v>
      </c>
      <c r="AP136" s="225"/>
      <c r="AQ136" s="257">
        <v>28253.442399</v>
      </c>
      <c r="AR136" s="225">
        <v>0.19755994181607137</v>
      </c>
      <c r="AS136" s="225">
        <v>0.19755994181607137</v>
      </c>
      <c r="AT136" s="257">
        <v>28253.442399</v>
      </c>
      <c r="AU136" s="225">
        <v>0.19755994181607137</v>
      </c>
      <c r="AV136" s="225">
        <v>0.19755994181607137</v>
      </c>
      <c r="AW136" s="225"/>
      <c r="AX136" s="225"/>
      <c r="AY136" s="225"/>
      <c r="AZ136" s="225"/>
      <c r="BA136" s="225"/>
      <c r="BB136" s="225"/>
      <c r="BC136" s="257">
        <v>28253.442399</v>
      </c>
      <c r="BD136" s="225">
        <v>0.19755994181607137</v>
      </c>
      <c r="BE136" s="225">
        <v>0.19755994181607137</v>
      </c>
      <c r="BF136" s="257"/>
      <c r="BG136" s="257">
        <v>59943.046899000001</v>
      </c>
      <c r="BH136" s="225">
        <v>0.31884599414361703</v>
      </c>
      <c r="BI136" s="225">
        <v>0.31884599414361703</v>
      </c>
      <c r="BJ136" s="257">
        <f t="shared" si="75"/>
        <v>188000</v>
      </c>
      <c r="BK136" s="257">
        <v>73032.022899000003</v>
      </c>
      <c r="BL136" s="225">
        <f t="shared" si="98"/>
        <v>0.38846820690957451</v>
      </c>
      <c r="BM136" s="225">
        <f t="shared" si="80"/>
        <v>0.38846820690957451</v>
      </c>
      <c r="BN136" s="205">
        <f t="shared" si="116"/>
        <v>44778.580500000004</v>
      </c>
      <c r="BO136" s="205"/>
      <c r="BP136" s="227"/>
      <c r="BQ136" s="224"/>
      <c r="BR136" s="227"/>
      <c r="BS136" s="224"/>
      <c r="BT136" s="227"/>
      <c r="BU136" s="224"/>
      <c r="BV136" s="227"/>
      <c r="BW136" s="224"/>
      <c r="BX136" s="227"/>
      <c r="BY136" s="224"/>
      <c r="BZ136" s="227"/>
      <c r="CA136" s="224"/>
      <c r="CB136" s="227"/>
      <c r="CC136" s="224"/>
      <c r="CD136" s="227"/>
      <c r="CE136" s="224"/>
      <c r="CF136" s="227"/>
      <c r="CG136" s="224"/>
      <c r="CH136" s="227"/>
      <c r="CI136" s="224"/>
      <c r="CJ136" s="227"/>
      <c r="CK136" s="224"/>
      <c r="CL136" s="227"/>
      <c r="CM136" s="224"/>
      <c r="CN136" s="227"/>
      <c r="CO136" s="224"/>
      <c r="CP136" s="213" t="str">
        <f t="shared" si="82"/>
        <v>Đạt</v>
      </c>
      <c r="CQ136" s="213" t="str">
        <f t="shared" si="83"/>
        <v>Không đạt</v>
      </c>
      <c r="CR136" s="192"/>
      <c r="CS136" s="192"/>
      <c r="CT136" s="223"/>
      <c r="CU136" s="163"/>
      <c r="CW136" s="195"/>
      <c r="CX136" s="196"/>
      <c r="CY136" s="196"/>
      <c r="CZ136" s="197"/>
      <c r="DA136" s="196"/>
      <c r="DB136" s="196"/>
      <c r="DC136" s="196"/>
      <c r="DE136" s="199"/>
      <c r="DF136" s="200"/>
      <c r="DG136" s="181"/>
    </row>
    <row r="137" spans="1:111" ht="25.5" hidden="1" outlineLevel="1" x14ac:dyDescent="0.25">
      <c r="A137" s="192">
        <f ca="1">MAX(A$17:A136)+1</f>
        <v>70</v>
      </c>
      <c r="B137" s="222" t="s">
        <v>295</v>
      </c>
      <c r="C137" s="222">
        <v>8172949</v>
      </c>
      <c r="D137" s="214">
        <f t="shared" si="114"/>
        <v>182301</v>
      </c>
      <c r="E137" s="215">
        <v>182301</v>
      </c>
      <c r="F137" s="214"/>
      <c r="G137" s="215"/>
      <c r="H137" s="257"/>
      <c r="I137" s="235"/>
      <c r="J137" s="235"/>
      <c r="K137" s="223"/>
      <c r="L137" s="235"/>
      <c r="M137" s="223"/>
      <c r="N137" s="223"/>
      <c r="O137" s="257"/>
      <c r="P137" s="257"/>
      <c r="Q137" s="224"/>
      <c r="R137" s="257">
        <v>19879.725299999998</v>
      </c>
      <c r="S137" s="225">
        <v>0.11796656361262757</v>
      </c>
      <c r="T137" s="225">
        <v>0.11796656361262757</v>
      </c>
      <c r="U137" s="257">
        <v>21095.8943</v>
      </c>
      <c r="V137" s="225">
        <v>0.12518332720151912</v>
      </c>
      <c r="W137" s="225">
        <v>0.12518332720151912</v>
      </c>
      <c r="X137" s="257">
        <v>21095.8943</v>
      </c>
      <c r="Y137" s="225">
        <v>0.12518332720151912</v>
      </c>
      <c r="Z137" s="225">
        <v>0.12518332720151912</v>
      </c>
      <c r="AA137" s="257">
        <v>21095.8943</v>
      </c>
      <c r="AB137" s="225">
        <v>0.12518332720151912</v>
      </c>
      <c r="AC137" s="225">
        <v>0.12518332720151912</v>
      </c>
      <c r="AD137" s="257">
        <v>21390.3433</v>
      </c>
      <c r="AE137" s="225">
        <v>0.12693059162117257</v>
      </c>
      <c r="AF137" s="225">
        <v>0.12693059162117257</v>
      </c>
      <c r="AG137" s="257">
        <v>21390.3433</v>
      </c>
      <c r="AH137" s="225">
        <v>0.12693059162117257</v>
      </c>
      <c r="AI137" s="225">
        <v>0.12693059162117257</v>
      </c>
      <c r="AJ137" s="257">
        <v>21390.3433</v>
      </c>
      <c r="AK137" s="225">
        <v>0.12693059162117257</v>
      </c>
      <c r="AL137" s="225">
        <v>0.12693059162117257</v>
      </c>
      <c r="AM137" s="257">
        <v>21390.3433</v>
      </c>
      <c r="AN137" s="225">
        <v>0.12693059162117257</v>
      </c>
      <c r="AO137" s="225">
        <v>0.12693059162117257</v>
      </c>
      <c r="AP137" s="225"/>
      <c r="AQ137" s="257">
        <v>56844.855300000003</v>
      </c>
      <c r="AR137" s="225">
        <v>0.33731815392831715</v>
      </c>
      <c r="AS137" s="225">
        <v>0.33731815392831715</v>
      </c>
      <c r="AT137" s="257">
        <v>56844.855300000003</v>
      </c>
      <c r="AU137" s="225">
        <v>0.33731815392831715</v>
      </c>
      <c r="AV137" s="225">
        <v>0.33731815392831715</v>
      </c>
      <c r="AW137" s="225"/>
      <c r="AX137" s="225"/>
      <c r="AY137" s="225"/>
      <c r="AZ137" s="225"/>
      <c r="BA137" s="225"/>
      <c r="BB137" s="225"/>
      <c r="BC137" s="257">
        <v>56844.855300000003</v>
      </c>
      <c r="BD137" s="225">
        <v>0.33731815392831715</v>
      </c>
      <c r="BE137" s="225">
        <v>0.33731815392831715</v>
      </c>
      <c r="BF137" s="257"/>
      <c r="BG137" s="257">
        <v>99625.957699999999</v>
      </c>
      <c r="BH137" s="225">
        <v>0.54649155901503554</v>
      </c>
      <c r="BI137" s="225">
        <v>0.54649155901503554</v>
      </c>
      <c r="BJ137" s="257">
        <f t="shared" si="75"/>
        <v>182301</v>
      </c>
      <c r="BK137" s="257">
        <v>118460.6007</v>
      </c>
      <c r="BL137" s="225">
        <f t="shared" si="98"/>
        <v>0.64980773939802849</v>
      </c>
      <c r="BM137" s="225">
        <f t="shared" si="80"/>
        <v>0.64980773939802849</v>
      </c>
      <c r="BN137" s="205">
        <f t="shared" si="116"/>
        <v>97070.257400000002</v>
      </c>
      <c r="BO137" s="205"/>
      <c r="BP137" s="227"/>
      <c r="BQ137" s="224"/>
      <c r="BR137" s="227"/>
      <c r="BS137" s="224"/>
      <c r="BT137" s="227"/>
      <c r="BU137" s="224"/>
      <c r="BV137" s="227"/>
      <c r="BW137" s="224"/>
      <c r="BX137" s="227"/>
      <c r="BY137" s="224"/>
      <c r="BZ137" s="227"/>
      <c r="CA137" s="224"/>
      <c r="CB137" s="227"/>
      <c r="CC137" s="224"/>
      <c r="CD137" s="227"/>
      <c r="CE137" s="224"/>
      <c r="CF137" s="227"/>
      <c r="CG137" s="224"/>
      <c r="CH137" s="227"/>
      <c r="CI137" s="224"/>
      <c r="CJ137" s="227"/>
      <c r="CK137" s="224"/>
      <c r="CL137" s="227"/>
      <c r="CM137" s="224"/>
      <c r="CN137" s="227"/>
      <c r="CO137" s="224"/>
      <c r="CP137" s="213" t="str">
        <f t="shared" si="82"/>
        <v>Đạt</v>
      </c>
      <c r="CQ137" s="213" t="str">
        <f t="shared" si="83"/>
        <v>Đạt</v>
      </c>
      <c r="CR137" s="192"/>
      <c r="CS137" s="192"/>
      <c r="CT137" s="223"/>
      <c r="CU137" s="163"/>
      <c r="CW137" s="195"/>
      <c r="CX137" s="196"/>
      <c r="CY137" s="196"/>
      <c r="CZ137" s="197"/>
      <c r="DA137" s="196"/>
      <c r="DB137" s="196"/>
      <c r="DC137" s="196"/>
      <c r="DE137" s="199"/>
      <c r="DF137" s="200"/>
      <c r="DG137" s="181"/>
    </row>
    <row r="138" spans="1:111" ht="25.5" hidden="1" outlineLevel="1" x14ac:dyDescent="0.25">
      <c r="A138" s="192">
        <f ca="1">MAX(A$17:A137)+1</f>
        <v>70</v>
      </c>
      <c r="B138" s="222" t="s">
        <v>296</v>
      </c>
      <c r="C138" s="222">
        <v>8172946</v>
      </c>
      <c r="D138" s="214">
        <f t="shared" si="114"/>
        <v>181079</v>
      </c>
      <c r="E138" s="215">
        <v>181079</v>
      </c>
      <c r="F138" s="214"/>
      <c r="G138" s="215"/>
      <c r="H138" s="257"/>
      <c r="I138" s="235"/>
      <c r="J138" s="235"/>
      <c r="K138" s="223"/>
      <c r="L138" s="235"/>
      <c r="M138" s="223"/>
      <c r="N138" s="223"/>
      <c r="O138" s="257"/>
      <c r="P138" s="257"/>
      <c r="Q138" s="224"/>
      <c r="R138" s="257">
        <v>26542.794000000002</v>
      </c>
      <c r="S138" s="225">
        <v>0.19025728621604188</v>
      </c>
      <c r="T138" s="225">
        <v>0.19025728621604188</v>
      </c>
      <c r="U138" s="257">
        <v>29190.011999999999</v>
      </c>
      <c r="V138" s="225">
        <v>0.2092323991111748</v>
      </c>
      <c r="W138" s="225">
        <v>0.2092323991111748</v>
      </c>
      <c r="X138" s="257">
        <v>29190.011999999999</v>
      </c>
      <c r="Y138" s="225">
        <v>0.2092323991111748</v>
      </c>
      <c r="Z138" s="225">
        <v>0.2092323991111748</v>
      </c>
      <c r="AA138" s="257">
        <v>29190.011999999999</v>
      </c>
      <c r="AB138" s="225">
        <v>0.2092323991111748</v>
      </c>
      <c r="AC138" s="225">
        <v>0.2092323991111748</v>
      </c>
      <c r="AD138" s="257">
        <v>75396.361751999997</v>
      </c>
      <c r="AE138" s="225">
        <v>0.54043697048240269</v>
      </c>
      <c r="AF138" s="225">
        <v>0.54043697048240269</v>
      </c>
      <c r="AG138" s="257">
        <v>75396.361751999997</v>
      </c>
      <c r="AH138" s="225">
        <v>0.54043697048240269</v>
      </c>
      <c r="AI138" s="225">
        <v>0.54043697048240269</v>
      </c>
      <c r="AJ138" s="257">
        <v>75396.361751999997</v>
      </c>
      <c r="AK138" s="225">
        <v>0.54043697048240269</v>
      </c>
      <c r="AL138" s="225">
        <v>0.54043697048240269</v>
      </c>
      <c r="AM138" s="257">
        <v>75396.361751999997</v>
      </c>
      <c r="AN138" s="225">
        <v>0.54043697048240269</v>
      </c>
      <c r="AO138" s="225">
        <v>0.54043697048240269</v>
      </c>
      <c r="AP138" s="225"/>
      <c r="AQ138" s="257">
        <v>88794.138210999998</v>
      </c>
      <c r="AR138" s="225">
        <v>0.63647149459536945</v>
      </c>
      <c r="AS138" s="225">
        <v>0.63647149459536945</v>
      </c>
      <c r="AT138" s="257">
        <v>88794.138210999998</v>
      </c>
      <c r="AU138" s="225">
        <v>0.63647149459536945</v>
      </c>
      <c r="AV138" s="225">
        <v>0.63647149459536945</v>
      </c>
      <c r="AW138" s="225"/>
      <c r="AX138" s="225"/>
      <c r="AY138" s="225"/>
      <c r="AZ138" s="225"/>
      <c r="BA138" s="225"/>
      <c r="BB138" s="225"/>
      <c r="BC138" s="257">
        <v>88794.138210999998</v>
      </c>
      <c r="BD138" s="225">
        <v>0.63647149459536945</v>
      </c>
      <c r="BE138" s="225">
        <v>0.63647149459536945</v>
      </c>
      <c r="BF138" s="257"/>
      <c r="BG138" s="257">
        <v>106128.91231099999</v>
      </c>
      <c r="BH138" s="225">
        <v>0.58609177381695277</v>
      </c>
      <c r="BI138" s="225">
        <v>0.58609177381695277</v>
      </c>
      <c r="BJ138" s="257">
        <f t="shared" si="75"/>
        <v>181079</v>
      </c>
      <c r="BK138" s="257">
        <v>125116.552668</v>
      </c>
      <c r="BL138" s="225">
        <f t="shared" si="98"/>
        <v>0.69095009729455104</v>
      </c>
      <c r="BM138" s="225">
        <f t="shared" si="80"/>
        <v>0.69095009729455104</v>
      </c>
      <c r="BN138" s="205">
        <f t="shared" si="116"/>
        <v>49720.190916000007</v>
      </c>
      <c r="BO138" s="205"/>
      <c r="BP138" s="227"/>
      <c r="BQ138" s="224"/>
      <c r="BR138" s="227"/>
      <c r="BS138" s="224"/>
      <c r="BT138" s="227"/>
      <c r="BU138" s="224"/>
      <c r="BV138" s="227"/>
      <c r="BW138" s="224"/>
      <c r="BX138" s="227"/>
      <c r="BY138" s="224"/>
      <c r="BZ138" s="227"/>
      <c r="CA138" s="224"/>
      <c r="CB138" s="227"/>
      <c r="CC138" s="224"/>
      <c r="CD138" s="227"/>
      <c r="CE138" s="224"/>
      <c r="CF138" s="227"/>
      <c r="CG138" s="224"/>
      <c r="CH138" s="227"/>
      <c r="CI138" s="224"/>
      <c r="CJ138" s="227"/>
      <c r="CK138" s="224"/>
      <c r="CL138" s="227"/>
      <c r="CM138" s="224"/>
      <c r="CN138" s="227"/>
      <c r="CO138" s="224"/>
      <c r="CP138" s="213" t="str">
        <f t="shared" si="82"/>
        <v>Đạt</v>
      </c>
      <c r="CQ138" s="213" t="str">
        <f t="shared" si="83"/>
        <v>Đạt</v>
      </c>
      <c r="CR138" s="192"/>
      <c r="CS138" s="192"/>
      <c r="CT138" s="223"/>
      <c r="CU138" s="163"/>
      <c r="CW138" s="195"/>
      <c r="CX138" s="196"/>
      <c r="CY138" s="196"/>
      <c r="CZ138" s="197"/>
      <c r="DA138" s="196"/>
      <c r="DB138" s="196"/>
      <c r="DC138" s="196"/>
      <c r="DE138" s="199"/>
      <c r="DF138" s="200"/>
      <c r="DG138" s="181"/>
    </row>
    <row r="139" spans="1:111" ht="25.5" hidden="1" outlineLevel="1" x14ac:dyDescent="0.25">
      <c r="A139" s="192">
        <f ca="1">MAX(A$17:A138)+1</f>
        <v>71</v>
      </c>
      <c r="B139" s="222" t="s">
        <v>297</v>
      </c>
      <c r="C139" s="222">
        <v>8172947</v>
      </c>
      <c r="D139" s="214">
        <f t="shared" si="114"/>
        <v>187316</v>
      </c>
      <c r="E139" s="215">
        <v>187316</v>
      </c>
      <c r="F139" s="214"/>
      <c r="G139" s="215"/>
      <c r="H139" s="257"/>
      <c r="I139" s="235"/>
      <c r="J139" s="235"/>
      <c r="K139" s="223"/>
      <c r="L139" s="235"/>
      <c r="M139" s="223"/>
      <c r="N139" s="223"/>
      <c r="O139" s="257"/>
      <c r="P139" s="257"/>
      <c r="Q139" s="224"/>
      <c r="R139" s="257">
        <v>37785.409800000001</v>
      </c>
      <c r="S139" s="225">
        <v>0.84540574560912851</v>
      </c>
      <c r="T139" s="225">
        <v>0.84540574560912851</v>
      </c>
      <c r="U139" s="257">
        <v>38809.289799999999</v>
      </c>
      <c r="V139" s="225">
        <v>0.8683139008837677</v>
      </c>
      <c r="W139" s="225">
        <v>0.8683139008837677</v>
      </c>
      <c r="X139" s="257">
        <v>38809.289799999999</v>
      </c>
      <c r="Y139" s="225">
        <v>0.8683139008837677</v>
      </c>
      <c r="Z139" s="225">
        <v>0.8683139008837677</v>
      </c>
      <c r="AA139" s="257">
        <v>38809.289799999999</v>
      </c>
      <c r="AB139" s="225">
        <v>0.8683139008837677</v>
      </c>
      <c r="AC139" s="225">
        <v>0.8683139008837677</v>
      </c>
      <c r="AD139" s="257">
        <v>38999.500800000002</v>
      </c>
      <c r="AE139" s="225">
        <v>0.87256965656113661</v>
      </c>
      <c r="AF139" s="225">
        <v>0.87256965656113661</v>
      </c>
      <c r="AG139" s="257">
        <v>38999.500800000002</v>
      </c>
      <c r="AH139" s="225">
        <v>0.87256965656113661</v>
      </c>
      <c r="AI139" s="225">
        <v>0.87256965656113661</v>
      </c>
      <c r="AJ139" s="257">
        <v>38999.500800000002</v>
      </c>
      <c r="AK139" s="225">
        <v>0.87256965656113661</v>
      </c>
      <c r="AL139" s="225">
        <v>0.87256965656113661</v>
      </c>
      <c r="AM139" s="257">
        <v>38999.500800000002</v>
      </c>
      <c r="AN139" s="225">
        <v>0.87256965656113661</v>
      </c>
      <c r="AO139" s="225">
        <v>0.87256965656113661</v>
      </c>
      <c r="AP139" s="225"/>
      <c r="AQ139" s="257">
        <v>38999.500800000002</v>
      </c>
      <c r="AR139" s="225">
        <v>0.87256965656113661</v>
      </c>
      <c r="AS139" s="225">
        <v>0.87256965656113661</v>
      </c>
      <c r="AT139" s="257">
        <v>38999.500800000002</v>
      </c>
      <c r="AU139" s="225">
        <v>0.87256965656113661</v>
      </c>
      <c r="AV139" s="225">
        <v>0.87256965656113661</v>
      </c>
      <c r="AW139" s="225"/>
      <c r="AX139" s="225"/>
      <c r="AY139" s="225"/>
      <c r="AZ139" s="225"/>
      <c r="BA139" s="225"/>
      <c r="BB139" s="225"/>
      <c r="BC139" s="257">
        <v>38999.500800000002</v>
      </c>
      <c r="BD139" s="225">
        <v>0.87256965656113661</v>
      </c>
      <c r="BE139" s="225">
        <v>0.87256965656113661</v>
      </c>
      <c r="BF139" s="257"/>
      <c r="BG139" s="257">
        <v>75965.515899999999</v>
      </c>
      <c r="BH139" s="225">
        <v>0.40554739531059814</v>
      </c>
      <c r="BI139" s="225">
        <v>0.40554739531059814</v>
      </c>
      <c r="BJ139" s="257">
        <f t="shared" si="75"/>
        <v>187316</v>
      </c>
      <c r="BK139" s="257">
        <v>109919.58990000001</v>
      </c>
      <c r="BL139" s="225">
        <f t="shared" si="98"/>
        <v>0.58681367261739525</v>
      </c>
      <c r="BM139" s="225">
        <f t="shared" si="80"/>
        <v>0.58681367261739525</v>
      </c>
      <c r="BN139" s="205">
        <f t="shared" si="116"/>
        <v>70920.089100000012</v>
      </c>
      <c r="BO139" s="205"/>
      <c r="BP139" s="227"/>
      <c r="BQ139" s="224"/>
      <c r="BR139" s="227"/>
      <c r="BS139" s="224"/>
      <c r="BT139" s="227"/>
      <c r="BU139" s="224"/>
      <c r="BV139" s="227"/>
      <c r="BW139" s="224"/>
      <c r="BX139" s="227"/>
      <c r="BY139" s="224"/>
      <c r="BZ139" s="227"/>
      <c r="CA139" s="224"/>
      <c r="CB139" s="227"/>
      <c r="CC139" s="224"/>
      <c r="CD139" s="227"/>
      <c r="CE139" s="224"/>
      <c r="CF139" s="227"/>
      <c r="CG139" s="224"/>
      <c r="CH139" s="227"/>
      <c r="CI139" s="224"/>
      <c r="CJ139" s="227"/>
      <c r="CK139" s="224"/>
      <c r="CL139" s="227"/>
      <c r="CM139" s="224"/>
      <c r="CN139" s="227"/>
      <c r="CO139" s="224"/>
      <c r="CP139" s="213" t="str">
        <f t="shared" si="82"/>
        <v>Đạt</v>
      </c>
      <c r="CQ139" s="213" t="str">
        <f t="shared" si="83"/>
        <v>Đạt</v>
      </c>
      <c r="CR139" s="192"/>
      <c r="CS139" s="192"/>
      <c r="CT139" s="223"/>
      <c r="CU139" s="163"/>
      <c r="CW139" s="195"/>
      <c r="CX139" s="196"/>
      <c r="CY139" s="196"/>
      <c r="CZ139" s="197"/>
      <c r="DA139" s="196"/>
      <c r="DB139" s="196"/>
      <c r="DC139" s="196"/>
      <c r="DE139" s="199"/>
      <c r="DF139" s="200"/>
      <c r="DG139" s="181"/>
    </row>
    <row r="140" spans="1:111" ht="25.5" hidden="1" outlineLevel="1" x14ac:dyDescent="0.25">
      <c r="A140" s="192">
        <f ca="1">MAX(A$17:A139)+1</f>
        <v>69</v>
      </c>
      <c r="B140" s="222" t="s">
        <v>298</v>
      </c>
      <c r="C140" s="222">
        <v>7892098</v>
      </c>
      <c r="D140" s="214">
        <f t="shared" si="114"/>
        <v>118078.85973500015</v>
      </c>
      <c r="E140" s="215">
        <v>118078.85973500015</v>
      </c>
      <c r="F140" s="214"/>
      <c r="G140" s="223"/>
      <c r="H140" s="257"/>
      <c r="I140" s="235"/>
      <c r="J140" s="235"/>
      <c r="K140" s="223"/>
      <c r="L140" s="235"/>
      <c r="M140" s="223"/>
      <c r="N140" s="223"/>
      <c r="O140" s="257"/>
      <c r="P140" s="257">
        <v>23571.987000000001</v>
      </c>
      <c r="Q140" s="224">
        <f>P140/$D140</f>
        <v>0.19962918894120171</v>
      </c>
      <c r="R140" s="257">
        <v>24864.273000000001</v>
      </c>
      <c r="S140" s="225">
        <v>0.21057345113089621</v>
      </c>
      <c r="T140" s="225">
        <v>0.21057345113089621</v>
      </c>
      <c r="U140" s="257">
        <v>25189.813999999998</v>
      </c>
      <c r="V140" s="225">
        <v>0.21333043066754312</v>
      </c>
      <c r="W140" s="225">
        <v>0.21333043066754312</v>
      </c>
      <c r="X140" s="257">
        <v>25189.813999999998</v>
      </c>
      <c r="Y140" s="225">
        <v>0.21333043066754312</v>
      </c>
      <c r="Z140" s="225">
        <v>0.21333043066754312</v>
      </c>
      <c r="AA140" s="257">
        <v>25189.813999999998</v>
      </c>
      <c r="AB140" s="225">
        <v>0.21333043066754312</v>
      </c>
      <c r="AC140" s="225">
        <v>0.21333043066754312</v>
      </c>
      <c r="AD140" s="257">
        <v>29189.813999999998</v>
      </c>
      <c r="AE140" s="225">
        <v>0.24720609654860809</v>
      </c>
      <c r="AF140" s="225">
        <v>0.24720609654860809</v>
      </c>
      <c r="AG140" s="257">
        <v>29189.813999999998</v>
      </c>
      <c r="AH140" s="225">
        <v>0.24720609654860809</v>
      </c>
      <c r="AI140" s="225">
        <v>0.24720609654860809</v>
      </c>
      <c r="AJ140" s="205">
        <v>29189.813999999998</v>
      </c>
      <c r="AK140" s="225">
        <v>0.24720609654860809</v>
      </c>
      <c r="AL140" s="225">
        <v>0.24720609654860809</v>
      </c>
      <c r="AM140" s="257">
        <v>29189.813999999998</v>
      </c>
      <c r="AN140" s="225">
        <v>0.24720609654860809</v>
      </c>
      <c r="AO140" s="225">
        <v>0.24720609654860809</v>
      </c>
      <c r="AP140" s="225"/>
      <c r="AQ140" s="257">
        <v>29189.813999999998</v>
      </c>
      <c r="AR140" s="225">
        <v>0.24720609654860809</v>
      </c>
      <c r="AS140" s="225">
        <v>0.24720609654860809</v>
      </c>
      <c r="AT140" s="257">
        <v>29189.813999999998</v>
      </c>
      <c r="AU140" s="225">
        <v>0.24720609654860809</v>
      </c>
      <c r="AV140" s="225">
        <v>0.24720609654860809</v>
      </c>
      <c r="AW140" s="225"/>
      <c r="AX140" s="225"/>
      <c r="AY140" s="225"/>
      <c r="AZ140" s="225"/>
      <c r="BA140" s="225"/>
      <c r="BB140" s="225"/>
      <c r="BC140" s="257">
        <v>29189.813999999998</v>
      </c>
      <c r="BD140" s="225">
        <v>0.24720609654860809</v>
      </c>
      <c r="BE140" s="225">
        <v>0.24720609654860809</v>
      </c>
      <c r="BF140" s="257"/>
      <c r="BG140" s="257">
        <v>56915.813999999998</v>
      </c>
      <c r="BH140" s="225">
        <v>0.48201527460320986</v>
      </c>
      <c r="BI140" s="225">
        <v>0.48201527460320986</v>
      </c>
      <c r="BJ140" s="257">
        <f t="shared" si="75"/>
        <v>118078.85973500015</v>
      </c>
      <c r="BK140" s="257">
        <v>63391.813999999998</v>
      </c>
      <c r="BL140" s="225">
        <f>BK140/$D140</f>
        <v>0.53685997766465399</v>
      </c>
      <c r="BM140" s="225">
        <f>BK140/(E140+0.95*F140)</f>
        <v>0.53685997766465399</v>
      </c>
      <c r="BN140" s="205">
        <f t="shared" si="116"/>
        <v>34202</v>
      </c>
      <c r="BO140" s="205"/>
      <c r="BP140" s="227">
        <v>10000</v>
      </c>
      <c r="BQ140" s="224">
        <f>BP140/$D140</f>
        <v>8.4689164702662412E-2</v>
      </c>
      <c r="BR140" s="227">
        <v>20000</v>
      </c>
      <c r="BS140" s="224">
        <f t="shared" ref="BS140:BS155" si="117">BR140/$D140</f>
        <v>0.16937832940532482</v>
      </c>
      <c r="BT140" s="227">
        <v>30000</v>
      </c>
      <c r="BU140" s="224">
        <f>BT140/$D140</f>
        <v>0.25406749410798724</v>
      </c>
      <c r="BV140" s="227">
        <v>43333</v>
      </c>
      <c r="BW140" s="224">
        <f>BV140/$D140</f>
        <v>0.36698355740604699</v>
      </c>
      <c r="BX140" s="227">
        <v>56666</v>
      </c>
      <c r="BY140" s="224">
        <f>BX140/$D140</f>
        <v>0.4798996207041068</v>
      </c>
      <c r="BZ140" s="227">
        <v>69999</v>
      </c>
      <c r="CA140" s="224">
        <f>BZ140/$D140</f>
        <v>0.59281568400216655</v>
      </c>
      <c r="CB140" s="227">
        <v>76692</v>
      </c>
      <c r="CC140" s="224">
        <f>CB140/$D140</f>
        <v>0.64949814193765854</v>
      </c>
      <c r="CD140" s="227">
        <v>83385</v>
      </c>
      <c r="CE140" s="224">
        <f>CD140/$D140</f>
        <v>0.70618059987315052</v>
      </c>
      <c r="CF140" s="227">
        <v>90078</v>
      </c>
      <c r="CG140" s="224">
        <f t="shared" ref="CG140:CG155" si="118">CF140/$D140</f>
        <v>0.76286305780864239</v>
      </c>
      <c r="CH140" s="227">
        <v>97078</v>
      </c>
      <c r="CI140" s="224">
        <f t="shared" ref="CI140:CI155" si="119">CH140/$D140</f>
        <v>0.82214547310050612</v>
      </c>
      <c r="CJ140" s="227">
        <v>104078</v>
      </c>
      <c r="CK140" s="224">
        <f>CJ140/$D140</f>
        <v>0.88142788839236974</v>
      </c>
      <c r="CL140" s="227">
        <v>111078</v>
      </c>
      <c r="CM140" s="224">
        <f>CL140/$D140</f>
        <v>0.94071030368423347</v>
      </c>
      <c r="CN140" s="227">
        <v>118078</v>
      </c>
      <c r="CO140" s="224">
        <f>CN140/$D140</f>
        <v>0.99999271897609721</v>
      </c>
      <c r="CP140" s="213" t="str">
        <f t="shared" si="82"/>
        <v>Đạt</v>
      </c>
      <c r="CQ140" s="213" t="str">
        <f t="shared" si="83"/>
        <v>Đạt</v>
      </c>
      <c r="CR140" s="192"/>
      <c r="CS140" s="192"/>
      <c r="CT140" s="223"/>
      <c r="CU140" s="163"/>
      <c r="CW140" s="195"/>
      <c r="CX140" s="196"/>
      <c r="CY140" s="196"/>
      <c r="CZ140" s="197"/>
      <c r="DA140" s="196"/>
      <c r="DB140" s="196"/>
      <c r="DC140" s="196"/>
      <c r="DE140" s="199"/>
      <c r="DF140" s="200"/>
      <c r="DG140" s="181"/>
    </row>
    <row r="141" spans="1:111" s="234" customFormat="1" ht="42" customHeight="1" collapsed="1" x14ac:dyDescent="0.25">
      <c r="A141" s="191">
        <v>4</v>
      </c>
      <c r="B141" s="210" t="s">
        <v>299</v>
      </c>
      <c r="C141" s="210"/>
      <c r="D141" s="205">
        <f t="shared" ref="D141:I142" si="120">D142</f>
        <v>75000</v>
      </c>
      <c r="E141" s="205">
        <f t="shared" si="120"/>
        <v>0</v>
      </c>
      <c r="F141" s="205">
        <f t="shared" si="120"/>
        <v>75000</v>
      </c>
      <c r="G141" s="205">
        <f t="shared" si="120"/>
        <v>0</v>
      </c>
      <c r="H141" s="205">
        <f t="shared" si="120"/>
        <v>75000</v>
      </c>
      <c r="I141" s="205">
        <f t="shared" si="120"/>
        <v>5000</v>
      </c>
      <c r="J141" s="205"/>
      <c r="K141" s="205">
        <f>K142</f>
        <v>0</v>
      </c>
      <c r="L141" s="205">
        <f>L142</f>
        <v>0</v>
      </c>
      <c r="M141" s="231"/>
      <c r="N141" s="231"/>
      <c r="O141" s="205">
        <f t="shared" si="84"/>
        <v>5000</v>
      </c>
      <c r="P141" s="205">
        <v>0</v>
      </c>
      <c r="Q141" s="186">
        <f t="shared" ref="Q141:Q204" si="121">P141/$D141</f>
        <v>0</v>
      </c>
      <c r="R141" s="205">
        <v>0</v>
      </c>
      <c r="S141" s="185">
        <v>0</v>
      </c>
      <c r="T141" s="185">
        <v>0</v>
      </c>
      <c r="U141" s="205">
        <v>0</v>
      </c>
      <c r="V141" s="185">
        <v>0</v>
      </c>
      <c r="W141" s="185">
        <v>0</v>
      </c>
      <c r="X141" s="205">
        <v>0</v>
      </c>
      <c r="Y141" s="185">
        <v>0</v>
      </c>
      <c r="Z141" s="185">
        <v>0</v>
      </c>
      <c r="AA141" s="205">
        <v>0</v>
      </c>
      <c r="AB141" s="185">
        <v>0</v>
      </c>
      <c r="AC141" s="185">
        <v>0</v>
      </c>
      <c r="AD141" s="205">
        <v>0</v>
      </c>
      <c r="AE141" s="185">
        <v>0</v>
      </c>
      <c r="AF141" s="185">
        <v>0</v>
      </c>
      <c r="AG141" s="205">
        <v>0</v>
      </c>
      <c r="AH141" s="185">
        <v>0</v>
      </c>
      <c r="AI141" s="185">
        <v>0</v>
      </c>
      <c r="AJ141" s="188">
        <v>0</v>
      </c>
      <c r="AK141" s="185">
        <v>0</v>
      </c>
      <c r="AL141" s="185">
        <v>0</v>
      </c>
      <c r="AM141" s="205">
        <v>0</v>
      </c>
      <c r="AN141" s="185">
        <v>0</v>
      </c>
      <c r="AO141" s="185">
        <v>0</v>
      </c>
      <c r="AP141" s="185"/>
      <c r="AQ141" s="205">
        <v>5000</v>
      </c>
      <c r="AR141" s="185">
        <v>6.6666666666666666E-2</v>
      </c>
      <c r="AS141" s="185">
        <v>7.0175438596491224E-2</v>
      </c>
      <c r="AT141" s="205">
        <v>5000</v>
      </c>
      <c r="AU141" s="185">
        <v>6.6666666666666666E-2</v>
      </c>
      <c r="AV141" s="185">
        <v>7.0175438596491224E-2</v>
      </c>
      <c r="AW141" s="185"/>
      <c r="AX141" s="185"/>
      <c r="AY141" s="185"/>
      <c r="AZ141" s="185"/>
      <c r="BA141" s="185"/>
      <c r="BB141" s="185"/>
      <c r="BC141" s="205">
        <v>5000</v>
      </c>
      <c r="BD141" s="185">
        <v>6.6666666666666666E-2</v>
      </c>
      <c r="BE141" s="185">
        <v>7.0175438596491224E-2</v>
      </c>
      <c r="BF141" s="205"/>
      <c r="BG141" s="205">
        <v>5000</v>
      </c>
      <c r="BH141" s="185">
        <v>6.6666666666666666E-2</v>
      </c>
      <c r="BI141" s="185">
        <v>7.0175438596491224E-2</v>
      </c>
      <c r="BJ141" s="205">
        <f t="shared" ref="BJ141:BJ204" si="122">E141+(F141*0.95)</f>
        <v>71250</v>
      </c>
      <c r="BK141" s="205">
        <v>17861.675017000001</v>
      </c>
      <c r="BL141" s="185">
        <f t="shared" si="98"/>
        <v>0.23815566689333334</v>
      </c>
      <c r="BM141" s="185">
        <f t="shared" si="80"/>
        <v>0.25069017567719298</v>
      </c>
      <c r="BN141" s="205">
        <f t="shared" si="116"/>
        <v>17861.675017000001</v>
      </c>
      <c r="BO141" s="205"/>
      <c r="BP141" s="189">
        <f>BP142</f>
        <v>0</v>
      </c>
      <c r="BQ141" s="186">
        <f t="shared" si="81"/>
        <v>0</v>
      </c>
      <c r="BR141" s="189">
        <f>BR142</f>
        <v>5000</v>
      </c>
      <c r="BS141" s="186">
        <f t="shared" si="117"/>
        <v>6.6666666666666666E-2</v>
      </c>
      <c r="BT141" s="189">
        <f>BT142</f>
        <v>13750</v>
      </c>
      <c r="BU141" s="186">
        <f t="shared" ref="BU141:BU185" si="123">BT141/$D141</f>
        <v>0.18333333333333332</v>
      </c>
      <c r="BV141" s="189">
        <f t="shared" ref="BV141:CJ142" si="124">BV142</f>
        <v>26750</v>
      </c>
      <c r="BW141" s="186">
        <f t="shared" ref="BW141:BW185" si="125">BV141/$D141</f>
        <v>0.35666666666666669</v>
      </c>
      <c r="BX141" s="189">
        <f t="shared" si="124"/>
        <v>39250</v>
      </c>
      <c r="BY141" s="186">
        <f t="shared" ref="BY141:BY185" si="126">BX141/$D141</f>
        <v>0.52333333333333332</v>
      </c>
      <c r="BZ141" s="189">
        <f t="shared" si="124"/>
        <v>45250</v>
      </c>
      <c r="CA141" s="186">
        <f t="shared" ref="CA141:CA185" si="127">BZ141/$D141</f>
        <v>0.60333333333333339</v>
      </c>
      <c r="CB141" s="189">
        <f t="shared" si="124"/>
        <v>50250</v>
      </c>
      <c r="CC141" s="186">
        <f t="shared" ref="CC141:CE152" si="128">CB141/$D141</f>
        <v>0.67</v>
      </c>
      <c r="CD141" s="189">
        <f t="shared" si="124"/>
        <v>55250</v>
      </c>
      <c r="CE141" s="186">
        <f>CD141/$D141</f>
        <v>0.73666666666666669</v>
      </c>
      <c r="CF141" s="189">
        <f t="shared" si="124"/>
        <v>58250</v>
      </c>
      <c r="CG141" s="186">
        <f t="shared" si="118"/>
        <v>0.77666666666666662</v>
      </c>
      <c r="CH141" s="189">
        <f t="shared" si="124"/>
        <v>61250</v>
      </c>
      <c r="CI141" s="186">
        <f t="shared" si="119"/>
        <v>0.81666666666666665</v>
      </c>
      <c r="CJ141" s="189">
        <f t="shared" si="124"/>
        <v>66250</v>
      </c>
      <c r="CK141" s="186">
        <f t="shared" ref="CK141:CK155" si="129">CJ141/$D141</f>
        <v>0.8833333333333333</v>
      </c>
      <c r="CL141" s="189">
        <f t="shared" ref="CL141:CN142" si="130">CL142</f>
        <v>71250</v>
      </c>
      <c r="CM141" s="186">
        <f t="shared" ref="CM141:CM155" si="131">CL141/$D141</f>
        <v>0.95</v>
      </c>
      <c r="CN141" s="189">
        <f t="shared" si="130"/>
        <v>71250</v>
      </c>
      <c r="CO141" s="186">
        <f t="shared" ref="CO141:CO155" si="132">CN141/$D141</f>
        <v>0.95</v>
      </c>
      <c r="CP141" s="213" t="str">
        <f t="shared" si="82"/>
        <v>Không đạt</v>
      </c>
      <c r="CQ141" s="213" t="str">
        <f t="shared" si="83"/>
        <v>Không đạt</v>
      </c>
      <c r="CR141" s="213"/>
      <c r="CS141" s="213"/>
      <c r="CT141" s="213"/>
      <c r="CU141" s="163"/>
      <c r="CV141" s="243"/>
      <c r="CW141" s="195"/>
      <c r="CX141" s="196"/>
      <c r="CY141" s="196"/>
      <c r="CZ141" s="197"/>
      <c r="DA141" s="196"/>
      <c r="DB141" s="196"/>
      <c r="DC141" s="196"/>
      <c r="DE141" s="199"/>
      <c r="DF141" s="200"/>
      <c r="DG141" s="181"/>
    </row>
    <row r="142" spans="1:111" s="255" customFormat="1" hidden="1" outlineLevel="1" x14ac:dyDescent="0.25">
      <c r="A142" s="191" t="s">
        <v>29</v>
      </c>
      <c r="B142" s="210" t="s">
        <v>157</v>
      </c>
      <c r="C142" s="210"/>
      <c r="D142" s="189">
        <f t="shared" si="120"/>
        <v>75000</v>
      </c>
      <c r="E142" s="189">
        <f t="shared" si="120"/>
        <v>0</v>
      </c>
      <c r="F142" s="189">
        <f t="shared" si="120"/>
        <v>75000</v>
      </c>
      <c r="G142" s="189">
        <f t="shared" si="120"/>
        <v>0</v>
      </c>
      <c r="H142" s="189">
        <f t="shared" si="120"/>
        <v>75000</v>
      </c>
      <c r="I142" s="188">
        <f t="shared" si="120"/>
        <v>5000</v>
      </c>
      <c r="J142" s="188"/>
      <c r="K142" s="189">
        <f>K143</f>
        <v>0</v>
      </c>
      <c r="L142" s="188">
        <f>L143</f>
        <v>0</v>
      </c>
      <c r="M142" s="231"/>
      <c r="N142" s="231"/>
      <c r="O142" s="188">
        <f t="shared" si="84"/>
        <v>5000</v>
      </c>
      <c r="P142" s="188">
        <v>27078.295252</v>
      </c>
      <c r="Q142" s="186">
        <f t="shared" si="121"/>
        <v>0.36104393669333334</v>
      </c>
      <c r="R142" s="188">
        <v>0</v>
      </c>
      <c r="S142" s="185">
        <v>0</v>
      </c>
      <c r="T142" s="185">
        <v>0</v>
      </c>
      <c r="U142" s="188">
        <v>0</v>
      </c>
      <c r="V142" s="185">
        <v>0</v>
      </c>
      <c r="W142" s="185">
        <v>0</v>
      </c>
      <c r="X142" s="188">
        <v>0</v>
      </c>
      <c r="Y142" s="185">
        <v>0</v>
      </c>
      <c r="Z142" s="185">
        <v>0</v>
      </c>
      <c r="AA142" s="188">
        <v>0</v>
      </c>
      <c r="AB142" s="185">
        <v>0</v>
      </c>
      <c r="AC142" s="185">
        <v>0</v>
      </c>
      <c r="AD142" s="188">
        <v>0</v>
      </c>
      <c r="AE142" s="185">
        <v>0</v>
      </c>
      <c r="AF142" s="185">
        <v>0</v>
      </c>
      <c r="AG142" s="188">
        <v>0</v>
      </c>
      <c r="AH142" s="185">
        <v>0</v>
      </c>
      <c r="AI142" s="185">
        <v>0</v>
      </c>
      <c r="AJ142" s="257">
        <v>0</v>
      </c>
      <c r="AK142" s="185">
        <v>0</v>
      </c>
      <c r="AL142" s="185">
        <v>0</v>
      </c>
      <c r="AM142" s="188">
        <v>0</v>
      </c>
      <c r="AN142" s="185">
        <v>0</v>
      </c>
      <c r="AO142" s="185">
        <v>0</v>
      </c>
      <c r="AP142" s="185"/>
      <c r="AQ142" s="188">
        <v>5000</v>
      </c>
      <c r="AR142" s="185">
        <v>6.6666666666666666E-2</v>
      </c>
      <c r="AS142" s="185">
        <v>7.0175438596491224E-2</v>
      </c>
      <c r="AT142" s="188">
        <v>5000</v>
      </c>
      <c r="AU142" s="185">
        <v>6.6666666666666666E-2</v>
      </c>
      <c r="AV142" s="185">
        <v>7.0175438596491224E-2</v>
      </c>
      <c r="AW142" s="185"/>
      <c r="AX142" s="185"/>
      <c r="AY142" s="185"/>
      <c r="AZ142" s="185"/>
      <c r="BA142" s="185"/>
      <c r="BB142" s="185"/>
      <c r="BC142" s="188">
        <v>5000</v>
      </c>
      <c r="BD142" s="185">
        <v>6.6666666666666666E-2</v>
      </c>
      <c r="BE142" s="185">
        <v>7.0175438596491224E-2</v>
      </c>
      <c r="BF142" s="188"/>
      <c r="BG142" s="188">
        <v>5000</v>
      </c>
      <c r="BH142" s="185">
        <v>6.6666666666666666E-2</v>
      </c>
      <c r="BI142" s="185">
        <v>7.0175438596491224E-2</v>
      </c>
      <c r="BJ142" s="188">
        <f t="shared" si="122"/>
        <v>71250</v>
      </c>
      <c r="BK142" s="188">
        <f>BK143</f>
        <v>10161.675017</v>
      </c>
      <c r="BL142" s="185">
        <f t="shared" si="98"/>
        <v>0.13548900022666666</v>
      </c>
      <c r="BM142" s="185">
        <f t="shared" si="80"/>
        <v>0.14262000023859647</v>
      </c>
      <c r="BN142" s="205">
        <f t="shared" si="116"/>
        <v>10161.675017</v>
      </c>
      <c r="BO142" s="205"/>
      <c r="BP142" s="189">
        <f>BP143</f>
        <v>0</v>
      </c>
      <c r="BQ142" s="186">
        <f t="shared" si="81"/>
        <v>0</v>
      </c>
      <c r="BR142" s="189">
        <f>BR143</f>
        <v>5000</v>
      </c>
      <c r="BS142" s="186">
        <f t="shared" si="117"/>
        <v>6.6666666666666666E-2</v>
      </c>
      <c r="BT142" s="189">
        <f>BT143</f>
        <v>13750</v>
      </c>
      <c r="BU142" s="186">
        <f t="shared" si="123"/>
        <v>0.18333333333333332</v>
      </c>
      <c r="BV142" s="189">
        <f t="shared" si="124"/>
        <v>26750</v>
      </c>
      <c r="BW142" s="186">
        <f t="shared" si="125"/>
        <v>0.35666666666666669</v>
      </c>
      <c r="BX142" s="189">
        <f t="shared" si="124"/>
        <v>39250</v>
      </c>
      <c r="BY142" s="186">
        <f t="shared" si="126"/>
        <v>0.52333333333333332</v>
      </c>
      <c r="BZ142" s="189">
        <f t="shared" si="124"/>
        <v>45250</v>
      </c>
      <c r="CA142" s="186">
        <f t="shared" si="127"/>
        <v>0.60333333333333339</v>
      </c>
      <c r="CB142" s="189">
        <f t="shared" si="124"/>
        <v>50250</v>
      </c>
      <c r="CC142" s="186">
        <f t="shared" si="128"/>
        <v>0.67</v>
      </c>
      <c r="CD142" s="189">
        <f t="shared" si="124"/>
        <v>55250</v>
      </c>
      <c r="CE142" s="186">
        <f>CD142/$D142</f>
        <v>0.73666666666666669</v>
      </c>
      <c r="CF142" s="189">
        <f t="shared" si="124"/>
        <v>58250</v>
      </c>
      <c r="CG142" s="186">
        <f t="shared" si="118"/>
        <v>0.77666666666666662</v>
      </c>
      <c r="CH142" s="189">
        <f t="shared" si="124"/>
        <v>61250</v>
      </c>
      <c r="CI142" s="186">
        <f t="shared" si="119"/>
        <v>0.81666666666666665</v>
      </c>
      <c r="CJ142" s="189">
        <f t="shared" si="124"/>
        <v>66250</v>
      </c>
      <c r="CK142" s="186">
        <f t="shared" si="129"/>
        <v>0.8833333333333333</v>
      </c>
      <c r="CL142" s="189">
        <f t="shared" si="130"/>
        <v>71250</v>
      </c>
      <c r="CM142" s="186">
        <f t="shared" si="131"/>
        <v>0.95</v>
      </c>
      <c r="CN142" s="189">
        <f t="shared" si="130"/>
        <v>71250</v>
      </c>
      <c r="CO142" s="186">
        <f t="shared" si="132"/>
        <v>0.95</v>
      </c>
      <c r="CP142" s="213" t="str">
        <f t="shared" si="82"/>
        <v>Không đạt</v>
      </c>
      <c r="CQ142" s="213" t="str">
        <f t="shared" si="83"/>
        <v>Không đạt</v>
      </c>
      <c r="CR142" s="213"/>
      <c r="CS142" s="213"/>
      <c r="CT142" s="231"/>
      <c r="CU142" s="163"/>
      <c r="CV142" s="252"/>
      <c r="CW142" s="253"/>
      <c r="CX142" s="254"/>
      <c r="CY142" s="254"/>
      <c r="CZ142" s="198"/>
      <c r="DA142" s="254"/>
      <c r="DB142" s="254"/>
      <c r="DC142" s="254"/>
      <c r="DE142" s="199"/>
      <c r="DF142" s="200"/>
      <c r="DG142" s="181"/>
    </row>
    <row r="143" spans="1:111" ht="59.25" hidden="1" customHeight="1" outlineLevel="1" x14ac:dyDescent="0.25">
      <c r="A143" s="192">
        <v>1</v>
      </c>
      <c r="B143" s="247" t="s">
        <v>300</v>
      </c>
      <c r="C143" s="248">
        <v>7782222</v>
      </c>
      <c r="D143" s="214">
        <f t="shared" si="114"/>
        <v>75000</v>
      </c>
      <c r="E143" s="205"/>
      <c r="F143" s="214">
        <f>G143+H143+K143+M143</f>
        <v>75000</v>
      </c>
      <c r="G143" s="223"/>
      <c r="H143" s="257">
        <v>75000</v>
      </c>
      <c r="I143" s="235">
        <v>5000</v>
      </c>
      <c r="J143" s="257">
        <v>5000</v>
      </c>
      <c r="K143" s="223"/>
      <c r="L143" s="235"/>
      <c r="M143" s="223"/>
      <c r="N143" s="223"/>
      <c r="O143" s="257">
        <f t="shared" si="84"/>
        <v>5000</v>
      </c>
      <c r="P143" s="257">
        <v>0</v>
      </c>
      <c r="Q143" s="258">
        <f t="shared" si="121"/>
        <v>0</v>
      </c>
      <c r="R143" s="257"/>
      <c r="S143" s="225">
        <v>0</v>
      </c>
      <c r="T143" s="225">
        <v>0</v>
      </c>
      <c r="U143" s="257"/>
      <c r="V143" s="225">
        <v>0</v>
      </c>
      <c r="W143" s="225">
        <v>0</v>
      </c>
      <c r="X143" s="257"/>
      <c r="Y143" s="225">
        <v>0</v>
      </c>
      <c r="Z143" s="225">
        <v>0</v>
      </c>
      <c r="AA143" s="257"/>
      <c r="AB143" s="225">
        <v>0</v>
      </c>
      <c r="AC143" s="225">
        <v>0</v>
      </c>
      <c r="AD143" s="257"/>
      <c r="AE143" s="225">
        <v>0</v>
      </c>
      <c r="AF143" s="225">
        <v>0</v>
      </c>
      <c r="AG143" s="257"/>
      <c r="AH143" s="225">
        <v>0</v>
      </c>
      <c r="AI143" s="225">
        <v>0</v>
      </c>
      <c r="AJ143" s="205"/>
      <c r="AK143" s="225">
        <v>0</v>
      </c>
      <c r="AL143" s="225">
        <v>0</v>
      </c>
      <c r="AM143" s="257"/>
      <c r="AN143" s="225">
        <v>0</v>
      </c>
      <c r="AO143" s="225">
        <v>0</v>
      </c>
      <c r="AP143" s="225"/>
      <c r="AQ143" s="257">
        <v>5000</v>
      </c>
      <c r="AR143" s="225">
        <v>6.6666666666666666E-2</v>
      </c>
      <c r="AS143" s="225">
        <v>7.0175438596491224E-2</v>
      </c>
      <c r="AT143" s="257">
        <v>5000</v>
      </c>
      <c r="AU143" s="225">
        <v>6.6666666666666666E-2</v>
      </c>
      <c r="AV143" s="225">
        <v>7.0175438596491224E-2</v>
      </c>
      <c r="AW143" s="225"/>
      <c r="AX143" s="225"/>
      <c r="AY143" s="225"/>
      <c r="AZ143" s="225"/>
      <c r="BA143" s="225"/>
      <c r="BB143" s="225"/>
      <c r="BC143" s="257">
        <v>5000</v>
      </c>
      <c r="BD143" s="225">
        <v>6.6666666666666666E-2</v>
      </c>
      <c r="BE143" s="225">
        <v>7.0175438596491224E-2</v>
      </c>
      <c r="BF143" s="257">
        <v>5000</v>
      </c>
      <c r="BG143" s="257">
        <v>5000</v>
      </c>
      <c r="BH143" s="225">
        <v>6.6666666666666666E-2</v>
      </c>
      <c r="BI143" s="225">
        <v>7.0175438596491224E-2</v>
      </c>
      <c r="BJ143" s="257">
        <f t="shared" si="122"/>
        <v>71250</v>
      </c>
      <c r="BK143" s="257">
        <v>10161.675017</v>
      </c>
      <c r="BL143" s="225">
        <f t="shared" si="98"/>
        <v>0.13548900022666666</v>
      </c>
      <c r="BM143" s="225">
        <f t="shared" ref="BM143:BM206" si="133">BK143/(E143+0.95*F143)</f>
        <v>0.14262000023859647</v>
      </c>
      <c r="BN143" s="205">
        <f t="shared" si="116"/>
        <v>10161.675017</v>
      </c>
      <c r="BO143" s="205"/>
      <c r="BP143" s="245"/>
      <c r="BQ143" s="224">
        <f t="shared" ref="BQ143:BQ206" si="134">BP143/$D143</f>
        <v>0</v>
      </c>
      <c r="BR143" s="245">
        <v>5000</v>
      </c>
      <c r="BS143" s="224">
        <f t="shared" si="117"/>
        <v>6.6666666666666666E-2</v>
      </c>
      <c r="BT143" s="245">
        <f>8750+BR143</f>
        <v>13750</v>
      </c>
      <c r="BU143" s="258">
        <f t="shared" si="123"/>
        <v>0.18333333333333332</v>
      </c>
      <c r="BV143" s="245">
        <f>13000+BT143</f>
        <v>26750</v>
      </c>
      <c r="BW143" s="224">
        <f t="shared" si="125"/>
        <v>0.35666666666666669</v>
      </c>
      <c r="BX143" s="245">
        <f>12500+BV143</f>
        <v>39250</v>
      </c>
      <c r="BY143" s="224">
        <f t="shared" si="126"/>
        <v>0.52333333333333332</v>
      </c>
      <c r="BZ143" s="245">
        <f>6000+BX143</f>
        <v>45250</v>
      </c>
      <c r="CA143" s="224">
        <f t="shared" si="127"/>
        <v>0.60333333333333339</v>
      </c>
      <c r="CB143" s="245">
        <f>5000+BZ143</f>
        <v>50250</v>
      </c>
      <c r="CC143" s="224">
        <f t="shared" si="128"/>
        <v>0.67</v>
      </c>
      <c r="CD143" s="245">
        <f>5000+CB143</f>
        <v>55250</v>
      </c>
      <c r="CE143" s="224">
        <f t="shared" si="128"/>
        <v>0.73666666666666669</v>
      </c>
      <c r="CF143" s="245">
        <f>3000+CD143</f>
        <v>58250</v>
      </c>
      <c r="CG143" s="224">
        <f t="shared" si="118"/>
        <v>0.77666666666666662</v>
      </c>
      <c r="CH143" s="245">
        <f>3000+CF143</f>
        <v>61250</v>
      </c>
      <c r="CI143" s="224">
        <f t="shared" si="119"/>
        <v>0.81666666666666665</v>
      </c>
      <c r="CJ143" s="245">
        <f>5000+CH143</f>
        <v>66250</v>
      </c>
      <c r="CK143" s="224">
        <f t="shared" si="129"/>
        <v>0.8833333333333333</v>
      </c>
      <c r="CL143" s="245">
        <f>5000+CJ143</f>
        <v>71250</v>
      </c>
      <c r="CM143" s="224">
        <f t="shared" si="131"/>
        <v>0.95</v>
      </c>
      <c r="CN143" s="245">
        <f>CL143</f>
        <v>71250</v>
      </c>
      <c r="CO143" s="224">
        <f t="shared" si="132"/>
        <v>0.95</v>
      </c>
      <c r="CP143" s="213" t="str">
        <f t="shared" ref="CP143:CP206" si="135">IF(BM143&gt;34.7%,"Đạt","Không đạt")</f>
        <v>Không đạt</v>
      </c>
      <c r="CQ143" s="213" t="str">
        <f t="shared" ref="CQ143:CQ206" si="136">IF(BM143&gt;43.8%,"Đạt","Không đạt")</f>
        <v>Không đạt</v>
      </c>
      <c r="CR143" s="192"/>
      <c r="CS143" s="192"/>
      <c r="CT143" s="223"/>
      <c r="CU143" s="163"/>
      <c r="CW143" s="195"/>
      <c r="CX143" s="196"/>
      <c r="CY143" s="196"/>
      <c r="CZ143" s="197"/>
      <c r="DA143" s="196"/>
      <c r="DB143" s="196"/>
      <c r="DC143" s="196"/>
      <c r="DE143" s="199"/>
      <c r="DF143" s="200"/>
      <c r="DG143" s="181"/>
    </row>
    <row r="144" spans="1:111" s="233" customFormat="1" ht="18" customHeight="1" collapsed="1" x14ac:dyDescent="0.25">
      <c r="A144" s="191">
        <v>6</v>
      </c>
      <c r="B144" s="210" t="s">
        <v>301</v>
      </c>
      <c r="C144" s="210"/>
      <c r="D144" s="205">
        <f t="shared" ref="D144:L144" si="137">D145+D154</f>
        <v>224800</v>
      </c>
      <c r="E144" s="205">
        <f t="shared" si="137"/>
        <v>0</v>
      </c>
      <c r="F144" s="205">
        <f t="shared" si="137"/>
        <v>224800</v>
      </c>
      <c r="G144" s="205">
        <f t="shared" si="137"/>
        <v>10000</v>
      </c>
      <c r="H144" s="205">
        <f t="shared" si="137"/>
        <v>214800</v>
      </c>
      <c r="I144" s="205">
        <f t="shared" si="137"/>
        <v>7759</v>
      </c>
      <c r="J144" s="205"/>
      <c r="K144" s="205">
        <f t="shared" si="137"/>
        <v>0</v>
      </c>
      <c r="L144" s="205">
        <f t="shared" si="137"/>
        <v>0</v>
      </c>
      <c r="M144" s="231"/>
      <c r="N144" s="231"/>
      <c r="O144" s="205">
        <f t="shared" si="84"/>
        <v>17759</v>
      </c>
      <c r="P144" s="205">
        <v>11664.517748</v>
      </c>
      <c r="Q144" s="186">
        <f t="shared" si="121"/>
        <v>5.1888424145907476E-2</v>
      </c>
      <c r="R144" s="205">
        <v>12059.126445</v>
      </c>
      <c r="S144" s="185">
        <v>5.364380091192171E-2</v>
      </c>
      <c r="T144" s="185">
        <v>5.6467158854654427E-2</v>
      </c>
      <c r="U144" s="205">
        <v>12416.316709999999</v>
      </c>
      <c r="V144" s="185">
        <v>5.5232725578291814E-2</v>
      </c>
      <c r="W144" s="185">
        <v>5.8139711135044014E-2</v>
      </c>
      <c r="X144" s="205">
        <v>12416.316709999999</v>
      </c>
      <c r="Y144" s="185">
        <v>5.5232725578291814E-2</v>
      </c>
      <c r="Z144" s="185">
        <v>5.8139711135044014E-2</v>
      </c>
      <c r="AA144" s="205">
        <v>12416.316709999999</v>
      </c>
      <c r="AB144" s="185">
        <v>5.5232725578291814E-2</v>
      </c>
      <c r="AC144" s="185">
        <v>5.8139711135044014E-2</v>
      </c>
      <c r="AD144" s="205">
        <v>12516.316709999999</v>
      </c>
      <c r="AE144" s="185">
        <v>5.5677565435943058E-2</v>
      </c>
      <c r="AF144" s="185">
        <v>5.8607963616782166E-2</v>
      </c>
      <c r="AG144" s="205">
        <v>14034.14471</v>
      </c>
      <c r="AH144" s="185">
        <v>6.2429469350533812E-2</v>
      </c>
      <c r="AI144" s="185">
        <v>6.5715230895298751E-2</v>
      </c>
      <c r="AJ144" s="189">
        <v>14034.14471</v>
      </c>
      <c r="AK144" s="185">
        <v>6.2429469350533812E-2</v>
      </c>
      <c r="AL144" s="185">
        <v>6.5715230895298751E-2</v>
      </c>
      <c r="AM144" s="205">
        <v>17048.984</v>
      </c>
      <c r="AN144" s="185">
        <v>7.5840676156583631E-2</v>
      </c>
      <c r="AO144" s="185">
        <v>7.9832290691140659E-2</v>
      </c>
      <c r="AP144" s="185"/>
      <c r="AQ144" s="205">
        <v>17257.156000000003</v>
      </c>
      <c r="AR144" s="185">
        <v>7.6766708185053392E-2</v>
      </c>
      <c r="AS144" s="185">
        <v>8.0807061247424622E-2</v>
      </c>
      <c r="AT144" s="205">
        <v>17257.156000000003</v>
      </c>
      <c r="AU144" s="185">
        <v>7.6766708185053392E-2</v>
      </c>
      <c r="AV144" s="185">
        <v>8.0807061247424622E-2</v>
      </c>
      <c r="AW144" s="205">
        <v>17257.156000000003</v>
      </c>
      <c r="AX144" s="185">
        <v>7.6766708185053392E-2</v>
      </c>
      <c r="AY144" s="185">
        <v>8.0807061247424622E-2</v>
      </c>
      <c r="AZ144" s="205">
        <v>17257.156000000003</v>
      </c>
      <c r="BA144" s="185">
        <v>7.6766708185053392E-2</v>
      </c>
      <c r="BB144" s="185">
        <v>8.0807061247424622E-2</v>
      </c>
      <c r="BC144" s="205">
        <v>17638.156000000003</v>
      </c>
      <c r="BD144" s="185">
        <v>7.8461548042704637E-2</v>
      </c>
      <c r="BE144" s="185">
        <v>8.2591103202846988E-2</v>
      </c>
      <c r="BF144" s="205"/>
      <c r="BG144" s="205">
        <v>38232.16599999999</v>
      </c>
      <c r="BH144" s="185">
        <v>0.17007191281138787</v>
      </c>
      <c r="BI144" s="185">
        <v>0.17902306611725038</v>
      </c>
      <c r="BJ144" s="205">
        <f t="shared" si="122"/>
        <v>213560</v>
      </c>
      <c r="BK144" s="205">
        <v>52238</v>
      </c>
      <c r="BL144" s="185">
        <f t="shared" si="98"/>
        <v>0.23237544483985764</v>
      </c>
      <c r="BM144" s="185">
        <f t="shared" si="133"/>
        <v>0.24460573141037648</v>
      </c>
      <c r="BN144" s="205">
        <f t="shared" si="116"/>
        <v>39721.683290000001</v>
      </c>
      <c r="BO144" s="205"/>
      <c r="BP144" s="189">
        <f>BP145+BP154</f>
        <v>2246</v>
      </c>
      <c r="BQ144" s="186">
        <f t="shared" si="134"/>
        <v>9.9911032028469748E-3</v>
      </c>
      <c r="BR144" s="189">
        <f>BR145+BR154</f>
        <v>2246</v>
      </c>
      <c r="BS144" s="186">
        <f t="shared" si="117"/>
        <v>9.9911032028469748E-3</v>
      </c>
      <c r="BT144" s="189">
        <f>BT145+BT154</f>
        <v>14203.5</v>
      </c>
      <c r="BU144" s="186">
        <f t="shared" si="123"/>
        <v>6.3182829181494662E-2</v>
      </c>
      <c r="BV144" s="189">
        <f>BV145+BV154</f>
        <v>27833.5</v>
      </c>
      <c r="BW144" s="186">
        <f t="shared" si="125"/>
        <v>0.12381450177935943</v>
      </c>
      <c r="BX144" s="189">
        <f>BX145+BX154</f>
        <v>52476</v>
      </c>
      <c r="BY144" s="186">
        <f t="shared" si="126"/>
        <v>0.23343416370106762</v>
      </c>
      <c r="BZ144" s="189">
        <f>BZ145+BZ154</f>
        <v>83204</v>
      </c>
      <c r="CA144" s="186">
        <f t="shared" si="127"/>
        <v>0.37012455516014237</v>
      </c>
      <c r="CB144" s="189">
        <f>CB145+CB154</f>
        <v>105441</v>
      </c>
      <c r="CC144" s="186">
        <f t="shared" si="128"/>
        <v>0.4690435943060498</v>
      </c>
      <c r="CD144" s="189">
        <f>CD145+CD154</f>
        <v>119866</v>
      </c>
      <c r="CE144" s="186">
        <f t="shared" si="128"/>
        <v>0.53321174377224201</v>
      </c>
      <c r="CF144" s="189">
        <f>CF145+CF154</f>
        <v>146206</v>
      </c>
      <c r="CG144" s="186">
        <f t="shared" si="118"/>
        <v>0.65038256227758007</v>
      </c>
      <c r="CH144" s="189">
        <f>CH145+CH154</f>
        <v>164406</v>
      </c>
      <c r="CI144" s="186">
        <f t="shared" si="119"/>
        <v>0.7313434163701068</v>
      </c>
      <c r="CJ144" s="189">
        <f>CJ145+CJ154</f>
        <v>177831</v>
      </c>
      <c r="CK144" s="186">
        <f t="shared" si="129"/>
        <v>0.79106316725978643</v>
      </c>
      <c r="CL144" s="189">
        <f>CL145+CL154</f>
        <v>205915</v>
      </c>
      <c r="CM144" s="186">
        <f t="shared" si="131"/>
        <v>0.91599199288256228</v>
      </c>
      <c r="CN144" s="189">
        <f>CN145+CN154</f>
        <v>215365</v>
      </c>
      <c r="CO144" s="186">
        <f t="shared" si="132"/>
        <v>0.95802935943060497</v>
      </c>
      <c r="CP144" s="213" t="str">
        <f t="shared" si="135"/>
        <v>Không đạt</v>
      </c>
      <c r="CQ144" s="213" t="str">
        <f t="shared" si="136"/>
        <v>Không đạt</v>
      </c>
      <c r="CR144" s="213"/>
      <c r="CS144" s="213"/>
      <c r="CT144" s="213"/>
      <c r="CU144" s="163"/>
      <c r="CV144" s="232"/>
      <c r="CW144" s="195"/>
      <c r="CX144" s="196"/>
      <c r="CY144" s="196"/>
      <c r="CZ144" s="197"/>
      <c r="DA144" s="196"/>
      <c r="DB144" s="196"/>
      <c r="DC144" s="196"/>
      <c r="DE144" s="199"/>
      <c r="DF144" s="200"/>
      <c r="DG144" s="181"/>
    </row>
    <row r="145" spans="1:111" s="255" customFormat="1" hidden="1" outlineLevel="1" x14ac:dyDescent="0.25">
      <c r="A145" s="191" t="s">
        <v>29</v>
      </c>
      <c r="B145" s="210" t="s">
        <v>157</v>
      </c>
      <c r="C145" s="210"/>
      <c r="D145" s="189">
        <f t="shared" ref="D145:I145" si="138">SUM(D146:D153)</f>
        <v>75100</v>
      </c>
      <c r="E145" s="189">
        <f t="shared" si="138"/>
        <v>0</v>
      </c>
      <c r="F145" s="189">
        <f t="shared" si="138"/>
        <v>75100</v>
      </c>
      <c r="G145" s="189">
        <f t="shared" si="138"/>
        <v>0</v>
      </c>
      <c r="H145" s="189">
        <f t="shared" si="138"/>
        <v>75100</v>
      </c>
      <c r="I145" s="214">
        <f t="shared" si="138"/>
        <v>0</v>
      </c>
      <c r="J145" s="214"/>
      <c r="K145" s="189">
        <f>SUM(K146:K153)</f>
        <v>0</v>
      </c>
      <c r="L145" s="214">
        <f>SUM(L146:L153)</f>
        <v>0</v>
      </c>
      <c r="M145" s="214">
        <f>SUM(M146:M153)</f>
        <v>0</v>
      </c>
      <c r="N145" s="214">
        <f>SUM(N146:N153)</f>
        <v>0</v>
      </c>
      <c r="O145" s="214">
        <f>SUM(O146:O153)</f>
        <v>0</v>
      </c>
      <c r="P145" s="214">
        <v>27078.295252</v>
      </c>
      <c r="Q145" s="186">
        <f t="shared" si="121"/>
        <v>0.3605631857789614</v>
      </c>
      <c r="R145" s="189">
        <v>0</v>
      </c>
      <c r="S145" s="185">
        <v>0</v>
      </c>
      <c r="T145" s="185">
        <v>0</v>
      </c>
      <c r="U145" s="189">
        <v>0</v>
      </c>
      <c r="V145" s="185">
        <v>0</v>
      </c>
      <c r="W145" s="185">
        <v>0</v>
      </c>
      <c r="X145" s="189">
        <v>0</v>
      </c>
      <c r="Y145" s="185">
        <v>0</v>
      </c>
      <c r="Z145" s="185">
        <v>0</v>
      </c>
      <c r="AA145" s="189">
        <v>0</v>
      </c>
      <c r="AB145" s="185">
        <v>0</v>
      </c>
      <c r="AC145" s="185">
        <v>0</v>
      </c>
      <c r="AD145" s="189">
        <v>0</v>
      </c>
      <c r="AE145" s="185">
        <v>0</v>
      </c>
      <c r="AF145" s="185">
        <v>0</v>
      </c>
      <c r="AG145" s="189">
        <v>0</v>
      </c>
      <c r="AH145" s="185">
        <v>0</v>
      </c>
      <c r="AI145" s="185">
        <v>0</v>
      </c>
      <c r="AJ145" s="257">
        <v>0</v>
      </c>
      <c r="AK145" s="185">
        <v>0</v>
      </c>
      <c r="AL145" s="185">
        <v>0</v>
      </c>
      <c r="AM145" s="189">
        <v>0</v>
      </c>
      <c r="AN145" s="185">
        <v>0</v>
      </c>
      <c r="AO145" s="185">
        <v>0</v>
      </c>
      <c r="AP145" s="185"/>
      <c r="AQ145" s="189">
        <v>0</v>
      </c>
      <c r="AR145" s="185">
        <v>0</v>
      </c>
      <c r="AS145" s="185">
        <v>0</v>
      </c>
      <c r="AT145" s="189">
        <v>0</v>
      </c>
      <c r="AU145" s="185">
        <v>0</v>
      </c>
      <c r="AV145" s="185">
        <v>0</v>
      </c>
      <c r="AW145" s="189">
        <v>0</v>
      </c>
      <c r="AX145" s="185">
        <v>0</v>
      </c>
      <c r="AY145" s="185">
        <v>0</v>
      </c>
      <c r="AZ145" s="189">
        <v>0</v>
      </c>
      <c r="BA145" s="185">
        <v>0</v>
      </c>
      <c r="BB145" s="185">
        <v>0</v>
      </c>
      <c r="BC145" s="189">
        <v>17</v>
      </c>
      <c r="BD145" s="185">
        <v>2.2636484687083889E-4</v>
      </c>
      <c r="BE145" s="185">
        <v>2.3827878617983041E-4</v>
      </c>
      <c r="BF145" s="189"/>
      <c r="BG145" s="189">
        <v>4947.259</v>
      </c>
      <c r="BH145" s="185">
        <v>6.5875619174434089E-2</v>
      </c>
      <c r="BI145" s="185">
        <v>6.9342757025720098E-2</v>
      </c>
      <c r="BJ145" s="189">
        <f t="shared" si="122"/>
        <v>71345</v>
      </c>
      <c r="BK145" s="189">
        <f>SUM(BK146:BK153)</f>
        <v>4958.259</v>
      </c>
      <c r="BL145" s="185">
        <f t="shared" si="98"/>
        <v>6.6022090545938744E-2</v>
      </c>
      <c r="BM145" s="185">
        <f t="shared" si="133"/>
        <v>6.9496937416777635E-2</v>
      </c>
      <c r="BN145" s="205">
        <f t="shared" si="116"/>
        <v>4958.259</v>
      </c>
      <c r="BO145" s="205"/>
      <c r="BP145" s="189">
        <f>SUM(BP146:BP153)</f>
        <v>0</v>
      </c>
      <c r="BQ145" s="186">
        <f t="shared" si="134"/>
        <v>0</v>
      </c>
      <c r="BR145" s="189">
        <f>SUM(BR146:BR153)</f>
        <v>0</v>
      </c>
      <c r="BS145" s="186">
        <f t="shared" si="117"/>
        <v>0</v>
      </c>
      <c r="BT145" s="189">
        <f>SUM(BT146:BT153)</f>
        <v>1187.5</v>
      </c>
      <c r="BU145" s="186">
        <f t="shared" si="123"/>
        <v>1.581225033288948E-2</v>
      </c>
      <c r="BV145" s="189">
        <f>SUM(BV146:BV153)</f>
        <v>5937.5</v>
      </c>
      <c r="BW145" s="186">
        <f t="shared" si="125"/>
        <v>7.9061251664447399E-2</v>
      </c>
      <c r="BX145" s="189">
        <f>SUM(BX146:BX153)</f>
        <v>22230</v>
      </c>
      <c r="BY145" s="186">
        <f t="shared" si="126"/>
        <v>0.29600532623169107</v>
      </c>
      <c r="BZ145" s="189">
        <f>SUM(BZ146:BZ153)</f>
        <v>24245</v>
      </c>
      <c r="CA145" s="186">
        <f t="shared" si="127"/>
        <v>0.32283621837549936</v>
      </c>
      <c r="CB145" s="189">
        <f>SUM(CB146:CB153)</f>
        <v>32845</v>
      </c>
      <c r="CC145" s="186">
        <f t="shared" si="128"/>
        <v>0.43735019973368844</v>
      </c>
      <c r="CD145" s="189">
        <f>SUM(CD146:CD153)</f>
        <v>36045</v>
      </c>
      <c r="CE145" s="186">
        <f t="shared" si="128"/>
        <v>0.47996005326231689</v>
      </c>
      <c r="CF145" s="189">
        <f>SUM(CF146:CF153)</f>
        <v>44995</v>
      </c>
      <c r="CG145" s="186">
        <f t="shared" si="118"/>
        <v>0.5991344873501997</v>
      </c>
      <c r="CH145" s="189">
        <f>SUM(CH146:CH153)</f>
        <v>53995</v>
      </c>
      <c r="CI145" s="186">
        <f t="shared" si="119"/>
        <v>0.71897470039946743</v>
      </c>
      <c r="CJ145" s="189">
        <f>SUM(CJ146:CJ153)</f>
        <v>60370</v>
      </c>
      <c r="CK145" s="186">
        <f t="shared" si="129"/>
        <v>0.803861517976032</v>
      </c>
      <c r="CL145" s="189">
        <f>SUM(CL146:CL153)</f>
        <v>71345</v>
      </c>
      <c r="CM145" s="186">
        <f t="shared" si="131"/>
        <v>0.95</v>
      </c>
      <c r="CN145" s="189">
        <f>SUM(CN146:CN153)</f>
        <v>71345</v>
      </c>
      <c r="CO145" s="186">
        <f t="shared" si="132"/>
        <v>0.95</v>
      </c>
      <c r="CP145" s="213" t="str">
        <f t="shared" si="135"/>
        <v>Không đạt</v>
      </c>
      <c r="CQ145" s="213" t="str">
        <f t="shared" si="136"/>
        <v>Không đạt</v>
      </c>
      <c r="CR145" s="213"/>
      <c r="CS145" s="213"/>
      <c r="CT145" s="231"/>
      <c r="CU145" s="163"/>
      <c r="CV145" s="142"/>
      <c r="CW145" s="195"/>
      <c r="CX145" s="196"/>
      <c r="CY145" s="196"/>
      <c r="CZ145" s="197"/>
      <c r="DA145" s="196"/>
      <c r="DB145" s="196"/>
      <c r="DC145" s="196"/>
      <c r="DD145" s="144"/>
      <c r="DE145" s="199"/>
      <c r="DF145" s="200"/>
      <c r="DG145" s="181"/>
    </row>
    <row r="146" spans="1:111" hidden="1" outlineLevel="1" x14ac:dyDescent="0.25">
      <c r="A146" s="192">
        <v>1</v>
      </c>
      <c r="B146" s="247" t="s">
        <v>302</v>
      </c>
      <c r="C146" s="248" t="s">
        <v>303</v>
      </c>
      <c r="D146" s="214">
        <f t="shared" si="114"/>
        <v>2000</v>
      </c>
      <c r="E146" s="205"/>
      <c r="F146" s="214">
        <f t="shared" ref="F146:F153" si="139">G146+H146+K146+M146</f>
        <v>2000</v>
      </c>
      <c r="G146" s="260"/>
      <c r="H146" s="257">
        <v>2000</v>
      </c>
      <c r="I146" s="235"/>
      <c r="J146" s="235"/>
      <c r="K146" s="223"/>
      <c r="L146" s="235"/>
      <c r="M146" s="223"/>
      <c r="N146" s="223"/>
      <c r="O146" s="257">
        <f t="shared" si="84"/>
        <v>0</v>
      </c>
      <c r="P146" s="257">
        <v>0</v>
      </c>
      <c r="Q146" s="224">
        <f t="shared" si="121"/>
        <v>0</v>
      </c>
      <c r="R146" s="257"/>
      <c r="S146" s="225">
        <v>0</v>
      </c>
      <c r="T146" s="225">
        <v>0</v>
      </c>
      <c r="U146" s="257"/>
      <c r="V146" s="225">
        <v>0</v>
      </c>
      <c r="W146" s="225">
        <v>0</v>
      </c>
      <c r="X146" s="257"/>
      <c r="Y146" s="225">
        <v>0</v>
      </c>
      <c r="Z146" s="225">
        <v>0</v>
      </c>
      <c r="AA146" s="257"/>
      <c r="AB146" s="225">
        <v>0</v>
      </c>
      <c r="AC146" s="225">
        <v>0</v>
      </c>
      <c r="AD146" s="257"/>
      <c r="AE146" s="225">
        <v>0</v>
      </c>
      <c r="AF146" s="225">
        <v>0</v>
      </c>
      <c r="AG146" s="257"/>
      <c r="AH146" s="225">
        <v>0</v>
      </c>
      <c r="AI146" s="225">
        <v>0</v>
      </c>
      <c r="AJ146" s="257"/>
      <c r="AK146" s="225">
        <v>0</v>
      </c>
      <c r="AL146" s="225">
        <v>0</v>
      </c>
      <c r="AM146" s="257"/>
      <c r="AN146" s="225">
        <v>0</v>
      </c>
      <c r="AO146" s="225">
        <v>0</v>
      </c>
      <c r="AP146" s="225"/>
      <c r="AQ146" s="257"/>
      <c r="AR146" s="225">
        <v>0</v>
      </c>
      <c r="AS146" s="225">
        <v>0</v>
      </c>
      <c r="AT146" s="257"/>
      <c r="AU146" s="225">
        <v>0</v>
      </c>
      <c r="AV146" s="225">
        <v>0</v>
      </c>
      <c r="AW146" s="257"/>
      <c r="AX146" s="225">
        <v>0</v>
      </c>
      <c r="AY146" s="225">
        <v>0</v>
      </c>
      <c r="AZ146" s="257"/>
      <c r="BA146" s="225">
        <v>0</v>
      </c>
      <c r="BB146" s="225">
        <v>0</v>
      </c>
      <c r="BC146" s="257"/>
      <c r="BD146" s="225">
        <v>0</v>
      </c>
      <c r="BE146" s="225">
        <v>0</v>
      </c>
      <c r="BF146" s="257">
        <v>790</v>
      </c>
      <c r="BG146" s="257">
        <v>790</v>
      </c>
      <c r="BH146" s="225">
        <v>0.39500000000000002</v>
      </c>
      <c r="BI146" s="225">
        <v>0.41578947368421054</v>
      </c>
      <c r="BJ146" s="257">
        <f t="shared" si="122"/>
        <v>1900</v>
      </c>
      <c r="BK146" s="257">
        <v>801</v>
      </c>
      <c r="BL146" s="225">
        <f t="shared" si="98"/>
        <v>0.40050000000000002</v>
      </c>
      <c r="BM146" s="225">
        <f t="shared" si="133"/>
        <v>0.42157894736842105</v>
      </c>
      <c r="BN146" s="205">
        <f t="shared" si="116"/>
        <v>801</v>
      </c>
      <c r="BO146" s="205"/>
      <c r="BP146" s="227"/>
      <c r="BQ146" s="224">
        <f t="shared" si="134"/>
        <v>0</v>
      </c>
      <c r="BR146" s="227"/>
      <c r="BS146" s="224">
        <f t="shared" si="117"/>
        <v>0</v>
      </c>
      <c r="BT146" s="227"/>
      <c r="BU146" s="224">
        <f t="shared" si="123"/>
        <v>0</v>
      </c>
      <c r="BV146" s="227"/>
      <c r="BW146" s="224">
        <f t="shared" si="125"/>
        <v>0</v>
      </c>
      <c r="BX146" s="227">
        <v>1200</v>
      </c>
      <c r="BY146" s="224">
        <f t="shared" si="126"/>
        <v>0.6</v>
      </c>
      <c r="BZ146" s="227">
        <v>1200</v>
      </c>
      <c r="CA146" s="224">
        <f t="shared" si="127"/>
        <v>0.6</v>
      </c>
      <c r="CB146" s="227">
        <v>1500</v>
      </c>
      <c r="CC146" s="224">
        <f t="shared" si="128"/>
        <v>0.75</v>
      </c>
      <c r="CD146" s="227">
        <v>1700</v>
      </c>
      <c r="CE146" s="224">
        <f t="shared" si="128"/>
        <v>0.85</v>
      </c>
      <c r="CF146" s="227">
        <v>1900</v>
      </c>
      <c r="CG146" s="224">
        <f t="shared" si="118"/>
        <v>0.95</v>
      </c>
      <c r="CH146" s="227">
        <v>1900</v>
      </c>
      <c r="CI146" s="224">
        <f t="shared" si="119"/>
        <v>0.95</v>
      </c>
      <c r="CJ146" s="227">
        <v>1900</v>
      </c>
      <c r="CK146" s="224">
        <f t="shared" si="129"/>
        <v>0.95</v>
      </c>
      <c r="CL146" s="227">
        <v>1900</v>
      </c>
      <c r="CM146" s="224">
        <f t="shared" si="131"/>
        <v>0.95</v>
      </c>
      <c r="CN146" s="227">
        <v>1900</v>
      </c>
      <c r="CO146" s="224">
        <f t="shared" si="132"/>
        <v>0.95</v>
      </c>
      <c r="CP146" s="213" t="str">
        <f t="shared" si="135"/>
        <v>Đạt</v>
      </c>
      <c r="CQ146" s="213" t="str">
        <f t="shared" si="136"/>
        <v>Không đạt</v>
      </c>
      <c r="CR146" s="192"/>
      <c r="CS146" s="192"/>
      <c r="CT146" s="223"/>
      <c r="CU146" s="163"/>
      <c r="CW146" s="195"/>
      <c r="CX146" s="196"/>
      <c r="CY146" s="196"/>
      <c r="CZ146" s="197"/>
      <c r="DA146" s="196"/>
      <c r="DB146" s="196"/>
      <c r="DC146" s="196"/>
      <c r="DE146" s="199"/>
      <c r="DF146" s="200"/>
      <c r="DG146" s="181"/>
    </row>
    <row r="147" spans="1:111" ht="51" hidden="1" outlineLevel="1" x14ac:dyDescent="0.25">
      <c r="A147" s="192">
        <f>MAX(A$145:$B146)+1</f>
        <v>2</v>
      </c>
      <c r="B147" s="222" t="s">
        <v>304</v>
      </c>
      <c r="C147" s="222">
        <v>7519781</v>
      </c>
      <c r="D147" s="214">
        <f t="shared" si="114"/>
        <v>100</v>
      </c>
      <c r="E147" s="205"/>
      <c r="F147" s="214">
        <f t="shared" si="139"/>
        <v>100</v>
      </c>
      <c r="G147" s="260"/>
      <c r="H147" s="257">
        <v>100</v>
      </c>
      <c r="I147" s="235"/>
      <c r="J147" s="235"/>
      <c r="K147" s="223"/>
      <c r="L147" s="235"/>
      <c r="M147" s="223"/>
      <c r="N147" s="223"/>
      <c r="O147" s="257">
        <f t="shared" si="84"/>
        <v>0</v>
      </c>
      <c r="P147" s="257">
        <v>0</v>
      </c>
      <c r="Q147" s="224">
        <f t="shared" si="121"/>
        <v>0</v>
      </c>
      <c r="R147" s="257"/>
      <c r="S147" s="225">
        <v>0</v>
      </c>
      <c r="T147" s="225">
        <v>0</v>
      </c>
      <c r="U147" s="257"/>
      <c r="V147" s="225">
        <v>0</v>
      </c>
      <c r="W147" s="225">
        <v>0</v>
      </c>
      <c r="X147" s="257"/>
      <c r="Y147" s="225">
        <v>0</v>
      </c>
      <c r="Z147" s="225">
        <v>0</v>
      </c>
      <c r="AA147" s="257"/>
      <c r="AB147" s="225">
        <v>0</v>
      </c>
      <c r="AC147" s="225">
        <v>0</v>
      </c>
      <c r="AD147" s="257"/>
      <c r="AE147" s="225">
        <v>0</v>
      </c>
      <c r="AF147" s="225">
        <v>0</v>
      </c>
      <c r="AG147" s="257"/>
      <c r="AH147" s="225">
        <v>0</v>
      </c>
      <c r="AI147" s="225">
        <v>0</v>
      </c>
      <c r="AJ147" s="257"/>
      <c r="AK147" s="225">
        <v>0</v>
      </c>
      <c r="AL147" s="225">
        <v>0</v>
      </c>
      <c r="AM147" s="257"/>
      <c r="AN147" s="225">
        <v>0</v>
      </c>
      <c r="AO147" s="225">
        <v>0</v>
      </c>
      <c r="AP147" s="225"/>
      <c r="AQ147" s="257"/>
      <c r="AR147" s="225">
        <v>0</v>
      </c>
      <c r="AS147" s="225">
        <v>0</v>
      </c>
      <c r="AT147" s="257"/>
      <c r="AU147" s="225">
        <v>0</v>
      </c>
      <c r="AV147" s="225">
        <v>0</v>
      </c>
      <c r="AW147" s="257"/>
      <c r="AX147" s="225">
        <v>0</v>
      </c>
      <c r="AY147" s="225">
        <v>0</v>
      </c>
      <c r="AZ147" s="257"/>
      <c r="BA147" s="225">
        <v>0</v>
      </c>
      <c r="BB147" s="225">
        <v>0</v>
      </c>
      <c r="BC147" s="257">
        <v>17</v>
      </c>
      <c r="BD147" s="225">
        <v>0.17</v>
      </c>
      <c r="BE147" s="225">
        <v>0.17894736842105263</v>
      </c>
      <c r="BF147" s="257">
        <v>17</v>
      </c>
      <c r="BG147" s="257">
        <v>17</v>
      </c>
      <c r="BH147" s="225">
        <v>0.17</v>
      </c>
      <c r="BI147" s="225">
        <v>0.17894736842105263</v>
      </c>
      <c r="BJ147" s="257">
        <f t="shared" si="122"/>
        <v>95</v>
      </c>
      <c r="BK147" s="257">
        <v>17</v>
      </c>
      <c r="BL147" s="225">
        <f t="shared" si="98"/>
        <v>0.17</v>
      </c>
      <c r="BM147" s="225">
        <f t="shared" si="133"/>
        <v>0.17894736842105263</v>
      </c>
      <c r="BN147" s="205">
        <f t="shared" si="116"/>
        <v>17</v>
      </c>
      <c r="BO147" s="205"/>
      <c r="BP147" s="227"/>
      <c r="BQ147" s="224">
        <f t="shared" si="134"/>
        <v>0</v>
      </c>
      <c r="BR147" s="227"/>
      <c r="BS147" s="224">
        <f t="shared" si="117"/>
        <v>0</v>
      </c>
      <c r="BT147" s="227"/>
      <c r="BU147" s="224">
        <f t="shared" si="123"/>
        <v>0</v>
      </c>
      <c r="BV147" s="227"/>
      <c r="BW147" s="224">
        <f t="shared" si="125"/>
        <v>0</v>
      </c>
      <c r="BX147" s="227">
        <v>30</v>
      </c>
      <c r="BY147" s="224">
        <f t="shared" si="126"/>
        <v>0.3</v>
      </c>
      <c r="BZ147" s="227">
        <v>45</v>
      </c>
      <c r="CA147" s="224">
        <f t="shared" si="127"/>
        <v>0.45</v>
      </c>
      <c r="CB147" s="227">
        <v>95</v>
      </c>
      <c r="CC147" s="224">
        <f t="shared" si="128"/>
        <v>0.95</v>
      </c>
      <c r="CD147" s="227">
        <v>95</v>
      </c>
      <c r="CE147" s="224">
        <f t="shared" si="128"/>
        <v>0.95</v>
      </c>
      <c r="CF147" s="227">
        <v>95</v>
      </c>
      <c r="CG147" s="224">
        <f t="shared" si="118"/>
        <v>0.95</v>
      </c>
      <c r="CH147" s="227">
        <v>95</v>
      </c>
      <c r="CI147" s="224">
        <f t="shared" si="119"/>
        <v>0.95</v>
      </c>
      <c r="CJ147" s="227">
        <v>95</v>
      </c>
      <c r="CK147" s="224">
        <f t="shared" si="129"/>
        <v>0.95</v>
      </c>
      <c r="CL147" s="227">
        <v>95</v>
      </c>
      <c r="CM147" s="224">
        <f t="shared" si="131"/>
        <v>0.95</v>
      </c>
      <c r="CN147" s="227">
        <v>95</v>
      </c>
      <c r="CO147" s="224">
        <f t="shared" si="132"/>
        <v>0.95</v>
      </c>
      <c r="CP147" s="213" t="str">
        <f t="shared" si="135"/>
        <v>Không đạt</v>
      </c>
      <c r="CQ147" s="213" t="str">
        <f t="shared" si="136"/>
        <v>Không đạt</v>
      </c>
      <c r="CR147" s="192"/>
      <c r="CS147" s="192"/>
      <c r="CT147" s="223"/>
      <c r="CU147" s="163"/>
      <c r="CW147" s="195"/>
      <c r="CX147" s="196"/>
      <c r="CY147" s="196"/>
      <c r="CZ147" s="197"/>
      <c r="DA147" s="196"/>
      <c r="DB147" s="196"/>
      <c r="DC147" s="196"/>
      <c r="DE147" s="199"/>
      <c r="DF147" s="200"/>
      <c r="DG147" s="181"/>
    </row>
    <row r="148" spans="1:111" hidden="1" outlineLevel="1" x14ac:dyDescent="0.25">
      <c r="A148" s="192">
        <f>MAX(A$145:$B147)+1</f>
        <v>3</v>
      </c>
      <c r="B148" s="222" t="s">
        <v>305</v>
      </c>
      <c r="C148" s="222">
        <v>7638395</v>
      </c>
      <c r="D148" s="214">
        <f t="shared" si="114"/>
        <v>8000</v>
      </c>
      <c r="E148" s="205"/>
      <c r="F148" s="214">
        <f t="shared" si="139"/>
        <v>8000</v>
      </c>
      <c r="G148" s="260"/>
      <c r="H148" s="257">
        <v>8000</v>
      </c>
      <c r="I148" s="235"/>
      <c r="J148" s="235"/>
      <c r="K148" s="223"/>
      <c r="L148" s="235"/>
      <c r="M148" s="223"/>
      <c r="N148" s="223"/>
      <c r="O148" s="257">
        <f t="shared" si="84"/>
        <v>0</v>
      </c>
      <c r="P148" s="257">
        <v>0</v>
      </c>
      <c r="Q148" s="224">
        <f t="shared" si="121"/>
        <v>0</v>
      </c>
      <c r="R148" s="257"/>
      <c r="S148" s="225">
        <v>0</v>
      </c>
      <c r="T148" s="225">
        <v>0</v>
      </c>
      <c r="U148" s="257"/>
      <c r="V148" s="225">
        <v>0</v>
      </c>
      <c r="W148" s="225">
        <v>0</v>
      </c>
      <c r="X148" s="257"/>
      <c r="Y148" s="225">
        <v>0</v>
      </c>
      <c r="Z148" s="225">
        <v>0</v>
      </c>
      <c r="AA148" s="257"/>
      <c r="AB148" s="225">
        <v>0</v>
      </c>
      <c r="AC148" s="225">
        <v>0</v>
      </c>
      <c r="AD148" s="257"/>
      <c r="AE148" s="225">
        <v>0</v>
      </c>
      <c r="AF148" s="225">
        <v>0</v>
      </c>
      <c r="AG148" s="257"/>
      <c r="AH148" s="225">
        <v>0</v>
      </c>
      <c r="AI148" s="225">
        <v>0</v>
      </c>
      <c r="AJ148" s="257"/>
      <c r="AK148" s="225">
        <v>0</v>
      </c>
      <c r="AL148" s="225">
        <v>0</v>
      </c>
      <c r="AM148" s="257"/>
      <c r="AN148" s="225">
        <v>0</v>
      </c>
      <c r="AO148" s="225">
        <v>0</v>
      </c>
      <c r="AP148" s="225"/>
      <c r="AQ148" s="257"/>
      <c r="AR148" s="225">
        <v>0</v>
      </c>
      <c r="AS148" s="225">
        <v>0</v>
      </c>
      <c r="AT148" s="257"/>
      <c r="AU148" s="225">
        <v>0</v>
      </c>
      <c r="AV148" s="225">
        <v>0</v>
      </c>
      <c r="AW148" s="257"/>
      <c r="AX148" s="225">
        <v>0</v>
      </c>
      <c r="AY148" s="225">
        <v>0</v>
      </c>
      <c r="AZ148" s="257"/>
      <c r="BA148" s="225">
        <v>0</v>
      </c>
      <c r="BB148" s="225">
        <v>0</v>
      </c>
      <c r="BC148" s="257"/>
      <c r="BD148" s="225">
        <v>0</v>
      </c>
      <c r="BE148" s="225">
        <v>0</v>
      </c>
      <c r="BF148" s="257"/>
      <c r="BG148" s="257"/>
      <c r="BH148" s="225">
        <v>0</v>
      </c>
      <c r="BI148" s="225">
        <v>0</v>
      </c>
      <c r="BJ148" s="257">
        <f t="shared" si="122"/>
        <v>7600</v>
      </c>
      <c r="BK148" s="257"/>
      <c r="BL148" s="225">
        <f t="shared" si="98"/>
        <v>0</v>
      </c>
      <c r="BM148" s="225">
        <f t="shared" si="133"/>
        <v>0</v>
      </c>
      <c r="BN148" s="205">
        <f t="shared" si="116"/>
        <v>0</v>
      </c>
      <c r="BO148" s="205"/>
      <c r="BP148" s="227"/>
      <c r="BQ148" s="224">
        <f t="shared" si="134"/>
        <v>0</v>
      </c>
      <c r="BR148" s="227"/>
      <c r="BS148" s="224">
        <f t="shared" si="117"/>
        <v>0</v>
      </c>
      <c r="BT148" s="227"/>
      <c r="BU148" s="224">
        <f t="shared" si="123"/>
        <v>0</v>
      </c>
      <c r="BV148" s="227"/>
      <c r="BW148" s="224">
        <f t="shared" si="125"/>
        <v>0</v>
      </c>
      <c r="BX148" s="227"/>
      <c r="BY148" s="224">
        <f t="shared" si="126"/>
        <v>0</v>
      </c>
      <c r="BZ148" s="227">
        <v>2000</v>
      </c>
      <c r="CA148" s="224">
        <f t="shared" si="127"/>
        <v>0.25</v>
      </c>
      <c r="CB148" s="227">
        <v>2000</v>
      </c>
      <c r="CC148" s="224">
        <f t="shared" si="128"/>
        <v>0.25</v>
      </c>
      <c r="CD148" s="227">
        <v>3000</v>
      </c>
      <c r="CE148" s="224">
        <f t="shared" si="128"/>
        <v>0.375</v>
      </c>
      <c r="CF148" s="227">
        <v>3000</v>
      </c>
      <c r="CG148" s="224">
        <f t="shared" si="118"/>
        <v>0.375</v>
      </c>
      <c r="CH148" s="227">
        <v>5000</v>
      </c>
      <c r="CI148" s="224">
        <f t="shared" si="119"/>
        <v>0.625</v>
      </c>
      <c r="CJ148" s="227">
        <v>7000</v>
      </c>
      <c r="CK148" s="224">
        <f t="shared" si="129"/>
        <v>0.875</v>
      </c>
      <c r="CL148" s="227">
        <v>7600</v>
      </c>
      <c r="CM148" s="224">
        <f t="shared" si="131"/>
        <v>0.95</v>
      </c>
      <c r="CN148" s="227">
        <v>7600</v>
      </c>
      <c r="CO148" s="224">
        <f t="shared" si="132"/>
        <v>0.95</v>
      </c>
      <c r="CP148" s="213" t="str">
        <f t="shared" si="135"/>
        <v>Không đạt</v>
      </c>
      <c r="CQ148" s="213" t="str">
        <f t="shared" si="136"/>
        <v>Không đạt</v>
      </c>
      <c r="CR148" s="192"/>
      <c r="CS148" s="192"/>
      <c r="CT148" s="223"/>
      <c r="CU148" s="163"/>
      <c r="CW148" s="195"/>
      <c r="CX148" s="196"/>
      <c r="CY148" s="196"/>
      <c r="CZ148" s="197"/>
      <c r="DA148" s="196"/>
      <c r="DB148" s="196"/>
      <c r="DC148" s="196"/>
      <c r="DE148" s="199"/>
      <c r="DF148" s="200"/>
      <c r="DG148" s="181"/>
    </row>
    <row r="149" spans="1:111" ht="25.5" hidden="1" outlineLevel="1" x14ac:dyDescent="0.25">
      <c r="A149" s="192">
        <f>MAX(A$145:$B148)+1</f>
        <v>4</v>
      </c>
      <c r="B149" s="222" t="s">
        <v>306</v>
      </c>
      <c r="C149" s="222">
        <v>7620905</v>
      </c>
      <c r="D149" s="214">
        <f t="shared" si="114"/>
        <v>20000</v>
      </c>
      <c r="E149" s="205"/>
      <c r="F149" s="214">
        <f t="shared" si="139"/>
        <v>20000</v>
      </c>
      <c r="G149" s="260"/>
      <c r="H149" s="257">
        <v>20000</v>
      </c>
      <c r="I149" s="235"/>
      <c r="J149" s="235"/>
      <c r="K149" s="223"/>
      <c r="L149" s="235"/>
      <c r="M149" s="223"/>
      <c r="N149" s="223"/>
      <c r="O149" s="257">
        <f t="shared" si="84"/>
        <v>0</v>
      </c>
      <c r="P149" s="257">
        <v>0</v>
      </c>
      <c r="Q149" s="224">
        <f t="shared" si="121"/>
        <v>0</v>
      </c>
      <c r="R149" s="257"/>
      <c r="S149" s="225">
        <v>0</v>
      </c>
      <c r="T149" s="225">
        <v>0</v>
      </c>
      <c r="U149" s="257"/>
      <c r="V149" s="225">
        <v>0</v>
      </c>
      <c r="W149" s="225">
        <v>0</v>
      </c>
      <c r="X149" s="257"/>
      <c r="Y149" s="225">
        <v>0</v>
      </c>
      <c r="Z149" s="225">
        <v>0</v>
      </c>
      <c r="AA149" s="257"/>
      <c r="AB149" s="225">
        <v>0</v>
      </c>
      <c r="AC149" s="225">
        <v>0</v>
      </c>
      <c r="AD149" s="257"/>
      <c r="AE149" s="225">
        <v>0</v>
      </c>
      <c r="AF149" s="225">
        <v>0</v>
      </c>
      <c r="AG149" s="257"/>
      <c r="AH149" s="225">
        <v>0</v>
      </c>
      <c r="AI149" s="225">
        <v>0</v>
      </c>
      <c r="AJ149" s="257"/>
      <c r="AK149" s="225">
        <v>0</v>
      </c>
      <c r="AL149" s="225">
        <v>0</v>
      </c>
      <c r="AM149" s="257"/>
      <c r="AN149" s="225">
        <v>0</v>
      </c>
      <c r="AO149" s="225">
        <v>0</v>
      </c>
      <c r="AP149" s="225"/>
      <c r="AQ149" s="257"/>
      <c r="AR149" s="225">
        <v>0</v>
      </c>
      <c r="AS149" s="225">
        <v>0</v>
      </c>
      <c r="AT149" s="257"/>
      <c r="AU149" s="225">
        <v>0</v>
      </c>
      <c r="AV149" s="225">
        <v>0</v>
      </c>
      <c r="AW149" s="257"/>
      <c r="AX149" s="225">
        <v>0</v>
      </c>
      <c r="AY149" s="225">
        <v>0</v>
      </c>
      <c r="AZ149" s="257"/>
      <c r="BA149" s="225">
        <v>0</v>
      </c>
      <c r="BB149" s="225">
        <v>0</v>
      </c>
      <c r="BC149" s="257"/>
      <c r="BD149" s="225">
        <v>0</v>
      </c>
      <c r="BE149" s="225">
        <v>0</v>
      </c>
      <c r="BF149" s="257">
        <v>4140.259</v>
      </c>
      <c r="BG149" s="257">
        <v>4140.259</v>
      </c>
      <c r="BH149" s="225">
        <v>0.20701295</v>
      </c>
      <c r="BI149" s="225">
        <v>0.21790836842105263</v>
      </c>
      <c r="BJ149" s="257">
        <f t="shared" si="122"/>
        <v>19000</v>
      </c>
      <c r="BK149" s="257">
        <v>4140.259</v>
      </c>
      <c r="BL149" s="225">
        <f t="shared" si="98"/>
        <v>0.20701295</v>
      </c>
      <c r="BM149" s="225">
        <f t="shared" si="133"/>
        <v>0.21790836842105263</v>
      </c>
      <c r="BN149" s="205">
        <f t="shared" si="116"/>
        <v>4140.259</v>
      </c>
      <c r="BO149" s="205"/>
      <c r="BP149" s="227"/>
      <c r="BQ149" s="224">
        <f t="shared" si="134"/>
        <v>0</v>
      </c>
      <c r="BR149" s="227"/>
      <c r="BS149" s="224">
        <f t="shared" si="117"/>
        <v>0</v>
      </c>
      <c r="BT149" s="227"/>
      <c r="BU149" s="224">
        <f t="shared" si="123"/>
        <v>0</v>
      </c>
      <c r="BV149" s="227"/>
      <c r="BW149" s="224">
        <f t="shared" si="125"/>
        <v>0</v>
      </c>
      <c r="BX149" s="227">
        <v>8500</v>
      </c>
      <c r="BY149" s="224">
        <f t="shared" si="126"/>
        <v>0.42499999999999999</v>
      </c>
      <c r="BZ149" s="227">
        <v>8500</v>
      </c>
      <c r="CA149" s="224">
        <f t="shared" si="127"/>
        <v>0.42499999999999999</v>
      </c>
      <c r="CB149" s="227">
        <v>10000</v>
      </c>
      <c r="CC149" s="224">
        <f t="shared" si="128"/>
        <v>0.5</v>
      </c>
      <c r="CD149" s="227">
        <v>12000</v>
      </c>
      <c r="CE149" s="224">
        <f t="shared" si="128"/>
        <v>0.6</v>
      </c>
      <c r="CF149" s="227">
        <v>14000</v>
      </c>
      <c r="CG149" s="224">
        <f t="shared" si="118"/>
        <v>0.7</v>
      </c>
      <c r="CH149" s="227">
        <v>16000</v>
      </c>
      <c r="CI149" s="224">
        <f t="shared" si="119"/>
        <v>0.8</v>
      </c>
      <c r="CJ149" s="227">
        <v>18000</v>
      </c>
      <c r="CK149" s="224">
        <f t="shared" si="129"/>
        <v>0.9</v>
      </c>
      <c r="CL149" s="227">
        <v>19000</v>
      </c>
      <c r="CM149" s="224">
        <f t="shared" si="131"/>
        <v>0.95</v>
      </c>
      <c r="CN149" s="227">
        <v>19000</v>
      </c>
      <c r="CO149" s="224">
        <f t="shared" si="132"/>
        <v>0.95</v>
      </c>
      <c r="CP149" s="213" t="str">
        <f t="shared" si="135"/>
        <v>Không đạt</v>
      </c>
      <c r="CQ149" s="213" t="str">
        <f t="shared" si="136"/>
        <v>Không đạt</v>
      </c>
      <c r="CR149" s="192"/>
      <c r="CS149" s="192"/>
      <c r="CT149" s="223"/>
      <c r="CU149" s="163"/>
      <c r="CW149" s="195"/>
      <c r="CX149" s="196"/>
      <c r="CY149" s="196"/>
      <c r="CZ149" s="197"/>
      <c r="DA149" s="196"/>
      <c r="DB149" s="196"/>
      <c r="DC149" s="196"/>
      <c r="DE149" s="199"/>
      <c r="DF149" s="200"/>
      <c r="DG149" s="181"/>
    </row>
    <row r="150" spans="1:111" hidden="1" outlineLevel="1" x14ac:dyDescent="0.25">
      <c r="A150" s="192">
        <f>MAX(A$145:$B149)+1</f>
        <v>5</v>
      </c>
      <c r="B150" s="222" t="s">
        <v>307</v>
      </c>
      <c r="C150" s="222" t="s">
        <v>308</v>
      </c>
      <c r="D150" s="214">
        <f t="shared" si="114"/>
        <v>10000</v>
      </c>
      <c r="E150" s="205"/>
      <c r="F150" s="214">
        <f t="shared" si="139"/>
        <v>10000</v>
      </c>
      <c r="G150" s="260"/>
      <c r="H150" s="257">
        <v>10000</v>
      </c>
      <c r="I150" s="235"/>
      <c r="J150" s="235"/>
      <c r="K150" s="223"/>
      <c r="L150" s="235"/>
      <c r="M150" s="223"/>
      <c r="N150" s="223"/>
      <c r="O150" s="257">
        <f t="shared" si="84"/>
        <v>0</v>
      </c>
      <c r="P150" s="257">
        <v>0</v>
      </c>
      <c r="Q150" s="224">
        <f t="shared" si="121"/>
        <v>0</v>
      </c>
      <c r="R150" s="257"/>
      <c r="S150" s="225">
        <v>0</v>
      </c>
      <c r="T150" s="225">
        <v>0</v>
      </c>
      <c r="U150" s="257"/>
      <c r="V150" s="225">
        <v>0</v>
      </c>
      <c r="W150" s="225">
        <v>0</v>
      </c>
      <c r="X150" s="257"/>
      <c r="Y150" s="225">
        <v>0</v>
      </c>
      <c r="Z150" s="225">
        <v>0</v>
      </c>
      <c r="AA150" s="257"/>
      <c r="AB150" s="225">
        <v>0</v>
      </c>
      <c r="AC150" s="225">
        <v>0</v>
      </c>
      <c r="AD150" s="257"/>
      <c r="AE150" s="225">
        <v>0</v>
      </c>
      <c r="AF150" s="225">
        <v>0</v>
      </c>
      <c r="AG150" s="257"/>
      <c r="AH150" s="225">
        <v>0</v>
      </c>
      <c r="AI150" s="225">
        <v>0</v>
      </c>
      <c r="AJ150" s="257"/>
      <c r="AK150" s="225">
        <v>0</v>
      </c>
      <c r="AL150" s="225">
        <v>0</v>
      </c>
      <c r="AM150" s="257"/>
      <c r="AN150" s="225">
        <v>0</v>
      </c>
      <c r="AO150" s="225">
        <v>0</v>
      </c>
      <c r="AP150" s="225"/>
      <c r="AQ150" s="257"/>
      <c r="AR150" s="225">
        <v>0</v>
      </c>
      <c r="AS150" s="225">
        <v>0</v>
      </c>
      <c r="AT150" s="257"/>
      <c r="AU150" s="225">
        <v>0</v>
      </c>
      <c r="AV150" s="225">
        <v>0</v>
      </c>
      <c r="AW150" s="257"/>
      <c r="AX150" s="225">
        <v>0</v>
      </c>
      <c r="AY150" s="225">
        <v>0</v>
      </c>
      <c r="AZ150" s="257"/>
      <c r="BA150" s="225">
        <v>0</v>
      </c>
      <c r="BB150" s="225">
        <v>0</v>
      </c>
      <c r="BC150" s="257"/>
      <c r="BD150" s="225">
        <v>0</v>
      </c>
      <c r="BE150" s="225">
        <v>0</v>
      </c>
      <c r="BF150" s="257"/>
      <c r="BG150" s="257"/>
      <c r="BH150" s="225">
        <v>0</v>
      </c>
      <c r="BI150" s="225">
        <v>0</v>
      </c>
      <c r="BJ150" s="257">
        <f t="shared" si="122"/>
        <v>9500</v>
      </c>
      <c r="BK150" s="257"/>
      <c r="BL150" s="225">
        <f t="shared" si="98"/>
        <v>0</v>
      </c>
      <c r="BM150" s="225">
        <f t="shared" si="133"/>
        <v>0</v>
      </c>
      <c r="BN150" s="205">
        <f t="shared" si="116"/>
        <v>0</v>
      </c>
      <c r="BO150" s="205"/>
      <c r="BP150" s="227"/>
      <c r="BQ150" s="224">
        <f t="shared" si="134"/>
        <v>0</v>
      </c>
      <c r="BR150" s="227"/>
      <c r="BS150" s="224">
        <f t="shared" si="117"/>
        <v>0</v>
      </c>
      <c r="BT150" s="227"/>
      <c r="BU150" s="224">
        <f t="shared" si="123"/>
        <v>0</v>
      </c>
      <c r="BV150" s="227"/>
      <c r="BW150" s="224">
        <f t="shared" si="125"/>
        <v>0</v>
      </c>
      <c r="BX150" s="227"/>
      <c r="BY150" s="224">
        <f t="shared" si="126"/>
        <v>0</v>
      </c>
      <c r="BZ150" s="227"/>
      <c r="CA150" s="224">
        <f t="shared" si="127"/>
        <v>0</v>
      </c>
      <c r="CB150" s="227">
        <v>1000</v>
      </c>
      <c r="CC150" s="224">
        <f t="shared" si="128"/>
        <v>0.1</v>
      </c>
      <c r="CD150" s="227">
        <f>CB150</f>
        <v>1000</v>
      </c>
      <c r="CE150" s="224">
        <f t="shared" si="128"/>
        <v>0.1</v>
      </c>
      <c r="CF150" s="227">
        <f>CD150</f>
        <v>1000</v>
      </c>
      <c r="CG150" s="224">
        <f t="shared" si="118"/>
        <v>0.1</v>
      </c>
      <c r="CH150" s="227">
        <v>6000</v>
      </c>
      <c r="CI150" s="224">
        <f t="shared" si="119"/>
        <v>0.6</v>
      </c>
      <c r="CJ150" s="227">
        <f>CH150</f>
        <v>6000</v>
      </c>
      <c r="CK150" s="224">
        <f t="shared" si="129"/>
        <v>0.6</v>
      </c>
      <c r="CL150" s="227">
        <v>9500</v>
      </c>
      <c r="CM150" s="224">
        <f t="shared" si="131"/>
        <v>0.95</v>
      </c>
      <c r="CN150" s="227">
        <v>9500</v>
      </c>
      <c r="CO150" s="224">
        <f t="shared" si="132"/>
        <v>0.95</v>
      </c>
      <c r="CP150" s="213" t="str">
        <f t="shared" si="135"/>
        <v>Không đạt</v>
      </c>
      <c r="CQ150" s="213" t="str">
        <f t="shared" si="136"/>
        <v>Không đạt</v>
      </c>
      <c r="CR150" s="192"/>
      <c r="CS150" s="192"/>
      <c r="CT150" s="223"/>
      <c r="CU150" s="163"/>
      <c r="CW150" s="195"/>
      <c r="CX150" s="196"/>
      <c r="CY150" s="196"/>
      <c r="CZ150" s="197"/>
      <c r="DA150" s="196"/>
      <c r="DB150" s="196"/>
      <c r="DC150" s="196"/>
      <c r="DE150" s="199"/>
      <c r="DF150" s="200"/>
      <c r="DG150" s="181"/>
    </row>
    <row r="151" spans="1:111" ht="25.5" hidden="1" outlineLevel="1" x14ac:dyDescent="0.25">
      <c r="A151" s="192">
        <f>MAX(A$145:$B150)+1</f>
        <v>6</v>
      </c>
      <c r="B151" s="222" t="s">
        <v>309</v>
      </c>
      <c r="C151" s="222">
        <v>0</v>
      </c>
      <c r="D151" s="214">
        <f t="shared" si="114"/>
        <v>5000</v>
      </c>
      <c r="E151" s="205"/>
      <c r="F151" s="214">
        <f t="shared" si="139"/>
        <v>5000</v>
      </c>
      <c r="G151" s="257"/>
      <c r="H151" s="257">
        <v>5000</v>
      </c>
      <c r="I151" s="235"/>
      <c r="J151" s="235"/>
      <c r="K151" s="223"/>
      <c r="L151" s="235"/>
      <c r="M151" s="223"/>
      <c r="N151" s="223"/>
      <c r="O151" s="257">
        <f t="shared" ref="O151:O202" si="140">G151+I151+L151+N151</f>
        <v>0</v>
      </c>
      <c r="P151" s="257">
        <v>0</v>
      </c>
      <c r="Q151" s="224">
        <f t="shared" si="121"/>
        <v>0</v>
      </c>
      <c r="R151" s="257"/>
      <c r="S151" s="225">
        <v>0</v>
      </c>
      <c r="T151" s="225">
        <v>0</v>
      </c>
      <c r="U151" s="257"/>
      <c r="V151" s="225">
        <v>0</v>
      </c>
      <c r="W151" s="225">
        <v>0</v>
      </c>
      <c r="X151" s="257"/>
      <c r="Y151" s="225">
        <v>0</v>
      </c>
      <c r="Z151" s="225">
        <v>0</v>
      </c>
      <c r="AA151" s="257"/>
      <c r="AB151" s="225">
        <v>0</v>
      </c>
      <c r="AC151" s="225">
        <v>0</v>
      </c>
      <c r="AD151" s="257"/>
      <c r="AE151" s="225">
        <v>0</v>
      </c>
      <c r="AF151" s="225">
        <v>0</v>
      </c>
      <c r="AG151" s="257"/>
      <c r="AH151" s="225">
        <v>0</v>
      </c>
      <c r="AI151" s="225">
        <v>0</v>
      </c>
      <c r="AJ151" s="257"/>
      <c r="AK151" s="225">
        <v>0</v>
      </c>
      <c r="AL151" s="225">
        <v>0</v>
      </c>
      <c r="AM151" s="257"/>
      <c r="AN151" s="225">
        <v>0</v>
      </c>
      <c r="AO151" s="225">
        <v>0</v>
      </c>
      <c r="AP151" s="225"/>
      <c r="AQ151" s="257"/>
      <c r="AR151" s="225">
        <v>0</v>
      </c>
      <c r="AS151" s="225">
        <v>0</v>
      </c>
      <c r="AT151" s="257"/>
      <c r="AU151" s="225">
        <v>0</v>
      </c>
      <c r="AV151" s="225">
        <v>0</v>
      </c>
      <c r="AW151" s="257"/>
      <c r="AX151" s="225">
        <v>0</v>
      </c>
      <c r="AY151" s="225">
        <v>0</v>
      </c>
      <c r="AZ151" s="257"/>
      <c r="BA151" s="225">
        <v>0</v>
      </c>
      <c r="BB151" s="225">
        <v>0</v>
      </c>
      <c r="BC151" s="257"/>
      <c r="BD151" s="225">
        <v>0</v>
      </c>
      <c r="BE151" s="225">
        <v>0</v>
      </c>
      <c r="BF151" s="257"/>
      <c r="BG151" s="257"/>
      <c r="BH151" s="225">
        <v>0</v>
      </c>
      <c r="BI151" s="225">
        <v>0</v>
      </c>
      <c r="BJ151" s="257">
        <f t="shared" si="122"/>
        <v>4750</v>
      </c>
      <c r="BK151" s="257"/>
      <c r="BL151" s="225">
        <f t="shared" si="98"/>
        <v>0</v>
      </c>
      <c r="BM151" s="225">
        <f t="shared" si="133"/>
        <v>0</v>
      </c>
      <c r="BN151" s="205">
        <f t="shared" si="116"/>
        <v>0</v>
      </c>
      <c r="BO151" s="205"/>
      <c r="BP151" s="227"/>
      <c r="BQ151" s="224">
        <f t="shared" si="134"/>
        <v>0</v>
      </c>
      <c r="BR151" s="227"/>
      <c r="BS151" s="224">
        <f t="shared" si="117"/>
        <v>0</v>
      </c>
      <c r="BT151" s="227"/>
      <c r="BU151" s="224">
        <f t="shared" si="123"/>
        <v>0</v>
      </c>
      <c r="BV151" s="227"/>
      <c r="BW151" s="224">
        <f t="shared" si="125"/>
        <v>0</v>
      </c>
      <c r="BX151" s="227">
        <v>1500</v>
      </c>
      <c r="BY151" s="224">
        <f t="shared" si="126"/>
        <v>0.3</v>
      </c>
      <c r="BZ151" s="227">
        <v>1500</v>
      </c>
      <c r="CA151" s="224">
        <f t="shared" si="127"/>
        <v>0.3</v>
      </c>
      <c r="CB151" s="227">
        <v>2000</v>
      </c>
      <c r="CC151" s="224">
        <f t="shared" si="128"/>
        <v>0.4</v>
      </c>
      <c r="CD151" s="227">
        <v>2000</v>
      </c>
      <c r="CE151" s="224">
        <f t="shared" si="128"/>
        <v>0.4</v>
      </c>
      <c r="CF151" s="227">
        <v>3000</v>
      </c>
      <c r="CG151" s="224">
        <f t="shared" si="118"/>
        <v>0.6</v>
      </c>
      <c r="CH151" s="227">
        <v>3000</v>
      </c>
      <c r="CI151" s="224">
        <f t="shared" si="119"/>
        <v>0.6</v>
      </c>
      <c r="CJ151" s="227">
        <v>3000</v>
      </c>
      <c r="CK151" s="224">
        <f t="shared" si="129"/>
        <v>0.6</v>
      </c>
      <c r="CL151" s="227">
        <v>4750</v>
      </c>
      <c r="CM151" s="224">
        <f t="shared" si="131"/>
        <v>0.95</v>
      </c>
      <c r="CN151" s="227">
        <v>4750</v>
      </c>
      <c r="CO151" s="224">
        <f t="shared" si="132"/>
        <v>0.95</v>
      </c>
      <c r="CP151" s="213" t="str">
        <f t="shared" si="135"/>
        <v>Không đạt</v>
      </c>
      <c r="CQ151" s="213" t="str">
        <f t="shared" si="136"/>
        <v>Không đạt</v>
      </c>
      <c r="CR151" s="192"/>
      <c r="CS151" s="192"/>
      <c r="CT151" s="223"/>
      <c r="CU151" s="163"/>
      <c r="CW151" s="195"/>
      <c r="CX151" s="196"/>
      <c r="CY151" s="196"/>
      <c r="CZ151" s="197"/>
      <c r="DA151" s="196"/>
      <c r="DB151" s="196"/>
      <c r="DC151" s="196"/>
      <c r="DE151" s="199"/>
      <c r="DF151" s="200"/>
      <c r="DG151" s="181"/>
    </row>
    <row r="152" spans="1:111" ht="38.25" hidden="1" outlineLevel="1" x14ac:dyDescent="0.25">
      <c r="A152" s="192">
        <f>MAX(A$145:$B151)+1</f>
        <v>7</v>
      </c>
      <c r="B152" s="222" t="s">
        <v>310</v>
      </c>
      <c r="C152" s="222"/>
      <c r="D152" s="214">
        <f t="shared" si="114"/>
        <v>5000</v>
      </c>
      <c r="E152" s="205"/>
      <c r="F152" s="214">
        <f t="shared" si="139"/>
        <v>5000</v>
      </c>
      <c r="G152" s="257"/>
      <c r="H152" s="257">
        <v>5000</v>
      </c>
      <c r="I152" s="235"/>
      <c r="J152" s="235"/>
      <c r="K152" s="223"/>
      <c r="L152" s="235"/>
      <c r="M152" s="223"/>
      <c r="N152" s="223"/>
      <c r="O152" s="257">
        <f t="shared" si="140"/>
        <v>0</v>
      </c>
      <c r="P152" s="257">
        <v>0</v>
      </c>
      <c r="Q152" s="224">
        <f t="shared" si="121"/>
        <v>0</v>
      </c>
      <c r="R152" s="257"/>
      <c r="S152" s="225">
        <v>0</v>
      </c>
      <c r="T152" s="225">
        <v>0</v>
      </c>
      <c r="U152" s="257"/>
      <c r="V152" s="225">
        <v>0</v>
      </c>
      <c r="W152" s="225">
        <v>0</v>
      </c>
      <c r="X152" s="257"/>
      <c r="Y152" s="225">
        <v>0</v>
      </c>
      <c r="Z152" s="225">
        <v>0</v>
      </c>
      <c r="AA152" s="257"/>
      <c r="AB152" s="225">
        <v>0</v>
      </c>
      <c r="AC152" s="225">
        <v>0</v>
      </c>
      <c r="AD152" s="257"/>
      <c r="AE152" s="225">
        <v>0</v>
      </c>
      <c r="AF152" s="225">
        <v>0</v>
      </c>
      <c r="AG152" s="257"/>
      <c r="AH152" s="225">
        <v>0</v>
      </c>
      <c r="AI152" s="225">
        <v>0</v>
      </c>
      <c r="AJ152" s="257"/>
      <c r="AK152" s="225">
        <v>0</v>
      </c>
      <c r="AL152" s="225">
        <v>0</v>
      </c>
      <c r="AM152" s="257"/>
      <c r="AN152" s="225">
        <v>0</v>
      </c>
      <c r="AO152" s="225">
        <v>0</v>
      </c>
      <c r="AP152" s="225"/>
      <c r="AQ152" s="257"/>
      <c r="AR152" s="225">
        <v>0</v>
      </c>
      <c r="AS152" s="225">
        <v>0</v>
      </c>
      <c r="AT152" s="257"/>
      <c r="AU152" s="225">
        <v>0</v>
      </c>
      <c r="AV152" s="225">
        <v>0</v>
      </c>
      <c r="AW152" s="257"/>
      <c r="AX152" s="225">
        <v>0</v>
      </c>
      <c r="AY152" s="225">
        <v>0</v>
      </c>
      <c r="AZ152" s="257"/>
      <c r="BA152" s="225">
        <v>0</v>
      </c>
      <c r="BB152" s="225">
        <v>0</v>
      </c>
      <c r="BC152" s="257"/>
      <c r="BD152" s="225">
        <v>0</v>
      </c>
      <c r="BE152" s="225">
        <v>0</v>
      </c>
      <c r="BF152" s="257"/>
      <c r="BG152" s="257"/>
      <c r="BH152" s="225">
        <v>0</v>
      </c>
      <c r="BI152" s="225">
        <v>0</v>
      </c>
      <c r="BJ152" s="257">
        <f t="shared" si="122"/>
        <v>4750</v>
      </c>
      <c r="BK152" s="257"/>
      <c r="BL152" s="225">
        <f t="shared" si="98"/>
        <v>0</v>
      </c>
      <c r="BM152" s="225">
        <f t="shared" si="133"/>
        <v>0</v>
      </c>
      <c r="BN152" s="205">
        <f t="shared" si="116"/>
        <v>0</v>
      </c>
      <c r="BO152" s="205"/>
      <c r="BP152" s="227"/>
      <c r="BQ152" s="224">
        <f t="shared" si="134"/>
        <v>0</v>
      </c>
      <c r="BR152" s="227"/>
      <c r="BS152" s="224">
        <f t="shared" si="117"/>
        <v>0</v>
      </c>
      <c r="BT152" s="227"/>
      <c r="BU152" s="224">
        <f t="shared" si="123"/>
        <v>0</v>
      </c>
      <c r="BV152" s="227"/>
      <c r="BW152" s="224">
        <f t="shared" si="125"/>
        <v>0</v>
      </c>
      <c r="BX152" s="227">
        <v>1500</v>
      </c>
      <c r="BY152" s="224">
        <f t="shared" si="126"/>
        <v>0.3</v>
      </c>
      <c r="BZ152" s="227">
        <v>1500</v>
      </c>
      <c r="CA152" s="224">
        <f t="shared" si="127"/>
        <v>0.3</v>
      </c>
      <c r="CB152" s="227">
        <v>2000</v>
      </c>
      <c r="CC152" s="224">
        <f t="shared" si="128"/>
        <v>0.4</v>
      </c>
      <c r="CD152" s="227">
        <v>2000</v>
      </c>
      <c r="CE152" s="224">
        <f t="shared" si="128"/>
        <v>0.4</v>
      </c>
      <c r="CF152" s="227">
        <v>3000</v>
      </c>
      <c r="CG152" s="224">
        <f t="shared" si="118"/>
        <v>0.6</v>
      </c>
      <c r="CH152" s="227">
        <v>3000</v>
      </c>
      <c r="CI152" s="224">
        <f t="shared" si="119"/>
        <v>0.6</v>
      </c>
      <c r="CJ152" s="227">
        <v>3000</v>
      </c>
      <c r="CK152" s="224">
        <f t="shared" si="129"/>
        <v>0.6</v>
      </c>
      <c r="CL152" s="227">
        <v>4750</v>
      </c>
      <c r="CM152" s="224">
        <f t="shared" si="131"/>
        <v>0.95</v>
      </c>
      <c r="CN152" s="227">
        <v>4750</v>
      </c>
      <c r="CO152" s="224">
        <f t="shared" si="132"/>
        <v>0.95</v>
      </c>
      <c r="CP152" s="213" t="str">
        <f t="shared" si="135"/>
        <v>Không đạt</v>
      </c>
      <c r="CQ152" s="213" t="str">
        <f t="shared" si="136"/>
        <v>Không đạt</v>
      </c>
      <c r="CR152" s="192"/>
      <c r="CS152" s="192"/>
      <c r="CT152" s="223"/>
      <c r="CU152" s="163"/>
      <c r="CW152" s="195"/>
      <c r="CX152" s="196"/>
      <c r="CY152" s="196"/>
      <c r="CZ152" s="197"/>
      <c r="DA152" s="196"/>
      <c r="DB152" s="196"/>
      <c r="DC152" s="196"/>
      <c r="DE152" s="199"/>
      <c r="DF152" s="200"/>
      <c r="DG152" s="181"/>
    </row>
    <row r="153" spans="1:111" ht="25.5" hidden="1" outlineLevel="1" x14ac:dyDescent="0.25">
      <c r="A153" s="192">
        <f>MAX(A$145:$B152)+1</f>
        <v>8</v>
      </c>
      <c r="B153" s="222" t="s">
        <v>311</v>
      </c>
      <c r="C153" s="222"/>
      <c r="D153" s="214">
        <f t="shared" si="114"/>
        <v>25000</v>
      </c>
      <c r="E153" s="205"/>
      <c r="F153" s="214">
        <f t="shared" si="139"/>
        <v>25000</v>
      </c>
      <c r="G153" s="257"/>
      <c r="H153" s="257">
        <v>25000</v>
      </c>
      <c r="I153" s="235"/>
      <c r="J153" s="235"/>
      <c r="K153" s="223"/>
      <c r="L153" s="235"/>
      <c r="M153" s="223"/>
      <c r="N153" s="223"/>
      <c r="O153" s="257">
        <f t="shared" si="140"/>
        <v>0</v>
      </c>
      <c r="P153" s="257">
        <v>0</v>
      </c>
      <c r="Q153" s="224">
        <f t="shared" si="121"/>
        <v>0</v>
      </c>
      <c r="R153" s="257"/>
      <c r="S153" s="225">
        <v>0</v>
      </c>
      <c r="T153" s="225">
        <v>0</v>
      </c>
      <c r="U153" s="257"/>
      <c r="V153" s="225">
        <v>0</v>
      </c>
      <c r="W153" s="225">
        <v>0</v>
      </c>
      <c r="X153" s="257"/>
      <c r="Y153" s="225">
        <v>0</v>
      </c>
      <c r="Z153" s="225">
        <v>0</v>
      </c>
      <c r="AA153" s="257"/>
      <c r="AB153" s="225">
        <v>0</v>
      </c>
      <c r="AC153" s="225">
        <v>0</v>
      </c>
      <c r="AD153" s="257"/>
      <c r="AE153" s="225">
        <v>0</v>
      </c>
      <c r="AF153" s="225">
        <v>0</v>
      </c>
      <c r="AG153" s="257"/>
      <c r="AH153" s="225">
        <v>0</v>
      </c>
      <c r="AI153" s="225">
        <v>0</v>
      </c>
      <c r="AJ153" s="214"/>
      <c r="AK153" s="225">
        <v>0</v>
      </c>
      <c r="AL153" s="225">
        <v>0</v>
      </c>
      <c r="AM153" s="257"/>
      <c r="AN153" s="225">
        <v>0</v>
      </c>
      <c r="AO153" s="225">
        <v>0</v>
      </c>
      <c r="AP153" s="225"/>
      <c r="AQ153" s="257"/>
      <c r="AR153" s="225">
        <v>0</v>
      </c>
      <c r="AS153" s="225">
        <v>0</v>
      </c>
      <c r="AT153" s="257"/>
      <c r="AU153" s="225">
        <v>0</v>
      </c>
      <c r="AV153" s="225">
        <v>0</v>
      </c>
      <c r="AW153" s="257"/>
      <c r="AX153" s="225">
        <v>0</v>
      </c>
      <c r="AY153" s="225">
        <v>0</v>
      </c>
      <c r="AZ153" s="257"/>
      <c r="BA153" s="225">
        <v>0</v>
      </c>
      <c r="BB153" s="225">
        <v>0</v>
      </c>
      <c r="BC153" s="257"/>
      <c r="BD153" s="225">
        <v>0</v>
      </c>
      <c r="BE153" s="225">
        <v>0</v>
      </c>
      <c r="BF153" s="257"/>
      <c r="BG153" s="257"/>
      <c r="BH153" s="225">
        <v>0</v>
      </c>
      <c r="BI153" s="225">
        <v>0</v>
      </c>
      <c r="BJ153" s="257">
        <f t="shared" si="122"/>
        <v>23750</v>
      </c>
      <c r="BK153" s="257"/>
      <c r="BL153" s="225">
        <f t="shared" si="98"/>
        <v>0</v>
      </c>
      <c r="BM153" s="225">
        <f t="shared" si="133"/>
        <v>0</v>
      </c>
      <c r="BN153" s="205">
        <f t="shared" si="116"/>
        <v>0</v>
      </c>
      <c r="BO153" s="205"/>
      <c r="BP153" s="227"/>
      <c r="BQ153" s="224">
        <f t="shared" si="134"/>
        <v>0</v>
      </c>
      <c r="BR153" s="227"/>
      <c r="BS153" s="224">
        <f t="shared" si="117"/>
        <v>0</v>
      </c>
      <c r="BT153" s="227">
        <v>1187.5</v>
      </c>
      <c r="BU153" s="224">
        <f>BT153/$D153</f>
        <v>4.7500000000000001E-2</v>
      </c>
      <c r="BV153" s="227">
        <v>5937.5</v>
      </c>
      <c r="BW153" s="224">
        <f>BV153/$D153</f>
        <v>0.23749999999999999</v>
      </c>
      <c r="BX153" s="227">
        <v>9500</v>
      </c>
      <c r="BY153" s="224">
        <f>BX153/$D153</f>
        <v>0.38</v>
      </c>
      <c r="BZ153" s="227">
        <v>9500</v>
      </c>
      <c r="CA153" s="224">
        <f>BZ153/$D153</f>
        <v>0.38</v>
      </c>
      <c r="CB153" s="227">
        <v>14250</v>
      </c>
      <c r="CC153" s="224">
        <f>CB153/$D153</f>
        <v>0.56999999999999995</v>
      </c>
      <c r="CD153" s="227">
        <v>14250</v>
      </c>
      <c r="CE153" s="224">
        <f>CD153/$D153</f>
        <v>0.56999999999999995</v>
      </c>
      <c r="CF153" s="227">
        <v>19000</v>
      </c>
      <c r="CG153" s="224">
        <f t="shared" si="118"/>
        <v>0.76</v>
      </c>
      <c r="CH153" s="227">
        <v>19000</v>
      </c>
      <c r="CI153" s="224">
        <f t="shared" si="119"/>
        <v>0.76</v>
      </c>
      <c r="CJ153" s="227">
        <v>21375</v>
      </c>
      <c r="CK153" s="224">
        <f>CJ153/$D153</f>
        <v>0.85499999999999998</v>
      </c>
      <c r="CL153" s="227">
        <v>23750</v>
      </c>
      <c r="CM153" s="224">
        <f>CL153/$D153</f>
        <v>0.95</v>
      </c>
      <c r="CN153" s="227">
        <v>23750</v>
      </c>
      <c r="CO153" s="224">
        <f>CN153/$D153</f>
        <v>0.95</v>
      </c>
      <c r="CP153" s="213" t="str">
        <f t="shared" si="135"/>
        <v>Không đạt</v>
      </c>
      <c r="CQ153" s="213" t="str">
        <f t="shared" si="136"/>
        <v>Không đạt</v>
      </c>
      <c r="CR153" s="192"/>
      <c r="CS153" s="192"/>
      <c r="CT153" s="223"/>
      <c r="CU153" s="163"/>
      <c r="CW153" s="195"/>
      <c r="CX153" s="196"/>
      <c r="CY153" s="196"/>
      <c r="CZ153" s="197"/>
      <c r="DA153" s="196"/>
      <c r="DB153" s="196"/>
      <c r="DC153" s="196"/>
      <c r="DE153" s="199"/>
      <c r="DF153" s="200"/>
      <c r="DG153" s="181"/>
    </row>
    <row r="154" spans="1:111" hidden="1" outlineLevel="1" x14ac:dyDescent="0.25">
      <c r="A154" s="191" t="s">
        <v>29</v>
      </c>
      <c r="B154" s="210" t="s">
        <v>178</v>
      </c>
      <c r="C154" s="210"/>
      <c r="D154" s="214">
        <f t="shared" ref="D154:L154" si="141">D155+D185</f>
        <v>149700</v>
      </c>
      <c r="E154" s="214">
        <f t="shared" si="141"/>
        <v>0</v>
      </c>
      <c r="F154" s="214">
        <f t="shared" si="141"/>
        <v>149700</v>
      </c>
      <c r="G154" s="214">
        <f t="shared" si="141"/>
        <v>10000</v>
      </c>
      <c r="H154" s="214">
        <f t="shared" si="141"/>
        <v>139700</v>
      </c>
      <c r="I154" s="214">
        <f t="shared" si="141"/>
        <v>7759</v>
      </c>
      <c r="J154" s="214"/>
      <c r="K154" s="214">
        <f t="shared" si="141"/>
        <v>0</v>
      </c>
      <c r="L154" s="214">
        <f t="shared" si="141"/>
        <v>0</v>
      </c>
      <c r="M154" s="223"/>
      <c r="N154" s="223"/>
      <c r="O154" s="214">
        <f t="shared" si="140"/>
        <v>17759</v>
      </c>
      <c r="P154" s="214">
        <f>P155+P185</f>
        <v>11664.517748</v>
      </c>
      <c r="Q154" s="186">
        <f t="shared" si="121"/>
        <v>7.7919290233800939E-2</v>
      </c>
      <c r="R154" s="214">
        <v>12059.126445</v>
      </c>
      <c r="S154" s="185">
        <v>8.0555286873747495E-2</v>
      </c>
      <c r="T154" s="185">
        <v>8.4795038814471049E-2</v>
      </c>
      <c r="U154" s="214">
        <v>12416.316709999999</v>
      </c>
      <c r="V154" s="185">
        <v>8.2941327388109554E-2</v>
      </c>
      <c r="W154" s="185">
        <v>8.7306660408536366E-2</v>
      </c>
      <c r="X154" s="214">
        <v>12416.316709999999</v>
      </c>
      <c r="Y154" s="185">
        <v>8.2941327388109554E-2</v>
      </c>
      <c r="Z154" s="185">
        <v>8.7306660408536366E-2</v>
      </c>
      <c r="AA154" s="214">
        <v>12416.316709999999</v>
      </c>
      <c r="AB154" s="185">
        <v>8.2941327388109554E-2</v>
      </c>
      <c r="AC154" s="185">
        <v>8.7306660408536366E-2</v>
      </c>
      <c r="AD154" s="214">
        <v>12516.316709999999</v>
      </c>
      <c r="AE154" s="185">
        <v>8.3609330060120238E-2</v>
      </c>
      <c r="AF154" s="185">
        <v>8.8009821115916043E-2</v>
      </c>
      <c r="AG154" s="214">
        <v>14034.14471</v>
      </c>
      <c r="AH154" s="185">
        <v>9.3748461656646631E-2</v>
      </c>
      <c r="AI154" s="185">
        <v>9.8682591217522764E-2</v>
      </c>
      <c r="AJ154" s="214">
        <v>14034.14471</v>
      </c>
      <c r="AK154" s="185">
        <v>9.3748461656646631E-2</v>
      </c>
      <c r="AL154" s="185">
        <v>9.8682591217522764E-2</v>
      </c>
      <c r="AM154" s="214">
        <v>17048.984</v>
      </c>
      <c r="AN154" s="185">
        <v>0.11388766867067468</v>
      </c>
      <c r="AO154" s="185">
        <v>0.11988175649544704</v>
      </c>
      <c r="AP154" s="185"/>
      <c r="AQ154" s="214">
        <v>17257.156000000003</v>
      </c>
      <c r="AR154" s="185">
        <v>0.11527826319305279</v>
      </c>
      <c r="AS154" s="185">
        <v>0.12134554020321346</v>
      </c>
      <c r="AT154" s="214">
        <v>17257.156000000003</v>
      </c>
      <c r="AU154" s="185">
        <v>0.11527826319305279</v>
      </c>
      <c r="AV154" s="185">
        <v>0.12134554020321346</v>
      </c>
      <c r="AW154" s="214">
        <v>17257.156000000003</v>
      </c>
      <c r="AX154" s="185">
        <v>0.11527826319305279</v>
      </c>
      <c r="AY154" s="185">
        <v>0.12134554020321346</v>
      </c>
      <c r="AZ154" s="214">
        <v>17257.156000000003</v>
      </c>
      <c r="BA154" s="185">
        <v>0.11527826319305279</v>
      </c>
      <c r="BB154" s="185">
        <v>0.12134554020321346</v>
      </c>
      <c r="BC154" s="214">
        <v>17621.156000000003</v>
      </c>
      <c r="BD154" s="185">
        <v>0.11770979291917169</v>
      </c>
      <c r="BE154" s="185">
        <v>0.12390504517807546</v>
      </c>
      <c r="BF154" s="214"/>
      <c r="BG154" s="214">
        <v>33284.906999999992</v>
      </c>
      <c r="BH154" s="185">
        <v>0.2223440681362725</v>
      </c>
      <c r="BI154" s="185">
        <v>0.23404638751186577</v>
      </c>
      <c r="BJ154" s="214">
        <f t="shared" si="122"/>
        <v>142215</v>
      </c>
      <c r="BK154" s="214">
        <f>BK155+BK185</f>
        <v>33564.495999999999</v>
      </c>
      <c r="BL154" s="185">
        <f t="shared" si="98"/>
        <v>0.2242117301269205</v>
      </c>
      <c r="BM154" s="185">
        <f t="shared" si="133"/>
        <v>0.23601234750202157</v>
      </c>
      <c r="BN154" s="205">
        <f t="shared" si="116"/>
        <v>21048.17929</v>
      </c>
      <c r="BO154" s="205"/>
      <c r="BP154" s="189">
        <f>BP155+BP185</f>
        <v>2246</v>
      </c>
      <c r="BQ154" s="186">
        <f t="shared" si="134"/>
        <v>1.5003340013360053E-2</v>
      </c>
      <c r="BR154" s="189">
        <f>BR155+BR185</f>
        <v>2246</v>
      </c>
      <c r="BS154" s="186">
        <f t="shared" si="117"/>
        <v>1.5003340013360053E-2</v>
      </c>
      <c r="BT154" s="189">
        <f>BT155+BT185</f>
        <v>13016</v>
      </c>
      <c r="BU154" s="186">
        <f t="shared" si="123"/>
        <v>8.6947227788911161E-2</v>
      </c>
      <c r="BV154" s="189">
        <f>BV155+BV185</f>
        <v>21896</v>
      </c>
      <c r="BW154" s="186">
        <f t="shared" si="125"/>
        <v>0.14626586506346026</v>
      </c>
      <c r="BX154" s="189">
        <f>BX155+BX185</f>
        <v>30246</v>
      </c>
      <c r="BY154" s="186">
        <f t="shared" si="126"/>
        <v>0.20204408817635269</v>
      </c>
      <c r="BZ154" s="189">
        <f>BZ155+BZ185</f>
        <v>58959</v>
      </c>
      <c r="CA154" s="186">
        <f t="shared" si="127"/>
        <v>0.39384769539078157</v>
      </c>
      <c r="CB154" s="189">
        <f>CB155+CB185</f>
        <v>72596</v>
      </c>
      <c r="CC154" s="186">
        <f>CB154/$D154</f>
        <v>0.48494321977287907</v>
      </c>
      <c r="CD154" s="189">
        <f>CD155+CD185</f>
        <v>83821</v>
      </c>
      <c r="CE154" s="186">
        <f>CD154/$D154</f>
        <v>0.55992651970607887</v>
      </c>
      <c r="CF154" s="189">
        <f>CF155+CF185</f>
        <v>101211</v>
      </c>
      <c r="CG154" s="186">
        <f t="shared" si="118"/>
        <v>0.67609218436873753</v>
      </c>
      <c r="CH154" s="189">
        <f>CH155+CH185</f>
        <v>110411</v>
      </c>
      <c r="CI154" s="186">
        <f t="shared" si="119"/>
        <v>0.73754843019372074</v>
      </c>
      <c r="CJ154" s="189">
        <f>CJ155+CJ185</f>
        <v>117461</v>
      </c>
      <c r="CK154" s="186">
        <f t="shared" si="129"/>
        <v>0.78464261857047424</v>
      </c>
      <c r="CL154" s="189">
        <f>CL155+CL185</f>
        <v>134570</v>
      </c>
      <c r="CM154" s="186">
        <f t="shared" si="131"/>
        <v>0.89893119572478286</v>
      </c>
      <c r="CN154" s="189">
        <f>CN155+CN185</f>
        <v>144020</v>
      </c>
      <c r="CO154" s="186">
        <f t="shared" si="132"/>
        <v>0.96205744822979289</v>
      </c>
      <c r="CP154" s="213" t="str">
        <f t="shared" si="135"/>
        <v>Không đạt</v>
      </c>
      <c r="CQ154" s="213" t="str">
        <f t="shared" si="136"/>
        <v>Không đạt</v>
      </c>
      <c r="CR154" s="192"/>
      <c r="CS154" s="192"/>
      <c r="CT154" s="223"/>
      <c r="CU154" s="163"/>
      <c r="CW154" s="195"/>
      <c r="CX154" s="196"/>
      <c r="CY154" s="196"/>
      <c r="CZ154" s="197"/>
      <c r="DA154" s="196"/>
      <c r="DB154" s="196"/>
      <c r="DC154" s="196"/>
      <c r="DE154" s="199"/>
      <c r="DF154" s="200"/>
      <c r="DG154" s="181"/>
    </row>
    <row r="155" spans="1:111" hidden="1" outlineLevel="1" x14ac:dyDescent="0.25">
      <c r="A155" s="256" t="s">
        <v>34</v>
      </c>
      <c r="B155" s="210" t="s">
        <v>312</v>
      </c>
      <c r="C155" s="210"/>
      <c r="D155" s="214">
        <f t="shared" ref="D155:L155" si="142">SUM(D156:D184)</f>
        <v>102700</v>
      </c>
      <c r="E155" s="214">
        <f t="shared" si="142"/>
        <v>0</v>
      </c>
      <c r="F155" s="214">
        <f t="shared" si="142"/>
        <v>102700</v>
      </c>
      <c r="G155" s="214">
        <f t="shared" si="142"/>
        <v>0</v>
      </c>
      <c r="H155" s="214">
        <f t="shared" si="142"/>
        <v>102700</v>
      </c>
      <c r="I155" s="214">
        <f t="shared" si="142"/>
        <v>6415</v>
      </c>
      <c r="J155" s="214"/>
      <c r="K155" s="214">
        <f t="shared" si="142"/>
        <v>0</v>
      </c>
      <c r="L155" s="214">
        <f t="shared" si="142"/>
        <v>0</v>
      </c>
      <c r="M155" s="223"/>
      <c r="N155" s="223"/>
      <c r="O155" s="214">
        <f t="shared" si="140"/>
        <v>6415</v>
      </c>
      <c r="P155" s="214">
        <f>SUM(P156:P184)</f>
        <v>1080.3150000000001</v>
      </c>
      <c r="Q155" s="186">
        <f t="shared" si="121"/>
        <v>1.0519133398247322E-2</v>
      </c>
      <c r="R155" s="214">
        <v>1470.3617099999999</v>
      </c>
      <c r="S155" s="185">
        <v>1.4387100880626223E-2</v>
      </c>
      <c r="T155" s="185">
        <v>1.5144316716448655E-2</v>
      </c>
      <c r="U155" s="214">
        <v>1682.7087099999999</v>
      </c>
      <c r="V155" s="185">
        <v>1.6464860176125244E-2</v>
      </c>
      <c r="W155" s="185">
        <v>1.7331431764342362E-2</v>
      </c>
      <c r="X155" s="214">
        <v>1682.7087099999999</v>
      </c>
      <c r="Y155" s="185">
        <v>1.6464860176125244E-2</v>
      </c>
      <c r="Z155" s="185">
        <v>1.7331431764342362E-2</v>
      </c>
      <c r="AA155" s="214">
        <v>1682.7087099999999</v>
      </c>
      <c r="AB155" s="185">
        <v>1.6464860176125244E-2</v>
      </c>
      <c r="AC155" s="185">
        <v>1.7331431764342362E-2</v>
      </c>
      <c r="AD155" s="214">
        <v>1682.7087099999999</v>
      </c>
      <c r="AE155" s="185">
        <v>1.6464860176125244E-2</v>
      </c>
      <c r="AF155" s="185">
        <v>1.7331431764342362E-2</v>
      </c>
      <c r="AG155" s="214">
        <v>3198.6817099999998</v>
      </c>
      <c r="AH155" s="185">
        <v>3.1298255479452051E-2</v>
      </c>
      <c r="AI155" s="185">
        <v>3.2945532083633738E-2</v>
      </c>
      <c r="AJ155" s="250">
        <v>3198.6817099999998</v>
      </c>
      <c r="AK155" s="185">
        <v>3.1298255479452051E-2</v>
      </c>
      <c r="AL155" s="185">
        <v>3.2945532083633738E-2</v>
      </c>
      <c r="AM155" s="214">
        <v>6213.5210000000006</v>
      </c>
      <c r="AN155" s="185">
        <v>6.0797661448140909E-2</v>
      </c>
      <c r="AO155" s="185">
        <v>6.3997538366464116E-2</v>
      </c>
      <c r="AP155" s="185"/>
      <c r="AQ155" s="214">
        <v>6413.5480000000007</v>
      </c>
      <c r="AR155" s="185">
        <v>6.2754872798434447E-2</v>
      </c>
      <c r="AS155" s="185">
        <v>6.6057760840457308E-2</v>
      </c>
      <c r="AT155" s="214">
        <v>6413.5480000000007</v>
      </c>
      <c r="AU155" s="185">
        <v>6.2754872798434447E-2</v>
      </c>
      <c r="AV155" s="185">
        <v>6.6057760840457308E-2</v>
      </c>
      <c r="AW155" s="214">
        <v>6413.5480000000007</v>
      </c>
      <c r="AX155" s="185">
        <v>6.2754872798434447E-2</v>
      </c>
      <c r="AY155" s="185">
        <v>6.6057760840457308E-2</v>
      </c>
      <c r="AZ155" s="214">
        <v>6413.5480000000007</v>
      </c>
      <c r="BA155" s="185">
        <v>6.2754872798434447E-2</v>
      </c>
      <c r="BB155" s="185">
        <v>6.6057760840457308E-2</v>
      </c>
      <c r="BC155" s="214">
        <v>6777.5480000000007</v>
      </c>
      <c r="BD155" s="185">
        <v>6.6316516634050887E-2</v>
      </c>
      <c r="BE155" s="185">
        <v>6.9806859614790412E-2</v>
      </c>
      <c r="BF155" s="214"/>
      <c r="BG155" s="214">
        <v>21024.813999999995</v>
      </c>
      <c r="BH155" s="185">
        <v>0.20472068159688409</v>
      </c>
      <c r="BI155" s="185">
        <v>0.21549545431250955</v>
      </c>
      <c r="BJ155" s="214">
        <f t="shared" si="122"/>
        <v>97565</v>
      </c>
      <c r="BK155" s="214">
        <f>SUM(BK156:BK184)</f>
        <v>21304.402999999995</v>
      </c>
      <c r="BL155" s="185">
        <f t="shared" si="98"/>
        <v>0.20744306718597852</v>
      </c>
      <c r="BM155" s="185">
        <f t="shared" si="133"/>
        <v>0.21836112335366162</v>
      </c>
      <c r="BN155" s="205">
        <f t="shared" si="116"/>
        <v>19621.694289999996</v>
      </c>
      <c r="BO155" s="205"/>
      <c r="BP155" s="189">
        <f>SUM(BP156:BP184)</f>
        <v>2246</v>
      </c>
      <c r="BQ155" s="186">
        <f t="shared" si="134"/>
        <v>2.1869522882181112E-2</v>
      </c>
      <c r="BR155" s="189">
        <f>SUM(BR156:BR184)</f>
        <v>2246</v>
      </c>
      <c r="BS155" s="186">
        <f t="shared" si="117"/>
        <v>2.1869522882181112E-2</v>
      </c>
      <c r="BT155" s="189">
        <f>SUM(BT156:BT184)</f>
        <v>6016</v>
      </c>
      <c r="BU155" s="186">
        <f t="shared" si="123"/>
        <v>5.8578383641674781E-2</v>
      </c>
      <c r="BV155" s="189">
        <f>SUM(BV156:BV184)</f>
        <v>14396</v>
      </c>
      <c r="BW155" s="186">
        <f t="shared" si="125"/>
        <v>0.14017526777020448</v>
      </c>
      <c r="BX155" s="189">
        <f>SUM(BX156:BX184)</f>
        <v>18746</v>
      </c>
      <c r="BY155" s="186">
        <f t="shared" si="126"/>
        <v>0.18253164556962026</v>
      </c>
      <c r="BZ155" s="189">
        <f>SUM(BZ156:BZ184)</f>
        <v>35521</v>
      </c>
      <c r="CA155" s="186">
        <f t="shared" si="127"/>
        <v>0.34587147030185006</v>
      </c>
      <c r="CB155" s="189">
        <f>SUM(CB156:CB184)</f>
        <v>40921</v>
      </c>
      <c r="CC155" s="186">
        <f>CB155/$D155</f>
        <v>0.39845180136319375</v>
      </c>
      <c r="CD155" s="189">
        <f>SUM(CD156:CD184)</f>
        <v>47896</v>
      </c>
      <c r="CE155" s="186">
        <f>CD155/$D155</f>
        <v>0.46636806231742939</v>
      </c>
      <c r="CF155" s="189">
        <f>SUM(CF156:CF184)</f>
        <v>58086</v>
      </c>
      <c r="CG155" s="186">
        <f t="shared" si="118"/>
        <v>0.56558909444985395</v>
      </c>
      <c r="CH155" s="189">
        <f>SUM(CH156:CH184)</f>
        <v>65286</v>
      </c>
      <c r="CI155" s="186">
        <f t="shared" si="119"/>
        <v>0.6356962025316456</v>
      </c>
      <c r="CJ155" s="189">
        <f>SUM(CJ156:CJ184)</f>
        <v>71086</v>
      </c>
      <c r="CK155" s="186">
        <f t="shared" si="129"/>
        <v>0.69217137293086661</v>
      </c>
      <c r="CL155" s="189">
        <f>SUM(CL156:CL184)</f>
        <v>88195</v>
      </c>
      <c r="CM155" s="186">
        <f t="shared" si="131"/>
        <v>0.85876338851022394</v>
      </c>
      <c r="CN155" s="189">
        <f>SUM(CN156:CN184)</f>
        <v>96995</v>
      </c>
      <c r="CO155" s="186">
        <f t="shared" si="132"/>
        <v>0.94444985394352488</v>
      </c>
      <c r="CP155" s="213" t="str">
        <f t="shared" si="135"/>
        <v>Không đạt</v>
      </c>
      <c r="CQ155" s="213" t="str">
        <f t="shared" si="136"/>
        <v>Không đạt</v>
      </c>
      <c r="CR155" s="192"/>
      <c r="CS155" s="192"/>
      <c r="CT155" s="223"/>
      <c r="CU155" s="163"/>
      <c r="CW155" s="195"/>
      <c r="CX155" s="196"/>
      <c r="CY155" s="196"/>
      <c r="CZ155" s="197"/>
      <c r="DA155" s="196"/>
      <c r="DB155" s="196"/>
      <c r="DC155" s="196"/>
      <c r="DE155" s="199"/>
      <c r="DF155" s="200"/>
      <c r="DG155" s="181"/>
    </row>
    <row r="156" spans="1:111" hidden="1" outlineLevel="1" x14ac:dyDescent="0.25">
      <c r="A156" s="192"/>
      <c r="B156" s="240" t="s">
        <v>254</v>
      </c>
      <c r="C156" s="240"/>
      <c r="D156" s="214">
        <f t="shared" si="114"/>
        <v>0</v>
      </c>
      <c r="E156" s="205"/>
      <c r="F156" s="214">
        <f t="shared" ref="F156:F184" si="143">G156+H156+K156+M156</f>
        <v>0</v>
      </c>
      <c r="G156" s="250"/>
      <c r="H156" s="250"/>
      <c r="I156" s="235"/>
      <c r="J156" s="235"/>
      <c r="K156" s="223"/>
      <c r="L156" s="235"/>
      <c r="M156" s="223"/>
      <c r="N156" s="223"/>
      <c r="O156" s="250">
        <f t="shared" si="140"/>
        <v>0</v>
      </c>
      <c r="P156" s="250">
        <v>0</v>
      </c>
      <c r="Q156" s="224" t="e">
        <f t="shared" si="121"/>
        <v>#DIV/0!</v>
      </c>
      <c r="R156" s="250"/>
      <c r="S156" s="225"/>
      <c r="T156" s="225" t="e">
        <v>#DIV/0!</v>
      </c>
      <c r="U156" s="250"/>
      <c r="V156" s="225"/>
      <c r="W156" s="225" t="e">
        <v>#DIV/0!</v>
      </c>
      <c r="X156" s="250"/>
      <c r="Y156" s="225"/>
      <c r="Z156" s="225" t="e">
        <v>#DIV/0!</v>
      </c>
      <c r="AA156" s="250"/>
      <c r="AB156" s="225"/>
      <c r="AC156" s="225" t="e">
        <v>#DIV/0!</v>
      </c>
      <c r="AD156" s="250"/>
      <c r="AE156" s="225"/>
      <c r="AF156" s="225" t="e">
        <v>#DIV/0!</v>
      </c>
      <c r="AG156" s="250"/>
      <c r="AH156" s="225"/>
      <c r="AI156" s="225" t="e">
        <v>#DIV/0!</v>
      </c>
      <c r="AJ156" s="257"/>
      <c r="AK156" s="225"/>
      <c r="AL156" s="225" t="e">
        <v>#DIV/0!</v>
      </c>
      <c r="AM156" s="250"/>
      <c r="AN156" s="225"/>
      <c r="AO156" s="225" t="e">
        <v>#DIV/0!</v>
      </c>
      <c r="AP156" s="225"/>
      <c r="AQ156" s="250"/>
      <c r="AR156" s="225"/>
      <c r="AS156" s="225" t="e">
        <v>#DIV/0!</v>
      </c>
      <c r="AT156" s="250"/>
      <c r="AU156" s="225"/>
      <c r="AV156" s="225" t="e">
        <v>#DIV/0!</v>
      </c>
      <c r="AW156" s="250"/>
      <c r="AX156" s="225"/>
      <c r="AY156" s="225" t="e">
        <v>#DIV/0!</v>
      </c>
      <c r="AZ156" s="250"/>
      <c r="BA156" s="225"/>
      <c r="BB156" s="225"/>
      <c r="BC156" s="250"/>
      <c r="BD156" s="225"/>
      <c r="BE156" s="225"/>
      <c r="BF156" s="250"/>
      <c r="BG156" s="250"/>
      <c r="BH156" s="225"/>
      <c r="BI156" s="225"/>
      <c r="BJ156" s="250">
        <f t="shared" si="122"/>
        <v>0</v>
      </c>
      <c r="BK156" s="250"/>
      <c r="BL156" s="225"/>
      <c r="BM156" s="225"/>
      <c r="BN156" s="205">
        <f t="shared" si="116"/>
        <v>0</v>
      </c>
      <c r="BO156" s="205"/>
      <c r="BP156" s="227"/>
      <c r="BQ156" s="224"/>
      <c r="BR156" s="227"/>
      <c r="BS156" s="224"/>
      <c r="BT156" s="227"/>
      <c r="BU156" s="224"/>
      <c r="BV156" s="227"/>
      <c r="BW156" s="224"/>
      <c r="BX156" s="227"/>
      <c r="BY156" s="224"/>
      <c r="BZ156" s="227"/>
      <c r="CA156" s="224"/>
      <c r="CB156" s="227"/>
      <c r="CC156" s="224"/>
      <c r="CD156" s="227"/>
      <c r="CE156" s="224"/>
      <c r="CF156" s="227"/>
      <c r="CG156" s="224"/>
      <c r="CH156" s="227"/>
      <c r="CI156" s="224"/>
      <c r="CJ156" s="227"/>
      <c r="CK156" s="224"/>
      <c r="CL156" s="227"/>
      <c r="CM156" s="224"/>
      <c r="CN156" s="227"/>
      <c r="CO156" s="224"/>
      <c r="CP156" s="213" t="str">
        <f t="shared" si="135"/>
        <v>Không đạt</v>
      </c>
      <c r="CQ156" s="213" t="str">
        <f t="shared" si="136"/>
        <v>Không đạt</v>
      </c>
      <c r="CR156" s="192"/>
      <c r="CS156" s="192"/>
      <c r="CT156" s="223"/>
      <c r="CU156" s="163"/>
      <c r="CW156" s="195"/>
      <c r="CX156" s="196"/>
      <c r="CY156" s="196"/>
      <c r="CZ156" s="197"/>
      <c r="DA156" s="196"/>
      <c r="DB156" s="196"/>
      <c r="DC156" s="196"/>
      <c r="DE156" s="199"/>
      <c r="DF156" s="200"/>
      <c r="DG156" s="181"/>
    </row>
    <row r="157" spans="1:111" ht="25.5" hidden="1" outlineLevel="1" x14ac:dyDescent="0.25">
      <c r="A157" s="192">
        <f>MAX(A$152:$B156)+1</f>
        <v>9</v>
      </c>
      <c r="B157" s="222" t="s">
        <v>313</v>
      </c>
      <c r="C157" s="222"/>
      <c r="D157" s="214">
        <f t="shared" si="114"/>
        <v>3000</v>
      </c>
      <c r="E157" s="205"/>
      <c r="F157" s="214">
        <f t="shared" si="143"/>
        <v>3000</v>
      </c>
      <c r="G157" s="257"/>
      <c r="H157" s="257">
        <v>3000</v>
      </c>
      <c r="I157" s="235"/>
      <c r="J157" s="235"/>
      <c r="K157" s="223"/>
      <c r="L157" s="235"/>
      <c r="M157" s="223"/>
      <c r="N157" s="223"/>
      <c r="O157" s="257">
        <f t="shared" si="140"/>
        <v>0</v>
      </c>
      <c r="P157" s="257">
        <v>0</v>
      </c>
      <c r="Q157" s="224">
        <f t="shared" si="121"/>
        <v>0</v>
      </c>
      <c r="R157" s="257"/>
      <c r="S157" s="225">
        <v>0</v>
      </c>
      <c r="T157" s="225">
        <v>0</v>
      </c>
      <c r="U157" s="257"/>
      <c r="V157" s="225">
        <v>0</v>
      </c>
      <c r="W157" s="225">
        <v>0</v>
      </c>
      <c r="X157" s="257"/>
      <c r="Y157" s="225">
        <v>0</v>
      </c>
      <c r="Z157" s="225">
        <v>0</v>
      </c>
      <c r="AA157" s="257"/>
      <c r="AB157" s="225">
        <v>0</v>
      </c>
      <c r="AC157" s="225">
        <v>0</v>
      </c>
      <c r="AD157" s="257"/>
      <c r="AE157" s="225">
        <v>0</v>
      </c>
      <c r="AF157" s="225">
        <v>0</v>
      </c>
      <c r="AG157" s="257"/>
      <c r="AH157" s="225">
        <v>0</v>
      </c>
      <c r="AI157" s="225">
        <v>0</v>
      </c>
      <c r="AJ157" s="257"/>
      <c r="AK157" s="225">
        <v>0</v>
      </c>
      <c r="AL157" s="225">
        <v>0</v>
      </c>
      <c r="AM157" s="257"/>
      <c r="AN157" s="225">
        <v>0</v>
      </c>
      <c r="AO157" s="225">
        <v>0</v>
      </c>
      <c r="AP157" s="225"/>
      <c r="AQ157" s="257"/>
      <c r="AR157" s="225">
        <v>0</v>
      </c>
      <c r="AS157" s="225">
        <v>0</v>
      </c>
      <c r="AT157" s="257"/>
      <c r="AU157" s="225">
        <v>0</v>
      </c>
      <c r="AV157" s="225">
        <v>0</v>
      </c>
      <c r="AW157" s="257"/>
      <c r="AX157" s="225">
        <v>0</v>
      </c>
      <c r="AY157" s="225">
        <v>0</v>
      </c>
      <c r="AZ157" s="257"/>
      <c r="BA157" s="225">
        <v>0</v>
      </c>
      <c r="BB157" s="225">
        <v>0</v>
      </c>
      <c r="BC157" s="257"/>
      <c r="BD157" s="225">
        <v>0</v>
      </c>
      <c r="BE157" s="225">
        <v>0</v>
      </c>
      <c r="BF157" s="257"/>
      <c r="BG157" s="257"/>
      <c r="BH157" s="225">
        <v>0</v>
      </c>
      <c r="BI157" s="225">
        <v>0</v>
      </c>
      <c r="BJ157" s="257">
        <f t="shared" si="122"/>
        <v>2850</v>
      </c>
      <c r="BK157" s="257"/>
      <c r="BL157" s="225">
        <f>BK157/$D157</f>
        <v>0</v>
      </c>
      <c r="BM157" s="225">
        <f t="shared" si="133"/>
        <v>0</v>
      </c>
      <c r="BN157" s="205">
        <f t="shared" si="116"/>
        <v>0</v>
      </c>
      <c r="BO157" s="205"/>
      <c r="BP157" s="227"/>
      <c r="BQ157" s="224">
        <f>BP157/$D157</f>
        <v>0</v>
      </c>
      <c r="BR157" s="227"/>
      <c r="BS157" s="224">
        <f>BR157/$D157</f>
        <v>0</v>
      </c>
      <c r="BT157" s="227"/>
      <c r="BU157" s="224">
        <f>BT157/$D157</f>
        <v>0</v>
      </c>
      <c r="BV157" s="227"/>
      <c r="BW157" s="224">
        <f>BV157/$D157</f>
        <v>0</v>
      </c>
      <c r="BX157" s="227"/>
      <c r="BY157" s="224">
        <f>BX157/$D157</f>
        <v>0</v>
      </c>
      <c r="BZ157" s="227"/>
      <c r="CA157" s="224">
        <f>BZ157/$D157</f>
        <v>0</v>
      </c>
      <c r="CB157" s="227"/>
      <c r="CC157" s="224">
        <f t="shared" ref="CC157:CE158" si="144">CB157/$D157</f>
        <v>0</v>
      </c>
      <c r="CD157" s="227"/>
      <c r="CE157" s="224">
        <f t="shared" si="144"/>
        <v>0</v>
      </c>
      <c r="CF157" s="227"/>
      <c r="CG157" s="224">
        <f t="shared" ref="CG157:CI158" si="145">CF157/$D157</f>
        <v>0</v>
      </c>
      <c r="CH157" s="227">
        <v>500</v>
      </c>
      <c r="CI157" s="224">
        <f t="shared" si="145"/>
        <v>0.16666666666666666</v>
      </c>
      <c r="CJ157" s="227">
        <v>1300</v>
      </c>
      <c r="CK157" s="224">
        <f>CJ157/$D157</f>
        <v>0.43333333333333335</v>
      </c>
      <c r="CL157" s="227">
        <v>2850</v>
      </c>
      <c r="CM157" s="224">
        <f>CL157/$D157</f>
        <v>0.95</v>
      </c>
      <c r="CN157" s="227">
        <v>2850</v>
      </c>
      <c r="CO157" s="224">
        <f>CN157/$D157</f>
        <v>0.95</v>
      </c>
      <c r="CP157" s="213" t="str">
        <f t="shared" si="135"/>
        <v>Không đạt</v>
      </c>
      <c r="CQ157" s="213" t="str">
        <f t="shared" si="136"/>
        <v>Không đạt</v>
      </c>
      <c r="CR157" s="192"/>
      <c r="CS157" s="192"/>
      <c r="CT157" s="223"/>
      <c r="CU157" s="163"/>
      <c r="CW157" s="195"/>
      <c r="CX157" s="196"/>
      <c r="CY157" s="196"/>
      <c r="CZ157" s="197"/>
      <c r="DA157" s="196"/>
      <c r="DB157" s="196"/>
      <c r="DC157" s="196"/>
      <c r="DE157" s="199"/>
      <c r="DF157" s="200"/>
      <c r="DG157" s="181"/>
    </row>
    <row r="158" spans="1:111" hidden="1" outlineLevel="1" x14ac:dyDescent="0.25">
      <c r="A158" s="192">
        <f>MAX(A$152:$B157)+1</f>
        <v>10</v>
      </c>
      <c r="B158" s="222" t="s">
        <v>314</v>
      </c>
      <c r="C158" s="222"/>
      <c r="D158" s="214">
        <f t="shared" si="114"/>
        <v>1000</v>
      </c>
      <c r="E158" s="205"/>
      <c r="F158" s="214">
        <f t="shared" si="143"/>
        <v>1000</v>
      </c>
      <c r="G158" s="257"/>
      <c r="H158" s="257">
        <f>500+500</f>
        <v>1000</v>
      </c>
      <c r="I158" s="235"/>
      <c r="J158" s="235"/>
      <c r="K158" s="223"/>
      <c r="L158" s="235"/>
      <c r="M158" s="223"/>
      <c r="N158" s="223"/>
      <c r="O158" s="257">
        <f t="shared" si="140"/>
        <v>0</v>
      </c>
      <c r="P158" s="257">
        <v>0</v>
      </c>
      <c r="Q158" s="224">
        <f t="shared" si="121"/>
        <v>0</v>
      </c>
      <c r="R158" s="257"/>
      <c r="S158" s="225">
        <v>0</v>
      </c>
      <c r="T158" s="225">
        <v>0</v>
      </c>
      <c r="U158" s="257"/>
      <c r="V158" s="225">
        <v>0</v>
      </c>
      <c r="W158" s="225">
        <v>0</v>
      </c>
      <c r="X158" s="257"/>
      <c r="Y158" s="225">
        <v>0</v>
      </c>
      <c r="Z158" s="225">
        <v>0</v>
      </c>
      <c r="AA158" s="257"/>
      <c r="AB158" s="225">
        <v>0</v>
      </c>
      <c r="AC158" s="225">
        <v>0</v>
      </c>
      <c r="AD158" s="257"/>
      <c r="AE158" s="225">
        <v>0</v>
      </c>
      <c r="AF158" s="225">
        <v>0</v>
      </c>
      <c r="AG158" s="257"/>
      <c r="AH158" s="225">
        <v>0</v>
      </c>
      <c r="AI158" s="225">
        <v>0</v>
      </c>
      <c r="AJ158" s="250"/>
      <c r="AK158" s="225">
        <v>0</v>
      </c>
      <c r="AL158" s="225">
        <v>0</v>
      </c>
      <c r="AM158" s="257"/>
      <c r="AN158" s="225">
        <v>0</v>
      </c>
      <c r="AO158" s="225">
        <v>0</v>
      </c>
      <c r="AP158" s="225"/>
      <c r="AQ158" s="257"/>
      <c r="AR158" s="225">
        <v>0</v>
      </c>
      <c r="AS158" s="225">
        <v>0</v>
      </c>
      <c r="AT158" s="257"/>
      <c r="AU158" s="225">
        <v>0</v>
      </c>
      <c r="AV158" s="225">
        <v>0</v>
      </c>
      <c r="AW158" s="257"/>
      <c r="AX158" s="225">
        <v>0</v>
      </c>
      <c r="AY158" s="225">
        <v>0</v>
      </c>
      <c r="AZ158" s="257"/>
      <c r="BA158" s="225">
        <v>0</v>
      </c>
      <c r="BB158" s="225">
        <v>0</v>
      </c>
      <c r="BC158" s="257"/>
      <c r="BD158" s="225">
        <v>0</v>
      </c>
      <c r="BE158" s="225">
        <v>0</v>
      </c>
      <c r="BF158" s="257">
        <v>475</v>
      </c>
      <c r="BG158" s="257">
        <v>475</v>
      </c>
      <c r="BH158" s="225">
        <v>0.47499999999999998</v>
      </c>
      <c r="BI158" s="225">
        <v>0.5</v>
      </c>
      <c r="BJ158" s="257">
        <f t="shared" si="122"/>
        <v>950</v>
      </c>
      <c r="BK158" s="257">
        <v>475</v>
      </c>
      <c r="BL158" s="225">
        <f>BK158/$D158</f>
        <v>0.47499999999999998</v>
      </c>
      <c r="BM158" s="225">
        <f t="shared" si="133"/>
        <v>0.5</v>
      </c>
      <c r="BN158" s="205">
        <f t="shared" si="116"/>
        <v>475</v>
      </c>
      <c r="BO158" s="205"/>
      <c r="BP158" s="227"/>
      <c r="BQ158" s="224">
        <f>BP158/$D158</f>
        <v>0</v>
      </c>
      <c r="BR158" s="227"/>
      <c r="BS158" s="224">
        <f>BR158/$D158</f>
        <v>0</v>
      </c>
      <c r="BT158" s="227"/>
      <c r="BU158" s="224">
        <f>BT158/$D158</f>
        <v>0</v>
      </c>
      <c r="BV158" s="227"/>
      <c r="BW158" s="224">
        <f>BV158/$D158</f>
        <v>0</v>
      </c>
      <c r="BX158" s="227"/>
      <c r="BY158" s="224">
        <f>BX158/$D158</f>
        <v>0</v>
      </c>
      <c r="BZ158" s="227"/>
      <c r="CA158" s="224">
        <f>BZ158/$D158</f>
        <v>0</v>
      </c>
      <c r="CB158" s="227"/>
      <c r="CC158" s="224">
        <f t="shared" si="144"/>
        <v>0</v>
      </c>
      <c r="CD158" s="227">
        <v>475</v>
      </c>
      <c r="CE158" s="224">
        <f t="shared" si="144"/>
        <v>0.47499999999999998</v>
      </c>
      <c r="CF158" s="227">
        <f>CD158</f>
        <v>475</v>
      </c>
      <c r="CG158" s="224">
        <f t="shared" si="145"/>
        <v>0.47499999999999998</v>
      </c>
      <c r="CH158" s="227">
        <f>CF158</f>
        <v>475</v>
      </c>
      <c r="CI158" s="224">
        <f t="shared" si="145"/>
        <v>0.47499999999999998</v>
      </c>
      <c r="CJ158" s="227">
        <f>CH158</f>
        <v>475</v>
      </c>
      <c r="CK158" s="224">
        <f>CJ158/$D158</f>
        <v>0.47499999999999998</v>
      </c>
      <c r="CL158" s="227">
        <f>CJ158</f>
        <v>475</v>
      </c>
      <c r="CM158" s="224">
        <f>CL158/$D158</f>
        <v>0.47499999999999998</v>
      </c>
      <c r="CN158" s="227">
        <f>CL158</f>
        <v>475</v>
      </c>
      <c r="CO158" s="224">
        <f>CN158/$D158</f>
        <v>0.47499999999999998</v>
      </c>
      <c r="CP158" s="213" t="str">
        <f t="shared" si="135"/>
        <v>Đạt</v>
      </c>
      <c r="CQ158" s="213" t="str">
        <f t="shared" si="136"/>
        <v>Đạt</v>
      </c>
      <c r="CR158" s="192"/>
      <c r="CS158" s="192"/>
      <c r="CT158" s="223"/>
      <c r="CU158" s="163"/>
      <c r="CW158" s="195"/>
      <c r="CX158" s="196"/>
      <c r="CY158" s="196"/>
      <c r="CZ158" s="197"/>
      <c r="DA158" s="196"/>
      <c r="DB158" s="196"/>
      <c r="DC158" s="196"/>
      <c r="DE158" s="199"/>
      <c r="DF158" s="200"/>
      <c r="DG158" s="181"/>
    </row>
    <row r="159" spans="1:111" hidden="1" outlineLevel="1" x14ac:dyDescent="0.25">
      <c r="A159" s="192"/>
      <c r="B159" s="261" t="s">
        <v>190</v>
      </c>
      <c r="C159" s="240"/>
      <c r="D159" s="214">
        <f t="shared" si="114"/>
        <v>0</v>
      </c>
      <c r="E159" s="205"/>
      <c r="F159" s="214">
        <f t="shared" si="143"/>
        <v>0</v>
      </c>
      <c r="G159" s="250"/>
      <c r="H159" s="250"/>
      <c r="I159" s="235"/>
      <c r="J159" s="235"/>
      <c r="K159" s="223"/>
      <c r="L159" s="235"/>
      <c r="M159" s="223"/>
      <c r="N159" s="223"/>
      <c r="O159" s="250">
        <f t="shared" si="140"/>
        <v>0</v>
      </c>
      <c r="P159" s="250">
        <v>0</v>
      </c>
      <c r="Q159" s="224" t="e">
        <f t="shared" si="121"/>
        <v>#DIV/0!</v>
      </c>
      <c r="R159" s="250"/>
      <c r="S159" s="225"/>
      <c r="T159" s="225" t="e">
        <v>#DIV/0!</v>
      </c>
      <c r="U159" s="250"/>
      <c r="V159" s="225"/>
      <c r="W159" s="225" t="e">
        <v>#DIV/0!</v>
      </c>
      <c r="X159" s="250"/>
      <c r="Y159" s="225"/>
      <c r="Z159" s="225" t="e">
        <v>#DIV/0!</v>
      </c>
      <c r="AA159" s="250"/>
      <c r="AB159" s="225"/>
      <c r="AC159" s="225" t="e">
        <v>#DIV/0!</v>
      </c>
      <c r="AD159" s="250"/>
      <c r="AE159" s="225"/>
      <c r="AF159" s="225" t="e">
        <v>#DIV/0!</v>
      </c>
      <c r="AG159" s="250"/>
      <c r="AH159" s="225"/>
      <c r="AI159" s="225" t="e">
        <v>#DIV/0!</v>
      </c>
      <c r="AJ159" s="257"/>
      <c r="AK159" s="225"/>
      <c r="AL159" s="225" t="e">
        <v>#DIV/0!</v>
      </c>
      <c r="AM159" s="250"/>
      <c r="AN159" s="225"/>
      <c r="AO159" s="225" t="e">
        <v>#DIV/0!</v>
      </c>
      <c r="AP159" s="225"/>
      <c r="AQ159" s="250"/>
      <c r="AR159" s="225"/>
      <c r="AS159" s="225" t="e">
        <v>#DIV/0!</v>
      </c>
      <c r="AT159" s="250"/>
      <c r="AU159" s="225"/>
      <c r="AV159" s="225" t="e">
        <v>#DIV/0!</v>
      </c>
      <c r="AW159" s="250"/>
      <c r="AX159" s="225"/>
      <c r="AY159" s="225" t="e">
        <v>#DIV/0!</v>
      </c>
      <c r="AZ159" s="250"/>
      <c r="BA159" s="225"/>
      <c r="BB159" s="225"/>
      <c r="BC159" s="250"/>
      <c r="BD159" s="225"/>
      <c r="BE159" s="225"/>
      <c r="BF159" s="250"/>
      <c r="BG159" s="250"/>
      <c r="BH159" s="225"/>
      <c r="BI159" s="225"/>
      <c r="BJ159" s="250">
        <f t="shared" si="122"/>
        <v>0</v>
      </c>
      <c r="BK159" s="250"/>
      <c r="BL159" s="225"/>
      <c r="BM159" s="225"/>
      <c r="BN159" s="205">
        <f t="shared" si="116"/>
        <v>0</v>
      </c>
      <c r="BO159" s="205"/>
      <c r="BP159" s="227"/>
      <c r="BQ159" s="224"/>
      <c r="BR159" s="227"/>
      <c r="BS159" s="224"/>
      <c r="BT159" s="227"/>
      <c r="BU159" s="224"/>
      <c r="BV159" s="227"/>
      <c r="BW159" s="224"/>
      <c r="BX159" s="227"/>
      <c r="BY159" s="224"/>
      <c r="BZ159" s="227"/>
      <c r="CA159" s="224"/>
      <c r="CB159" s="227"/>
      <c r="CC159" s="224"/>
      <c r="CD159" s="227"/>
      <c r="CE159" s="224"/>
      <c r="CF159" s="227"/>
      <c r="CG159" s="224"/>
      <c r="CH159" s="227"/>
      <c r="CI159" s="224"/>
      <c r="CJ159" s="227"/>
      <c r="CK159" s="224"/>
      <c r="CL159" s="227"/>
      <c r="CM159" s="224"/>
      <c r="CN159" s="227"/>
      <c r="CO159" s="224"/>
      <c r="CP159" s="213" t="str">
        <f t="shared" si="135"/>
        <v>Không đạt</v>
      </c>
      <c r="CQ159" s="213" t="str">
        <f t="shared" si="136"/>
        <v>Không đạt</v>
      </c>
      <c r="CR159" s="192"/>
      <c r="CS159" s="192"/>
      <c r="CT159" s="223"/>
      <c r="CU159" s="163"/>
      <c r="CW159" s="195"/>
      <c r="CX159" s="196"/>
      <c r="CY159" s="196"/>
      <c r="CZ159" s="197"/>
      <c r="DA159" s="196"/>
      <c r="DB159" s="196"/>
      <c r="DC159" s="196"/>
      <c r="DE159" s="199"/>
      <c r="DF159" s="200"/>
      <c r="DG159" s="181"/>
    </row>
    <row r="160" spans="1:111" ht="25.5" hidden="1" outlineLevel="1" x14ac:dyDescent="0.25">
      <c r="A160" s="192">
        <f>MAX(A$152:$B159)+1</f>
        <v>11</v>
      </c>
      <c r="B160" s="222" t="s">
        <v>315</v>
      </c>
      <c r="C160" s="222"/>
      <c r="D160" s="214">
        <f t="shared" si="114"/>
        <v>1200</v>
      </c>
      <c r="E160" s="205"/>
      <c r="F160" s="214">
        <f t="shared" si="143"/>
        <v>1200</v>
      </c>
      <c r="G160" s="257"/>
      <c r="H160" s="257">
        <f>2000-800</f>
        <v>1200</v>
      </c>
      <c r="I160" s="235"/>
      <c r="J160" s="235"/>
      <c r="K160" s="223"/>
      <c r="L160" s="235"/>
      <c r="M160" s="223"/>
      <c r="N160" s="223"/>
      <c r="O160" s="257">
        <f t="shared" si="140"/>
        <v>0</v>
      </c>
      <c r="P160" s="257">
        <v>0</v>
      </c>
      <c r="Q160" s="224">
        <f t="shared" si="121"/>
        <v>0</v>
      </c>
      <c r="R160" s="257"/>
      <c r="S160" s="225">
        <v>0</v>
      </c>
      <c r="T160" s="225">
        <v>0</v>
      </c>
      <c r="U160" s="257"/>
      <c r="V160" s="225">
        <v>0</v>
      </c>
      <c r="W160" s="225">
        <v>0</v>
      </c>
      <c r="X160" s="257"/>
      <c r="Y160" s="225">
        <v>0</v>
      </c>
      <c r="Z160" s="225">
        <v>0</v>
      </c>
      <c r="AA160" s="257"/>
      <c r="AB160" s="225">
        <v>0</v>
      </c>
      <c r="AC160" s="225">
        <v>0</v>
      </c>
      <c r="AD160" s="257"/>
      <c r="AE160" s="225">
        <v>0</v>
      </c>
      <c r="AF160" s="225">
        <v>0</v>
      </c>
      <c r="AG160" s="257"/>
      <c r="AH160" s="225">
        <v>0</v>
      </c>
      <c r="AI160" s="225">
        <v>0</v>
      </c>
      <c r="AJ160" s="257"/>
      <c r="AK160" s="225">
        <v>0</v>
      </c>
      <c r="AL160" s="225">
        <v>0</v>
      </c>
      <c r="AM160" s="257"/>
      <c r="AN160" s="225">
        <v>0</v>
      </c>
      <c r="AO160" s="225">
        <v>0</v>
      </c>
      <c r="AP160" s="225"/>
      <c r="AQ160" s="257"/>
      <c r="AR160" s="225">
        <v>0</v>
      </c>
      <c r="AS160" s="225">
        <v>0</v>
      </c>
      <c r="AT160" s="257"/>
      <c r="AU160" s="225">
        <v>0</v>
      </c>
      <c r="AV160" s="225">
        <v>0</v>
      </c>
      <c r="AW160" s="257"/>
      <c r="AX160" s="225">
        <v>0</v>
      </c>
      <c r="AY160" s="225">
        <v>0</v>
      </c>
      <c r="AZ160" s="257"/>
      <c r="BA160" s="225">
        <v>0</v>
      </c>
      <c r="BB160" s="225">
        <v>0</v>
      </c>
      <c r="BC160" s="257"/>
      <c r="BD160" s="225">
        <v>0</v>
      </c>
      <c r="BE160" s="225">
        <v>0</v>
      </c>
      <c r="BF160" s="257">
        <v>515.13099999999997</v>
      </c>
      <c r="BG160" s="257">
        <v>515.13099999999997</v>
      </c>
      <c r="BH160" s="225">
        <v>0.4292758333333333</v>
      </c>
      <c r="BI160" s="225">
        <v>0.451869298245614</v>
      </c>
      <c r="BJ160" s="257">
        <f t="shared" si="122"/>
        <v>1140</v>
      </c>
      <c r="BK160" s="257">
        <v>515.13099999999997</v>
      </c>
      <c r="BL160" s="225">
        <f t="shared" ref="BL160:BL165" si="146">BK160/$D160</f>
        <v>0.4292758333333333</v>
      </c>
      <c r="BM160" s="225">
        <f t="shared" si="133"/>
        <v>0.451869298245614</v>
      </c>
      <c r="BN160" s="205">
        <f t="shared" si="116"/>
        <v>515.13099999999997</v>
      </c>
      <c r="BO160" s="205"/>
      <c r="BP160" s="227"/>
      <c r="BQ160" s="224">
        <f>BP160/$D160</f>
        <v>0</v>
      </c>
      <c r="BR160" s="227"/>
      <c r="BS160" s="224">
        <f t="shared" ref="BS160:BS165" si="147">BR160/$D160</f>
        <v>0</v>
      </c>
      <c r="BT160" s="227"/>
      <c r="BU160" s="224">
        <f>BT160/$D160</f>
        <v>0</v>
      </c>
      <c r="BV160" s="227">
        <v>400</v>
      </c>
      <c r="BW160" s="224">
        <f>BV160/$D160</f>
        <v>0.33333333333333331</v>
      </c>
      <c r="BX160" s="227">
        <f>BV160</f>
        <v>400</v>
      </c>
      <c r="BY160" s="224">
        <f>BX160/$D160</f>
        <v>0.33333333333333331</v>
      </c>
      <c r="BZ160" s="227">
        <f>BX160</f>
        <v>400</v>
      </c>
      <c r="CA160" s="224">
        <f>BZ160/$D160</f>
        <v>0.33333333333333331</v>
      </c>
      <c r="CB160" s="227">
        <f>BZ160</f>
        <v>400</v>
      </c>
      <c r="CC160" s="224">
        <f t="shared" ref="CC160:CE170" si="148">CB160/$D160</f>
        <v>0.33333333333333331</v>
      </c>
      <c r="CD160" s="227">
        <f>CB160</f>
        <v>400</v>
      </c>
      <c r="CE160" s="224">
        <f t="shared" si="148"/>
        <v>0.33333333333333331</v>
      </c>
      <c r="CF160" s="227">
        <f>CD160</f>
        <v>400</v>
      </c>
      <c r="CG160" s="224">
        <f t="shared" ref="CG160:CI165" si="149">CF160/$D160</f>
        <v>0.33333333333333331</v>
      </c>
      <c r="CH160" s="227">
        <f t="shared" ref="CH160:CH165" si="150">CF160</f>
        <v>400</v>
      </c>
      <c r="CI160" s="224">
        <f t="shared" si="149"/>
        <v>0.33333333333333331</v>
      </c>
      <c r="CJ160" s="227">
        <f>CH160</f>
        <v>400</v>
      </c>
      <c r="CK160" s="224">
        <f t="shared" ref="CK160:CK165" si="151">CJ160/$D160</f>
        <v>0.33333333333333331</v>
      </c>
      <c r="CL160" s="227">
        <v>1900</v>
      </c>
      <c r="CM160" s="224">
        <f t="shared" ref="CM160:CM165" si="152">CL160/$D160</f>
        <v>1.5833333333333333</v>
      </c>
      <c r="CN160" s="227">
        <f>CL160</f>
        <v>1900</v>
      </c>
      <c r="CO160" s="224">
        <f t="shared" ref="CO160:CO165" si="153">CN160/$D160</f>
        <v>1.5833333333333333</v>
      </c>
      <c r="CP160" s="213" t="str">
        <f t="shared" si="135"/>
        <v>Đạt</v>
      </c>
      <c r="CQ160" s="213" t="str">
        <f t="shared" si="136"/>
        <v>Đạt</v>
      </c>
      <c r="CR160" s="192"/>
      <c r="CS160" s="192"/>
      <c r="CT160" s="223"/>
      <c r="CU160" s="163"/>
      <c r="CW160" s="195"/>
      <c r="CX160" s="196"/>
      <c r="CY160" s="196"/>
      <c r="CZ160" s="197"/>
      <c r="DA160" s="196"/>
      <c r="DB160" s="196"/>
      <c r="DC160" s="196"/>
      <c r="DE160" s="199"/>
      <c r="DF160" s="200"/>
      <c r="DG160" s="181"/>
    </row>
    <row r="161" spans="1:111" ht="25.5" hidden="1" outlineLevel="1" x14ac:dyDescent="0.25">
      <c r="A161" s="192">
        <f>MAX(A$152:$B160)+1</f>
        <v>12</v>
      </c>
      <c r="B161" s="222" t="s">
        <v>316</v>
      </c>
      <c r="C161" s="222"/>
      <c r="D161" s="214">
        <f t="shared" si="114"/>
        <v>2000</v>
      </c>
      <c r="E161" s="205"/>
      <c r="F161" s="214">
        <f t="shared" si="143"/>
        <v>2000</v>
      </c>
      <c r="G161" s="257"/>
      <c r="H161" s="257">
        <v>2000</v>
      </c>
      <c r="I161" s="235"/>
      <c r="J161" s="235"/>
      <c r="K161" s="223"/>
      <c r="L161" s="235"/>
      <c r="M161" s="223"/>
      <c r="N161" s="223"/>
      <c r="O161" s="257">
        <f t="shared" si="140"/>
        <v>0</v>
      </c>
      <c r="P161" s="257">
        <v>0</v>
      </c>
      <c r="Q161" s="224">
        <f t="shared" si="121"/>
        <v>0</v>
      </c>
      <c r="R161" s="257"/>
      <c r="S161" s="225">
        <v>0</v>
      </c>
      <c r="T161" s="225">
        <v>0</v>
      </c>
      <c r="U161" s="257"/>
      <c r="V161" s="225">
        <v>0</v>
      </c>
      <c r="W161" s="225">
        <v>0</v>
      </c>
      <c r="X161" s="257"/>
      <c r="Y161" s="225">
        <v>0</v>
      </c>
      <c r="Z161" s="225">
        <v>0</v>
      </c>
      <c r="AA161" s="257"/>
      <c r="AB161" s="225">
        <v>0</v>
      </c>
      <c r="AC161" s="225">
        <v>0</v>
      </c>
      <c r="AD161" s="257"/>
      <c r="AE161" s="225">
        <v>0</v>
      </c>
      <c r="AF161" s="225">
        <v>0</v>
      </c>
      <c r="AG161" s="257"/>
      <c r="AH161" s="225">
        <v>0</v>
      </c>
      <c r="AI161" s="225">
        <v>0</v>
      </c>
      <c r="AJ161" s="257"/>
      <c r="AK161" s="225">
        <v>0</v>
      </c>
      <c r="AL161" s="225">
        <v>0</v>
      </c>
      <c r="AM161" s="257"/>
      <c r="AN161" s="225">
        <v>0</v>
      </c>
      <c r="AO161" s="225">
        <v>0</v>
      </c>
      <c r="AP161" s="225"/>
      <c r="AQ161" s="257"/>
      <c r="AR161" s="225">
        <v>0</v>
      </c>
      <c r="AS161" s="225">
        <v>0</v>
      </c>
      <c r="AT161" s="257"/>
      <c r="AU161" s="225">
        <v>0</v>
      </c>
      <c r="AV161" s="225">
        <v>0</v>
      </c>
      <c r="AW161" s="257"/>
      <c r="AX161" s="225">
        <v>0</v>
      </c>
      <c r="AY161" s="225">
        <v>0</v>
      </c>
      <c r="AZ161" s="257"/>
      <c r="BA161" s="225">
        <v>0</v>
      </c>
      <c r="BB161" s="225">
        <v>0</v>
      </c>
      <c r="BC161" s="257"/>
      <c r="BD161" s="225">
        <v>0</v>
      </c>
      <c r="BE161" s="225">
        <v>0</v>
      </c>
      <c r="BF161" s="257"/>
      <c r="BG161" s="257"/>
      <c r="BH161" s="225">
        <v>0</v>
      </c>
      <c r="BI161" s="225">
        <v>0</v>
      </c>
      <c r="BJ161" s="257">
        <f t="shared" si="122"/>
        <v>1900</v>
      </c>
      <c r="BK161" s="257"/>
      <c r="BL161" s="225">
        <f t="shared" si="146"/>
        <v>0</v>
      </c>
      <c r="BM161" s="225">
        <f t="shared" si="133"/>
        <v>0</v>
      </c>
      <c r="BN161" s="205">
        <f t="shared" si="116"/>
        <v>0</v>
      </c>
      <c r="BO161" s="205"/>
      <c r="BP161" s="227"/>
      <c r="BQ161" s="224">
        <f t="shared" si="134"/>
        <v>0</v>
      </c>
      <c r="BR161" s="227"/>
      <c r="BS161" s="224">
        <f t="shared" si="147"/>
        <v>0</v>
      </c>
      <c r="BT161" s="227"/>
      <c r="BU161" s="224">
        <f t="shared" si="123"/>
        <v>0</v>
      </c>
      <c r="BV161" s="227"/>
      <c r="BW161" s="224">
        <f t="shared" si="125"/>
        <v>0</v>
      </c>
      <c r="BX161" s="227"/>
      <c r="BY161" s="224">
        <f t="shared" si="126"/>
        <v>0</v>
      </c>
      <c r="BZ161" s="227"/>
      <c r="CA161" s="224">
        <f t="shared" si="127"/>
        <v>0</v>
      </c>
      <c r="CB161" s="227"/>
      <c r="CC161" s="224">
        <f t="shared" si="148"/>
        <v>0</v>
      </c>
      <c r="CD161" s="227">
        <v>1000</v>
      </c>
      <c r="CE161" s="224">
        <f t="shared" si="148"/>
        <v>0.5</v>
      </c>
      <c r="CF161" s="227">
        <f>CD161</f>
        <v>1000</v>
      </c>
      <c r="CG161" s="224">
        <f t="shared" si="149"/>
        <v>0.5</v>
      </c>
      <c r="CH161" s="227">
        <f t="shared" si="150"/>
        <v>1000</v>
      </c>
      <c r="CI161" s="224">
        <f t="shared" si="149"/>
        <v>0.5</v>
      </c>
      <c r="CJ161" s="227">
        <f>CH161</f>
        <v>1000</v>
      </c>
      <c r="CK161" s="224">
        <f t="shared" si="151"/>
        <v>0.5</v>
      </c>
      <c r="CL161" s="227">
        <f>CJ161</f>
        <v>1000</v>
      </c>
      <c r="CM161" s="224">
        <f t="shared" si="152"/>
        <v>0.5</v>
      </c>
      <c r="CN161" s="227">
        <v>1900</v>
      </c>
      <c r="CO161" s="224">
        <f t="shared" si="153"/>
        <v>0.95</v>
      </c>
      <c r="CP161" s="213" t="str">
        <f t="shared" si="135"/>
        <v>Không đạt</v>
      </c>
      <c r="CQ161" s="213" t="str">
        <f t="shared" si="136"/>
        <v>Không đạt</v>
      </c>
      <c r="CR161" s="192"/>
      <c r="CS161" s="192"/>
      <c r="CT161" s="223"/>
      <c r="CU161" s="163"/>
      <c r="CW161" s="195"/>
      <c r="CX161" s="196"/>
      <c r="CY161" s="196"/>
      <c r="CZ161" s="197"/>
      <c r="DA161" s="196"/>
      <c r="DB161" s="196"/>
      <c r="DC161" s="196"/>
      <c r="DE161" s="199"/>
      <c r="DF161" s="200"/>
      <c r="DG161" s="181"/>
    </row>
    <row r="162" spans="1:111" ht="25.5" hidden="1" outlineLevel="1" x14ac:dyDescent="0.25">
      <c r="A162" s="192">
        <f>MAX(A$152:$B161)+1</f>
        <v>13</v>
      </c>
      <c r="B162" s="222" t="s">
        <v>317</v>
      </c>
      <c r="C162" s="222"/>
      <c r="D162" s="214">
        <f t="shared" si="114"/>
        <v>11250</v>
      </c>
      <c r="E162" s="205"/>
      <c r="F162" s="214">
        <f t="shared" si="143"/>
        <v>11250</v>
      </c>
      <c r="G162" s="257"/>
      <c r="H162" s="257">
        <f>10000+1250</f>
        <v>11250</v>
      </c>
      <c r="I162" s="235"/>
      <c r="J162" s="235"/>
      <c r="K162" s="223"/>
      <c r="L162" s="235"/>
      <c r="M162" s="223"/>
      <c r="N162" s="223"/>
      <c r="O162" s="257">
        <f t="shared" si="140"/>
        <v>0</v>
      </c>
      <c r="P162" s="257">
        <v>0</v>
      </c>
      <c r="Q162" s="224">
        <f t="shared" si="121"/>
        <v>0</v>
      </c>
      <c r="R162" s="257"/>
      <c r="S162" s="225">
        <v>0</v>
      </c>
      <c r="T162" s="225">
        <v>0</v>
      </c>
      <c r="U162" s="257"/>
      <c r="V162" s="225">
        <v>0</v>
      </c>
      <c r="W162" s="225">
        <v>0</v>
      </c>
      <c r="X162" s="257"/>
      <c r="Y162" s="225">
        <v>0</v>
      </c>
      <c r="Z162" s="225">
        <v>0</v>
      </c>
      <c r="AA162" s="257"/>
      <c r="AB162" s="225">
        <v>0</v>
      </c>
      <c r="AC162" s="225">
        <v>0</v>
      </c>
      <c r="AD162" s="257"/>
      <c r="AE162" s="225">
        <v>0</v>
      </c>
      <c r="AF162" s="225">
        <v>0</v>
      </c>
      <c r="AG162" s="257"/>
      <c r="AH162" s="225">
        <v>0</v>
      </c>
      <c r="AI162" s="225">
        <v>0</v>
      </c>
      <c r="AJ162" s="257"/>
      <c r="AK162" s="225">
        <v>0</v>
      </c>
      <c r="AL162" s="225">
        <v>0</v>
      </c>
      <c r="AM162" s="257"/>
      <c r="AN162" s="225">
        <v>0</v>
      </c>
      <c r="AO162" s="225">
        <v>0</v>
      </c>
      <c r="AP162" s="225"/>
      <c r="AQ162" s="257"/>
      <c r="AR162" s="225">
        <v>0</v>
      </c>
      <c r="AS162" s="225">
        <v>0</v>
      </c>
      <c r="AT162" s="257"/>
      <c r="AU162" s="225">
        <v>0</v>
      </c>
      <c r="AV162" s="225">
        <v>0</v>
      </c>
      <c r="AW162" s="257"/>
      <c r="AX162" s="225">
        <v>0</v>
      </c>
      <c r="AY162" s="225">
        <v>0</v>
      </c>
      <c r="AZ162" s="257"/>
      <c r="BA162" s="225">
        <v>0</v>
      </c>
      <c r="BB162" s="225">
        <v>0</v>
      </c>
      <c r="BC162" s="257">
        <v>364</v>
      </c>
      <c r="BD162" s="225">
        <v>3.6400000000000002E-2</v>
      </c>
      <c r="BE162" s="225">
        <v>3.8315789473684213E-2</v>
      </c>
      <c r="BF162" s="257">
        <v>7163.4110000000001</v>
      </c>
      <c r="BG162" s="257">
        <v>7163.4110000000001</v>
      </c>
      <c r="BH162" s="225">
        <v>0.63674764444444443</v>
      </c>
      <c r="BI162" s="225">
        <v>0.67026067836257308</v>
      </c>
      <c r="BJ162" s="257">
        <f t="shared" si="122"/>
        <v>10687.5</v>
      </c>
      <c r="BK162" s="257">
        <v>7443</v>
      </c>
      <c r="BL162" s="225">
        <f t="shared" si="146"/>
        <v>0.66159999999999997</v>
      </c>
      <c r="BM162" s="225">
        <f t="shared" si="133"/>
        <v>0.69642105263157894</v>
      </c>
      <c r="BN162" s="205">
        <f t="shared" si="116"/>
        <v>7443</v>
      </c>
      <c r="BO162" s="205"/>
      <c r="BP162" s="227"/>
      <c r="BQ162" s="224">
        <f t="shared" si="134"/>
        <v>0</v>
      </c>
      <c r="BR162" s="227"/>
      <c r="BS162" s="224">
        <f t="shared" si="147"/>
        <v>0</v>
      </c>
      <c r="BT162" s="227"/>
      <c r="BU162" s="224">
        <f t="shared" si="123"/>
        <v>0</v>
      </c>
      <c r="BV162" s="227"/>
      <c r="BW162" s="224">
        <f t="shared" si="125"/>
        <v>0</v>
      </c>
      <c r="BX162" s="227"/>
      <c r="BY162" s="224">
        <f t="shared" si="126"/>
        <v>0</v>
      </c>
      <c r="BZ162" s="227">
        <v>4000</v>
      </c>
      <c r="CA162" s="224">
        <f t="shared" si="127"/>
        <v>0.35555555555555557</v>
      </c>
      <c r="CB162" s="227">
        <f>BZ162</f>
        <v>4000</v>
      </c>
      <c r="CC162" s="224">
        <f t="shared" si="148"/>
        <v>0.35555555555555557</v>
      </c>
      <c r="CD162" s="227">
        <v>5500</v>
      </c>
      <c r="CE162" s="224">
        <f t="shared" si="148"/>
        <v>0.48888888888888887</v>
      </c>
      <c r="CF162" s="227">
        <v>7500</v>
      </c>
      <c r="CG162" s="224">
        <f t="shared" si="149"/>
        <v>0.66666666666666663</v>
      </c>
      <c r="CH162" s="227">
        <f t="shared" si="150"/>
        <v>7500</v>
      </c>
      <c r="CI162" s="224">
        <f t="shared" si="149"/>
        <v>0.66666666666666663</v>
      </c>
      <c r="CJ162" s="227">
        <f>CH162</f>
        <v>7500</v>
      </c>
      <c r="CK162" s="224">
        <f t="shared" si="151"/>
        <v>0.66666666666666663</v>
      </c>
      <c r="CL162" s="227">
        <v>9500</v>
      </c>
      <c r="CM162" s="224">
        <f t="shared" si="152"/>
        <v>0.84444444444444444</v>
      </c>
      <c r="CN162" s="227">
        <f>CL162</f>
        <v>9500</v>
      </c>
      <c r="CO162" s="224">
        <f t="shared" si="153"/>
        <v>0.84444444444444444</v>
      </c>
      <c r="CP162" s="213" t="str">
        <f t="shared" si="135"/>
        <v>Đạt</v>
      </c>
      <c r="CQ162" s="213" t="str">
        <f t="shared" si="136"/>
        <v>Đạt</v>
      </c>
      <c r="CR162" s="192"/>
      <c r="CS162" s="192"/>
      <c r="CT162" s="223"/>
      <c r="CU162" s="163"/>
      <c r="CW162" s="195"/>
      <c r="CX162" s="196"/>
      <c r="CY162" s="196"/>
      <c r="CZ162" s="197"/>
      <c r="DA162" s="196"/>
      <c r="DB162" s="196"/>
      <c r="DC162" s="196"/>
      <c r="DE162" s="199"/>
      <c r="DF162" s="200"/>
      <c r="DG162" s="181"/>
    </row>
    <row r="163" spans="1:111" ht="25.5" hidden="1" outlineLevel="1" x14ac:dyDescent="0.25">
      <c r="A163" s="192">
        <f>MAX(A$152:$B162)+1</f>
        <v>14</v>
      </c>
      <c r="B163" s="222" t="s">
        <v>318</v>
      </c>
      <c r="C163" s="222"/>
      <c r="D163" s="214">
        <f t="shared" si="114"/>
        <v>10000</v>
      </c>
      <c r="E163" s="205"/>
      <c r="F163" s="214">
        <f t="shared" si="143"/>
        <v>10000</v>
      </c>
      <c r="G163" s="257"/>
      <c r="H163" s="257">
        <v>10000</v>
      </c>
      <c r="I163" s="235"/>
      <c r="J163" s="235"/>
      <c r="K163" s="223"/>
      <c r="L163" s="235"/>
      <c r="M163" s="223"/>
      <c r="N163" s="223"/>
      <c r="O163" s="257">
        <f t="shared" si="140"/>
        <v>0</v>
      </c>
      <c r="P163" s="257">
        <v>0</v>
      </c>
      <c r="Q163" s="224">
        <f t="shared" si="121"/>
        <v>0</v>
      </c>
      <c r="R163" s="257"/>
      <c r="S163" s="225">
        <v>0</v>
      </c>
      <c r="T163" s="225">
        <v>0</v>
      </c>
      <c r="U163" s="257"/>
      <c r="V163" s="225">
        <v>0</v>
      </c>
      <c r="W163" s="225">
        <v>0</v>
      </c>
      <c r="X163" s="257"/>
      <c r="Y163" s="225">
        <v>0</v>
      </c>
      <c r="Z163" s="225">
        <v>0</v>
      </c>
      <c r="AA163" s="257"/>
      <c r="AB163" s="225">
        <v>0</v>
      </c>
      <c r="AC163" s="225">
        <v>0</v>
      </c>
      <c r="AD163" s="257"/>
      <c r="AE163" s="225">
        <v>0</v>
      </c>
      <c r="AF163" s="225">
        <v>0</v>
      </c>
      <c r="AG163" s="257"/>
      <c r="AH163" s="225">
        <v>0</v>
      </c>
      <c r="AI163" s="225">
        <v>0</v>
      </c>
      <c r="AJ163" s="257"/>
      <c r="AK163" s="225">
        <v>0</v>
      </c>
      <c r="AL163" s="225">
        <v>0</v>
      </c>
      <c r="AM163" s="257"/>
      <c r="AN163" s="225">
        <v>0</v>
      </c>
      <c r="AO163" s="225">
        <v>0</v>
      </c>
      <c r="AP163" s="225"/>
      <c r="AQ163" s="257"/>
      <c r="AR163" s="225">
        <v>0</v>
      </c>
      <c r="AS163" s="225">
        <v>0</v>
      </c>
      <c r="AT163" s="257"/>
      <c r="AU163" s="225">
        <v>0</v>
      </c>
      <c r="AV163" s="225">
        <v>0</v>
      </c>
      <c r="AW163" s="257"/>
      <c r="AX163" s="225">
        <v>0</v>
      </c>
      <c r="AY163" s="225">
        <v>0</v>
      </c>
      <c r="AZ163" s="257"/>
      <c r="BA163" s="225">
        <v>0</v>
      </c>
      <c r="BB163" s="225">
        <v>0</v>
      </c>
      <c r="BC163" s="257"/>
      <c r="BD163" s="225">
        <v>0</v>
      </c>
      <c r="BE163" s="225">
        <v>0</v>
      </c>
      <c r="BF163" s="257"/>
      <c r="BG163" s="257"/>
      <c r="BH163" s="225">
        <v>0</v>
      </c>
      <c r="BI163" s="225">
        <v>0</v>
      </c>
      <c r="BJ163" s="257">
        <f t="shared" si="122"/>
        <v>9500</v>
      </c>
      <c r="BK163" s="257"/>
      <c r="BL163" s="225">
        <f t="shared" si="146"/>
        <v>0</v>
      </c>
      <c r="BM163" s="225">
        <f t="shared" si="133"/>
        <v>0</v>
      </c>
      <c r="BN163" s="205">
        <f t="shared" si="116"/>
        <v>0</v>
      </c>
      <c r="BO163" s="205"/>
      <c r="BP163" s="227"/>
      <c r="BQ163" s="224">
        <f t="shared" si="134"/>
        <v>0</v>
      </c>
      <c r="BR163" s="227"/>
      <c r="BS163" s="224">
        <f t="shared" si="147"/>
        <v>0</v>
      </c>
      <c r="BT163" s="227"/>
      <c r="BU163" s="224">
        <f t="shared" si="123"/>
        <v>0</v>
      </c>
      <c r="BV163" s="227"/>
      <c r="BW163" s="224">
        <f t="shared" si="125"/>
        <v>0</v>
      </c>
      <c r="BX163" s="227"/>
      <c r="BY163" s="224">
        <f t="shared" si="126"/>
        <v>0</v>
      </c>
      <c r="BZ163" s="227">
        <v>1000</v>
      </c>
      <c r="CA163" s="224">
        <f t="shared" si="127"/>
        <v>0.1</v>
      </c>
      <c r="CB163" s="227">
        <f>BZ163</f>
        <v>1000</v>
      </c>
      <c r="CC163" s="224">
        <f t="shared" si="148"/>
        <v>0.1</v>
      </c>
      <c r="CD163" s="227">
        <f>CB163</f>
        <v>1000</v>
      </c>
      <c r="CE163" s="224">
        <f t="shared" si="148"/>
        <v>0.1</v>
      </c>
      <c r="CF163" s="227">
        <v>4000</v>
      </c>
      <c r="CG163" s="224">
        <f t="shared" si="149"/>
        <v>0.4</v>
      </c>
      <c r="CH163" s="227">
        <f t="shared" si="150"/>
        <v>4000</v>
      </c>
      <c r="CI163" s="224">
        <f t="shared" si="149"/>
        <v>0.4</v>
      </c>
      <c r="CJ163" s="227">
        <v>6000</v>
      </c>
      <c r="CK163" s="224">
        <f t="shared" si="151"/>
        <v>0.6</v>
      </c>
      <c r="CL163" s="227">
        <f>CJ163</f>
        <v>6000</v>
      </c>
      <c r="CM163" s="224">
        <f t="shared" si="152"/>
        <v>0.6</v>
      </c>
      <c r="CN163" s="227">
        <v>9500</v>
      </c>
      <c r="CO163" s="224">
        <f t="shared" si="153"/>
        <v>0.95</v>
      </c>
      <c r="CP163" s="213" t="str">
        <f t="shared" si="135"/>
        <v>Không đạt</v>
      </c>
      <c r="CQ163" s="213" t="str">
        <f t="shared" si="136"/>
        <v>Không đạt</v>
      </c>
      <c r="CR163" s="192"/>
      <c r="CS163" s="192"/>
      <c r="CT163" s="223"/>
      <c r="CU163" s="163"/>
      <c r="CW163" s="195"/>
      <c r="CX163" s="196"/>
      <c r="CY163" s="196"/>
      <c r="CZ163" s="197"/>
      <c r="DA163" s="196"/>
      <c r="DB163" s="196"/>
      <c r="DC163" s="196"/>
      <c r="DE163" s="199"/>
      <c r="DF163" s="200"/>
      <c r="DG163" s="181"/>
    </row>
    <row r="164" spans="1:111" ht="25.5" hidden="1" outlineLevel="1" x14ac:dyDescent="0.25">
      <c r="A164" s="192">
        <f>MAX(A$152:$B163)+1</f>
        <v>15</v>
      </c>
      <c r="B164" s="222" t="s">
        <v>319</v>
      </c>
      <c r="C164" s="222"/>
      <c r="D164" s="214">
        <f t="shared" si="114"/>
        <v>200</v>
      </c>
      <c r="E164" s="205"/>
      <c r="F164" s="214">
        <f t="shared" si="143"/>
        <v>200</v>
      </c>
      <c r="G164" s="257"/>
      <c r="H164" s="257">
        <v>200</v>
      </c>
      <c r="I164" s="235"/>
      <c r="J164" s="235"/>
      <c r="K164" s="223"/>
      <c r="L164" s="235"/>
      <c r="M164" s="223"/>
      <c r="N164" s="223"/>
      <c r="O164" s="257">
        <f t="shared" si="140"/>
        <v>0</v>
      </c>
      <c r="P164" s="257">
        <v>0</v>
      </c>
      <c r="Q164" s="224">
        <f t="shared" si="121"/>
        <v>0</v>
      </c>
      <c r="R164" s="257"/>
      <c r="S164" s="225">
        <v>0</v>
      </c>
      <c r="T164" s="225">
        <v>0</v>
      </c>
      <c r="U164" s="257"/>
      <c r="V164" s="225">
        <v>0</v>
      </c>
      <c r="W164" s="225">
        <v>0</v>
      </c>
      <c r="X164" s="257"/>
      <c r="Y164" s="225">
        <v>0</v>
      </c>
      <c r="Z164" s="225">
        <v>0</v>
      </c>
      <c r="AA164" s="257"/>
      <c r="AB164" s="225">
        <v>0</v>
      </c>
      <c r="AC164" s="225">
        <v>0</v>
      </c>
      <c r="AD164" s="257"/>
      <c r="AE164" s="225">
        <v>0</v>
      </c>
      <c r="AF164" s="225">
        <v>0</v>
      </c>
      <c r="AG164" s="257"/>
      <c r="AH164" s="225">
        <v>0</v>
      </c>
      <c r="AI164" s="225">
        <v>0</v>
      </c>
      <c r="AJ164" s="257"/>
      <c r="AK164" s="225">
        <v>0</v>
      </c>
      <c r="AL164" s="225">
        <v>0</v>
      </c>
      <c r="AM164" s="257"/>
      <c r="AN164" s="225">
        <v>0</v>
      </c>
      <c r="AO164" s="225">
        <v>0</v>
      </c>
      <c r="AP164" s="225"/>
      <c r="AQ164" s="257"/>
      <c r="AR164" s="225">
        <v>0</v>
      </c>
      <c r="AS164" s="225">
        <v>0</v>
      </c>
      <c r="AT164" s="257"/>
      <c r="AU164" s="225">
        <v>0</v>
      </c>
      <c r="AV164" s="225">
        <v>0</v>
      </c>
      <c r="AW164" s="257"/>
      <c r="AX164" s="225">
        <v>0</v>
      </c>
      <c r="AY164" s="225">
        <v>0</v>
      </c>
      <c r="AZ164" s="257"/>
      <c r="BA164" s="225">
        <v>0</v>
      </c>
      <c r="BB164" s="225">
        <v>0</v>
      </c>
      <c r="BC164" s="257"/>
      <c r="BD164" s="225">
        <v>0</v>
      </c>
      <c r="BE164" s="225">
        <v>0</v>
      </c>
      <c r="BF164" s="257"/>
      <c r="BG164" s="257"/>
      <c r="BH164" s="225">
        <v>0</v>
      </c>
      <c r="BI164" s="225">
        <v>0</v>
      </c>
      <c r="BJ164" s="257">
        <f t="shared" si="122"/>
        <v>190</v>
      </c>
      <c r="BK164" s="257"/>
      <c r="BL164" s="225">
        <f t="shared" si="146"/>
        <v>0</v>
      </c>
      <c r="BM164" s="225">
        <f t="shared" si="133"/>
        <v>0</v>
      </c>
      <c r="BN164" s="205">
        <f t="shared" si="116"/>
        <v>0</v>
      </c>
      <c r="BO164" s="205"/>
      <c r="BP164" s="227"/>
      <c r="BQ164" s="224">
        <f t="shared" si="134"/>
        <v>0</v>
      </c>
      <c r="BR164" s="227"/>
      <c r="BS164" s="224">
        <f t="shared" si="147"/>
        <v>0</v>
      </c>
      <c r="BT164" s="227"/>
      <c r="BU164" s="224">
        <f t="shared" si="123"/>
        <v>0</v>
      </c>
      <c r="BV164" s="227"/>
      <c r="BW164" s="224">
        <f t="shared" si="125"/>
        <v>0</v>
      </c>
      <c r="BX164" s="227"/>
      <c r="BY164" s="224">
        <f t="shared" si="126"/>
        <v>0</v>
      </c>
      <c r="BZ164" s="227"/>
      <c r="CA164" s="224">
        <f t="shared" si="127"/>
        <v>0</v>
      </c>
      <c r="CB164" s="227"/>
      <c r="CC164" s="224">
        <f t="shared" si="148"/>
        <v>0</v>
      </c>
      <c r="CD164" s="227"/>
      <c r="CE164" s="224">
        <f t="shared" si="148"/>
        <v>0</v>
      </c>
      <c r="CF164" s="227">
        <v>190</v>
      </c>
      <c r="CG164" s="224">
        <f t="shared" si="149"/>
        <v>0.95</v>
      </c>
      <c r="CH164" s="227">
        <f t="shared" si="150"/>
        <v>190</v>
      </c>
      <c r="CI164" s="224">
        <f t="shared" si="149"/>
        <v>0.95</v>
      </c>
      <c r="CJ164" s="227">
        <f>CH164</f>
        <v>190</v>
      </c>
      <c r="CK164" s="224">
        <f t="shared" si="151"/>
        <v>0.95</v>
      </c>
      <c r="CL164" s="227">
        <f>CJ164</f>
        <v>190</v>
      </c>
      <c r="CM164" s="224">
        <f t="shared" si="152"/>
        <v>0.95</v>
      </c>
      <c r="CN164" s="227">
        <f>CL164</f>
        <v>190</v>
      </c>
      <c r="CO164" s="224">
        <f t="shared" si="153"/>
        <v>0.95</v>
      </c>
      <c r="CP164" s="213" t="str">
        <f t="shared" si="135"/>
        <v>Không đạt</v>
      </c>
      <c r="CQ164" s="213" t="str">
        <f t="shared" si="136"/>
        <v>Không đạt</v>
      </c>
      <c r="CR164" s="192"/>
      <c r="CS164" s="192"/>
      <c r="CT164" s="223"/>
      <c r="CU164" s="163"/>
      <c r="CW164" s="195"/>
      <c r="CX164" s="196"/>
      <c r="CY164" s="196"/>
      <c r="CZ164" s="197"/>
      <c r="DA164" s="196"/>
      <c r="DB164" s="196"/>
      <c r="DC164" s="196"/>
      <c r="DE164" s="199"/>
      <c r="DF164" s="200"/>
      <c r="DG164" s="181"/>
    </row>
    <row r="165" spans="1:111" ht="38.25" hidden="1" outlineLevel="1" x14ac:dyDescent="0.25">
      <c r="A165" s="192">
        <f>MAX(A$152:$B164)+1</f>
        <v>16</v>
      </c>
      <c r="B165" s="222" t="s">
        <v>320</v>
      </c>
      <c r="C165" s="222"/>
      <c r="D165" s="214">
        <f t="shared" si="114"/>
        <v>5000</v>
      </c>
      <c r="E165" s="205"/>
      <c r="F165" s="214">
        <f t="shared" si="143"/>
        <v>5000</v>
      </c>
      <c r="G165" s="257"/>
      <c r="H165" s="257">
        <v>5000</v>
      </c>
      <c r="I165" s="235"/>
      <c r="J165" s="235"/>
      <c r="K165" s="223"/>
      <c r="L165" s="235"/>
      <c r="M165" s="223"/>
      <c r="N165" s="223"/>
      <c r="O165" s="257">
        <f t="shared" si="140"/>
        <v>0</v>
      </c>
      <c r="P165" s="257">
        <v>0</v>
      </c>
      <c r="Q165" s="224">
        <f t="shared" si="121"/>
        <v>0</v>
      </c>
      <c r="R165" s="257"/>
      <c r="S165" s="225">
        <v>0</v>
      </c>
      <c r="T165" s="225">
        <v>0</v>
      </c>
      <c r="U165" s="257"/>
      <c r="V165" s="225">
        <v>0</v>
      </c>
      <c r="W165" s="225">
        <v>0</v>
      </c>
      <c r="X165" s="257"/>
      <c r="Y165" s="225">
        <v>0</v>
      </c>
      <c r="Z165" s="225">
        <v>0</v>
      </c>
      <c r="AA165" s="257"/>
      <c r="AB165" s="225">
        <v>0</v>
      </c>
      <c r="AC165" s="225">
        <v>0</v>
      </c>
      <c r="AD165" s="257"/>
      <c r="AE165" s="225">
        <v>0</v>
      </c>
      <c r="AF165" s="225">
        <v>0</v>
      </c>
      <c r="AG165" s="257"/>
      <c r="AH165" s="225">
        <v>0</v>
      </c>
      <c r="AI165" s="225">
        <v>0</v>
      </c>
      <c r="AJ165" s="250"/>
      <c r="AK165" s="225">
        <v>0</v>
      </c>
      <c r="AL165" s="225">
        <v>0</v>
      </c>
      <c r="AM165" s="257"/>
      <c r="AN165" s="225">
        <v>0</v>
      </c>
      <c r="AO165" s="225">
        <v>0</v>
      </c>
      <c r="AP165" s="225"/>
      <c r="AQ165" s="257"/>
      <c r="AR165" s="225">
        <v>0</v>
      </c>
      <c r="AS165" s="225">
        <v>0</v>
      </c>
      <c r="AT165" s="257"/>
      <c r="AU165" s="225">
        <v>0</v>
      </c>
      <c r="AV165" s="225">
        <v>0</v>
      </c>
      <c r="AW165" s="257"/>
      <c r="AX165" s="225">
        <v>0</v>
      </c>
      <c r="AY165" s="225">
        <v>0</v>
      </c>
      <c r="AZ165" s="257"/>
      <c r="BA165" s="225">
        <v>0</v>
      </c>
      <c r="BB165" s="225">
        <v>0</v>
      </c>
      <c r="BC165" s="257"/>
      <c r="BD165" s="225">
        <v>0</v>
      </c>
      <c r="BE165" s="225">
        <v>0</v>
      </c>
      <c r="BF165" s="257">
        <v>234.34299999999999</v>
      </c>
      <c r="BG165" s="257">
        <v>234.34299999999999</v>
      </c>
      <c r="BH165" s="225">
        <v>4.6868599999999996E-2</v>
      </c>
      <c r="BI165" s="225">
        <v>4.9335368421052628E-2</v>
      </c>
      <c r="BJ165" s="257">
        <f t="shared" si="122"/>
        <v>4750</v>
      </c>
      <c r="BK165" s="257">
        <v>234.34299999999999</v>
      </c>
      <c r="BL165" s="225">
        <f t="shared" si="146"/>
        <v>4.6868599999999996E-2</v>
      </c>
      <c r="BM165" s="225">
        <f t="shared" si="133"/>
        <v>4.9335368421052628E-2</v>
      </c>
      <c r="BN165" s="205">
        <f t="shared" si="116"/>
        <v>234.34299999999999</v>
      </c>
      <c r="BO165" s="205"/>
      <c r="BP165" s="227"/>
      <c r="BQ165" s="224">
        <f t="shared" si="134"/>
        <v>0</v>
      </c>
      <c r="BR165" s="227"/>
      <c r="BS165" s="224">
        <f t="shared" si="147"/>
        <v>0</v>
      </c>
      <c r="BT165" s="227"/>
      <c r="BU165" s="224">
        <f t="shared" si="123"/>
        <v>0</v>
      </c>
      <c r="BV165" s="227">
        <v>700</v>
      </c>
      <c r="BW165" s="224">
        <f t="shared" si="125"/>
        <v>0.14000000000000001</v>
      </c>
      <c r="BX165" s="227">
        <f>BV165</f>
        <v>700</v>
      </c>
      <c r="BY165" s="224">
        <f t="shared" si="126"/>
        <v>0.14000000000000001</v>
      </c>
      <c r="BZ165" s="227">
        <f>BX165</f>
        <v>700</v>
      </c>
      <c r="CA165" s="224">
        <f t="shared" si="127"/>
        <v>0.14000000000000001</v>
      </c>
      <c r="CB165" s="227">
        <f>BZ165</f>
        <v>700</v>
      </c>
      <c r="CC165" s="224">
        <f t="shared" si="148"/>
        <v>0.14000000000000001</v>
      </c>
      <c r="CD165" s="227">
        <v>2700</v>
      </c>
      <c r="CE165" s="224">
        <f t="shared" si="148"/>
        <v>0.54</v>
      </c>
      <c r="CF165" s="227">
        <f>CD165</f>
        <v>2700</v>
      </c>
      <c r="CG165" s="224">
        <f t="shared" si="149"/>
        <v>0.54</v>
      </c>
      <c r="CH165" s="227">
        <f t="shared" si="150"/>
        <v>2700</v>
      </c>
      <c r="CI165" s="224">
        <f t="shared" si="149"/>
        <v>0.54</v>
      </c>
      <c r="CJ165" s="227">
        <f>CH165</f>
        <v>2700</v>
      </c>
      <c r="CK165" s="224">
        <f t="shared" si="151"/>
        <v>0.54</v>
      </c>
      <c r="CL165" s="227">
        <f>CJ165</f>
        <v>2700</v>
      </c>
      <c r="CM165" s="224">
        <f t="shared" si="152"/>
        <v>0.54</v>
      </c>
      <c r="CN165" s="227">
        <v>4750</v>
      </c>
      <c r="CO165" s="224">
        <f t="shared" si="153"/>
        <v>0.95</v>
      </c>
      <c r="CP165" s="213" t="str">
        <f t="shared" si="135"/>
        <v>Không đạt</v>
      </c>
      <c r="CQ165" s="213" t="str">
        <f t="shared" si="136"/>
        <v>Không đạt</v>
      </c>
      <c r="CR165" s="192"/>
      <c r="CS165" s="192"/>
      <c r="CT165" s="223"/>
      <c r="CU165" s="163"/>
      <c r="CW165" s="195"/>
      <c r="CX165" s="196"/>
      <c r="CY165" s="196"/>
      <c r="CZ165" s="197"/>
      <c r="DA165" s="196"/>
      <c r="DB165" s="196"/>
      <c r="DC165" s="196"/>
      <c r="DE165" s="199"/>
      <c r="DF165" s="200"/>
      <c r="DG165" s="181"/>
    </row>
    <row r="166" spans="1:111" hidden="1" outlineLevel="1" x14ac:dyDescent="0.25">
      <c r="A166" s="192"/>
      <c r="B166" s="261" t="s">
        <v>228</v>
      </c>
      <c r="C166" s="240"/>
      <c r="D166" s="214">
        <f t="shared" si="114"/>
        <v>0</v>
      </c>
      <c r="E166" s="205"/>
      <c r="F166" s="214">
        <f t="shared" si="143"/>
        <v>0</v>
      </c>
      <c r="G166" s="250"/>
      <c r="H166" s="250"/>
      <c r="I166" s="235"/>
      <c r="J166" s="235"/>
      <c r="K166" s="223"/>
      <c r="L166" s="235"/>
      <c r="M166" s="223"/>
      <c r="N166" s="223"/>
      <c r="O166" s="250">
        <f t="shared" si="140"/>
        <v>0</v>
      </c>
      <c r="P166" s="250">
        <v>0</v>
      </c>
      <c r="Q166" s="224" t="e">
        <f t="shared" si="121"/>
        <v>#DIV/0!</v>
      </c>
      <c r="R166" s="250"/>
      <c r="S166" s="225"/>
      <c r="T166" s="225" t="e">
        <v>#DIV/0!</v>
      </c>
      <c r="U166" s="250"/>
      <c r="V166" s="225"/>
      <c r="W166" s="225" t="e">
        <v>#DIV/0!</v>
      </c>
      <c r="X166" s="250"/>
      <c r="Y166" s="225"/>
      <c r="Z166" s="225" t="e">
        <v>#DIV/0!</v>
      </c>
      <c r="AA166" s="250"/>
      <c r="AB166" s="225"/>
      <c r="AC166" s="225" t="e">
        <v>#DIV/0!</v>
      </c>
      <c r="AD166" s="250"/>
      <c r="AE166" s="225"/>
      <c r="AF166" s="225" t="e">
        <v>#DIV/0!</v>
      </c>
      <c r="AG166" s="250"/>
      <c r="AH166" s="225"/>
      <c r="AI166" s="225" t="e">
        <v>#DIV/0!</v>
      </c>
      <c r="AJ166" s="257"/>
      <c r="AK166" s="225"/>
      <c r="AL166" s="225" t="e">
        <v>#DIV/0!</v>
      </c>
      <c r="AM166" s="250"/>
      <c r="AN166" s="225"/>
      <c r="AO166" s="225" t="e">
        <v>#DIV/0!</v>
      </c>
      <c r="AP166" s="225"/>
      <c r="AQ166" s="250"/>
      <c r="AR166" s="225"/>
      <c r="AS166" s="225" t="e">
        <v>#DIV/0!</v>
      </c>
      <c r="AT166" s="250"/>
      <c r="AU166" s="225"/>
      <c r="AV166" s="225" t="e">
        <v>#DIV/0!</v>
      </c>
      <c r="AW166" s="250"/>
      <c r="AX166" s="225"/>
      <c r="AY166" s="225" t="e">
        <v>#DIV/0!</v>
      </c>
      <c r="AZ166" s="250"/>
      <c r="BA166" s="225"/>
      <c r="BB166" s="225"/>
      <c r="BC166" s="250"/>
      <c r="BD166" s="225"/>
      <c r="BE166" s="225"/>
      <c r="BF166" s="250"/>
      <c r="BG166" s="250"/>
      <c r="BH166" s="225"/>
      <c r="BI166" s="225"/>
      <c r="BJ166" s="250">
        <f t="shared" si="122"/>
        <v>0</v>
      </c>
      <c r="BK166" s="250"/>
      <c r="BL166" s="225"/>
      <c r="BM166" s="225"/>
      <c r="BN166" s="205">
        <f t="shared" si="116"/>
        <v>0</v>
      </c>
      <c r="BO166" s="205"/>
      <c r="BP166" s="227"/>
      <c r="BQ166" s="224"/>
      <c r="BR166" s="227"/>
      <c r="BS166" s="224"/>
      <c r="BT166" s="227"/>
      <c r="BU166" s="224"/>
      <c r="BV166" s="227"/>
      <c r="BW166" s="224"/>
      <c r="BX166" s="227"/>
      <c r="BY166" s="224"/>
      <c r="BZ166" s="227"/>
      <c r="CA166" s="224"/>
      <c r="CB166" s="227"/>
      <c r="CC166" s="224"/>
      <c r="CD166" s="227"/>
      <c r="CE166" s="224"/>
      <c r="CF166" s="227"/>
      <c r="CG166" s="224"/>
      <c r="CH166" s="227"/>
      <c r="CI166" s="224"/>
      <c r="CJ166" s="227"/>
      <c r="CK166" s="224"/>
      <c r="CL166" s="227"/>
      <c r="CM166" s="224"/>
      <c r="CN166" s="227"/>
      <c r="CO166" s="224"/>
      <c r="CP166" s="213" t="str">
        <f t="shared" si="135"/>
        <v>Không đạt</v>
      </c>
      <c r="CQ166" s="213" t="str">
        <f t="shared" si="136"/>
        <v>Không đạt</v>
      </c>
      <c r="CR166" s="192"/>
      <c r="CS166" s="192"/>
      <c r="CT166" s="223"/>
      <c r="CU166" s="163"/>
      <c r="CW166" s="195"/>
      <c r="CX166" s="196"/>
      <c r="CY166" s="196"/>
      <c r="CZ166" s="197"/>
      <c r="DA166" s="196"/>
      <c r="DB166" s="196"/>
      <c r="DC166" s="196"/>
      <c r="DE166" s="199"/>
      <c r="DF166" s="200"/>
      <c r="DG166" s="181"/>
    </row>
    <row r="167" spans="1:111" ht="25.5" hidden="1" outlineLevel="1" x14ac:dyDescent="0.25">
      <c r="A167" s="192">
        <f>MAX(A$152:$B166)+1</f>
        <v>17</v>
      </c>
      <c r="B167" s="222" t="s">
        <v>321</v>
      </c>
      <c r="C167" s="222"/>
      <c r="D167" s="214">
        <f t="shared" si="114"/>
        <v>9000</v>
      </c>
      <c r="E167" s="205"/>
      <c r="F167" s="214">
        <f t="shared" si="143"/>
        <v>9000</v>
      </c>
      <c r="G167" s="257"/>
      <c r="H167" s="257">
        <f>14000-5000</f>
        <v>9000</v>
      </c>
      <c r="I167" s="235"/>
      <c r="J167" s="235"/>
      <c r="K167" s="223"/>
      <c r="L167" s="235"/>
      <c r="M167" s="223"/>
      <c r="N167" s="223"/>
      <c r="O167" s="257">
        <f t="shared" si="140"/>
        <v>0</v>
      </c>
      <c r="P167" s="257">
        <v>0</v>
      </c>
      <c r="Q167" s="224">
        <f t="shared" si="121"/>
        <v>0</v>
      </c>
      <c r="R167" s="257"/>
      <c r="S167" s="225">
        <v>0</v>
      </c>
      <c r="T167" s="225">
        <v>0</v>
      </c>
      <c r="U167" s="257"/>
      <c r="V167" s="225">
        <v>0</v>
      </c>
      <c r="W167" s="225">
        <v>0</v>
      </c>
      <c r="X167" s="257"/>
      <c r="Y167" s="225">
        <v>0</v>
      </c>
      <c r="Z167" s="225">
        <v>0</v>
      </c>
      <c r="AA167" s="257"/>
      <c r="AB167" s="225">
        <v>0</v>
      </c>
      <c r="AC167" s="225">
        <v>0</v>
      </c>
      <c r="AD167" s="257"/>
      <c r="AE167" s="225">
        <v>0</v>
      </c>
      <c r="AF167" s="225">
        <v>0</v>
      </c>
      <c r="AG167" s="257"/>
      <c r="AH167" s="225">
        <v>0</v>
      </c>
      <c r="AI167" s="225">
        <v>0</v>
      </c>
      <c r="AJ167" s="257"/>
      <c r="AK167" s="225">
        <v>0</v>
      </c>
      <c r="AL167" s="225">
        <v>0</v>
      </c>
      <c r="AM167" s="257"/>
      <c r="AN167" s="225">
        <v>0</v>
      </c>
      <c r="AO167" s="225">
        <v>0</v>
      </c>
      <c r="AP167" s="225"/>
      <c r="AQ167" s="257"/>
      <c r="AR167" s="225">
        <v>0</v>
      </c>
      <c r="AS167" s="225">
        <v>0</v>
      </c>
      <c r="AT167" s="257"/>
      <c r="AU167" s="225">
        <v>0</v>
      </c>
      <c r="AV167" s="225">
        <v>0</v>
      </c>
      <c r="AW167" s="257"/>
      <c r="AX167" s="225">
        <v>0</v>
      </c>
      <c r="AY167" s="225">
        <v>0</v>
      </c>
      <c r="AZ167" s="257"/>
      <c r="BA167" s="225">
        <v>0</v>
      </c>
      <c r="BB167" s="225">
        <v>0</v>
      </c>
      <c r="BC167" s="257"/>
      <c r="BD167" s="225">
        <v>0</v>
      </c>
      <c r="BE167" s="225">
        <v>0</v>
      </c>
      <c r="BF167" s="257"/>
      <c r="BG167" s="257"/>
      <c r="BH167" s="225">
        <v>0</v>
      </c>
      <c r="BI167" s="225">
        <v>0</v>
      </c>
      <c r="BJ167" s="257">
        <f t="shared" si="122"/>
        <v>8550</v>
      </c>
      <c r="BK167" s="257"/>
      <c r="BL167" s="225">
        <f>BK167/$D167</f>
        <v>0</v>
      </c>
      <c r="BM167" s="225">
        <f t="shared" si="133"/>
        <v>0</v>
      </c>
      <c r="BN167" s="205">
        <f t="shared" si="116"/>
        <v>0</v>
      </c>
      <c r="BO167" s="205"/>
      <c r="BP167" s="227"/>
      <c r="BQ167" s="224">
        <f t="shared" si="134"/>
        <v>0</v>
      </c>
      <c r="BR167" s="227"/>
      <c r="BS167" s="224">
        <f>BR167/$D167</f>
        <v>0</v>
      </c>
      <c r="BT167" s="227"/>
      <c r="BU167" s="224">
        <f t="shared" si="123"/>
        <v>0</v>
      </c>
      <c r="BV167" s="227"/>
      <c r="BW167" s="224">
        <f t="shared" si="125"/>
        <v>0</v>
      </c>
      <c r="BX167" s="227"/>
      <c r="BY167" s="224">
        <f t="shared" si="126"/>
        <v>0</v>
      </c>
      <c r="BZ167" s="227">
        <v>2000</v>
      </c>
      <c r="CA167" s="224">
        <f t="shared" si="127"/>
        <v>0.22222222222222221</v>
      </c>
      <c r="CB167" s="227">
        <f>BZ167</f>
        <v>2000</v>
      </c>
      <c r="CC167" s="224">
        <f t="shared" si="148"/>
        <v>0.22222222222222221</v>
      </c>
      <c r="CD167" s="227">
        <v>4000</v>
      </c>
      <c r="CE167" s="224">
        <f t="shared" si="148"/>
        <v>0.44444444444444442</v>
      </c>
      <c r="CF167" s="227">
        <f>CD167</f>
        <v>4000</v>
      </c>
      <c r="CG167" s="224">
        <f t="shared" ref="CG167:CI170" si="154">CF167/$D167</f>
        <v>0.44444444444444442</v>
      </c>
      <c r="CH167" s="227">
        <v>6000</v>
      </c>
      <c r="CI167" s="224">
        <f t="shared" si="154"/>
        <v>0.66666666666666663</v>
      </c>
      <c r="CJ167" s="227">
        <v>9000</v>
      </c>
      <c r="CK167" s="224">
        <f>CJ167/$D167</f>
        <v>1</v>
      </c>
      <c r="CL167" s="227">
        <v>13300</v>
      </c>
      <c r="CM167" s="224">
        <f>CL167/$D167</f>
        <v>1.4777777777777779</v>
      </c>
      <c r="CN167" s="227">
        <f>CL167</f>
        <v>13300</v>
      </c>
      <c r="CO167" s="224">
        <f>CN167/$D167</f>
        <v>1.4777777777777779</v>
      </c>
      <c r="CP167" s="213" t="str">
        <f t="shared" si="135"/>
        <v>Không đạt</v>
      </c>
      <c r="CQ167" s="213" t="str">
        <f t="shared" si="136"/>
        <v>Không đạt</v>
      </c>
      <c r="CR167" s="192"/>
      <c r="CS167" s="192"/>
      <c r="CT167" s="223"/>
      <c r="CU167" s="163"/>
      <c r="CW167" s="195"/>
      <c r="CX167" s="196"/>
      <c r="CY167" s="196"/>
      <c r="CZ167" s="197"/>
      <c r="DA167" s="196"/>
      <c r="DB167" s="196"/>
      <c r="DC167" s="196"/>
      <c r="DE167" s="199"/>
      <c r="DF167" s="200"/>
      <c r="DG167" s="181"/>
    </row>
    <row r="168" spans="1:111" ht="25.5" hidden="1" outlineLevel="1" x14ac:dyDescent="0.25">
      <c r="A168" s="192">
        <f>MAX(A$152:$B167)+1</f>
        <v>18</v>
      </c>
      <c r="B168" s="222" t="s">
        <v>322</v>
      </c>
      <c r="C168" s="222"/>
      <c r="D168" s="214">
        <f t="shared" si="114"/>
        <v>14000</v>
      </c>
      <c r="E168" s="205"/>
      <c r="F168" s="214">
        <f t="shared" si="143"/>
        <v>14000</v>
      </c>
      <c r="G168" s="257"/>
      <c r="H168" s="257">
        <f>10000+4000</f>
        <v>14000</v>
      </c>
      <c r="I168" s="235"/>
      <c r="J168" s="235"/>
      <c r="K168" s="223"/>
      <c r="L168" s="235"/>
      <c r="M168" s="223"/>
      <c r="N168" s="223"/>
      <c r="O168" s="257">
        <f t="shared" si="140"/>
        <v>0</v>
      </c>
      <c r="P168" s="257">
        <v>0</v>
      </c>
      <c r="Q168" s="224">
        <f t="shared" si="121"/>
        <v>0</v>
      </c>
      <c r="R168" s="257"/>
      <c r="S168" s="225">
        <v>0</v>
      </c>
      <c r="T168" s="225">
        <v>0</v>
      </c>
      <c r="U168" s="257"/>
      <c r="V168" s="225">
        <v>0</v>
      </c>
      <c r="W168" s="225">
        <v>0</v>
      </c>
      <c r="X168" s="257"/>
      <c r="Y168" s="225">
        <v>0</v>
      </c>
      <c r="Z168" s="225">
        <v>0</v>
      </c>
      <c r="AA168" s="257"/>
      <c r="AB168" s="225">
        <v>0</v>
      </c>
      <c r="AC168" s="225">
        <v>0</v>
      </c>
      <c r="AD168" s="257"/>
      <c r="AE168" s="225">
        <v>0</v>
      </c>
      <c r="AF168" s="225">
        <v>0</v>
      </c>
      <c r="AG168" s="257"/>
      <c r="AH168" s="225">
        <v>0</v>
      </c>
      <c r="AI168" s="225">
        <v>0</v>
      </c>
      <c r="AJ168" s="257"/>
      <c r="AK168" s="225">
        <v>0</v>
      </c>
      <c r="AL168" s="225">
        <v>0</v>
      </c>
      <c r="AM168" s="257"/>
      <c r="AN168" s="225">
        <v>0</v>
      </c>
      <c r="AO168" s="225">
        <v>0</v>
      </c>
      <c r="AP168" s="225"/>
      <c r="AQ168" s="257"/>
      <c r="AR168" s="225">
        <v>0</v>
      </c>
      <c r="AS168" s="225">
        <v>0</v>
      </c>
      <c r="AT168" s="257"/>
      <c r="AU168" s="225">
        <v>0</v>
      </c>
      <c r="AV168" s="225">
        <v>0</v>
      </c>
      <c r="AW168" s="257"/>
      <c r="AX168" s="225">
        <v>0</v>
      </c>
      <c r="AY168" s="225">
        <v>0</v>
      </c>
      <c r="AZ168" s="257"/>
      <c r="BA168" s="225">
        <v>0</v>
      </c>
      <c r="BB168" s="225">
        <v>0</v>
      </c>
      <c r="BC168" s="257"/>
      <c r="BD168" s="225">
        <v>0</v>
      </c>
      <c r="BE168" s="225">
        <v>0</v>
      </c>
      <c r="BF168" s="257">
        <v>2021.1770000000001</v>
      </c>
      <c r="BG168" s="257">
        <v>2021.1770000000001</v>
      </c>
      <c r="BH168" s="225">
        <v>0.14436978571428571</v>
      </c>
      <c r="BI168" s="225">
        <v>0.15196819548872181</v>
      </c>
      <c r="BJ168" s="257">
        <f t="shared" si="122"/>
        <v>13300</v>
      </c>
      <c r="BK168" s="257">
        <v>2021.1770000000001</v>
      </c>
      <c r="BL168" s="225">
        <f>BK168/$D168</f>
        <v>0.14436978571428571</v>
      </c>
      <c r="BM168" s="225">
        <f t="shared" si="133"/>
        <v>0.15196819548872181</v>
      </c>
      <c r="BN168" s="205">
        <f t="shared" si="116"/>
        <v>2021.1770000000001</v>
      </c>
      <c r="BO168" s="205"/>
      <c r="BP168" s="227"/>
      <c r="BQ168" s="224">
        <f t="shared" si="134"/>
        <v>0</v>
      </c>
      <c r="BR168" s="227"/>
      <c r="BS168" s="224">
        <f>BR168/$D168</f>
        <v>0</v>
      </c>
      <c r="BT168" s="227"/>
      <c r="BU168" s="224">
        <f t="shared" si="123"/>
        <v>0</v>
      </c>
      <c r="BV168" s="227">
        <v>5000</v>
      </c>
      <c r="BW168" s="224">
        <f t="shared" si="125"/>
        <v>0.35714285714285715</v>
      </c>
      <c r="BX168" s="227">
        <f>BV168</f>
        <v>5000</v>
      </c>
      <c r="BY168" s="224">
        <f t="shared" si="126"/>
        <v>0.35714285714285715</v>
      </c>
      <c r="BZ168" s="227">
        <v>7000</v>
      </c>
      <c r="CA168" s="224">
        <f t="shared" si="127"/>
        <v>0.5</v>
      </c>
      <c r="CB168" s="227">
        <f>BZ168</f>
        <v>7000</v>
      </c>
      <c r="CC168" s="224">
        <f t="shared" si="148"/>
        <v>0.5</v>
      </c>
      <c r="CD168" s="227">
        <f>CB168</f>
        <v>7000</v>
      </c>
      <c r="CE168" s="224">
        <f t="shared" si="148"/>
        <v>0.5</v>
      </c>
      <c r="CF168" s="227">
        <f>CD168</f>
        <v>7000</v>
      </c>
      <c r="CG168" s="224">
        <f t="shared" si="154"/>
        <v>0.5</v>
      </c>
      <c r="CH168" s="227">
        <v>9500</v>
      </c>
      <c r="CI168" s="224">
        <f t="shared" si="154"/>
        <v>0.6785714285714286</v>
      </c>
      <c r="CJ168" s="227">
        <f>CH168</f>
        <v>9500</v>
      </c>
      <c r="CK168" s="224">
        <f>CJ168/$D168</f>
        <v>0.6785714285714286</v>
      </c>
      <c r="CL168" s="227">
        <f>CJ168</f>
        <v>9500</v>
      </c>
      <c r="CM168" s="224">
        <f>CL168/$D168</f>
        <v>0.6785714285714286</v>
      </c>
      <c r="CN168" s="227">
        <f>CL168</f>
        <v>9500</v>
      </c>
      <c r="CO168" s="224">
        <f>CN168/$D168</f>
        <v>0.6785714285714286</v>
      </c>
      <c r="CP168" s="213" t="str">
        <f t="shared" si="135"/>
        <v>Không đạt</v>
      </c>
      <c r="CQ168" s="213" t="str">
        <f t="shared" si="136"/>
        <v>Không đạt</v>
      </c>
      <c r="CR168" s="192"/>
      <c r="CS168" s="192"/>
      <c r="CT168" s="223"/>
      <c r="CU168" s="163"/>
      <c r="CW168" s="195"/>
      <c r="CX168" s="196"/>
      <c r="CY168" s="196"/>
      <c r="CZ168" s="197"/>
      <c r="DA168" s="196"/>
      <c r="DB168" s="196"/>
      <c r="DC168" s="196"/>
      <c r="DE168" s="199"/>
      <c r="DF168" s="200"/>
      <c r="DG168" s="181"/>
    </row>
    <row r="169" spans="1:111" ht="25.5" hidden="1" outlineLevel="1" x14ac:dyDescent="0.25">
      <c r="A169" s="192">
        <f>MAX(A$152:$B168)+1</f>
        <v>19</v>
      </c>
      <c r="B169" s="222" t="s">
        <v>323</v>
      </c>
      <c r="C169" s="222">
        <v>7838339</v>
      </c>
      <c r="D169" s="214">
        <f t="shared" si="114"/>
        <v>9500</v>
      </c>
      <c r="E169" s="205"/>
      <c r="F169" s="214">
        <f t="shared" si="143"/>
        <v>9500</v>
      </c>
      <c r="G169" s="257"/>
      <c r="H169" s="257">
        <f>10000-500</f>
        <v>9500</v>
      </c>
      <c r="I169" s="235">
        <v>2755</v>
      </c>
      <c r="J169" s="257">
        <v>2754.1440000000002</v>
      </c>
      <c r="K169" s="223"/>
      <c r="L169" s="235"/>
      <c r="M169" s="223"/>
      <c r="N169" s="223"/>
      <c r="O169" s="257">
        <f t="shared" si="140"/>
        <v>2755</v>
      </c>
      <c r="P169" s="257">
        <v>305.858</v>
      </c>
      <c r="Q169" s="224">
        <f t="shared" si="121"/>
        <v>3.2195578947368422E-2</v>
      </c>
      <c r="R169" s="257">
        <v>305.858</v>
      </c>
      <c r="S169" s="225">
        <v>3.05858E-2</v>
      </c>
      <c r="T169" s="225">
        <v>3.2195578947368422E-2</v>
      </c>
      <c r="U169" s="257">
        <v>305.858</v>
      </c>
      <c r="V169" s="225">
        <v>3.05858E-2</v>
      </c>
      <c r="W169" s="225">
        <v>3.2195578947368422E-2</v>
      </c>
      <c r="X169" s="257">
        <v>305.858</v>
      </c>
      <c r="Y169" s="225">
        <v>3.05858E-2</v>
      </c>
      <c r="Z169" s="225">
        <v>3.2195578947368422E-2</v>
      </c>
      <c r="AA169" s="257">
        <v>305.858</v>
      </c>
      <c r="AB169" s="225">
        <v>3.05858E-2</v>
      </c>
      <c r="AC169" s="225">
        <v>3.2195578947368422E-2</v>
      </c>
      <c r="AD169" s="257">
        <v>305.858</v>
      </c>
      <c r="AE169" s="225">
        <v>3.05858E-2</v>
      </c>
      <c r="AF169" s="225">
        <v>3.2195578947368422E-2</v>
      </c>
      <c r="AG169" s="257">
        <v>305.858</v>
      </c>
      <c r="AH169" s="225">
        <v>3.05858E-2</v>
      </c>
      <c r="AI169" s="225">
        <v>3.2195578947368422E-2</v>
      </c>
      <c r="AJ169" s="257">
        <v>305.858</v>
      </c>
      <c r="AK169" s="225">
        <v>3.05858E-2</v>
      </c>
      <c r="AL169" s="225">
        <v>3.2195578947368422E-2</v>
      </c>
      <c r="AM169" s="257">
        <v>2754.1440000000002</v>
      </c>
      <c r="AN169" s="225">
        <v>0.2754144</v>
      </c>
      <c r="AO169" s="225">
        <v>0.28990989473684214</v>
      </c>
      <c r="AP169" s="225"/>
      <c r="AQ169" s="257">
        <v>2754.1440000000002</v>
      </c>
      <c r="AR169" s="225">
        <v>0.2754144</v>
      </c>
      <c r="AS169" s="225">
        <v>0.28990989473684214</v>
      </c>
      <c r="AT169" s="257">
        <v>2754.1440000000002</v>
      </c>
      <c r="AU169" s="225">
        <v>0.2754144</v>
      </c>
      <c r="AV169" s="225">
        <v>0.28990989473684214</v>
      </c>
      <c r="AW169" s="257">
        <v>2754.1440000000002</v>
      </c>
      <c r="AX169" s="225">
        <v>0.2754144</v>
      </c>
      <c r="AY169" s="225">
        <v>0.28990989473684214</v>
      </c>
      <c r="AZ169" s="257">
        <v>2754.1440000000002</v>
      </c>
      <c r="BA169" s="225">
        <v>0.2754144</v>
      </c>
      <c r="BB169" s="225">
        <v>0.28990989473684214</v>
      </c>
      <c r="BC169" s="257">
        <v>2754.1440000000002</v>
      </c>
      <c r="BD169" s="225">
        <v>0.2754144</v>
      </c>
      <c r="BE169" s="225">
        <v>0.28990989473684214</v>
      </c>
      <c r="BF169" s="257">
        <v>4350.6270000000004</v>
      </c>
      <c r="BG169" s="257">
        <v>4350.6270000000004</v>
      </c>
      <c r="BH169" s="225">
        <v>0.45796073684210531</v>
      </c>
      <c r="BI169" s="225">
        <v>0.48206393351800558</v>
      </c>
      <c r="BJ169" s="257">
        <f t="shared" si="122"/>
        <v>9025</v>
      </c>
      <c r="BK169" s="257">
        <v>4350.6270000000004</v>
      </c>
      <c r="BL169" s="225">
        <f>BK169/$D169</f>
        <v>0.45796073684210531</v>
      </c>
      <c r="BM169" s="225">
        <f t="shared" si="133"/>
        <v>0.48206393351800558</v>
      </c>
      <c r="BN169" s="205">
        <f t="shared" si="116"/>
        <v>4044.7690000000002</v>
      </c>
      <c r="BO169" s="205"/>
      <c r="BP169" s="227">
        <v>306</v>
      </c>
      <c r="BQ169" s="224">
        <f t="shared" si="134"/>
        <v>3.2210526315789474E-2</v>
      </c>
      <c r="BR169" s="227">
        <f>BP169</f>
        <v>306</v>
      </c>
      <c r="BS169" s="224">
        <f>BR169/$D169</f>
        <v>3.2210526315789474E-2</v>
      </c>
      <c r="BT169" s="227">
        <f>BR169</f>
        <v>306</v>
      </c>
      <c r="BU169" s="224">
        <f t="shared" si="123"/>
        <v>3.2210526315789474E-2</v>
      </c>
      <c r="BV169" s="227">
        <f>BT169</f>
        <v>306</v>
      </c>
      <c r="BW169" s="224">
        <f t="shared" si="125"/>
        <v>3.2210526315789474E-2</v>
      </c>
      <c r="BX169" s="227">
        <f>4000+BP169</f>
        <v>4306</v>
      </c>
      <c r="BY169" s="224">
        <f t="shared" si="126"/>
        <v>0.45326315789473687</v>
      </c>
      <c r="BZ169" s="227">
        <f>BX169</f>
        <v>4306</v>
      </c>
      <c r="CA169" s="224">
        <f t="shared" si="127"/>
        <v>0.45326315789473687</v>
      </c>
      <c r="CB169" s="227">
        <f>BZ169</f>
        <v>4306</v>
      </c>
      <c r="CC169" s="224">
        <f t="shared" si="148"/>
        <v>0.45326315789473687</v>
      </c>
      <c r="CD169" s="227">
        <f>CB169</f>
        <v>4306</v>
      </c>
      <c r="CE169" s="224">
        <f t="shared" si="148"/>
        <v>0.45326315789473687</v>
      </c>
      <c r="CF169" s="227">
        <f>4000+CD169</f>
        <v>8306</v>
      </c>
      <c r="CG169" s="224">
        <f t="shared" si="154"/>
        <v>0.87431578947368416</v>
      </c>
      <c r="CH169" s="227">
        <f>CF169</f>
        <v>8306</v>
      </c>
      <c r="CI169" s="224">
        <f t="shared" si="154"/>
        <v>0.87431578947368416</v>
      </c>
      <c r="CJ169" s="227">
        <f>CH169</f>
        <v>8306</v>
      </c>
      <c r="CK169" s="224">
        <f>CJ169/$D169</f>
        <v>0.87431578947368416</v>
      </c>
      <c r="CL169" s="227">
        <f>1500+CJ169-306</f>
        <v>9500</v>
      </c>
      <c r="CM169" s="224">
        <f>CL169/$D169</f>
        <v>1</v>
      </c>
      <c r="CN169" s="227">
        <f>CL169</f>
        <v>9500</v>
      </c>
      <c r="CO169" s="224">
        <f>CN169/$D169</f>
        <v>1</v>
      </c>
      <c r="CP169" s="213" t="str">
        <f t="shared" si="135"/>
        <v>Đạt</v>
      </c>
      <c r="CQ169" s="213" t="str">
        <f t="shared" si="136"/>
        <v>Đạt</v>
      </c>
      <c r="CR169" s="192"/>
      <c r="CS169" s="192"/>
      <c r="CT169" s="223"/>
      <c r="CU169" s="163"/>
      <c r="CW169" s="195"/>
      <c r="CX169" s="196"/>
      <c r="CY169" s="196"/>
      <c r="CZ169" s="197"/>
      <c r="DA169" s="196"/>
      <c r="DB169" s="196"/>
      <c r="DC169" s="196"/>
      <c r="DE169" s="199"/>
      <c r="DF169" s="200"/>
      <c r="DG169" s="181"/>
    </row>
    <row r="170" spans="1:111" ht="25.5" hidden="1" outlineLevel="1" x14ac:dyDescent="0.25">
      <c r="A170" s="192">
        <f>MAX(A$152:$B169)+1</f>
        <v>20</v>
      </c>
      <c r="B170" s="222" t="s">
        <v>324</v>
      </c>
      <c r="C170" s="222"/>
      <c r="D170" s="214">
        <f t="shared" si="114"/>
        <v>250</v>
      </c>
      <c r="E170" s="205"/>
      <c r="F170" s="214">
        <f t="shared" si="143"/>
        <v>250</v>
      </c>
      <c r="G170" s="257"/>
      <c r="H170" s="257">
        <f>3000-2750</f>
        <v>250</v>
      </c>
      <c r="I170" s="235"/>
      <c r="J170" s="257"/>
      <c r="K170" s="223"/>
      <c r="L170" s="235"/>
      <c r="M170" s="223"/>
      <c r="N170" s="223"/>
      <c r="O170" s="257">
        <f t="shared" si="140"/>
        <v>0</v>
      </c>
      <c r="P170" s="257">
        <v>0</v>
      </c>
      <c r="Q170" s="224">
        <f t="shared" si="121"/>
        <v>0</v>
      </c>
      <c r="R170" s="257"/>
      <c r="S170" s="225">
        <v>0</v>
      </c>
      <c r="T170" s="225">
        <v>0</v>
      </c>
      <c r="U170" s="257"/>
      <c r="V170" s="225">
        <v>0</v>
      </c>
      <c r="W170" s="225">
        <v>0</v>
      </c>
      <c r="X170" s="257"/>
      <c r="Y170" s="225">
        <v>0</v>
      </c>
      <c r="Z170" s="225">
        <v>0</v>
      </c>
      <c r="AA170" s="257"/>
      <c r="AB170" s="225">
        <v>0</v>
      </c>
      <c r="AC170" s="225">
        <v>0</v>
      </c>
      <c r="AD170" s="257"/>
      <c r="AE170" s="225">
        <v>0</v>
      </c>
      <c r="AF170" s="225">
        <v>0</v>
      </c>
      <c r="AG170" s="257"/>
      <c r="AH170" s="225">
        <v>0</v>
      </c>
      <c r="AI170" s="225">
        <v>0</v>
      </c>
      <c r="AJ170" s="250"/>
      <c r="AK170" s="225">
        <v>0</v>
      </c>
      <c r="AL170" s="225">
        <v>0</v>
      </c>
      <c r="AM170" s="257"/>
      <c r="AN170" s="225">
        <v>0</v>
      </c>
      <c r="AO170" s="225">
        <v>0</v>
      </c>
      <c r="AP170" s="225"/>
      <c r="AQ170" s="257"/>
      <c r="AR170" s="225">
        <v>0</v>
      </c>
      <c r="AS170" s="225">
        <v>0</v>
      </c>
      <c r="AT170" s="257"/>
      <c r="AU170" s="225">
        <v>0</v>
      </c>
      <c r="AV170" s="225">
        <v>0</v>
      </c>
      <c r="AW170" s="257"/>
      <c r="AX170" s="225">
        <v>0</v>
      </c>
      <c r="AY170" s="225">
        <v>0</v>
      </c>
      <c r="AZ170" s="257"/>
      <c r="BA170" s="225">
        <v>0</v>
      </c>
      <c r="BB170" s="225">
        <v>0</v>
      </c>
      <c r="BC170" s="257"/>
      <c r="BD170" s="225">
        <v>0</v>
      </c>
      <c r="BE170" s="225">
        <v>0</v>
      </c>
      <c r="BF170" s="257"/>
      <c r="BG170" s="257"/>
      <c r="BH170" s="225">
        <v>0</v>
      </c>
      <c r="BI170" s="225">
        <v>0</v>
      </c>
      <c r="BJ170" s="257">
        <f t="shared" si="122"/>
        <v>237.5</v>
      </c>
      <c r="BK170" s="257"/>
      <c r="BL170" s="225">
        <f>BK170/$D170</f>
        <v>0</v>
      </c>
      <c r="BM170" s="225">
        <f t="shared" si="133"/>
        <v>0</v>
      </c>
      <c r="BN170" s="205">
        <f t="shared" si="116"/>
        <v>0</v>
      </c>
      <c r="BO170" s="205"/>
      <c r="BP170" s="227"/>
      <c r="BQ170" s="224">
        <f t="shared" si="134"/>
        <v>0</v>
      </c>
      <c r="BR170" s="227"/>
      <c r="BS170" s="224">
        <f>BR170/$D170</f>
        <v>0</v>
      </c>
      <c r="BT170" s="227"/>
      <c r="BU170" s="224">
        <f t="shared" si="123"/>
        <v>0</v>
      </c>
      <c r="BV170" s="227"/>
      <c r="BW170" s="224">
        <f t="shared" si="125"/>
        <v>0</v>
      </c>
      <c r="BX170" s="227"/>
      <c r="BY170" s="224">
        <f t="shared" si="126"/>
        <v>0</v>
      </c>
      <c r="BZ170" s="227"/>
      <c r="CA170" s="224">
        <f t="shared" si="127"/>
        <v>0</v>
      </c>
      <c r="CB170" s="227"/>
      <c r="CC170" s="224">
        <f t="shared" si="148"/>
        <v>0</v>
      </c>
      <c r="CD170" s="227"/>
      <c r="CE170" s="224">
        <f t="shared" si="148"/>
        <v>0</v>
      </c>
      <c r="CF170" s="227"/>
      <c r="CG170" s="224">
        <f t="shared" si="154"/>
        <v>0</v>
      </c>
      <c r="CH170" s="227"/>
      <c r="CI170" s="224">
        <f t="shared" si="154"/>
        <v>0</v>
      </c>
      <c r="CJ170" s="227"/>
      <c r="CK170" s="224">
        <f>CJ170/$D170</f>
        <v>0</v>
      </c>
      <c r="CL170" s="227">
        <v>2850</v>
      </c>
      <c r="CM170" s="224">
        <f>CL170/$D170</f>
        <v>11.4</v>
      </c>
      <c r="CN170" s="227">
        <f>CL170</f>
        <v>2850</v>
      </c>
      <c r="CO170" s="224">
        <f>CN170/$D170</f>
        <v>11.4</v>
      </c>
      <c r="CP170" s="213" t="str">
        <f t="shared" si="135"/>
        <v>Không đạt</v>
      </c>
      <c r="CQ170" s="213" t="str">
        <f t="shared" si="136"/>
        <v>Không đạt</v>
      </c>
      <c r="CR170" s="192"/>
      <c r="CS170" s="192"/>
      <c r="CT170" s="223"/>
      <c r="CU170" s="163"/>
      <c r="CW170" s="195"/>
      <c r="CX170" s="196"/>
      <c r="CY170" s="196"/>
      <c r="CZ170" s="197"/>
      <c r="DA170" s="196"/>
      <c r="DB170" s="196"/>
      <c r="DC170" s="196"/>
      <c r="DE170" s="199"/>
      <c r="DF170" s="200"/>
      <c r="DG170" s="181"/>
    </row>
    <row r="171" spans="1:111" hidden="1" outlineLevel="1" x14ac:dyDescent="0.25">
      <c r="A171" s="192"/>
      <c r="B171" s="261" t="s">
        <v>219</v>
      </c>
      <c r="C171" s="240"/>
      <c r="D171" s="214">
        <f t="shared" si="114"/>
        <v>0</v>
      </c>
      <c r="E171" s="205"/>
      <c r="F171" s="214">
        <f t="shared" si="143"/>
        <v>0</v>
      </c>
      <c r="G171" s="250"/>
      <c r="H171" s="250"/>
      <c r="I171" s="235"/>
      <c r="J171" s="250"/>
      <c r="K171" s="223"/>
      <c r="L171" s="235"/>
      <c r="M171" s="223"/>
      <c r="N171" s="223"/>
      <c r="O171" s="250">
        <f t="shared" si="140"/>
        <v>0</v>
      </c>
      <c r="P171" s="250">
        <v>0</v>
      </c>
      <c r="Q171" s="224" t="e">
        <f t="shared" si="121"/>
        <v>#DIV/0!</v>
      </c>
      <c r="R171" s="250"/>
      <c r="S171" s="225"/>
      <c r="T171" s="225" t="e">
        <v>#DIV/0!</v>
      </c>
      <c r="U171" s="250"/>
      <c r="V171" s="225"/>
      <c r="W171" s="225" t="e">
        <v>#DIV/0!</v>
      </c>
      <c r="X171" s="250"/>
      <c r="Y171" s="225"/>
      <c r="Z171" s="225" t="e">
        <v>#DIV/0!</v>
      </c>
      <c r="AA171" s="250"/>
      <c r="AB171" s="225"/>
      <c r="AC171" s="225" t="e">
        <v>#DIV/0!</v>
      </c>
      <c r="AD171" s="250"/>
      <c r="AE171" s="225"/>
      <c r="AF171" s="225" t="e">
        <v>#DIV/0!</v>
      </c>
      <c r="AG171" s="250"/>
      <c r="AH171" s="225"/>
      <c r="AI171" s="225" t="e">
        <v>#DIV/0!</v>
      </c>
      <c r="AJ171" s="257"/>
      <c r="AK171" s="225"/>
      <c r="AL171" s="225" t="e">
        <v>#DIV/0!</v>
      </c>
      <c r="AM171" s="250"/>
      <c r="AN171" s="225"/>
      <c r="AO171" s="225" t="e">
        <v>#DIV/0!</v>
      </c>
      <c r="AP171" s="225"/>
      <c r="AQ171" s="250"/>
      <c r="AR171" s="225"/>
      <c r="AS171" s="225" t="e">
        <v>#DIV/0!</v>
      </c>
      <c r="AT171" s="250"/>
      <c r="AU171" s="225"/>
      <c r="AV171" s="225" t="e">
        <v>#DIV/0!</v>
      </c>
      <c r="AW171" s="250"/>
      <c r="AX171" s="225"/>
      <c r="AY171" s="225" t="e">
        <v>#DIV/0!</v>
      </c>
      <c r="AZ171" s="250"/>
      <c r="BA171" s="225"/>
      <c r="BB171" s="225"/>
      <c r="BC171" s="250"/>
      <c r="BD171" s="225"/>
      <c r="BE171" s="225"/>
      <c r="BF171" s="250"/>
      <c r="BG171" s="250"/>
      <c r="BH171" s="225"/>
      <c r="BI171" s="225"/>
      <c r="BJ171" s="250">
        <f t="shared" si="122"/>
        <v>0</v>
      </c>
      <c r="BK171" s="250"/>
      <c r="BL171" s="225"/>
      <c r="BM171" s="225"/>
      <c r="BN171" s="205">
        <f t="shared" si="116"/>
        <v>0</v>
      </c>
      <c r="BO171" s="205"/>
      <c r="BP171" s="227"/>
      <c r="BQ171" s="224"/>
      <c r="BR171" s="227"/>
      <c r="BS171" s="224"/>
      <c r="BT171" s="227"/>
      <c r="BU171" s="224"/>
      <c r="BV171" s="227"/>
      <c r="BW171" s="224"/>
      <c r="BX171" s="227"/>
      <c r="BY171" s="224"/>
      <c r="BZ171" s="227"/>
      <c r="CA171" s="224"/>
      <c r="CB171" s="227"/>
      <c r="CC171" s="224"/>
      <c r="CD171" s="227"/>
      <c r="CE171" s="224"/>
      <c r="CF171" s="227"/>
      <c r="CG171" s="224"/>
      <c r="CH171" s="227"/>
      <c r="CI171" s="224"/>
      <c r="CJ171" s="227"/>
      <c r="CK171" s="224"/>
      <c r="CL171" s="227"/>
      <c r="CM171" s="224"/>
      <c r="CN171" s="227"/>
      <c r="CO171" s="224"/>
      <c r="CP171" s="213" t="str">
        <f t="shared" si="135"/>
        <v>Không đạt</v>
      </c>
      <c r="CQ171" s="213" t="str">
        <f t="shared" si="136"/>
        <v>Không đạt</v>
      </c>
      <c r="CR171" s="192"/>
      <c r="CS171" s="192"/>
      <c r="CT171" s="223"/>
      <c r="CU171" s="163"/>
      <c r="CW171" s="195"/>
      <c r="CX171" s="196"/>
      <c r="CY171" s="196"/>
      <c r="CZ171" s="197"/>
      <c r="DA171" s="196"/>
      <c r="DB171" s="196"/>
      <c r="DC171" s="196"/>
      <c r="DE171" s="199"/>
      <c r="DF171" s="200"/>
      <c r="DG171" s="181"/>
    </row>
    <row r="172" spans="1:111" hidden="1" outlineLevel="1" x14ac:dyDescent="0.25">
      <c r="A172" s="192">
        <f>MAX(A$152:$B171)+1</f>
        <v>21</v>
      </c>
      <c r="B172" s="222" t="s">
        <v>325</v>
      </c>
      <c r="C172" s="222">
        <v>8031704</v>
      </c>
      <c r="D172" s="214">
        <f t="shared" si="114"/>
        <v>10000</v>
      </c>
      <c r="E172" s="205"/>
      <c r="F172" s="214">
        <f t="shared" si="143"/>
        <v>10000</v>
      </c>
      <c r="G172" s="257"/>
      <c r="H172" s="257">
        <v>10000</v>
      </c>
      <c r="I172" s="235">
        <v>1000</v>
      </c>
      <c r="J172" s="257">
        <v>1000</v>
      </c>
      <c r="K172" s="223"/>
      <c r="L172" s="235"/>
      <c r="M172" s="223"/>
      <c r="N172" s="223"/>
      <c r="O172" s="257">
        <f t="shared" si="140"/>
        <v>1000</v>
      </c>
      <c r="P172" s="257">
        <v>0</v>
      </c>
      <c r="Q172" s="224">
        <f t="shared" si="121"/>
        <v>0</v>
      </c>
      <c r="R172" s="257"/>
      <c r="S172" s="225">
        <v>0</v>
      </c>
      <c r="T172" s="225">
        <v>0</v>
      </c>
      <c r="U172" s="257"/>
      <c r="V172" s="225">
        <v>0</v>
      </c>
      <c r="W172" s="225">
        <v>0</v>
      </c>
      <c r="X172" s="257"/>
      <c r="Y172" s="225">
        <v>0</v>
      </c>
      <c r="Z172" s="225">
        <v>0</v>
      </c>
      <c r="AA172" s="257"/>
      <c r="AB172" s="225">
        <v>0</v>
      </c>
      <c r="AC172" s="225">
        <v>0</v>
      </c>
      <c r="AD172" s="257"/>
      <c r="AE172" s="225">
        <v>0</v>
      </c>
      <c r="AF172" s="225">
        <v>0</v>
      </c>
      <c r="AG172" s="257">
        <v>799.97299999999996</v>
      </c>
      <c r="AH172" s="225">
        <v>7.9997299999999993E-2</v>
      </c>
      <c r="AI172" s="225">
        <v>8.420768421052631E-2</v>
      </c>
      <c r="AJ172" s="257">
        <v>799.97299999999996</v>
      </c>
      <c r="AK172" s="225">
        <v>7.9997299999999993E-2</v>
      </c>
      <c r="AL172" s="225">
        <v>8.420768421052631E-2</v>
      </c>
      <c r="AM172" s="257">
        <v>799.97299999999996</v>
      </c>
      <c r="AN172" s="225">
        <v>7.9997299999999993E-2</v>
      </c>
      <c r="AO172" s="225">
        <v>8.420768421052631E-2</v>
      </c>
      <c r="AP172" s="225"/>
      <c r="AQ172" s="257">
        <v>1000</v>
      </c>
      <c r="AR172" s="225">
        <v>0.1</v>
      </c>
      <c r="AS172" s="225">
        <v>0.10526315789473684</v>
      </c>
      <c r="AT172" s="257">
        <v>1000</v>
      </c>
      <c r="AU172" s="225">
        <v>0.1</v>
      </c>
      <c r="AV172" s="225">
        <v>0.10526315789473684</v>
      </c>
      <c r="AW172" s="257">
        <v>1000</v>
      </c>
      <c r="AX172" s="225">
        <v>0.1</v>
      </c>
      <c r="AY172" s="225">
        <v>0.10526315789473684</v>
      </c>
      <c r="AZ172" s="257">
        <v>1000</v>
      </c>
      <c r="BA172" s="225">
        <v>0.1</v>
      </c>
      <c r="BB172" s="225">
        <v>0.10526315789473684</v>
      </c>
      <c r="BC172" s="257">
        <v>1000</v>
      </c>
      <c r="BD172" s="225">
        <v>0.1</v>
      </c>
      <c r="BE172" s="225">
        <v>0.10526315789473684</v>
      </c>
      <c r="BF172" s="257">
        <v>2807.2170000000001</v>
      </c>
      <c r="BG172" s="257">
        <v>2807.2170000000001</v>
      </c>
      <c r="BH172" s="225">
        <v>0.28072170000000002</v>
      </c>
      <c r="BI172" s="225">
        <v>0.29549652631578949</v>
      </c>
      <c r="BJ172" s="257">
        <f t="shared" si="122"/>
        <v>9500</v>
      </c>
      <c r="BK172" s="257">
        <v>2807.2170000000001</v>
      </c>
      <c r="BL172" s="225">
        <f>BK172/$D172</f>
        <v>0.28072170000000002</v>
      </c>
      <c r="BM172" s="225">
        <f t="shared" si="133"/>
        <v>0.29549652631578949</v>
      </c>
      <c r="BN172" s="205">
        <f t="shared" si="116"/>
        <v>2807.2170000000001</v>
      </c>
      <c r="BO172" s="205"/>
      <c r="BP172" s="227"/>
      <c r="BQ172" s="224">
        <f>BP172/$D172</f>
        <v>0</v>
      </c>
      <c r="BR172" s="227"/>
      <c r="BS172" s="224">
        <f>BR172/$D172</f>
        <v>0</v>
      </c>
      <c r="BT172" s="227">
        <v>2200</v>
      </c>
      <c r="BU172" s="224">
        <f>BT172/$D172</f>
        <v>0.22</v>
      </c>
      <c r="BV172" s="227">
        <f>1900+BT172</f>
        <v>4100</v>
      </c>
      <c r="BW172" s="224">
        <f>BV172/$D172</f>
        <v>0.41</v>
      </c>
      <c r="BX172" s="227">
        <f>BV172</f>
        <v>4100</v>
      </c>
      <c r="BY172" s="224">
        <f>BX172/$D172</f>
        <v>0.41</v>
      </c>
      <c r="BZ172" s="227">
        <f>BX172</f>
        <v>4100</v>
      </c>
      <c r="CA172" s="224">
        <f>BZ172/$D172</f>
        <v>0.41</v>
      </c>
      <c r="CB172" s="227">
        <v>9500</v>
      </c>
      <c r="CC172" s="224">
        <f t="shared" ref="CC172:CE173" si="155">CB172/$D172</f>
        <v>0.95</v>
      </c>
      <c r="CD172" s="227">
        <f>CB172</f>
        <v>9500</v>
      </c>
      <c r="CE172" s="224">
        <f t="shared" si="155"/>
        <v>0.95</v>
      </c>
      <c r="CF172" s="227">
        <f>CD172</f>
        <v>9500</v>
      </c>
      <c r="CG172" s="224">
        <f t="shared" ref="CG172:CI173" si="156">CF172/$D172</f>
        <v>0.95</v>
      </c>
      <c r="CH172" s="227">
        <f>CF172</f>
        <v>9500</v>
      </c>
      <c r="CI172" s="224">
        <f t="shared" si="156"/>
        <v>0.95</v>
      </c>
      <c r="CJ172" s="227">
        <f>CH172</f>
        <v>9500</v>
      </c>
      <c r="CK172" s="224">
        <f>CJ172/$D172</f>
        <v>0.95</v>
      </c>
      <c r="CL172" s="227">
        <f>CJ172</f>
        <v>9500</v>
      </c>
      <c r="CM172" s="224">
        <f>CL172/$D172</f>
        <v>0.95</v>
      </c>
      <c r="CN172" s="227">
        <f>CL172</f>
        <v>9500</v>
      </c>
      <c r="CO172" s="224">
        <f>CN172/$D172</f>
        <v>0.95</v>
      </c>
      <c r="CP172" s="213" t="str">
        <f t="shared" si="135"/>
        <v>Không đạt</v>
      </c>
      <c r="CQ172" s="213" t="str">
        <f t="shared" si="136"/>
        <v>Không đạt</v>
      </c>
      <c r="CR172" s="192"/>
      <c r="CS172" s="192"/>
      <c r="CT172" s="223"/>
      <c r="CU172" s="163"/>
      <c r="CW172" s="195"/>
      <c r="CX172" s="196"/>
      <c r="CY172" s="196"/>
      <c r="CZ172" s="197"/>
      <c r="DA172" s="196"/>
      <c r="DB172" s="196"/>
      <c r="DC172" s="196"/>
      <c r="DE172" s="199"/>
      <c r="DF172" s="200"/>
      <c r="DG172" s="181"/>
    </row>
    <row r="173" spans="1:111" hidden="1" outlineLevel="1" x14ac:dyDescent="0.25">
      <c r="A173" s="192">
        <f>MAX(A$152:$B172)+1</f>
        <v>22</v>
      </c>
      <c r="B173" s="222" t="s">
        <v>326</v>
      </c>
      <c r="C173" s="222"/>
      <c r="D173" s="214">
        <f t="shared" si="114"/>
        <v>10000</v>
      </c>
      <c r="E173" s="205"/>
      <c r="F173" s="214">
        <f t="shared" si="143"/>
        <v>10000</v>
      </c>
      <c r="G173" s="257"/>
      <c r="H173" s="257">
        <v>10000</v>
      </c>
      <c r="I173" s="235"/>
      <c r="J173" s="235"/>
      <c r="K173" s="223"/>
      <c r="L173" s="235"/>
      <c r="M173" s="223"/>
      <c r="N173" s="223"/>
      <c r="O173" s="257">
        <f t="shared" si="140"/>
        <v>0</v>
      </c>
      <c r="P173" s="257">
        <v>0</v>
      </c>
      <c r="Q173" s="224">
        <f t="shared" si="121"/>
        <v>0</v>
      </c>
      <c r="R173" s="257"/>
      <c r="S173" s="225">
        <v>0</v>
      </c>
      <c r="T173" s="225">
        <v>0</v>
      </c>
      <c r="U173" s="257"/>
      <c r="V173" s="225">
        <v>0</v>
      </c>
      <c r="W173" s="225">
        <v>0</v>
      </c>
      <c r="X173" s="257"/>
      <c r="Y173" s="225">
        <v>0</v>
      </c>
      <c r="Z173" s="225">
        <v>0</v>
      </c>
      <c r="AA173" s="257"/>
      <c r="AB173" s="225">
        <v>0</v>
      </c>
      <c r="AC173" s="225">
        <v>0</v>
      </c>
      <c r="AD173" s="257"/>
      <c r="AE173" s="225">
        <v>0</v>
      </c>
      <c r="AF173" s="225">
        <v>0</v>
      </c>
      <c r="AG173" s="257"/>
      <c r="AH173" s="225">
        <v>0</v>
      </c>
      <c r="AI173" s="225">
        <v>0</v>
      </c>
      <c r="AJ173" s="250"/>
      <c r="AK173" s="225">
        <v>0</v>
      </c>
      <c r="AL173" s="225">
        <v>0</v>
      </c>
      <c r="AM173" s="257"/>
      <c r="AN173" s="225">
        <v>0</v>
      </c>
      <c r="AO173" s="225">
        <v>0</v>
      </c>
      <c r="AP173" s="225"/>
      <c r="AQ173" s="257"/>
      <c r="AR173" s="225">
        <v>0</v>
      </c>
      <c r="AS173" s="225">
        <v>0</v>
      </c>
      <c r="AT173" s="257"/>
      <c r="AU173" s="225">
        <v>0</v>
      </c>
      <c r="AV173" s="225">
        <v>0</v>
      </c>
      <c r="AW173" s="257"/>
      <c r="AX173" s="225">
        <v>0</v>
      </c>
      <c r="AY173" s="225">
        <v>0</v>
      </c>
      <c r="AZ173" s="257"/>
      <c r="BA173" s="225">
        <v>0</v>
      </c>
      <c r="BB173" s="225">
        <v>0</v>
      </c>
      <c r="BC173" s="257"/>
      <c r="BD173" s="225">
        <v>0</v>
      </c>
      <c r="BE173" s="225">
        <v>0</v>
      </c>
      <c r="BF173" s="257">
        <v>121.851</v>
      </c>
      <c r="BG173" s="257">
        <v>121.851</v>
      </c>
      <c r="BH173" s="225">
        <v>1.2185099999999999E-2</v>
      </c>
      <c r="BI173" s="225">
        <v>1.2826421052631579E-2</v>
      </c>
      <c r="BJ173" s="257">
        <f t="shared" si="122"/>
        <v>9500</v>
      </c>
      <c r="BK173" s="257">
        <v>121.851</v>
      </c>
      <c r="BL173" s="225">
        <f>BK173/$D173</f>
        <v>1.2185099999999999E-2</v>
      </c>
      <c r="BM173" s="225">
        <f t="shared" si="133"/>
        <v>1.2826421052631579E-2</v>
      </c>
      <c r="BN173" s="205">
        <f t="shared" si="116"/>
        <v>121.851</v>
      </c>
      <c r="BO173" s="205"/>
      <c r="BP173" s="227"/>
      <c r="BQ173" s="224">
        <f>BP173/$D173</f>
        <v>0</v>
      </c>
      <c r="BR173" s="227"/>
      <c r="BS173" s="224">
        <f>BR173/$D173</f>
        <v>0</v>
      </c>
      <c r="BT173" s="227"/>
      <c r="BU173" s="224">
        <f>BT173/$D173</f>
        <v>0</v>
      </c>
      <c r="BV173" s="227"/>
      <c r="BW173" s="224">
        <f>BV173/$D173</f>
        <v>0</v>
      </c>
      <c r="BX173" s="227"/>
      <c r="BY173" s="224">
        <f>BX173/$D173</f>
        <v>0</v>
      </c>
      <c r="BZ173" s="227">
        <v>7300</v>
      </c>
      <c r="CA173" s="224">
        <f>BZ173/$D173</f>
        <v>0.73</v>
      </c>
      <c r="CB173" s="227">
        <f>BZ173</f>
        <v>7300</v>
      </c>
      <c r="CC173" s="224">
        <f t="shared" si="155"/>
        <v>0.73</v>
      </c>
      <c r="CD173" s="227">
        <f>CB173</f>
        <v>7300</v>
      </c>
      <c r="CE173" s="224">
        <f t="shared" si="155"/>
        <v>0.73</v>
      </c>
      <c r="CF173" s="227">
        <f>CD173</f>
        <v>7300</v>
      </c>
      <c r="CG173" s="224">
        <f t="shared" si="156"/>
        <v>0.73</v>
      </c>
      <c r="CH173" s="227">
        <v>9500</v>
      </c>
      <c r="CI173" s="224">
        <f t="shared" si="156"/>
        <v>0.95</v>
      </c>
      <c r="CJ173" s="227">
        <f>CH173</f>
        <v>9500</v>
      </c>
      <c r="CK173" s="224">
        <f>CJ173/$D173</f>
        <v>0.95</v>
      </c>
      <c r="CL173" s="227">
        <f>CJ173</f>
        <v>9500</v>
      </c>
      <c r="CM173" s="224">
        <f>CL173/$D173</f>
        <v>0.95</v>
      </c>
      <c r="CN173" s="227">
        <f>CL173</f>
        <v>9500</v>
      </c>
      <c r="CO173" s="224">
        <f>CN173/$D173</f>
        <v>0.95</v>
      </c>
      <c r="CP173" s="213" t="str">
        <f t="shared" si="135"/>
        <v>Không đạt</v>
      </c>
      <c r="CQ173" s="213" t="str">
        <f t="shared" si="136"/>
        <v>Không đạt</v>
      </c>
      <c r="CR173" s="192"/>
      <c r="CS173" s="192"/>
      <c r="CT173" s="223"/>
      <c r="CU173" s="163"/>
      <c r="CW173" s="195"/>
      <c r="CX173" s="196"/>
      <c r="CY173" s="196"/>
      <c r="CZ173" s="197"/>
      <c r="DA173" s="196"/>
      <c r="DB173" s="196"/>
      <c r="DC173" s="196"/>
      <c r="DE173" s="199"/>
      <c r="DF173" s="200"/>
      <c r="DG173" s="181"/>
    </row>
    <row r="174" spans="1:111" hidden="1" outlineLevel="1" x14ac:dyDescent="0.25">
      <c r="A174" s="192"/>
      <c r="B174" s="261" t="s">
        <v>200</v>
      </c>
      <c r="C174" s="240"/>
      <c r="D174" s="214">
        <f t="shared" si="114"/>
        <v>0</v>
      </c>
      <c r="E174" s="205"/>
      <c r="F174" s="214">
        <f t="shared" si="143"/>
        <v>0</v>
      </c>
      <c r="G174" s="250"/>
      <c r="H174" s="250"/>
      <c r="I174" s="235"/>
      <c r="J174" s="235"/>
      <c r="K174" s="223"/>
      <c r="L174" s="235"/>
      <c r="M174" s="223"/>
      <c r="N174" s="223"/>
      <c r="O174" s="250">
        <f t="shared" si="140"/>
        <v>0</v>
      </c>
      <c r="P174" s="250">
        <v>0</v>
      </c>
      <c r="Q174" s="224" t="e">
        <f t="shared" si="121"/>
        <v>#DIV/0!</v>
      </c>
      <c r="R174" s="250"/>
      <c r="S174" s="225"/>
      <c r="T174" s="225" t="e">
        <v>#DIV/0!</v>
      </c>
      <c r="U174" s="250"/>
      <c r="V174" s="225"/>
      <c r="W174" s="225" t="e">
        <v>#DIV/0!</v>
      </c>
      <c r="X174" s="250"/>
      <c r="Y174" s="225"/>
      <c r="Z174" s="225" t="e">
        <v>#DIV/0!</v>
      </c>
      <c r="AA174" s="250"/>
      <c r="AB174" s="225"/>
      <c r="AC174" s="225" t="e">
        <v>#DIV/0!</v>
      </c>
      <c r="AD174" s="250"/>
      <c r="AE174" s="225"/>
      <c r="AF174" s="225" t="e">
        <v>#DIV/0!</v>
      </c>
      <c r="AG174" s="250"/>
      <c r="AH174" s="225"/>
      <c r="AI174" s="225" t="e">
        <v>#DIV/0!</v>
      </c>
      <c r="AJ174" s="257"/>
      <c r="AK174" s="225"/>
      <c r="AL174" s="225" t="e">
        <v>#DIV/0!</v>
      </c>
      <c r="AM174" s="250"/>
      <c r="AN174" s="225"/>
      <c r="AO174" s="225" t="e">
        <v>#DIV/0!</v>
      </c>
      <c r="AP174" s="225"/>
      <c r="AQ174" s="250"/>
      <c r="AR174" s="225"/>
      <c r="AS174" s="225" t="e">
        <v>#DIV/0!</v>
      </c>
      <c r="AT174" s="250"/>
      <c r="AU174" s="225"/>
      <c r="AV174" s="225" t="e">
        <v>#DIV/0!</v>
      </c>
      <c r="AW174" s="250"/>
      <c r="AX174" s="225"/>
      <c r="AY174" s="225" t="e">
        <v>#DIV/0!</v>
      </c>
      <c r="AZ174" s="250"/>
      <c r="BA174" s="225"/>
      <c r="BB174" s="225"/>
      <c r="BC174" s="250"/>
      <c r="BD174" s="225"/>
      <c r="BE174" s="225"/>
      <c r="BF174" s="250"/>
      <c r="BG174" s="250"/>
      <c r="BH174" s="225"/>
      <c r="BI174" s="225"/>
      <c r="BJ174" s="250">
        <f t="shared" si="122"/>
        <v>0</v>
      </c>
      <c r="BK174" s="250"/>
      <c r="BL174" s="225"/>
      <c r="BM174" s="225"/>
      <c r="BN174" s="205">
        <f t="shared" si="116"/>
        <v>0</v>
      </c>
      <c r="BO174" s="205"/>
      <c r="BP174" s="227"/>
      <c r="BQ174" s="224"/>
      <c r="BR174" s="227"/>
      <c r="BS174" s="224"/>
      <c r="BT174" s="227"/>
      <c r="BU174" s="224"/>
      <c r="BV174" s="227"/>
      <c r="BW174" s="224"/>
      <c r="BX174" s="227"/>
      <c r="BY174" s="224"/>
      <c r="BZ174" s="227"/>
      <c r="CA174" s="224"/>
      <c r="CB174" s="227"/>
      <c r="CC174" s="224"/>
      <c r="CD174" s="227"/>
      <c r="CE174" s="224"/>
      <c r="CF174" s="227"/>
      <c r="CG174" s="224"/>
      <c r="CH174" s="227"/>
      <c r="CI174" s="224"/>
      <c r="CJ174" s="227"/>
      <c r="CK174" s="224"/>
      <c r="CL174" s="227"/>
      <c r="CM174" s="224"/>
      <c r="CN174" s="227"/>
      <c r="CO174" s="224"/>
      <c r="CP174" s="213" t="str">
        <f t="shared" si="135"/>
        <v>Không đạt</v>
      </c>
      <c r="CQ174" s="213" t="str">
        <f t="shared" si="136"/>
        <v>Không đạt</v>
      </c>
      <c r="CR174" s="192"/>
      <c r="CS174" s="192"/>
      <c r="CT174" s="223"/>
      <c r="CU174" s="163"/>
      <c r="CW174" s="195"/>
      <c r="CX174" s="196"/>
      <c r="CY174" s="196"/>
      <c r="CZ174" s="197"/>
      <c r="DA174" s="196"/>
      <c r="DB174" s="196"/>
      <c r="DC174" s="196"/>
      <c r="DE174" s="199"/>
      <c r="DF174" s="200"/>
      <c r="DG174" s="181"/>
    </row>
    <row r="175" spans="1:111" ht="25.5" hidden="1" outlineLevel="1" x14ac:dyDescent="0.25">
      <c r="A175" s="192">
        <f>MAX(A$152:$B174)+1</f>
        <v>23</v>
      </c>
      <c r="B175" s="222" t="s">
        <v>327</v>
      </c>
      <c r="C175" s="222"/>
      <c r="D175" s="214">
        <f t="shared" si="114"/>
        <v>4000</v>
      </c>
      <c r="E175" s="205"/>
      <c r="F175" s="214">
        <f t="shared" si="143"/>
        <v>4000</v>
      </c>
      <c r="G175" s="257"/>
      <c r="H175" s="257">
        <v>4000</v>
      </c>
      <c r="I175" s="235"/>
      <c r="J175" s="235"/>
      <c r="K175" s="223"/>
      <c r="L175" s="235"/>
      <c r="M175" s="223"/>
      <c r="N175" s="223"/>
      <c r="O175" s="257">
        <f t="shared" si="140"/>
        <v>0</v>
      </c>
      <c r="P175" s="257">
        <v>0</v>
      </c>
      <c r="Q175" s="224">
        <f t="shared" si="121"/>
        <v>0</v>
      </c>
      <c r="R175" s="257"/>
      <c r="S175" s="225">
        <v>0</v>
      </c>
      <c r="T175" s="225">
        <v>0</v>
      </c>
      <c r="U175" s="257"/>
      <c r="V175" s="225">
        <v>0</v>
      </c>
      <c r="W175" s="225">
        <v>0</v>
      </c>
      <c r="X175" s="257"/>
      <c r="Y175" s="225">
        <v>0</v>
      </c>
      <c r="Z175" s="225">
        <v>0</v>
      </c>
      <c r="AA175" s="257"/>
      <c r="AB175" s="225">
        <v>0</v>
      </c>
      <c r="AC175" s="225">
        <v>0</v>
      </c>
      <c r="AD175" s="257"/>
      <c r="AE175" s="225">
        <v>0</v>
      </c>
      <c r="AF175" s="225">
        <v>0</v>
      </c>
      <c r="AG175" s="257"/>
      <c r="AH175" s="225">
        <v>0</v>
      </c>
      <c r="AI175" s="225">
        <v>0</v>
      </c>
      <c r="AJ175" s="250"/>
      <c r="AK175" s="225">
        <v>0</v>
      </c>
      <c r="AL175" s="225">
        <v>0</v>
      </c>
      <c r="AM175" s="257"/>
      <c r="AN175" s="225">
        <v>0</v>
      </c>
      <c r="AO175" s="225">
        <v>0</v>
      </c>
      <c r="AP175" s="225"/>
      <c r="AQ175" s="257"/>
      <c r="AR175" s="225">
        <v>0</v>
      </c>
      <c r="AS175" s="225">
        <v>0</v>
      </c>
      <c r="AT175" s="257"/>
      <c r="AU175" s="225">
        <v>0</v>
      </c>
      <c r="AV175" s="225">
        <v>0</v>
      </c>
      <c r="AW175" s="257"/>
      <c r="AX175" s="225">
        <v>0</v>
      </c>
      <c r="AY175" s="225">
        <v>0</v>
      </c>
      <c r="AZ175" s="257"/>
      <c r="BA175" s="225">
        <v>0</v>
      </c>
      <c r="BB175" s="225">
        <v>0</v>
      </c>
      <c r="BC175" s="257"/>
      <c r="BD175" s="225">
        <v>0</v>
      </c>
      <c r="BE175" s="225">
        <v>0</v>
      </c>
      <c r="BF175" s="257"/>
      <c r="BG175" s="257"/>
      <c r="BH175" s="225">
        <v>0</v>
      </c>
      <c r="BI175" s="225">
        <v>0</v>
      </c>
      <c r="BJ175" s="257">
        <f t="shared" si="122"/>
        <v>3800</v>
      </c>
      <c r="BK175" s="257"/>
      <c r="BL175" s="225">
        <f>BK175/$D175</f>
        <v>0</v>
      </c>
      <c r="BM175" s="225">
        <f t="shared" si="133"/>
        <v>0</v>
      </c>
      <c r="BN175" s="205">
        <f t="shared" si="116"/>
        <v>0</v>
      </c>
      <c r="BO175" s="205"/>
      <c r="BP175" s="227"/>
      <c r="BQ175" s="224">
        <f>BP175/$D175</f>
        <v>0</v>
      </c>
      <c r="BR175" s="227"/>
      <c r="BS175" s="224">
        <f>BR175/$D175</f>
        <v>0</v>
      </c>
      <c r="BT175" s="227"/>
      <c r="BU175" s="224">
        <f>BT175/$D175</f>
        <v>0</v>
      </c>
      <c r="BV175" s="227"/>
      <c r="BW175" s="224">
        <f>BV175/$D175</f>
        <v>0</v>
      </c>
      <c r="BX175" s="227"/>
      <c r="BY175" s="224">
        <f>BX175/$D175</f>
        <v>0</v>
      </c>
      <c r="BZ175" s="227"/>
      <c r="CA175" s="224">
        <f>BZ175/$D175</f>
        <v>0</v>
      </c>
      <c r="CB175" s="227"/>
      <c r="CC175" s="224">
        <f>CB175/$D175</f>
        <v>0</v>
      </c>
      <c r="CD175" s="227"/>
      <c r="CE175" s="224">
        <f>CD175/$D175</f>
        <v>0</v>
      </c>
      <c r="CF175" s="227">
        <v>1000</v>
      </c>
      <c r="CG175" s="224">
        <f>CF175/$D175</f>
        <v>0.25</v>
      </c>
      <c r="CH175" s="227">
        <f>CF175</f>
        <v>1000</v>
      </c>
      <c r="CI175" s="224">
        <f>CH175/$D175</f>
        <v>0.25</v>
      </c>
      <c r="CJ175" s="227">
        <f>CH175</f>
        <v>1000</v>
      </c>
      <c r="CK175" s="224">
        <f>CJ175/$D175</f>
        <v>0.25</v>
      </c>
      <c r="CL175" s="227">
        <v>3000</v>
      </c>
      <c r="CM175" s="224">
        <f>CL175/$D175</f>
        <v>0.75</v>
      </c>
      <c r="CN175" s="227">
        <v>3800</v>
      </c>
      <c r="CO175" s="224">
        <f>CN175/$D175</f>
        <v>0.95</v>
      </c>
      <c r="CP175" s="213" t="str">
        <f t="shared" si="135"/>
        <v>Không đạt</v>
      </c>
      <c r="CQ175" s="213" t="str">
        <f t="shared" si="136"/>
        <v>Không đạt</v>
      </c>
      <c r="CR175" s="192"/>
      <c r="CS175" s="192"/>
      <c r="CT175" s="223"/>
      <c r="CU175" s="163"/>
      <c r="CW175" s="195"/>
      <c r="CX175" s="196"/>
      <c r="CY175" s="196"/>
      <c r="CZ175" s="197"/>
      <c r="DA175" s="196"/>
      <c r="DB175" s="196"/>
      <c r="DC175" s="196"/>
      <c r="DE175" s="199"/>
      <c r="DF175" s="200"/>
      <c r="DG175" s="181"/>
    </row>
    <row r="176" spans="1:111" hidden="1" outlineLevel="1" x14ac:dyDescent="0.25">
      <c r="A176" s="192"/>
      <c r="B176" s="261" t="s">
        <v>197</v>
      </c>
      <c r="C176" s="240"/>
      <c r="D176" s="214">
        <f t="shared" si="114"/>
        <v>0</v>
      </c>
      <c r="E176" s="205"/>
      <c r="F176" s="214">
        <f t="shared" si="143"/>
        <v>0</v>
      </c>
      <c r="G176" s="250"/>
      <c r="H176" s="250"/>
      <c r="I176" s="235"/>
      <c r="J176" s="235"/>
      <c r="K176" s="223"/>
      <c r="L176" s="235"/>
      <c r="M176" s="223"/>
      <c r="N176" s="223"/>
      <c r="O176" s="250">
        <f t="shared" si="140"/>
        <v>0</v>
      </c>
      <c r="P176" s="250">
        <v>0</v>
      </c>
      <c r="Q176" s="224" t="e">
        <f t="shared" si="121"/>
        <v>#DIV/0!</v>
      </c>
      <c r="R176" s="250"/>
      <c r="S176" s="225"/>
      <c r="T176" s="225" t="e">
        <v>#DIV/0!</v>
      </c>
      <c r="U176" s="250"/>
      <c r="V176" s="225"/>
      <c r="W176" s="225" t="e">
        <v>#DIV/0!</v>
      </c>
      <c r="X176" s="250"/>
      <c r="Y176" s="225"/>
      <c r="Z176" s="225" t="e">
        <v>#DIV/0!</v>
      </c>
      <c r="AA176" s="250"/>
      <c r="AB176" s="225"/>
      <c r="AC176" s="225" t="e">
        <v>#DIV/0!</v>
      </c>
      <c r="AD176" s="250"/>
      <c r="AE176" s="225"/>
      <c r="AF176" s="225" t="e">
        <v>#DIV/0!</v>
      </c>
      <c r="AG176" s="250"/>
      <c r="AH176" s="225"/>
      <c r="AI176" s="225" t="e">
        <v>#DIV/0!</v>
      </c>
      <c r="AJ176" s="257"/>
      <c r="AK176" s="225"/>
      <c r="AL176" s="225" t="e">
        <v>#DIV/0!</v>
      </c>
      <c r="AM176" s="250"/>
      <c r="AN176" s="225"/>
      <c r="AO176" s="225" t="e">
        <v>#DIV/0!</v>
      </c>
      <c r="AP176" s="225"/>
      <c r="AQ176" s="250"/>
      <c r="AR176" s="225"/>
      <c r="AS176" s="225" t="e">
        <v>#DIV/0!</v>
      </c>
      <c r="AT176" s="250"/>
      <c r="AU176" s="225"/>
      <c r="AV176" s="225" t="e">
        <v>#DIV/0!</v>
      </c>
      <c r="AW176" s="250"/>
      <c r="AX176" s="225"/>
      <c r="AY176" s="225" t="e">
        <v>#DIV/0!</v>
      </c>
      <c r="AZ176" s="250"/>
      <c r="BA176" s="225"/>
      <c r="BB176" s="225"/>
      <c r="BC176" s="250"/>
      <c r="BD176" s="225"/>
      <c r="BE176" s="225"/>
      <c r="BF176" s="250"/>
      <c r="BG176" s="250"/>
      <c r="BH176" s="225"/>
      <c r="BI176" s="225"/>
      <c r="BJ176" s="250">
        <f t="shared" si="122"/>
        <v>0</v>
      </c>
      <c r="BK176" s="250"/>
      <c r="BL176" s="225"/>
      <c r="BM176" s="225"/>
      <c r="BN176" s="205">
        <f t="shared" si="116"/>
        <v>0</v>
      </c>
      <c r="BO176" s="205"/>
      <c r="BP176" s="227"/>
      <c r="BQ176" s="224"/>
      <c r="BR176" s="227"/>
      <c r="BS176" s="224"/>
      <c r="BT176" s="227"/>
      <c r="BU176" s="224"/>
      <c r="BV176" s="227"/>
      <c r="BW176" s="224"/>
      <c r="BX176" s="227"/>
      <c r="BY176" s="224"/>
      <c r="BZ176" s="227"/>
      <c r="CA176" s="224"/>
      <c r="CB176" s="227"/>
      <c r="CC176" s="224"/>
      <c r="CD176" s="227"/>
      <c r="CE176" s="224"/>
      <c r="CF176" s="227"/>
      <c r="CG176" s="224"/>
      <c r="CH176" s="227"/>
      <c r="CI176" s="224"/>
      <c r="CJ176" s="227"/>
      <c r="CK176" s="224"/>
      <c r="CL176" s="227"/>
      <c r="CM176" s="224"/>
      <c r="CN176" s="227"/>
      <c r="CO176" s="224"/>
      <c r="CP176" s="213" t="str">
        <f t="shared" si="135"/>
        <v>Không đạt</v>
      </c>
      <c r="CQ176" s="213" t="str">
        <f t="shared" si="136"/>
        <v>Không đạt</v>
      </c>
      <c r="CR176" s="192"/>
      <c r="CS176" s="192"/>
      <c r="CT176" s="223"/>
      <c r="CU176" s="163"/>
      <c r="CW176" s="195"/>
      <c r="CX176" s="196"/>
      <c r="CY176" s="196"/>
      <c r="CZ176" s="197"/>
      <c r="DA176" s="196"/>
      <c r="DB176" s="196"/>
      <c r="DC176" s="196"/>
      <c r="DE176" s="199"/>
      <c r="DF176" s="200"/>
      <c r="DG176" s="181"/>
    </row>
    <row r="177" spans="1:111" ht="38.25" hidden="1" outlineLevel="1" x14ac:dyDescent="0.25">
      <c r="A177" s="192">
        <f>MAX(A$152:$B176)+1</f>
        <v>24</v>
      </c>
      <c r="B177" s="222" t="s">
        <v>328</v>
      </c>
      <c r="C177" s="222">
        <v>7712046</v>
      </c>
      <c r="D177" s="214">
        <f t="shared" si="114"/>
        <v>500</v>
      </c>
      <c r="E177" s="205"/>
      <c r="F177" s="214">
        <f t="shared" si="143"/>
        <v>500</v>
      </c>
      <c r="G177" s="257"/>
      <c r="H177" s="257">
        <v>500</v>
      </c>
      <c r="I177" s="235">
        <v>475</v>
      </c>
      <c r="J177" s="257">
        <v>475</v>
      </c>
      <c r="K177" s="223"/>
      <c r="L177" s="235"/>
      <c r="M177" s="223"/>
      <c r="N177" s="223"/>
      <c r="O177" s="257">
        <f t="shared" si="140"/>
        <v>475</v>
      </c>
      <c r="P177" s="257">
        <v>475</v>
      </c>
      <c r="Q177" s="224">
        <f t="shared" si="121"/>
        <v>0.95</v>
      </c>
      <c r="R177" s="257">
        <v>475</v>
      </c>
      <c r="S177" s="225">
        <v>0.95</v>
      </c>
      <c r="T177" s="225">
        <v>1</v>
      </c>
      <c r="U177" s="257">
        <v>475</v>
      </c>
      <c r="V177" s="225">
        <v>0.95</v>
      </c>
      <c r="W177" s="225">
        <v>1</v>
      </c>
      <c r="X177" s="257">
        <v>475</v>
      </c>
      <c r="Y177" s="225">
        <v>0.95</v>
      </c>
      <c r="Z177" s="225">
        <v>1</v>
      </c>
      <c r="AA177" s="257">
        <v>475</v>
      </c>
      <c r="AB177" s="225">
        <v>0.95</v>
      </c>
      <c r="AC177" s="225">
        <v>1</v>
      </c>
      <c r="AD177" s="257">
        <v>475</v>
      </c>
      <c r="AE177" s="225">
        <v>0.95</v>
      </c>
      <c r="AF177" s="225">
        <v>1</v>
      </c>
      <c r="AG177" s="257">
        <v>475</v>
      </c>
      <c r="AH177" s="225">
        <v>0.95</v>
      </c>
      <c r="AI177" s="225">
        <v>1</v>
      </c>
      <c r="AJ177" s="257">
        <v>475</v>
      </c>
      <c r="AK177" s="225">
        <v>0.95</v>
      </c>
      <c r="AL177" s="225">
        <v>1</v>
      </c>
      <c r="AM177" s="257">
        <v>475</v>
      </c>
      <c r="AN177" s="225">
        <v>0.95</v>
      </c>
      <c r="AO177" s="225">
        <v>1</v>
      </c>
      <c r="AP177" s="225"/>
      <c r="AQ177" s="257">
        <v>475</v>
      </c>
      <c r="AR177" s="225">
        <v>0.95</v>
      </c>
      <c r="AS177" s="225">
        <v>1</v>
      </c>
      <c r="AT177" s="257">
        <v>475</v>
      </c>
      <c r="AU177" s="225">
        <v>0.95</v>
      </c>
      <c r="AV177" s="225">
        <v>1</v>
      </c>
      <c r="AW177" s="257">
        <v>475</v>
      </c>
      <c r="AX177" s="225">
        <v>0.95</v>
      </c>
      <c r="AY177" s="225">
        <v>1</v>
      </c>
      <c r="AZ177" s="257">
        <v>475</v>
      </c>
      <c r="BA177" s="225">
        <v>0.95</v>
      </c>
      <c r="BB177" s="225">
        <v>1</v>
      </c>
      <c r="BC177" s="257">
        <v>475</v>
      </c>
      <c r="BD177" s="225">
        <v>0.95</v>
      </c>
      <c r="BE177" s="225">
        <v>1</v>
      </c>
      <c r="BF177" s="257">
        <v>475</v>
      </c>
      <c r="BG177" s="257">
        <v>475</v>
      </c>
      <c r="BH177" s="225">
        <v>0.95</v>
      </c>
      <c r="BI177" s="225">
        <v>1</v>
      </c>
      <c r="BJ177" s="257">
        <f t="shared" si="122"/>
        <v>475</v>
      </c>
      <c r="BK177" s="257">
        <v>475</v>
      </c>
      <c r="BL177" s="225">
        <f>BK177/$D177</f>
        <v>0.95</v>
      </c>
      <c r="BM177" s="225">
        <f t="shared" si="133"/>
        <v>1</v>
      </c>
      <c r="BN177" s="205">
        <f t="shared" si="116"/>
        <v>0</v>
      </c>
      <c r="BO177" s="205"/>
      <c r="BP177" s="227"/>
      <c r="BQ177" s="224">
        <f>BP177/$D177</f>
        <v>0</v>
      </c>
      <c r="BR177" s="227"/>
      <c r="BS177" s="224">
        <f>BR177/$D177</f>
        <v>0</v>
      </c>
      <c r="BT177" s="227"/>
      <c r="BU177" s="224">
        <f>BT177/$D177</f>
        <v>0</v>
      </c>
      <c r="BV177" s="227"/>
      <c r="BW177" s="224">
        <f>BV177/$D177</f>
        <v>0</v>
      </c>
      <c r="BX177" s="227"/>
      <c r="BY177" s="224">
        <f>BX177/$D177</f>
        <v>0</v>
      </c>
      <c r="BZ177" s="227"/>
      <c r="CA177" s="224">
        <f>BZ177/$D177</f>
        <v>0</v>
      </c>
      <c r="CB177" s="227"/>
      <c r="CC177" s="224">
        <f t="shared" ref="CC177:CE178" si="157">CB177/$D177</f>
        <v>0</v>
      </c>
      <c r="CD177" s="227"/>
      <c r="CE177" s="224">
        <f t="shared" si="157"/>
        <v>0</v>
      </c>
      <c r="CF177" s="227"/>
      <c r="CG177" s="224">
        <f t="shared" ref="CG177:CI178" si="158">CF177/$D177</f>
        <v>0</v>
      </c>
      <c r="CH177" s="227"/>
      <c r="CI177" s="224">
        <f t="shared" si="158"/>
        <v>0</v>
      </c>
      <c r="CJ177" s="227"/>
      <c r="CK177" s="224">
        <f>CJ177/$D177</f>
        <v>0</v>
      </c>
      <c r="CL177" s="227">
        <v>300</v>
      </c>
      <c r="CM177" s="224">
        <f>CL177/$D177</f>
        <v>0.6</v>
      </c>
      <c r="CN177" s="227">
        <v>475</v>
      </c>
      <c r="CO177" s="224">
        <f>CN177/$D177</f>
        <v>0.95</v>
      </c>
      <c r="CP177" s="213" t="str">
        <f t="shared" si="135"/>
        <v>Đạt</v>
      </c>
      <c r="CQ177" s="213" t="str">
        <f t="shared" si="136"/>
        <v>Đạt</v>
      </c>
      <c r="CR177" s="192"/>
      <c r="CS177" s="192"/>
      <c r="CT177" s="223"/>
      <c r="CU177" s="163"/>
      <c r="CW177" s="195"/>
      <c r="CX177" s="196"/>
      <c r="CY177" s="196"/>
      <c r="CZ177" s="197"/>
      <c r="DA177" s="196"/>
      <c r="DB177" s="196"/>
      <c r="DC177" s="196"/>
      <c r="DE177" s="199"/>
      <c r="DF177" s="200"/>
      <c r="DG177" s="181"/>
    </row>
    <row r="178" spans="1:111" hidden="1" outlineLevel="1" x14ac:dyDescent="0.25">
      <c r="A178" s="192">
        <f>MAX(A$152:$B177)+1</f>
        <v>25</v>
      </c>
      <c r="B178" s="222" t="s">
        <v>329</v>
      </c>
      <c r="C178" s="222"/>
      <c r="D178" s="214">
        <f t="shared" si="114"/>
        <v>2500</v>
      </c>
      <c r="E178" s="205"/>
      <c r="F178" s="214">
        <f t="shared" si="143"/>
        <v>2500</v>
      </c>
      <c r="G178" s="257"/>
      <c r="H178" s="257">
        <v>2500</v>
      </c>
      <c r="I178" s="235"/>
      <c r="J178" s="235"/>
      <c r="K178" s="223"/>
      <c r="L178" s="235"/>
      <c r="M178" s="223"/>
      <c r="N178" s="223"/>
      <c r="O178" s="257">
        <f t="shared" si="140"/>
        <v>0</v>
      </c>
      <c r="P178" s="257">
        <v>0</v>
      </c>
      <c r="Q178" s="224">
        <f t="shared" si="121"/>
        <v>0</v>
      </c>
      <c r="R178" s="257"/>
      <c r="S178" s="225">
        <v>0</v>
      </c>
      <c r="T178" s="225">
        <v>0</v>
      </c>
      <c r="U178" s="257"/>
      <c r="V178" s="225">
        <v>0</v>
      </c>
      <c r="W178" s="225">
        <v>0</v>
      </c>
      <c r="X178" s="257"/>
      <c r="Y178" s="225">
        <v>0</v>
      </c>
      <c r="Z178" s="225">
        <v>0</v>
      </c>
      <c r="AA178" s="257"/>
      <c r="AB178" s="225">
        <v>0</v>
      </c>
      <c r="AC178" s="225">
        <v>0</v>
      </c>
      <c r="AD178" s="257"/>
      <c r="AE178" s="225">
        <v>0</v>
      </c>
      <c r="AF178" s="225">
        <v>0</v>
      </c>
      <c r="AG178" s="257"/>
      <c r="AH178" s="225">
        <v>0</v>
      </c>
      <c r="AI178" s="225">
        <v>0</v>
      </c>
      <c r="AJ178" s="250"/>
      <c r="AK178" s="225">
        <v>0</v>
      </c>
      <c r="AL178" s="225">
        <v>0</v>
      </c>
      <c r="AM178" s="257"/>
      <c r="AN178" s="225">
        <v>0</v>
      </c>
      <c r="AO178" s="225">
        <v>0</v>
      </c>
      <c r="AP178" s="225"/>
      <c r="AQ178" s="257"/>
      <c r="AR178" s="225">
        <v>0</v>
      </c>
      <c r="AS178" s="225">
        <v>0</v>
      </c>
      <c r="AT178" s="257"/>
      <c r="AU178" s="225">
        <v>0</v>
      </c>
      <c r="AV178" s="225">
        <v>0</v>
      </c>
      <c r="AW178" s="257"/>
      <c r="AX178" s="225">
        <v>0</v>
      </c>
      <c r="AY178" s="225">
        <v>0</v>
      </c>
      <c r="AZ178" s="257"/>
      <c r="BA178" s="225">
        <v>0</v>
      </c>
      <c r="BB178" s="225">
        <v>0</v>
      </c>
      <c r="BC178" s="257"/>
      <c r="BD178" s="225">
        <v>0</v>
      </c>
      <c r="BE178" s="225">
        <v>0</v>
      </c>
      <c r="BF178" s="257"/>
      <c r="BG178" s="257"/>
      <c r="BH178" s="225">
        <v>0</v>
      </c>
      <c r="BI178" s="225">
        <v>0</v>
      </c>
      <c r="BJ178" s="257">
        <f t="shared" si="122"/>
        <v>2375</v>
      </c>
      <c r="BK178" s="257"/>
      <c r="BL178" s="225">
        <f>BK178/$D178</f>
        <v>0</v>
      </c>
      <c r="BM178" s="225">
        <f t="shared" si="133"/>
        <v>0</v>
      </c>
      <c r="BN178" s="205">
        <f t="shared" si="116"/>
        <v>0</v>
      </c>
      <c r="BO178" s="205"/>
      <c r="BP178" s="227"/>
      <c r="BQ178" s="224">
        <f>BP178/$D178</f>
        <v>0</v>
      </c>
      <c r="BR178" s="227"/>
      <c r="BS178" s="224">
        <f>BR178/$D178</f>
        <v>0</v>
      </c>
      <c r="BT178" s="227"/>
      <c r="BU178" s="224">
        <f>BT178/$D178</f>
        <v>0</v>
      </c>
      <c r="BV178" s="227"/>
      <c r="BW178" s="224">
        <f>BV178/$D178</f>
        <v>0</v>
      </c>
      <c r="BX178" s="227"/>
      <c r="BY178" s="224">
        <f>BX178/$D178</f>
        <v>0</v>
      </c>
      <c r="BZ178" s="227"/>
      <c r="CA178" s="224">
        <f>BZ178/$D178</f>
        <v>0</v>
      </c>
      <c r="CB178" s="227"/>
      <c r="CC178" s="224">
        <f t="shared" si="157"/>
        <v>0</v>
      </c>
      <c r="CD178" s="227"/>
      <c r="CE178" s="224">
        <f t="shared" si="157"/>
        <v>0</v>
      </c>
      <c r="CF178" s="227"/>
      <c r="CG178" s="224">
        <f t="shared" si="158"/>
        <v>0</v>
      </c>
      <c r="CH178" s="227"/>
      <c r="CI178" s="224">
        <f t="shared" si="158"/>
        <v>0</v>
      </c>
      <c r="CJ178" s="227"/>
      <c r="CK178" s="224">
        <f>CJ178/$D178</f>
        <v>0</v>
      </c>
      <c r="CL178" s="227">
        <v>1000</v>
      </c>
      <c r="CM178" s="224">
        <f>CL178/$D178</f>
        <v>0.4</v>
      </c>
      <c r="CN178" s="227">
        <v>2375</v>
      </c>
      <c r="CO178" s="224">
        <f>CN178/$D178</f>
        <v>0.95</v>
      </c>
      <c r="CP178" s="213" t="str">
        <f t="shared" si="135"/>
        <v>Không đạt</v>
      </c>
      <c r="CQ178" s="213" t="str">
        <f t="shared" si="136"/>
        <v>Không đạt</v>
      </c>
      <c r="CR178" s="192"/>
      <c r="CS178" s="192"/>
      <c r="CT178" s="223"/>
      <c r="CU178" s="163"/>
      <c r="CW178" s="195"/>
      <c r="CX178" s="196"/>
      <c r="CY178" s="196"/>
      <c r="CZ178" s="197"/>
      <c r="DA178" s="196"/>
      <c r="DB178" s="196"/>
      <c r="DC178" s="196"/>
      <c r="DE178" s="199"/>
      <c r="DF178" s="200"/>
      <c r="DG178" s="181"/>
    </row>
    <row r="179" spans="1:111" hidden="1" outlineLevel="1" x14ac:dyDescent="0.25">
      <c r="A179" s="192"/>
      <c r="B179" s="261" t="s">
        <v>245</v>
      </c>
      <c r="C179" s="240"/>
      <c r="D179" s="214">
        <f t="shared" si="114"/>
        <v>0</v>
      </c>
      <c r="E179" s="205"/>
      <c r="F179" s="214">
        <f t="shared" si="143"/>
        <v>0</v>
      </c>
      <c r="G179" s="250"/>
      <c r="H179" s="250"/>
      <c r="I179" s="235"/>
      <c r="J179" s="235"/>
      <c r="K179" s="223"/>
      <c r="L179" s="235"/>
      <c r="M179" s="223"/>
      <c r="N179" s="223"/>
      <c r="O179" s="250">
        <f t="shared" si="140"/>
        <v>0</v>
      </c>
      <c r="P179" s="250">
        <v>0</v>
      </c>
      <c r="Q179" s="224" t="e">
        <f t="shared" si="121"/>
        <v>#DIV/0!</v>
      </c>
      <c r="R179" s="250"/>
      <c r="S179" s="225"/>
      <c r="T179" s="225" t="e">
        <v>#DIV/0!</v>
      </c>
      <c r="U179" s="250"/>
      <c r="V179" s="225"/>
      <c r="W179" s="225" t="e">
        <v>#DIV/0!</v>
      </c>
      <c r="X179" s="250"/>
      <c r="Y179" s="225"/>
      <c r="Z179" s="225" t="e">
        <v>#DIV/0!</v>
      </c>
      <c r="AA179" s="250"/>
      <c r="AB179" s="225"/>
      <c r="AC179" s="225" t="e">
        <v>#DIV/0!</v>
      </c>
      <c r="AD179" s="250"/>
      <c r="AE179" s="225"/>
      <c r="AF179" s="225" t="e">
        <v>#DIV/0!</v>
      </c>
      <c r="AG179" s="250"/>
      <c r="AH179" s="225"/>
      <c r="AI179" s="225" t="e">
        <v>#DIV/0!</v>
      </c>
      <c r="AJ179" s="257"/>
      <c r="AK179" s="225"/>
      <c r="AL179" s="225" t="e">
        <v>#DIV/0!</v>
      </c>
      <c r="AM179" s="250"/>
      <c r="AN179" s="225"/>
      <c r="AO179" s="225" t="e">
        <v>#DIV/0!</v>
      </c>
      <c r="AP179" s="225"/>
      <c r="AQ179" s="250"/>
      <c r="AR179" s="225"/>
      <c r="AS179" s="225" t="e">
        <v>#DIV/0!</v>
      </c>
      <c r="AT179" s="250"/>
      <c r="AU179" s="225"/>
      <c r="AV179" s="225" t="e">
        <v>#DIV/0!</v>
      </c>
      <c r="AW179" s="250"/>
      <c r="AX179" s="225"/>
      <c r="AY179" s="225" t="e">
        <v>#DIV/0!</v>
      </c>
      <c r="AZ179" s="250"/>
      <c r="BA179" s="225"/>
      <c r="BB179" s="225" t="e">
        <v>#DIV/0!</v>
      </c>
      <c r="BC179" s="250"/>
      <c r="BD179" s="225"/>
      <c r="BE179" s="225" t="e">
        <v>#DIV/0!</v>
      </c>
      <c r="BF179" s="250"/>
      <c r="BG179" s="250"/>
      <c r="BH179" s="225"/>
      <c r="BI179" s="225" t="e">
        <v>#DIV/0!</v>
      </c>
      <c r="BJ179" s="250">
        <f t="shared" si="122"/>
        <v>0</v>
      </c>
      <c r="BK179" s="250"/>
      <c r="BL179" s="225"/>
      <c r="BM179" s="225" t="e">
        <f t="shared" si="133"/>
        <v>#DIV/0!</v>
      </c>
      <c r="BN179" s="205">
        <f t="shared" si="116"/>
        <v>0</v>
      </c>
      <c r="BO179" s="205"/>
      <c r="BP179" s="227"/>
      <c r="BQ179" s="224"/>
      <c r="BR179" s="227"/>
      <c r="BS179" s="224"/>
      <c r="BT179" s="227"/>
      <c r="BU179" s="224"/>
      <c r="BV179" s="227"/>
      <c r="BW179" s="224"/>
      <c r="BX179" s="227"/>
      <c r="BY179" s="224"/>
      <c r="BZ179" s="227"/>
      <c r="CA179" s="224"/>
      <c r="CB179" s="227"/>
      <c r="CC179" s="224"/>
      <c r="CD179" s="227"/>
      <c r="CE179" s="224"/>
      <c r="CF179" s="227"/>
      <c r="CG179" s="224"/>
      <c r="CH179" s="227"/>
      <c r="CI179" s="224"/>
      <c r="CJ179" s="227"/>
      <c r="CK179" s="224"/>
      <c r="CL179" s="227"/>
      <c r="CM179" s="224"/>
      <c r="CN179" s="227"/>
      <c r="CO179" s="224"/>
      <c r="CP179" s="213" t="e">
        <f t="shared" si="135"/>
        <v>#DIV/0!</v>
      </c>
      <c r="CQ179" s="213" t="e">
        <f t="shared" si="136"/>
        <v>#DIV/0!</v>
      </c>
      <c r="CR179" s="192"/>
      <c r="CS179" s="192"/>
      <c r="CT179" s="223"/>
      <c r="CU179" s="163"/>
      <c r="CW179" s="195"/>
      <c r="CX179" s="196"/>
      <c r="CY179" s="196"/>
      <c r="CZ179" s="197"/>
      <c r="DA179" s="196"/>
      <c r="DB179" s="196"/>
      <c r="DC179" s="196"/>
      <c r="DE179" s="199"/>
      <c r="DF179" s="200"/>
      <c r="DG179" s="181"/>
    </row>
    <row r="180" spans="1:111" ht="25.5" hidden="1" outlineLevel="1" x14ac:dyDescent="0.25">
      <c r="A180" s="192">
        <f>MAX(A$152:$B179)+1</f>
        <v>26</v>
      </c>
      <c r="B180" s="222" t="s">
        <v>330</v>
      </c>
      <c r="C180" s="222"/>
      <c r="D180" s="214">
        <f t="shared" si="114"/>
        <v>400</v>
      </c>
      <c r="E180" s="205"/>
      <c r="F180" s="214">
        <f t="shared" si="143"/>
        <v>400</v>
      </c>
      <c r="G180" s="257"/>
      <c r="H180" s="257">
        <f>500-100</f>
        <v>400</v>
      </c>
      <c r="I180" s="235"/>
      <c r="J180" s="235"/>
      <c r="K180" s="223"/>
      <c r="L180" s="235"/>
      <c r="M180" s="223"/>
      <c r="N180" s="223"/>
      <c r="O180" s="257">
        <f t="shared" si="140"/>
        <v>0</v>
      </c>
      <c r="P180" s="257">
        <v>0</v>
      </c>
      <c r="Q180" s="224">
        <f t="shared" si="121"/>
        <v>0</v>
      </c>
      <c r="R180" s="257"/>
      <c r="S180" s="225">
        <v>0</v>
      </c>
      <c r="T180" s="225">
        <v>0</v>
      </c>
      <c r="U180" s="257"/>
      <c r="V180" s="225">
        <v>0</v>
      </c>
      <c r="W180" s="225">
        <v>0</v>
      </c>
      <c r="X180" s="257"/>
      <c r="Y180" s="225">
        <v>0</v>
      </c>
      <c r="Z180" s="225">
        <v>0</v>
      </c>
      <c r="AA180" s="257"/>
      <c r="AB180" s="225">
        <v>0</v>
      </c>
      <c r="AC180" s="225">
        <v>0</v>
      </c>
      <c r="AD180" s="257"/>
      <c r="AE180" s="225">
        <v>0</v>
      </c>
      <c r="AF180" s="225">
        <v>0</v>
      </c>
      <c r="AG180" s="257"/>
      <c r="AH180" s="225">
        <v>0</v>
      </c>
      <c r="AI180" s="225">
        <v>0</v>
      </c>
      <c r="AJ180" s="257"/>
      <c r="AK180" s="225">
        <v>0</v>
      </c>
      <c r="AL180" s="225">
        <v>0</v>
      </c>
      <c r="AM180" s="257"/>
      <c r="AN180" s="225">
        <v>0</v>
      </c>
      <c r="AO180" s="225">
        <v>0</v>
      </c>
      <c r="AP180" s="225"/>
      <c r="AQ180" s="257"/>
      <c r="AR180" s="225">
        <v>0</v>
      </c>
      <c r="AS180" s="225">
        <v>0</v>
      </c>
      <c r="AT180" s="257"/>
      <c r="AU180" s="225">
        <v>0</v>
      </c>
      <c r="AV180" s="225">
        <v>0</v>
      </c>
      <c r="AW180" s="257"/>
      <c r="AX180" s="225">
        <v>0</v>
      </c>
      <c r="AY180" s="225">
        <v>0</v>
      </c>
      <c r="AZ180" s="257"/>
      <c r="BA180" s="225">
        <v>0</v>
      </c>
      <c r="BB180" s="225">
        <v>0</v>
      </c>
      <c r="BC180" s="257"/>
      <c r="BD180" s="225">
        <v>0</v>
      </c>
      <c r="BE180" s="225">
        <v>0</v>
      </c>
      <c r="BF180" s="257"/>
      <c r="BG180" s="257"/>
      <c r="BH180" s="225">
        <v>0</v>
      </c>
      <c r="BI180" s="225">
        <v>0</v>
      </c>
      <c r="BJ180" s="257">
        <f t="shared" si="122"/>
        <v>380</v>
      </c>
      <c r="BK180" s="257"/>
      <c r="BL180" s="225">
        <f t="shared" ref="BL180:BL185" si="159">BK180/$D180</f>
        <v>0</v>
      </c>
      <c r="BM180" s="225">
        <f t="shared" si="133"/>
        <v>0</v>
      </c>
      <c r="BN180" s="205">
        <f t="shared" si="116"/>
        <v>0</v>
      </c>
      <c r="BO180" s="205"/>
      <c r="BP180" s="227"/>
      <c r="BQ180" s="224">
        <f>BP180/$D180</f>
        <v>0</v>
      </c>
      <c r="BR180" s="227"/>
      <c r="BS180" s="224">
        <f t="shared" ref="BS180:BS185" si="160">BR180/$D180</f>
        <v>0</v>
      </c>
      <c r="BT180" s="227"/>
      <c r="BU180" s="224">
        <f>BT180/$D180</f>
        <v>0</v>
      </c>
      <c r="BV180" s="227">
        <f>H180*0.95</f>
        <v>380</v>
      </c>
      <c r="BW180" s="224">
        <f>BV180/$D180</f>
        <v>0.95</v>
      </c>
      <c r="BX180" s="227">
        <f>BV180</f>
        <v>380</v>
      </c>
      <c r="BY180" s="224">
        <f>BX180/$D180</f>
        <v>0.95</v>
      </c>
      <c r="BZ180" s="227">
        <f>BX180</f>
        <v>380</v>
      </c>
      <c r="CA180" s="224">
        <f>BZ180/$D180</f>
        <v>0.95</v>
      </c>
      <c r="CB180" s="227">
        <f>BZ180</f>
        <v>380</v>
      </c>
      <c r="CC180" s="224">
        <f t="shared" ref="CC180:CE185" si="161">CB180/$D180</f>
        <v>0.95</v>
      </c>
      <c r="CD180" s="227">
        <f>CB180</f>
        <v>380</v>
      </c>
      <c r="CE180" s="224">
        <f t="shared" si="161"/>
        <v>0.95</v>
      </c>
      <c r="CF180" s="227">
        <f>CD180</f>
        <v>380</v>
      </c>
      <c r="CG180" s="224">
        <f t="shared" ref="CG180:CI185" si="162">CF180/$D180</f>
        <v>0.95</v>
      </c>
      <c r="CH180" s="227">
        <f>CF180</f>
        <v>380</v>
      </c>
      <c r="CI180" s="224">
        <f t="shared" si="162"/>
        <v>0.95</v>
      </c>
      <c r="CJ180" s="227">
        <f>CH180</f>
        <v>380</v>
      </c>
      <c r="CK180" s="224">
        <f t="shared" ref="CK180:CK185" si="163">CJ180/$D180</f>
        <v>0.95</v>
      </c>
      <c r="CL180" s="227">
        <f>CJ180</f>
        <v>380</v>
      </c>
      <c r="CM180" s="224">
        <f t="shared" ref="CM180:CM185" si="164">CL180/$D180</f>
        <v>0.95</v>
      </c>
      <c r="CN180" s="227">
        <f>CL180</f>
        <v>380</v>
      </c>
      <c r="CO180" s="224">
        <f t="shared" ref="CO180:CO185" si="165">CN180/$D180</f>
        <v>0.95</v>
      </c>
      <c r="CP180" s="213" t="str">
        <f t="shared" si="135"/>
        <v>Không đạt</v>
      </c>
      <c r="CQ180" s="213" t="str">
        <f t="shared" si="136"/>
        <v>Không đạt</v>
      </c>
      <c r="CR180" s="192"/>
      <c r="CS180" s="192"/>
      <c r="CT180" s="223"/>
      <c r="CU180" s="163"/>
      <c r="CW180" s="195"/>
      <c r="CX180" s="196"/>
      <c r="CY180" s="196"/>
      <c r="CZ180" s="197"/>
      <c r="DA180" s="196"/>
      <c r="DB180" s="196"/>
      <c r="DC180" s="196"/>
      <c r="DE180" s="199"/>
      <c r="DF180" s="200"/>
      <c r="DG180" s="181"/>
    </row>
    <row r="181" spans="1:111" ht="25.5" hidden="1" outlineLevel="1" x14ac:dyDescent="0.25">
      <c r="A181" s="192">
        <f>MAX(A$152:$B180)+1</f>
        <v>27</v>
      </c>
      <c r="B181" s="222" t="s">
        <v>331</v>
      </c>
      <c r="C181" s="222"/>
      <c r="D181" s="214">
        <f t="shared" si="114"/>
        <v>500</v>
      </c>
      <c r="E181" s="205"/>
      <c r="F181" s="214">
        <f t="shared" si="143"/>
        <v>500</v>
      </c>
      <c r="G181" s="257"/>
      <c r="H181" s="257">
        <v>500</v>
      </c>
      <c r="I181" s="235"/>
      <c r="J181" s="235"/>
      <c r="K181" s="223"/>
      <c r="L181" s="235"/>
      <c r="M181" s="223"/>
      <c r="N181" s="223"/>
      <c r="O181" s="257">
        <f t="shared" si="140"/>
        <v>0</v>
      </c>
      <c r="P181" s="257">
        <v>0</v>
      </c>
      <c r="Q181" s="224">
        <f t="shared" si="121"/>
        <v>0</v>
      </c>
      <c r="R181" s="257"/>
      <c r="S181" s="225">
        <v>0</v>
      </c>
      <c r="T181" s="225">
        <v>0</v>
      </c>
      <c r="U181" s="257"/>
      <c r="V181" s="225">
        <v>0</v>
      </c>
      <c r="W181" s="225">
        <v>0</v>
      </c>
      <c r="X181" s="257"/>
      <c r="Y181" s="225">
        <v>0</v>
      </c>
      <c r="Z181" s="225">
        <v>0</v>
      </c>
      <c r="AA181" s="257"/>
      <c r="AB181" s="225">
        <v>0</v>
      </c>
      <c r="AC181" s="225">
        <v>0</v>
      </c>
      <c r="AD181" s="257"/>
      <c r="AE181" s="225">
        <v>0</v>
      </c>
      <c r="AF181" s="225">
        <v>0</v>
      </c>
      <c r="AG181" s="257"/>
      <c r="AH181" s="225">
        <v>0</v>
      </c>
      <c r="AI181" s="225">
        <v>0</v>
      </c>
      <c r="AJ181" s="257"/>
      <c r="AK181" s="225">
        <v>0</v>
      </c>
      <c r="AL181" s="225">
        <v>0</v>
      </c>
      <c r="AM181" s="257"/>
      <c r="AN181" s="225">
        <v>0</v>
      </c>
      <c r="AO181" s="225">
        <v>0</v>
      </c>
      <c r="AP181" s="225"/>
      <c r="AQ181" s="257"/>
      <c r="AR181" s="225">
        <v>0</v>
      </c>
      <c r="AS181" s="225">
        <v>0</v>
      </c>
      <c r="AT181" s="257"/>
      <c r="AU181" s="225">
        <v>0</v>
      </c>
      <c r="AV181" s="225">
        <v>0</v>
      </c>
      <c r="AW181" s="257"/>
      <c r="AX181" s="225">
        <v>0</v>
      </c>
      <c r="AY181" s="225">
        <v>0</v>
      </c>
      <c r="AZ181" s="257"/>
      <c r="BA181" s="225">
        <v>0</v>
      </c>
      <c r="BB181" s="225">
        <v>0</v>
      </c>
      <c r="BC181" s="257"/>
      <c r="BD181" s="225">
        <v>0</v>
      </c>
      <c r="BE181" s="225">
        <v>0</v>
      </c>
      <c r="BF181" s="257"/>
      <c r="BG181" s="257"/>
      <c r="BH181" s="225">
        <v>0</v>
      </c>
      <c r="BI181" s="225">
        <v>0</v>
      </c>
      <c r="BJ181" s="257">
        <f t="shared" si="122"/>
        <v>475</v>
      </c>
      <c r="BK181" s="257"/>
      <c r="BL181" s="225">
        <f t="shared" si="159"/>
        <v>0</v>
      </c>
      <c r="BM181" s="225">
        <f t="shared" si="133"/>
        <v>0</v>
      </c>
      <c r="BN181" s="205">
        <f t="shared" si="116"/>
        <v>0</v>
      </c>
      <c r="BO181" s="205"/>
      <c r="BP181" s="227"/>
      <c r="BQ181" s="224">
        <f>BP181/$D181</f>
        <v>0</v>
      </c>
      <c r="BR181" s="227"/>
      <c r="BS181" s="224">
        <f t="shared" si="160"/>
        <v>0</v>
      </c>
      <c r="BT181" s="227"/>
      <c r="BU181" s="224">
        <f>BT181/$D181</f>
        <v>0</v>
      </c>
      <c r="BV181" s="227"/>
      <c r="BW181" s="224">
        <f>BV181/$D181</f>
        <v>0</v>
      </c>
      <c r="BX181" s="227"/>
      <c r="BY181" s="224">
        <f>BX181/$D181</f>
        <v>0</v>
      </c>
      <c r="BZ181" s="227">
        <f>F181*0.95</f>
        <v>475</v>
      </c>
      <c r="CA181" s="224">
        <f>BZ181/$D181</f>
        <v>0.95</v>
      </c>
      <c r="CB181" s="227">
        <f>BZ181</f>
        <v>475</v>
      </c>
      <c r="CC181" s="224">
        <f t="shared" si="161"/>
        <v>0.95</v>
      </c>
      <c r="CD181" s="227">
        <f>CB181</f>
        <v>475</v>
      </c>
      <c r="CE181" s="224">
        <f t="shared" si="161"/>
        <v>0.95</v>
      </c>
      <c r="CF181" s="227">
        <f>CD181</f>
        <v>475</v>
      </c>
      <c r="CG181" s="224">
        <f t="shared" si="162"/>
        <v>0.95</v>
      </c>
      <c r="CH181" s="227">
        <f>CF181</f>
        <v>475</v>
      </c>
      <c r="CI181" s="224">
        <f t="shared" si="162"/>
        <v>0.95</v>
      </c>
      <c r="CJ181" s="227">
        <f>CH181</f>
        <v>475</v>
      </c>
      <c r="CK181" s="224">
        <f t="shared" si="163"/>
        <v>0.95</v>
      </c>
      <c r="CL181" s="227">
        <f>CJ181</f>
        <v>475</v>
      </c>
      <c r="CM181" s="224">
        <f t="shared" si="164"/>
        <v>0.95</v>
      </c>
      <c r="CN181" s="227">
        <f>CL181</f>
        <v>475</v>
      </c>
      <c r="CO181" s="224">
        <f t="shared" si="165"/>
        <v>0.95</v>
      </c>
      <c r="CP181" s="213" t="str">
        <f t="shared" si="135"/>
        <v>Không đạt</v>
      </c>
      <c r="CQ181" s="213" t="str">
        <f t="shared" si="136"/>
        <v>Không đạt</v>
      </c>
      <c r="CR181" s="192"/>
      <c r="CS181" s="192"/>
      <c r="CT181" s="223"/>
      <c r="CU181" s="163"/>
      <c r="CW181" s="195"/>
      <c r="CX181" s="196"/>
      <c r="CY181" s="196"/>
      <c r="CZ181" s="197"/>
      <c r="DA181" s="196"/>
      <c r="DB181" s="196"/>
      <c r="DC181" s="196"/>
      <c r="DE181" s="199"/>
      <c r="DF181" s="200"/>
      <c r="DG181" s="181"/>
    </row>
    <row r="182" spans="1:111" ht="25.5" hidden="1" outlineLevel="1" x14ac:dyDescent="0.25">
      <c r="A182" s="192">
        <f>MAX(A$152:$B181)+1</f>
        <v>28</v>
      </c>
      <c r="B182" s="222" t="s">
        <v>332</v>
      </c>
      <c r="C182" s="222"/>
      <c r="D182" s="214">
        <f t="shared" si="114"/>
        <v>400</v>
      </c>
      <c r="E182" s="205"/>
      <c r="F182" s="214">
        <f t="shared" si="143"/>
        <v>400</v>
      </c>
      <c r="G182" s="257"/>
      <c r="H182" s="257">
        <f>500-100</f>
        <v>400</v>
      </c>
      <c r="I182" s="235"/>
      <c r="J182" s="235"/>
      <c r="K182" s="223"/>
      <c r="L182" s="235"/>
      <c r="M182" s="223"/>
      <c r="N182" s="223"/>
      <c r="O182" s="257">
        <f t="shared" si="140"/>
        <v>0</v>
      </c>
      <c r="P182" s="257">
        <v>0</v>
      </c>
      <c r="Q182" s="224">
        <f t="shared" si="121"/>
        <v>0</v>
      </c>
      <c r="R182" s="257"/>
      <c r="S182" s="225">
        <v>0</v>
      </c>
      <c r="T182" s="225">
        <v>0</v>
      </c>
      <c r="U182" s="257"/>
      <c r="V182" s="225">
        <v>0</v>
      </c>
      <c r="W182" s="225">
        <v>0</v>
      </c>
      <c r="X182" s="257"/>
      <c r="Y182" s="225">
        <v>0</v>
      </c>
      <c r="Z182" s="225">
        <v>0</v>
      </c>
      <c r="AA182" s="257"/>
      <c r="AB182" s="225">
        <v>0</v>
      </c>
      <c r="AC182" s="225">
        <v>0</v>
      </c>
      <c r="AD182" s="257"/>
      <c r="AE182" s="225">
        <v>0</v>
      </c>
      <c r="AF182" s="225">
        <v>0</v>
      </c>
      <c r="AG182" s="257"/>
      <c r="AH182" s="225">
        <v>0</v>
      </c>
      <c r="AI182" s="225">
        <v>0</v>
      </c>
      <c r="AJ182" s="257"/>
      <c r="AK182" s="225">
        <v>0</v>
      </c>
      <c r="AL182" s="225">
        <v>0</v>
      </c>
      <c r="AM182" s="257"/>
      <c r="AN182" s="225">
        <v>0</v>
      </c>
      <c r="AO182" s="225">
        <v>0</v>
      </c>
      <c r="AP182" s="225"/>
      <c r="AQ182" s="257"/>
      <c r="AR182" s="225">
        <v>0</v>
      </c>
      <c r="AS182" s="225">
        <v>0</v>
      </c>
      <c r="AT182" s="257"/>
      <c r="AU182" s="225">
        <v>0</v>
      </c>
      <c r="AV182" s="225">
        <v>0</v>
      </c>
      <c r="AW182" s="257"/>
      <c r="AX182" s="225">
        <v>0</v>
      </c>
      <c r="AY182" s="225">
        <v>0</v>
      </c>
      <c r="AZ182" s="257"/>
      <c r="BA182" s="225">
        <v>0</v>
      </c>
      <c r="BB182" s="225">
        <v>0</v>
      </c>
      <c r="BC182" s="257"/>
      <c r="BD182" s="225">
        <v>0</v>
      </c>
      <c r="BE182" s="225">
        <v>0</v>
      </c>
      <c r="BF182" s="257"/>
      <c r="BG182" s="257"/>
      <c r="BH182" s="225">
        <v>0</v>
      </c>
      <c r="BI182" s="225">
        <v>0</v>
      </c>
      <c r="BJ182" s="257">
        <f t="shared" si="122"/>
        <v>380</v>
      </c>
      <c r="BK182" s="257"/>
      <c r="BL182" s="225">
        <f t="shared" si="159"/>
        <v>0</v>
      </c>
      <c r="BM182" s="225">
        <f t="shared" si="133"/>
        <v>0</v>
      </c>
      <c r="BN182" s="205">
        <f t="shared" si="116"/>
        <v>0</v>
      </c>
      <c r="BO182" s="205"/>
      <c r="BP182" s="227"/>
      <c r="BQ182" s="224">
        <f>BP182/$D182</f>
        <v>0</v>
      </c>
      <c r="BR182" s="227"/>
      <c r="BS182" s="224">
        <f t="shared" si="160"/>
        <v>0</v>
      </c>
      <c r="BT182" s="227"/>
      <c r="BU182" s="224">
        <f>BT182/$D182</f>
        <v>0</v>
      </c>
      <c r="BV182" s="227"/>
      <c r="BW182" s="224">
        <f>BV182/$D182</f>
        <v>0</v>
      </c>
      <c r="BX182" s="227">
        <v>350</v>
      </c>
      <c r="BY182" s="224">
        <f>BX182/$D182</f>
        <v>0.875</v>
      </c>
      <c r="BZ182" s="227">
        <f>BX182</f>
        <v>350</v>
      </c>
      <c r="CA182" s="224">
        <f>BZ182/$D182</f>
        <v>0.875</v>
      </c>
      <c r="CB182" s="227">
        <f>BZ182</f>
        <v>350</v>
      </c>
      <c r="CC182" s="224">
        <f t="shared" si="161"/>
        <v>0.875</v>
      </c>
      <c r="CD182" s="227">
        <f>CB182</f>
        <v>350</v>
      </c>
      <c r="CE182" s="224">
        <f t="shared" si="161"/>
        <v>0.875</v>
      </c>
      <c r="CF182" s="227">
        <f>CD182</f>
        <v>350</v>
      </c>
      <c r="CG182" s="224">
        <f t="shared" si="162"/>
        <v>0.875</v>
      </c>
      <c r="CH182" s="227">
        <f>CF182</f>
        <v>350</v>
      </c>
      <c r="CI182" s="224">
        <f t="shared" si="162"/>
        <v>0.875</v>
      </c>
      <c r="CJ182" s="227">
        <f>CH182</f>
        <v>350</v>
      </c>
      <c r="CK182" s="224">
        <f t="shared" si="163"/>
        <v>0.875</v>
      </c>
      <c r="CL182" s="227">
        <v>475</v>
      </c>
      <c r="CM182" s="224">
        <f t="shared" si="164"/>
        <v>1.1875</v>
      </c>
      <c r="CN182" s="227">
        <f>CL182</f>
        <v>475</v>
      </c>
      <c r="CO182" s="224">
        <f t="shared" si="165"/>
        <v>1.1875</v>
      </c>
      <c r="CP182" s="213" t="str">
        <f t="shared" si="135"/>
        <v>Không đạt</v>
      </c>
      <c r="CQ182" s="213" t="str">
        <f t="shared" si="136"/>
        <v>Không đạt</v>
      </c>
      <c r="CR182" s="192"/>
      <c r="CS182" s="192"/>
      <c r="CT182" s="223"/>
      <c r="CU182" s="163"/>
      <c r="CW182" s="195"/>
      <c r="CX182" s="196"/>
      <c r="CY182" s="196"/>
      <c r="CZ182" s="197"/>
      <c r="DA182" s="196"/>
      <c r="DB182" s="196"/>
      <c r="DC182" s="196"/>
      <c r="DE182" s="199"/>
      <c r="DF182" s="200"/>
      <c r="DG182" s="181"/>
    </row>
    <row r="183" spans="1:111" hidden="1" outlineLevel="1" x14ac:dyDescent="0.25">
      <c r="A183" s="192">
        <f>MAX(A$152:$B182)+1</f>
        <v>29</v>
      </c>
      <c r="B183" s="222" t="s">
        <v>333</v>
      </c>
      <c r="C183" s="222">
        <v>7986486</v>
      </c>
      <c r="D183" s="214">
        <f t="shared" si="114"/>
        <v>4000</v>
      </c>
      <c r="E183" s="205"/>
      <c r="F183" s="214">
        <f t="shared" si="143"/>
        <v>4000</v>
      </c>
      <c r="G183" s="257"/>
      <c r="H183" s="257">
        <f>2000+2000</f>
        <v>4000</v>
      </c>
      <c r="I183" s="235">
        <v>1897</v>
      </c>
      <c r="J183" s="257">
        <v>1896.404</v>
      </c>
      <c r="K183" s="223"/>
      <c r="L183" s="235"/>
      <c r="M183" s="223"/>
      <c r="N183" s="223"/>
      <c r="O183" s="257">
        <f t="shared" si="140"/>
        <v>1897</v>
      </c>
      <c r="P183" s="257">
        <v>299.45699999999999</v>
      </c>
      <c r="Q183" s="224">
        <f t="shared" si="121"/>
        <v>7.4864249999999993E-2</v>
      </c>
      <c r="R183" s="257">
        <v>613.85071000000005</v>
      </c>
      <c r="S183" s="225">
        <v>0.30692535500000001</v>
      </c>
      <c r="T183" s="225">
        <v>0.3230793210526316</v>
      </c>
      <c r="U183" s="257">
        <v>613.85071000000005</v>
      </c>
      <c r="V183" s="225">
        <v>0.30692535500000001</v>
      </c>
      <c r="W183" s="225">
        <v>0.3230793210526316</v>
      </c>
      <c r="X183" s="257">
        <v>613.85071000000005</v>
      </c>
      <c r="Y183" s="225">
        <v>0.30692535500000001</v>
      </c>
      <c r="Z183" s="225">
        <v>0.3230793210526316</v>
      </c>
      <c r="AA183" s="257">
        <v>613.85071000000005</v>
      </c>
      <c r="AB183" s="225">
        <v>0.30692535500000001</v>
      </c>
      <c r="AC183" s="225">
        <v>0.3230793210526316</v>
      </c>
      <c r="AD183" s="257">
        <v>613.85071000000005</v>
      </c>
      <c r="AE183" s="225">
        <v>0.30692535500000001</v>
      </c>
      <c r="AF183" s="225">
        <v>0.3230793210526316</v>
      </c>
      <c r="AG183" s="257">
        <v>1329.8507099999999</v>
      </c>
      <c r="AH183" s="225">
        <v>0.66492535499999994</v>
      </c>
      <c r="AI183" s="225">
        <v>0.69992142631578946</v>
      </c>
      <c r="AJ183" s="257">
        <v>1329.8507099999999</v>
      </c>
      <c r="AK183" s="225">
        <v>0.66492535499999994</v>
      </c>
      <c r="AL183" s="225">
        <v>0.69992142631578946</v>
      </c>
      <c r="AM183" s="257">
        <v>1896.404</v>
      </c>
      <c r="AN183" s="225">
        <v>0.94820199999999999</v>
      </c>
      <c r="AO183" s="225">
        <v>0.99810736842105263</v>
      </c>
      <c r="AP183" s="225"/>
      <c r="AQ183" s="257">
        <v>1896.404</v>
      </c>
      <c r="AR183" s="225">
        <v>0.94820199999999999</v>
      </c>
      <c r="AS183" s="225">
        <v>0.99810736842105263</v>
      </c>
      <c r="AT183" s="257">
        <v>1896.404</v>
      </c>
      <c r="AU183" s="225">
        <v>0.94820199999999999</v>
      </c>
      <c r="AV183" s="225">
        <v>0.99810736842105263</v>
      </c>
      <c r="AW183" s="257">
        <v>1896.404</v>
      </c>
      <c r="AX183" s="225">
        <v>0.94820199999999999</v>
      </c>
      <c r="AY183" s="225">
        <v>0.99810736842105263</v>
      </c>
      <c r="AZ183" s="257">
        <v>1896.404</v>
      </c>
      <c r="BA183" s="225">
        <v>0.94820199999999999</v>
      </c>
      <c r="BB183" s="225">
        <v>0.99810736842105263</v>
      </c>
      <c r="BC183" s="257">
        <v>1896.404</v>
      </c>
      <c r="BD183" s="225">
        <v>0.94820199999999999</v>
      </c>
      <c r="BE183" s="225">
        <v>0.99810736842105263</v>
      </c>
      <c r="BF183" s="257">
        <v>1896.404</v>
      </c>
      <c r="BG183" s="257">
        <v>1896.404</v>
      </c>
      <c r="BH183" s="225">
        <v>0.47410099999999999</v>
      </c>
      <c r="BI183" s="225">
        <v>0.49905368421052632</v>
      </c>
      <c r="BJ183" s="257">
        <f t="shared" si="122"/>
        <v>3800</v>
      </c>
      <c r="BK183" s="257">
        <v>1896.404</v>
      </c>
      <c r="BL183" s="225">
        <f t="shared" si="159"/>
        <v>0.47410099999999999</v>
      </c>
      <c r="BM183" s="225">
        <f t="shared" si="133"/>
        <v>0.49905368421052632</v>
      </c>
      <c r="BN183" s="205">
        <f t="shared" si="116"/>
        <v>1282.5532899999998</v>
      </c>
      <c r="BO183" s="205"/>
      <c r="BP183" s="227">
        <v>1610</v>
      </c>
      <c r="BQ183" s="224">
        <f>BP183/$D183</f>
        <v>0.40250000000000002</v>
      </c>
      <c r="BR183" s="227">
        <f>BP183</f>
        <v>1610</v>
      </c>
      <c r="BS183" s="224">
        <f t="shared" si="160"/>
        <v>0.40250000000000002</v>
      </c>
      <c r="BT183" s="227">
        <f>BR183</f>
        <v>1610</v>
      </c>
      <c r="BU183" s="224">
        <f>BT183/$D183</f>
        <v>0.40250000000000002</v>
      </c>
      <c r="BV183" s="227">
        <f>BT183</f>
        <v>1610</v>
      </c>
      <c r="BW183" s="224">
        <f>BV183/$D183</f>
        <v>0.40250000000000002</v>
      </c>
      <c r="BX183" s="227">
        <f>BV183</f>
        <v>1610</v>
      </c>
      <c r="BY183" s="224">
        <f>BX183/$D183</f>
        <v>0.40250000000000002</v>
      </c>
      <c r="BZ183" s="227">
        <f>BX183</f>
        <v>1610</v>
      </c>
      <c r="CA183" s="224">
        <f>BZ183/$D183</f>
        <v>0.40250000000000002</v>
      </c>
      <c r="CB183" s="227">
        <f>BZ183</f>
        <v>1610</v>
      </c>
      <c r="CC183" s="224">
        <f t="shared" si="161"/>
        <v>0.40250000000000002</v>
      </c>
      <c r="CD183" s="227">
        <f>CB183</f>
        <v>1610</v>
      </c>
      <c r="CE183" s="224">
        <f t="shared" si="161"/>
        <v>0.40250000000000002</v>
      </c>
      <c r="CF183" s="227">
        <f>CD183</f>
        <v>1610</v>
      </c>
      <c r="CG183" s="224">
        <f t="shared" si="162"/>
        <v>0.40250000000000002</v>
      </c>
      <c r="CH183" s="227">
        <f>CF183</f>
        <v>1610</v>
      </c>
      <c r="CI183" s="224">
        <f t="shared" si="162"/>
        <v>0.40250000000000002</v>
      </c>
      <c r="CJ183" s="227">
        <f>CH183</f>
        <v>1610</v>
      </c>
      <c r="CK183" s="224">
        <f t="shared" si="163"/>
        <v>0.40250000000000002</v>
      </c>
      <c r="CL183" s="227">
        <v>1900</v>
      </c>
      <c r="CM183" s="224">
        <f t="shared" si="164"/>
        <v>0.47499999999999998</v>
      </c>
      <c r="CN183" s="227">
        <f>CL183</f>
        <v>1900</v>
      </c>
      <c r="CO183" s="224">
        <f t="shared" si="165"/>
        <v>0.47499999999999998</v>
      </c>
      <c r="CP183" s="213" t="str">
        <f t="shared" si="135"/>
        <v>Đạt</v>
      </c>
      <c r="CQ183" s="213" t="str">
        <f t="shared" si="136"/>
        <v>Đạt</v>
      </c>
      <c r="CR183" s="192"/>
      <c r="CS183" s="192"/>
      <c r="CT183" s="223"/>
      <c r="CU183" s="163"/>
      <c r="CW183" s="195"/>
      <c r="CX183" s="196"/>
      <c r="CY183" s="196"/>
      <c r="CZ183" s="197"/>
      <c r="DA183" s="196"/>
      <c r="DB183" s="196"/>
      <c r="DC183" s="196"/>
      <c r="DE183" s="199"/>
      <c r="DF183" s="200"/>
      <c r="DG183" s="181"/>
    </row>
    <row r="184" spans="1:111" hidden="1" outlineLevel="1" x14ac:dyDescent="0.25">
      <c r="A184" s="192">
        <f>MAX(A$152:$B183)+1</f>
        <v>30</v>
      </c>
      <c r="B184" s="222" t="s">
        <v>334</v>
      </c>
      <c r="C184" s="222">
        <v>7986488</v>
      </c>
      <c r="D184" s="214">
        <f t="shared" si="114"/>
        <v>4000</v>
      </c>
      <c r="E184" s="205"/>
      <c r="F184" s="214">
        <f t="shared" si="143"/>
        <v>4000</v>
      </c>
      <c r="G184" s="257"/>
      <c r="H184" s="257">
        <f>2000+2000</f>
        <v>4000</v>
      </c>
      <c r="I184" s="235">
        <v>288</v>
      </c>
      <c r="J184" s="257">
        <v>288</v>
      </c>
      <c r="K184" s="223"/>
      <c r="L184" s="235"/>
      <c r="M184" s="223"/>
      <c r="N184" s="223"/>
      <c r="O184" s="257">
        <f t="shared" si="140"/>
        <v>288</v>
      </c>
      <c r="P184" s="257">
        <v>0</v>
      </c>
      <c r="Q184" s="224">
        <f t="shared" si="121"/>
        <v>0</v>
      </c>
      <c r="R184" s="257">
        <v>75.653000000000006</v>
      </c>
      <c r="S184" s="225">
        <v>3.7826500000000006E-2</v>
      </c>
      <c r="T184" s="225">
        <v>3.9817368421052636E-2</v>
      </c>
      <c r="U184" s="257">
        <v>288</v>
      </c>
      <c r="V184" s="225">
        <v>0.14399999999999999</v>
      </c>
      <c r="W184" s="225">
        <v>0.15157894736842106</v>
      </c>
      <c r="X184" s="257">
        <v>288</v>
      </c>
      <c r="Y184" s="225">
        <v>0.14399999999999999</v>
      </c>
      <c r="Z184" s="225">
        <v>0.15157894736842106</v>
      </c>
      <c r="AA184" s="257">
        <v>288</v>
      </c>
      <c r="AB184" s="225">
        <v>0.14399999999999999</v>
      </c>
      <c r="AC184" s="225">
        <v>0.15157894736842106</v>
      </c>
      <c r="AD184" s="257">
        <v>288</v>
      </c>
      <c r="AE184" s="225">
        <v>0.14399999999999999</v>
      </c>
      <c r="AF184" s="225">
        <v>0.15157894736842106</v>
      </c>
      <c r="AG184" s="257">
        <v>288</v>
      </c>
      <c r="AH184" s="225">
        <v>0.14399999999999999</v>
      </c>
      <c r="AI184" s="225">
        <v>0.15157894736842106</v>
      </c>
      <c r="AJ184" s="188">
        <v>288</v>
      </c>
      <c r="AK184" s="225">
        <v>0.14399999999999999</v>
      </c>
      <c r="AL184" s="225">
        <v>0.15157894736842106</v>
      </c>
      <c r="AM184" s="257">
        <v>288</v>
      </c>
      <c r="AN184" s="225">
        <v>0.14399999999999999</v>
      </c>
      <c r="AO184" s="225">
        <v>0.15157894736842106</v>
      </c>
      <c r="AP184" s="225"/>
      <c r="AQ184" s="257">
        <v>288</v>
      </c>
      <c r="AR184" s="225">
        <v>0.14399999999999999</v>
      </c>
      <c r="AS184" s="225">
        <v>0.15157894736842106</v>
      </c>
      <c r="AT184" s="257">
        <v>288</v>
      </c>
      <c r="AU184" s="225">
        <v>0.14399999999999999</v>
      </c>
      <c r="AV184" s="225">
        <v>0.15157894736842106</v>
      </c>
      <c r="AW184" s="257">
        <v>288</v>
      </c>
      <c r="AX184" s="225">
        <v>0.14399999999999999</v>
      </c>
      <c r="AY184" s="225">
        <v>0.15157894736842106</v>
      </c>
      <c r="AZ184" s="257">
        <v>288</v>
      </c>
      <c r="BA184" s="225">
        <v>0.14399999999999999</v>
      </c>
      <c r="BB184" s="225">
        <v>0.15157894736842106</v>
      </c>
      <c r="BC184" s="257">
        <v>288</v>
      </c>
      <c r="BD184" s="225">
        <v>0.14399999999999999</v>
      </c>
      <c r="BE184" s="225">
        <v>0.15157894736842106</v>
      </c>
      <c r="BF184" s="257">
        <v>964.65300000000002</v>
      </c>
      <c r="BG184" s="257">
        <v>964.65300000000002</v>
      </c>
      <c r="BH184" s="225">
        <v>0.24116325</v>
      </c>
      <c r="BI184" s="225">
        <v>0.25385605263157895</v>
      </c>
      <c r="BJ184" s="257">
        <f t="shared" si="122"/>
        <v>3800</v>
      </c>
      <c r="BK184" s="257">
        <v>964.65300000000002</v>
      </c>
      <c r="BL184" s="225">
        <f t="shared" si="159"/>
        <v>0.24116325</v>
      </c>
      <c r="BM184" s="225">
        <f t="shared" si="133"/>
        <v>0.25385605263157895</v>
      </c>
      <c r="BN184" s="205">
        <f t="shared" si="116"/>
        <v>676.65300000000002</v>
      </c>
      <c r="BO184" s="205"/>
      <c r="BP184" s="227">
        <v>330</v>
      </c>
      <c r="BQ184" s="224">
        <f>BP184/$D184</f>
        <v>8.2500000000000004E-2</v>
      </c>
      <c r="BR184" s="227">
        <v>330</v>
      </c>
      <c r="BS184" s="224">
        <f t="shared" si="160"/>
        <v>8.2500000000000004E-2</v>
      </c>
      <c r="BT184" s="227">
        <v>1900</v>
      </c>
      <c r="BU184" s="224">
        <f>BT184/$D184</f>
        <v>0.47499999999999998</v>
      </c>
      <c r="BV184" s="227">
        <f>BT184</f>
        <v>1900</v>
      </c>
      <c r="BW184" s="224">
        <f>BV184/$D184</f>
        <v>0.47499999999999998</v>
      </c>
      <c r="BX184" s="227">
        <f>BV184</f>
        <v>1900</v>
      </c>
      <c r="BY184" s="224">
        <f>BX184/$D184</f>
        <v>0.47499999999999998</v>
      </c>
      <c r="BZ184" s="227">
        <f>BX184</f>
        <v>1900</v>
      </c>
      <c r="CA184" s="224">
        <f>BZ184/$D184</f>
        <v>0.47499999999999998</v>
      </c>
      <c r="CB184" s="227">
        <f>BZ184</f>
        <v>1900</v>
      </c>
      <c r="CC184" s="224">
        <f t="shared" si="161"/>
        <v>0.47499999999999998</v>
      </c>
      <c r="CD184" s="227">
        <f>CB184</f>
        <v>1900</v>
      </c>
      <c r="CE184" s="224">
        <f t="shared" si="161"/>
        <v>0.47499999999999998</v>
      </c>
      <c r="CF184" s="227">
        <f>CD184</f>
        <v>1900</v>
      </c>
      <c r="CG184" s="224">
        <f t="shared" si="162"/>
        <v>0.47499999999999998</v>
      </c>
      <c r="CH184" s="227">
        <f>CF184</f>
        <v>1900</v>
      </c>
      <c r="CI184" s="224">
        <f t="shared" si="162"/>
        <v>0.47499999999999998</v>
      </c>
      <c r="CJ184" s="227">
        <f>CH184</f>
        <v>1900</v>
      </c>
      <c r="CK184" s="224">
        <f t="shared" si="163"/>
        <v>0.47499999999999998</v>
      </c>
      <c r="CL184" s="227">
        <f>CJ184</f>
        <v>1900</v>
      </c>
      <c r="CM184" s="224">
        <f t="shared" si="164"/>
        <v>0.47499999999999998</v>
      </c>
      <c r="CN184" s="227">
        <f>CL184</f>
        <v>1900</v>
      </c>
      <c r="CO184" s="224">
        <f t="shared" si="165"/>
        <v>0.47499999999999998</v>
      </c>
      <c r="CP184" s="213" t="str">
        <f t="shared" si="135"/>
        <v>Không đạt</v>
      </c>
      <c r="CQ184" s="213" t="str">
        <f t="shared" si="136"/>
        <v>Không đạt</v>
      </c>
      <c r="CR184" s="192"/>
      <c r="CS184" s="192"/>
      <c r="CT184" s="223"/>
      <c r="CU184" s="163"/>
      <c r="CW184" s="195"/>
      <c r="CX184" s="196"/>
      <c r="CY184" s="196"/>
      <c r="CZ184" s="197"/>
      <c r="DA184" s="196"/>
      <c r="DB184" s="196"/>
      <c r="DC184" s="196"/>
      <c r="DE184" s="199"/>
      <c r="DF184" s="200"/>
      <c r="DG184" s="181"/>
    </row>
    <row r="185" spans="1:111" hidden="1" outlineLevel="1" x14ac:dyDescent="0.25">
      <c r="A185" s="256" t="s">
        <v>34</v>
      </c>
      <c r="B185" s="210" t="s">
        <v>335</v>
      </c>
      <c r="C185" s="210"/>
      <c r="D185" s="214">
        <f t="shared" ref="D185:L185" si="166">SUM(D186:D195)</f>
        <v>47000</v>
      </c>
      <c r="E185" s="214">
        <f t="shared" si="166"/>
        <v>0</v>
      </c>
      <c r="F185" s="214">
        <f t="shared" si="166"/>
        <v>47000</v>
      </c>
      <c r="G185" s="214">
        <f t="shared" si="166"/>
        <v>10000</v>
      </c>
      <c r="H185" s="214">
        <f t="shared" si="166"/>
        <v>37000</v>
      </c>
      <c r="I185" s="214">
        <f t="shared" si="166"/>
        <v>1344</v>
      </c>
      <c r="J185" s="214"/>
      <c r="K185" s="214">
        <f t="shared" si="166"/>
        <v>0</v>
      </c>
      <c r="L185" s="214">
        <f t="shared" si="166"/>
        <v>0</v>
      </c>
      <c r="M185" s="223"/>
      <c r="N185" s="223"/>
      <c r="O185" s="214">
        <f t="shared" si="140"/>
        <v>11344</v>
      </c>
      <c r="P185" s="214">
        <f>SUM(P186:P195)</f>
        <v>10584.202748</v>
      </c>
      <c r="Q185" s="186">
        <f t="shared" si="121"/>
        <v>0.22519580314893617</v>
      </c>
      <c r="R185" s="188">
        <v>10588.764735000001</v>
      </c>
      <c r="S185" s="185">
        <v>0.22292136284210529</v>
      </c>
      <c r="T185" s="185">
        <v>0.23465406614958451</v>
      </c>
      <c r="U185" s="188">
        <v>10733.608</v>
      </c>
      <c r="V185" s="185">
        <v>0.22597069473684211</v>
      </c>
      <c r="W185" s="185">
        <v>0.23786388919667589</v>
      </c>
      <c r="X185" s="188">
        <v>10733.608</v>
      </c>
      <c r="Y185" s="185">
        <v>0.22597069473684211</v>
      </c>
      <c r="Z185" s="185">
        <v>0.23786388919667589</v>
      </c>
      <c r="AA185" s="188">
        <v>10733.608</v>
      </c>
      <c r="AB185" s="185">
        <v>0.22597069473684211</v>
      </c>
      <c r="AC185" s="185">
        <v>0.23786388919667589</v>
      </c>
      <c r="AD185" s="188">
        <v>10833.608</v>
      </c>
      <c r="AE185" s="185">
        <v>0.22807595789473684</v>
      </c>
      <c r="AF185" s="185">
        <v>0.24007995567867035</v>
      </c>
      <c r="AG185" s="188">
        <v>10835.463</v>
      </c>
      <c r="AH185" s="185">
        <v>0.22811501052631578</v>
      </c>
      <c r="AI185" s="185">
        <v>0.24012106371191136</v>
      </c>
      <c r="AJ185" s="262">
        <v>10835.463</v>
      </c>
      <c r="AK185" s="185">
        <v>0.22811501052631578</v>
      </c>
      <c r="AL185" s="185">
        <v>0.24012106371191136</v>
      </c>
      <c r="AM185" s="188">
        <v>10835.463</v>
      </c>
      <c r="AN185" s="185">
        <v>0.22811501052631578</v>
      </c>
      <c r="AO185" s="185">
        <v>0.24012106371191136</v>
      </c>
      <c r="AP185" s="185"/>
      <c r="AQ185" s="188">
        <v>10843.608</v>
      </c>
      <c r="AR185" s="185">
        <v>0.22828648421052633</v>
      </c>
      <c r="AS185" s="185">
        <v>0.24030156232686981</v>
      </c>
      <c r="AT185" s="188">
        <v>10843.608</v>
      </c>
      <c r="AU185" s="185">
        <v>0.22828648421052633</v>
      </c>
      <c r="AV185" s="185">
        <v>0.24030156232686981</v>
      </c>
      <c r="AW185" s="188">
        <v>10843.608</v>
      </c>
      <c r="AX185" s="185">
        <v>0.22828648421052633</v>
      </c>
      <c r="AY185" s="185">
        <v>0.24030156232686981</v>
      </c>
      <c r="AZ185" s="188">
        <v>10843.608</v>
      </c>
      <c r="BA185" s="185">
        <v>0.22828648421052633</v>
      </c>
      <c r="BB185" s="185">
        <v>0.24030156232686981</v>
      </c>
      <c r="BC185" s="188">
        <v>10843.608</v>
      </c>
      <c r="BD185" s="185">
        <v>0.22828648421052633</v>
      </c>
      <c r="BE185" s="185">
        <v>0.24030156232686981</v>
      </c>
      <c r="BF185" s="188"/>
      <c r="BG185" s="188">
        <v>12260.093000000001</v>
      </c>
      <c r="BH185" s="185">
        <v>0.26085304255319153</v>
      </c>
      <c r="BI185" s="185">
        <v>0.27458215005599107</v>
      </c>
      <c r="BJ185" s="188">
        <f t="shared" si="122"/>
        <v>44650</v>
      </c>
      <c r="BK185" s="188">
        <f>SUM(BK186:BK195)</f>
        <v>12260.093000000001</v>
      </c>
      <c r="BL185" s="185">
        <f t="shared" si="159"/>
        <v>0.26085304255319153</v>
      </c>
      <c r="BM185" s="185">
        <f t="shared" si="133"/>
        <v>0.27458215005599107</v>
      </c>
      <c r="BN185" s="205">
        <f t="shared" si="116"/>
        <v>1426.4850000000006</v>
      </c>
      <c r="BO185" s="205"/>
      <c r="BP185" s="189">
        <f>SUM(BP186:BP195)</f>
        <v>0</v>
      </c>
      <c r="BQ185" s="186">
        <f t="shared" si="134"/>
        <v>0</v>
      </c>
      <c r="BR185" s="189">
        <f>SUM(BR186:BR195)</f>
        <v>0</v>
      </c>
      <c r="BS185" s="186">
        <f t="shared" si="160"/>
        <v>0</v>
      </c>
      <c r="BT185" s="189">
        <f>SUM(BT186:BT195)</f>
        <v>7000</v>
      </c>
      <c r="BU185" s="186">
        <f t="shared" si="123"/>
        <v>0.14893617021276595</v>
      </c>
      <c r="BV185" s="189">
        <f>SUM(BV186:BV195)</f>
        <v>7500</v>
      </c>
      <c r="BW185" s="186">
        <f t="shared" si="125"/>
        <v>0.15957446808510639</v>
      </c>
      <c r="BX185" s="189">
        <f>SUM(BX186:BX195)</f>
        <v>11500</v>
      </c>
      <c r="BY185" s="186">
        <f t="shared" si="126"/>
        <v>0.24468085106382978</v>
      </c>
      <c r="BZ185" s="189">
        <f>SUM(BZ186:BZ195)</f>
        <v>23438</v>
      </c>
      <c r="CA185" s="186">
        <f t="shared" si="127"/>
        <v>0.49868085106382981</v>
      </c>
      <c r="CB185" s="189">
        <f>SUM(CB186:CB195)</f>
        <v>31675</v>
      </c>
      <c r="CC185" s="186">
        <f t="shared" si="161"/>
        <v>0.67393617021276597</v>
      </c>
      <c r="CD185" s="189">
        <f>SUM(CD186:CD195)</f>
        <v>35925</v>
      </c>
      <c r="CE185" s="186">
        <f t="shared" si="161"/>
        <v>0.76436170212765953</v>
      </c>
      <c r="CF185" s="189">
        <f>SUM(CF186:CF195)</f>
        <v>43125</v>
      </c>
      <c r="CG185" s="186">
        <f t="shared" si="162"/>
        <v>0.91755319148936165</v>
      </c>
      <c r="CH185" s="189">
        <f>SUM(CH186:CH195)</f>
        <v>45125</v>
      </c>
      <c r="CI185" s="186">
        <f t="shared" si="162"/>
        <v>0.96010638297872342</v>
      </c>
      <c r="CJ185" s="189">
        <f>SUM(CJ186:CJ195)</f>
        <v>46375</v>
      </c>
      <c r="CK185" s="186">
        <f t="shared" si="163"/>
        <v>0.98670212765957444</v>
      </c>
      <c r="CL185" s="189">
        <f>SUM(CL186:CL195)</f>
        <v>46375</v>
      </c>
      <c r="CM185" s="186">
        <f t="shared" si="164"/>
        <v>0.98670212765957444</v>
      </c>
      <c r="CN185" s="189">
        <f>SUM(CN186:CN195)</f>
        <v>47025</v>
      </c>
      <c r="CO185" s="186">
        <f t="shared" si="165"/>
        <v>1.0005319148936169</v>
      </c>
      <c r="CP185" s="213" t="str">
        <f t="shared" si="135"/>
        <v>Không đạt</v>
      </c>
      <c r="CQ185" s="213" t="str">
        <f t="shared" si="136"/>
        <v>Không đạt</v>
      </c>
      <c r="CR185" s="192"/>
      <c r="CS185" s="192"/>
      <c r="CT185" s="223"/>
      <c r="CU185" s="163"/>
      <c r="CW185" s="195"/>
      <c r="CX185" s="196"/>
      <c r="CY185" s="196"/>
      <c r="CZ185" s="197"/>
      <c r="DA185" s="196"/>
      <c r="DB185" s="196"/>
      <c r="DC185" s="196"/>
      <c r="DE185" s="199"/>
      <c r="DF185" s="200"/>
      <c r="DG185" s="181"/>
    </row>
    <row r="186" spans="1:111" hidden="1" outlineLevel="1" x14ac:dyDescent="0.25">
      <c r="A186" s="192"/>
      <c r="B186" s="240" t="s">
        <v>254</v>
      </c>
      <c r="C186" s="240"/>
      <c r="D186" s="214">
        <f t="shared" si="114"/>
        <v>0</v>
      </c>
      <c r="E186" s="205"/>
      <c r="F186" s="214">
        <f t="shared" ref="F186:F195" si="167">G186+H186+K186+M186</f>
        <v>0</v>
      </c>
      <c r="G186" s="262"/>
      <c r="H186" s="262"/>
      <c r="I186" s="235"/>
      <c r="J186" s="235"/>
      <c r="K186" s="223"/>
      <c r="L186" s="235"/>
      <c r="M186" s="223"/>
      <c r="N186" s="223"/>
      <c r="O186" s="262">
        <f t="shared" si="140"/>
        <v>0</v>
      </c>
      <c r="P186" s="262">
        <v>0</v>
      </c>
      <c r="Q186" s="224" t="e">
        <f t="shared" si="121"/>
        <v>#DIV/0!</v>
      </c>
      <c r="R186" s="262"/>
      <c r="S186" s="225"/>
      <c r="T186" s="225" t="e">
        <v>#DIV/0!</v>
      </c>
      <c r="U186" s="262"/>
      <c r="V186" s="225"/>
      <c r="W186" s="225" t="e">
        <v>#DIV/0!</v>
      </c>
      <c r="X186" s="262"/>
      <c r="Y186" s="225"/>
      <c r="Z186" s="225" t="e">
        <v>#DIV/0!</v>
      </c>
      <c r="AA186" s="262"/>
      <c r="AB186" s="225"/>
      <c r="AC186" s="225" t="e">
        <v>#DIV/0!</v>
      </c>
      <c r="AD186" s="262"/>
      <c r="AE186" s="225"/>
      <c r="AF186" s="225" t="e">
        <v>#DIV/0!</v>
      </c>
      <c r="AG186" s="262"/>
      <c r="AH186" s="225"/>
      <c r="AI186" s="225" t="e">
        <v>#DIV/0!</v>
      </c>
      <c r="AJ186" s="257"/>
      <c r="AK186" s="225"/>
      <c r="AL186" s="225" t="e">
        <v>#DIV/0!</v>
      </c>
      <c r="AM186" s="262"/>
      <c r="AN186" s="225"/>
      <c r="AO186" s="225" t="e">
        <v>#DIV/0!</v>
      </c>
      <c r="AP186" s="225"/>
      <c r="AQ186" s="262"/>
      <c r="AR186" s="225"/>
      <c r="AS186" s="225" t="e">
        <v>#DIV/0!</v>
      </c>
      <c r="AT186" s="262"/>
      <c r="AU186" s="225"/>
      <c r="AV186" s="225" t="e">
        <v>#DIV/0!</v>
      </c>
      <c r="AW186" s="262"/>
      <c r="AX186" s="225"/>
      <c r="AY186" s="225" t="e">
        <v>#DIV/0!</v>
      </c>
      <c r="AZ186" s="262"/>
      <c r="BA186" s="225"/>
      <c r="BB186" s="225"/>
      <c r="BC186" s="262"/>
      <c r="BD186" s="225"/>
      <c r="BE186" s="225"/>
      <c r="BF186" s="262"/>
      <c r="BG186" s="262"/>
      <c r="BH186" s="225"/>
      <c r="BI186" s="225"/>
      <c r="BJ186" s="262">
        <f t="shared" si="122"/>
        <v>0</v>
      </c>
      <c r="BK186" s="262"/>
      <c r="BL186" s="225"/>
      <c r="BM186" s="225"/>
      <c r="BN186" s="205">
        <f t="shared" si="116"/>
        <v>0</v>
      </c>
      <c r="BO186" s="205"/>
      <c r="BP186" s="227"/>
      <c r="BQ186" s="224"/>
      <c r="BR186" s="227"/>
      <c r="BS186" s="224"/>
      <c r="BT186" s="227"/>
      <c r="BU186" s="224"/>
      <c r="BV186" s="227"/>
      <c r="BW186" s="224"/>
      <c r="BX186" s="227"/>
      <c r="BY186" s="224"/>
      <c r="BZ186" s="227"/>
      <c r="CA186" s="224"/>
      <c r="CB186" s="227"/>
      <c r="CC186" s="224"/>
      <c r="CD186" s="227"/>
      <c r="CE186" s="224"/>
      <c r="CF186" s="227"/>
      <c r="CG186" s="224"/>
      <c r="CH186" s="227"/>
      <c r="CI186" s="224"/>
      <c r="CJ186" s="227"/>
      <c r="CK186" s="224"/>
      <c r="CL186" s="227"/>
      <c r="CM186" s="224"/>
      <c r="CN186" s="227"/>
      <c r="CO186" s="224"/>
      <c r="CP186" s="213" t="str">
        <f t="shared" si="135"/>
        <v>Không đạt</v>
      </c>
      <c r="CQ186" s="213" t="str">
        <f t="shared" si="136"/>
        <v>Không đạt</v>
      </c>
      <c r="CR186" s="192"/>
      <c r="CS186" s="192"/>
      <c r="CT186" s="223"/>
      <c r="CU186" s="163"/>
      <c r="CW186" s="195"/>
      <c r="CX186" s="196"/>
      <c r="CY186" s="196"/>
      <c r="CZ186" s="197"/>
      <c r="DA186" s="196"/>
      <c r="DB186" s="196"/>
      <c r="DC186" s="196"/>
      <c r="DE186" s="199"/>
      <c r="DF186" s="200"/>
      <c r="DG186" s="181"/>
    </row>
    <row r="187" spans="1:111" hidden="1" outlineLevel="1" x14ac:dyDescent="0.25">
      <c r="A187" s="192">
        <f>MAX(A$183:$B186)+1</f>
        <v>31</v>
      </c>
      <c r="B187" s="222" t="s">
        <v>336</v>
      </c>
      <c r="C187" s="222"/>
      <c r="D187" s="214">
        <f>E187+F187</f>
        <v>7000</v>
      </c>
      <c r="E187" s="205"/>
      <c r="F187" s="214">
        <f>G187+H187+K187+M187</f>
        <v>7000</v>
      </c>
      <c r="G187" s="257"/>
      <c r="H187" s="257">
        <v>7000</v>
      </c>
      <c r="I187" s="235"/>
      <c r="J187" s="235"/>
      <c r="K187" s="223"/>
      <c r="L187" s="235"/>
      <c r="M187" s="223"/>
      <c r="N187" s="223"/>
      <c r="O187" s="257">
        <f>G187+I187+L187+N187</f>
        <v>0</v>
      </c>
      <c r="P187" s="257">
        <v>0</v>
      </c>
      <c r="Q187" s="224">
        <f>P187/$D187</f>
        <v>0</v>
      </c>
      <c r="R187" s="257"/>
      <c r="S187" s="225">
        <v>0</v>
      </c>
      <c r="T187" s="225">
        <v>0</v>
      </c>
      <c r="U187" s="257"/>
      <c r="V187" s="225">
        <v>0</v>
      </c>
      <c r="W187" s="225">
        <v>0</v>
      </c>
      <c r="X187" s="257"/>
      <c r="Y187" s="225">
        <v>0</v>
      </c>
      <c r="Z187" s="225">
        <v>0</v>
      </c>
      <c r="AA187" s="257"/>
      <c r="AB187" s="225">
        <v>0</v>
      </c>
      <c r="AC187" s="225">
        <v>0</v>
      </c>
      <c r="AD187" s="257"/>
      <c r="AE187" s="225">
        <v>0</v>
      </c>
      <c r="AF187" s="225">
        <v>0</v>
      </c>
      <c r="AG187" s="257"/>
      <c r="AH187" s="225">
        <v>0</v>
      </c>
      <c r="AI187" s="225">
        <v>0</v>
      </c>
      <c r="AJ187" s="257"/>
      <c r="AK187" s="225">
        <v>0</v>
      </c>
      <c r="AL187" s="225">
        <v>0</v>
      </c>
      <c r="AM187" s="257"/>
      <c r="AN187" s="225">
        <v>0</v>
      </c>
      <c r="AO187" s="225">
        <v>0</v>
      </c>
      <c r="AP187" s="225"/>
      <c r="AQ187" s="257"/>
      <c r="AR187" s="225">
        <v>0</v>
      </c>
      <c r="AS187" s="225">
        <v>0</v>
      </c>
      <c r="AT187" s="257"/>
      <c r="AU187" s="225">
        <v>0</v>
      </c>
      <c r="AV187" s="225">
        <v>0</v>
      </c>
      <c r="AW187" s="257"/>
      <c r="AX187" s="225">
        <v>0</v>
      </c>
      <c r="AY187" s="225">
        <v>0</v>
      </c>
      <c r="AZ187" s="257"/>
      <c r="BA187" s="225">
        <v>0</v>
      </c>
      <c r="BB187" s="225">
        <v>0</v>
      </c>
      <c r="BC187" s="257"/>
      <c r="BD187" s="225">
        <v>0</v>
      </c>
      <c r="BE187" s="225">
        <v>0</v>
      </c>
      <c r="BF187" s="257"/>
      <c r="BG187" s="257"/>
      <c r="BH187" s="225">
        <v>0</v>
      </c>
      <c r="BI187" s="225">
        <v>0</v>
      </c>
      <c r="BJ187" s="257">
        <f t="shared" si="122"/>
        <v>6650</v>
      </c>
      <c r="BK187" s="257"/>
      <c r="BL187" s="225">
        <f>BK187/$D187</f>
        <v>0</v>
      </c>
      <c r="BM187" s="225">
        <f>BK187/(E187+0.95*F187)</f>
        <v>0</v>
      </c>
      <c r="BN187" s="205">
        <f t="shared" si="116"/>
        <v>0</v>
      </c>
      <c r="BO187" s="205"/>
      <c r="BP187" s="227"/>
      <c r="BQ187" s="224">
        <f>BP187/$D187</f>
        <v>0</v>
      </c>
      <c r="BR187" s="227"/>
      <c r="BS187" s="224">
        <f>BR187/$D187</f>
        <v>0</v>
      </c>
      <c r="BT187" s="227"/>
      <c r="BU187" s="224">
        <f>BT187/$D187</f>
        <v>0</v>
      </c>
      <c r="BV187" s="227"/>
      <c r="BW187" s="224">
        <f>BV187/$D187</f>
        <v>0</v>
      </c>
      <c r="BX187" s="227">
        <v>1500</v>
      </c>
      <c r="BY187" s="224">
        <f>BX187/$D187</f>
        <v>0.21428571428571427</v>
      </c>
      <c r="BZ187" s="227">
        <v>1500</v>
      </c>
      <c r="CA187" s="224">
        <f>BZ187/$D187</f>
        <v>0.21428571428571427</v>
      </c>
      <c r="CB187" s="227">
        <v>4000</v>
      </c>
      <c r="CC187" s="224">
        <f>CB187/$D187</f>
        <v>0.5714285714285714</v>
      </c>
      <c r="CD187" s="227">
        <v>5000</v>
      </c>
      <c r="CE187" s="224">
        <f>CD187/$D187</f>
        <v>0.7142857142857143</v>
      </c>
      <c r="CF187" s="227">
        <f>CD187</f>
        <v>5000</v>
      </c>
      <c r="CG187" s="224">
        <f>CF187/$D187</f>
        <v>0.7142857142857143</v>
      </c>
      <c r="CH187" s="227">
        <v>6000</v>
      </c>
      <c r="CI187" s="224">
        <f>CH187/$D187</f>
        <v>0.8571428571428571</v>
      </c>
      <c r="CJ187" s="227">
        <f>CH187</f>
        <v>6000</v>
      </c>
      <c r="CK187" s="224">
        <f>CJ187/$D187</f>
        <v>0.8571428571428571</v>
      </c>
      <c r="CL187" s="227">
        <v>6000</v>
      </c>
      <c r="CM187" s="224">
        <f>CL187/$D187</f>
        <v>0.8571428571428571</v>
      </c>
      <c r="CN187" s="227">
        <f>F187*0.95</f>
        <v>6650</v>
      </c>
      <c r="CO187" s="224">
        <f>CN187/$D187</f>
        <v>0.95</v>
      </c>
      <c r="CP187" s="213" t="str">
        <f t="shared" si="135"/>
        <v>Không đạt</v>
      </c>
      <c r="CQ187" s="213" t="str">
        <f t="shared" si="136"/>
        <v>Không đạt</v>
      </c>
      <c r="CR187" s="192"/>
      <c r="CS187" s="192"/>
      <c r="CT187" s="223"/>
      <c r="CU187" s="163"/>
      <c r="CW187" s="195"/>
      <c r="CX187" s="196"/>
      <c r="CY187" s="196"/>
      <c r="CZ187" s="197"/>
      <c r="DA187" s="196"/>
      <c r="DB187" s="196"/>
      <c r="DC187" s="196"/>
      <c r="DE187" s="199"/>
      <c r="DF187" s="200"/>
      <c r="DG187" s="181"/>
    </row>
    <row r="188" spans="1:111" ht="38.25" hidden="1" outlineLevel="1" x14ac:dyDescent="0.25">
      <c r="A188" s="192">
        <f>MAX(A$183:$B187)+1</f>
        <v>32</v>
      </c>
      <c r="B188" s="222" t="s">
        <v>337</v>
      </c>
      <c r="C188" s="222">
        <v>7975831</v>
      </c>
      <c r="D188" s="214">
        <f>E188+F188</f>
        <v>11500</v>
      </c>
      <c r="E188" s="205"/>
      <c r="F188" s="214">
        <f>G188+H188+K188+M188</f>
        <v>11500</v>
      </c>
      <c r="G188" s="257"/>
      <c r="H188" s="257">
        <f>10000+1500</f>
        <v>11500</v>
      </c>
      <c r="I188" s="235">
        <v>110</v>
      </c>
      <c r="J188" s="257">
        <v>110</v>
      </c>
      <c r="K188" s="223"/>
      <c r="L188" s="235"/>
      <c r="M188" s="223"/>
      <c r="N188" s="223"/>
      <c r="O188" s="257">
        <f>G188+I188+L188+N188</f>
        <v>110</v>
      </c>
      <c r="P188" s="257">
        <v>0</v>
      </c>
      <c r="Q188" s="224">
        <f>P188/$D188</f>
        <v>0</v>
      </c>
      <c r="R188" s="257"/>
      <c r="S188" s="225">
        <v>0</v>
      </c>
      <c r="T188" s="225">
        <v>0</v>
      </c>
      <c r="U188" s="257"/>
      <c r="V188" s="225">
        <v>0</v>
      </c>
      <c r="W188" s="225">
        <v>0</v>
      </c>
      <c r="X188" s="257"/>
      <c r="Y188" s="225">
        <v>0</v>
      </c>
      <c r="Z188" s="225">
        <v>0</v>
      </c>
      <c r="AA188" s="257"/>
      <c r="AB188" s="225">
        <v>0</v>
      </c>
      <c r="AC188" s="225">
        <v>0</v>
      </c>
      <c r="AD188" s="257">
        <v>100</v>
      </c>
      <c r="AE188" s="225">
        <v>0.01</v>
      </c>
      <c r="AF188" s="225">
        <v>1.0526315789473684E-2</v>
      </c>
      <c r="AG188" s="257">
        <v>101.855</v>
      </c>
      <c r="AH188" s="225">
        <v>1.01855E-2</v>
      </c>
      <c r="AI188" s="225">
        <v>1.0721578947368422E-2</v>
      </c>
      <c r="AJ188" s="257">
        <v>101.855</v>
      </c>
      <c r="AK188" s="225">
        <v>1.01855E-2</v>
      </c>
      <c r="AL188" s="225">
        <v>1.0721578947368422E-2</v>
      </c>
      <c r="AM188" s="257">
        <v>101.855</v>
      </c>
      <c r="AN188" s="225">
        <v>1.01855E-2</v>
      </c>
      <c r="AO188" s="225">
        <v>1.0721578947368422E-2</v>
      </c>
      <c r="AP188" s="225"/>
      <c r="AQ188" s="257">
        <v>110</v>
      </c>
      <c r="AR188" s="225">
        <v>1.0999999999999999E-2</v>
      </c>
      <c r="AS188" s="225">
        <v>1.1578947368421053E-2</v>
      </c>
      <c r="AT188" s="257">
        <v>110</v>
      </c>
      <c r="AU188" s="225">
        <v>1.0999999999999999E-2</v>
      </c>
      <c r="AV188" s="225">
        <v>1.1578947368421053E-2</v>
      </c>
      <c r="AW188" s="257">
        <v>110</v>
      </c>
      <c r="AX188" s="225">
        <v>1.0999999999999999E-2</v>
      </c>
      <c r="AY188" s="225">
        <v>1.1578947368421053E-2</v>
      </c>
      <c r="AZ188" s="257">
        <v>110</v>
      </c>
      <c r="BA188" s="225">
        <v>1.0999999999999999E-2</v>
      </c>
      <c r="BB188" s="225">
        <v>1.1578947368421053E-2</v>
      </c>
      <c r="BC188" s="257">
        <v>110</v>
      </c>
      <c r="BD188" s="225">
        <v>1.0999999999999999E-2</v>
      </c>
      <c r="BE188" s="225">
        <v>1.1578947368421053E-2</v>
      </c>
      <c r="BF188" s="257">
        <v>818.36599999999999</v>
      </c>
      <c r="BG188" s="257">
        <v>818.36599999999999</v>
      </c>
      <c r="BH188" s="225">
        <v>7.1162260869565216E-2</v>
      </c>
      <c r="BI188" s="225">
        <v>7.4907643020594966E-2</v>
      </c>
      <c r="BJ188" s="257">
        <f t="shared" si="122"/>
        <v>10925</v>
      </c>
      <c r="BK188" s="257">
        <v>818.36599999999999</v>
      </c>
      <c r="BL188" s="225">
        <f>BK188/$D188</f>
        <v>7.1162260869565216E-2</v>
      </c>
      <c r="BM188" s="225">
        <f>BK188/(E188+0.95*F188)</f>
        <v>7.4907643020594966E-2</v>
      </c>
      <c r="BN188" s="205">
        <f t="shared" si="116"/>
        <v>718.36599999999999</v>
      </c>
      <c r="BO188" s="205"/>
      <c r="BP188" s="227"/>
      <c r="BQ188" s="224">
        <f>BP188/$D188</f>
        <v>0</v>
      </c>
      <c r="BR188" s="227"/>
      <c r="BS188" s="224">
        <f>BR188/$D188</f>
        <v>0</v>
      </c>
      <c r="BT188" s="227"/>
      <c r="BU188" s="224">
        <f>BT188/$D188</f>
        <v>0</v>
      </c>
      <c r="BV188" s="227"/>
      <c r="BW188" s="224">
        <f>BV188/$D188</f>
        <v>0</v>
      </c>
      <c r="BX188" s="227"/>
      <c r="BY188" s="224">
        <f>BX188/$D188</f>
        <v>0</v>
      </c>
      <c r="BZ188" s="227"/>
      <c r="CA188" s="224">
        <f>BZ188/$D188</f>
        <v>0</v>
      </c>
      <c r="CB188" s="227">
        <v>3000</v>
      </c>
      <c r="CC188" s="224">
        <f>CB188/$D188</f>
        <v>0.2608695652173913</v>
      </c>
      <c r="CD188" s="227">
        <v>6000</v>
      </c>
      <c r="CE188" s="224">
        <f>CD188/$D188</f>
        <v>0.52173913043478259</v>
      </c>
      <c r="CF188" s="227">
        <v>9500</v>
      </c>
      <c r="CG188" s="224">
        <f>CF188/$D188</f>
        <v>0.82608695652173914</v>
      </c>
      <c r="CH188" s="227">
        <f>CF188</f>
        <v>9500</v>
      </c>
      <c r="CI188" s="224">
        <f>CH188/$D188</f>
        <v>0.82608695652173914</v>
      </c>
      <c r="CJ188" s="227">
        <f>CH188</f>
        <v>9500</v>
      </c>
      <c r="CK188" s="224">
        <f>CJ188/$D188</f>
        <v>0.82608695652173914</v>
      </c>
      <c r="CL188" s="227">
        <f>CJ188</f>
        <v>9500</v>
      </c>
      <c r="CM188" s="224">
        <f>CL188/$D188</f>
        <v>0.82608695652173914</v>
      </c>
      <c r="CN188" s="227">
        <f>CL188</f>
        <v>9500</v>
      </c>
      <c r="CO188" s="224">
        <f>CN188/$D188</f>
        <v>0.82608695652173914</v>
      </c>
      <c r="CP188" s="213" t="str">
        <f t="shared" si="135"/>
        <v>Không đạt</v>
      </c>
      <c r="CQ188" s="213" t="str">
        <f t="shared" si="136"/>
        <v>Không đạt</v>
      </c>
      <c r="CR188" s="192"/>
      <c r="CS188" s="192"/>
      <c r="CT188" s="223"/>
      <c r="CU188" s="163"/>
      <c r="CW188" s="195"/>
      <c r="CX188" s="196"/>
      <c r="CY188" s="196"/>
      <c r="CZ188" s="197"/>
      <c r="DA188" s="196"/>
      <c r="DB188" s="196"/>
      <c r="DC188" s="196"/>
      <c r="DE188" s="199"/>
      <c r="DF188" s="200"/>
      <c r="DG188" s="181"/>
    </row>
    <row r="189" spans="1:111" hidden="1" outlineLevel="1" x14ac:dyDescent="0.25">
      <c r="A189" s="192">
        <f>MAX(A$183:$B188)+1</f>
        <v>33</v>
      </c>
      <c r="B189" s="222" t="s">
        <v>338</v>
      </c>
      <c r="C189" s="222">
        <v>7975827</v>
      </c>
      <c r="D189" s="214">
        <f>E189+F189</f>
        <v>10000</v>
      </c>
      <c r="E189" s="205"/>
      <c r="F189" s="214">
        <f>G189+H189+K189+M189</f>
        <v>10000</v>
      </c>
      <c r="G189" s="257"/>
      <c r="H189" s="257">
        <v>10000</v>
      </c>
      <c r="I189" s="235">
        <v>1234</v>
      </c>
      <c r="J189" s="257">
        <v>1233.6079999999999</v>
      </c>
      <c r="K189" s="223"/>
      <c r="L189" s="235"/>
      <c r="M189" s="223"/>
      <c r="N189" s="223"/>
      <c r="O189" s="257">
        <f>G189+I189+L189+N189</f>
        <v>1234</v>
      </c>
      <c r="P189" s="257">
        <v>1233.6079999999999</v>
      </c>
      <c r="Q189" s="224">
        <f>P189/$D189</f>
        <v>0.12336079999999999</v>
      </c>
      <c r="R189" s="257">
        <v>1233.6079999999999</v>
      </c>
      <c r="S189" s="225">
        <v>0.12336079999999999</v>
      </c>
      <c r="T189" s="225">
        <v>0.12985347368421052</v>
      </c>
      <c r="U189" s="257">
        <v>1233.6079999999999</v>
      </c>
      <c r="V189" s="225">
        <v>0.12336079999999999</v>
      </c>
      <c r="W189" s="225">
        <v>0.12985347368421052</v>
      </c>
      <c r="X189" s="257">
        <v>1233.6079999999999</v>
      </c>
      <c r="Y189" s="225">
        <v>0.12336079999999999</v>
      </c>
      <c r="Z189" s="225">
        <v>0.12985347368421052</v>
      </c>
      <c r="AA189" s="257">
        <v>1233.6079999999999</v>
      </c>
      <c r="AB189" s="225">
        <v>0.12336079999999999</v>
      </c>
      <c r="AC189" s="225">
        <v>0.12985347368421052</v>
      </c>
      <c r="AD189" s="257">
        <v>1233.6079999999999</v>
      </c>
      <c r="AE189" s="225">
        <v>0.12336079999999999</v>
      </c>
      <c r="AF189" s="225">
        <v>0.12985347368421052</v>
      </c>
      <c r="AG189" s="257">
        <v>1233.6079999999999</v>
      </c>
      <c r="AH189" s="225">
        <v>0.12336079999999999</v>
      </c>
      <c r="AI189" s="225">
        <v>0.12985347368421052</v>
      </c>
      <c r="AJ189" s="257">
        <v>1233.6079999999999</v>
      </c>
      <c r="AK189" s="225">
        <v>0.12336079999999999</v>
      </c>
      <c r="AL189" s="225">
        <v>0.12985347368421052</v>
      </c>
      <c r="AM189" s="257">
        <v>1233.6079999999999</v>
      </c>
      <c r="AN189" s="225">
        <v>0.12336079999999999</v>
      </c>
      <c r="AO189" s="225">
        <v>0.12985347368421052</v>
      </c>
      <c r="AP189" s="225"/>
      <c r="AQ189" s="257">
        <v>1233.6079999999999</v>
      </c>
      <c r="AR189" s="225">
        <v>0.12336079999999999</v>
      </c>
      <c r="AS189" s="225">
        <v>0.12985347368421052</v>
      </c>
      <c r="AT189" s="257">
        <v>1233.6079999999999</v>
      </c>
      <c r="AU189" s="225">
        <v>0.12336079999999999</v>
      </c>
      <c r="AV189" s="225">
        <v>0.12985347368421052</v>
      </c>
      <c r="AW189" s="257">
        <v>1233.6079999999999</v>
      </c>
      <c r="AX189" s="225">
        <v>0.12336079999999999</v>
      </c>
      <c r="AY189" s="225">
        <v>0.12985347368421052</v>
      </c>
      <c r="AZ189" s="257">
        <v>1233.6079999999999</v>
      </c>
      <c r="BA189" s="225">
        <v>0.12336079999999999</v>
      </c>
      <c r="BB189" s="225">
        <v>0.12985347368421052</v>
      </c>
      <c r="BC189" s="257">
        <v>1233.6079999999999</v>
      </c>
      <c r="BD189" s="225">
        <v>0.12336079999999999</v>
      </c>
      <c r="BE189" s="225">
        <v>0.12985347368421052</v>
      </c>
      <c r="BF189" s="257">
        <v>1941.7269999999999</v>
      </c>
      <c r="BG189" s="257">
        <v>1941.7269999999999</v>
      </c>
      <c r="BH189" s="225">
        <v>0.19417269999999998</v>
      </c>
      <c r="BI189" s="225">
        <v>0.20439231578947367</v>
      </c>
      <c r="BJ189" s="257">
        <f t="shared" si="122"/>
        <v>9500</v>
      </c>
      <c r="BK189" s="257">
        <v>1941.7269999999999</v>
      </c>
      <c r="BL189" s="225">
        <f>BK189/$D189</f>
        <v>0.19417269999999998</v>
      </c>
      <c r="BM189" s="225">
        <f>BK189/(E189+0.95*F189)</f>
        <v>0.20439231578947367</v>
      </c>
      <c r="BN189" s="205">
        <f t="shared" si="116"/>
        <v>708.11899999999991</v>
      </c>
      <c r="BO189" s="205"/>
      <c r="BP189" s="227"/>
      <c r="BQ189" s="224">
        <f>BP189/$D189</f>
        <v>0</v>
      </c>
      <c r="BR189" s="227"/>
      <c r="BS189" s="224">
        <f>BR189/$D189</f>
        <v>0</v>
      </c>
      <c r="BT189" s="227">
        <v>7000</v>
      </c>
      <c r="BU189" s="224">
        <f>BT189/$D189</f>
        <v>0.7</v>
      </c>
      <c r="BV189" s="227">
        <f>BT189</f>
        <v>7000</v>
      </c>
      <c r="BW189" s="224">
        <f>BV189/$D189</f>
        <v>0.7</v>
      </c>
      <c r="BX189" s="227">
        <f>BV189</f>
        <v>7000</v>
      </c>
      <c r="BY189" s="224">
        <f>BX189/$D189</f>
        <v>0.7</v>
      </c>
      <c r="BZ189" s="227">
        <f>BX189</f>
        <v>7000</v>
      </c>
      <c r="CA189" s="224">
        <f>BZ189/$D189</f>
        <v>0.7</v>
      </c>
      <c r="CB189" s="227">
        <f>BZ189+2000</f>
        <v>9000</v>
      </c>
      <c r="CC189" s="224">
        <f>CB189/$D189</f>
        <v>0.9</v>
      </c>
      <c r="CD189" s="227">
        <f>CB189</f>
        <v>9000</v>
      </c>
      <c r="CE189" s="224">
        <f>CD189/$D189</f>
        <v>0.9</v>
      </c>
      <c r="CF189" s="227">
        <f>CD189</f>
        <v>9000</v>
      </c>
      <c r="CG189" s="224">
        <f>CF189/$D189</f>
        <v>0.9</v>
      </c>
      <c r="CH189" s="227">
        <f>CF189</f>
        <v>9000</v>
      </c>
      <c r="CI189" s="224">
        <f>CH189/$D189</f>
        <v>0.9</v>
      </c>
      <c r="CJ189" s="227">
        <v>9500</v>
      </c>
      <c r="CK189" s="224">
        <f>CJ189/$D189</f>
        <v>0.95</v>
      </c>
      <c r="CL189" s="227">
        <f>CJ189</f>
        <v>9500</v>
      </c>
      <c r="CM189" s="224">
        <f>CL189/$D189</f>
        <v>0.95</v>
      </c>
      <c r="CN189" s="227">
        <f>CL189</f>
        <v>9500</v>
      </c>
      <c r="CO189" s="224">
        <f>CN189/$D189</f>
        <v>0.95</v>
      </c>
      <c r="CP189" s="213" t="str">
        <f t="shared" si="135"/>
        <v>Không đạt</v>
      </c>
      <c r="CQ189" s="213" t="str">
        <f t="shared" si="136"/>
        <v>Không đạt</v>
      </c>
      <c r="CR189" s="192"/>
      <c r="CS189" s="192"/>
      <c r="CT189" s="223"/>
      <c r="CU189" s="163"/>
      <c r="CW189" s="195"/>
      <c r="CX189" s="196"/>
      <c r="CY189" s="196"/>
      <c r="CZ189" s="197"/>
      <c r="DA189" s="196"/>
      <c r="DB189" s="196"/>
      <c r="DC189" s="196"/>
      <c r="DE189" s="199"/>
      <c r="DF189" s="200"/>
      <c r="DG189" s="181"/>
    </row>
    <row r="190" spans="1:111" ht="25.5" hidden="1" outlineLevel="1" x14ac:dyDescent="0.25">
      <c r="A190" s="192">
        <f>MAX(A$183:$B189)+1</f>
        <v>34</v>
      </c>
      <c r="B190" s="222" t="s">
        <v>339</v>
      </c>
      <c r="C190" s="222"/>
      <c r="D190" s="214">
        <f>E190+F190</f>
        <v>500</v>
      </c>
      <c r="E190" s="205"/>
      <c r="F190" s="214">
        <f>G190+H190+K190+M190</f>
        <v>500</v>
      </c>
      <c r="G190" s="257"/>
      <c r="H190" s="257">
        <v>500</v>
      </c>
      <c r="I190" s="235"/>
      <c r="J190" s="235"/>
      <c r="K190" s="223"/>
      <c r="L190" s="235"/>
      <c r="M190" s="223"/>
      <c r="N190" s="223"/>
      <c r="O190" s="257">
        <f>G190+I190+L190+N190</f>
        <v>0</v>
      </c>
      <c r="P190" s="257">
        <v>0</v>
      </c>
      <c r="Q190" s="224">
        <f>P190/$D190</f>
        <v>0</v>
      </c>
      <c r="R190" s="257"/>
      <c r="S190" s="225">
        <v>0</v>
      </c>
      <c r="T190" s="225">
        <v>0</v>
      </c>
      <c r="U190" s="257"/>
      <c r="V190" s="225">
        <v>0</v>
      </c>
      <c r="W190" s="225">
        <v>0</v>
      </c>
      <c r="X190" s="257"/>
      <c r="Y190" s="225">
        <v>0</v>
      </c>
      <c r="Z190" s="225">
        <v>0</v>
      </c>
      <c r="AA190" s="257"/>
      <c r="AB190" s="225">
        <v>0</v>
      </c>
      <c r="AC190" s="225">
        <v>0</v>
      </c>
      <c r="AD190" s="257"/>
      <c r="AE190" s="225">
        <v>0</v>
      </c>
      <c r="AF190" s="225">
        <v>0</v>
      </c>
      <c r="AG190" s="257"/>
      <c r="AH190" s="225">
        <v>0</v>
      </c>
      <c r="AI190" s="225">
        <v>0</v>
      </c>
      <c r="AJ190" s="262"/>
      <c r="AK190" s="225">
        <v>0</v>
      </c>
      <c r="AL190" s="225">
        <v>0</v>
      </c>
      <c r="AM190" s="257"/>
      <c r="AN190" s="225">
        <v>0</v>
      </c>
      <c r="AO190" s="225">
        <v>0</v>
      </c>
      <c r="AP190" s="225"/>
      <c r="AQ190" s="257"/>
      <c r="AR190" s="225">
        <v>0</v>
      </c>
      <c r="AS190" s="225">
        <v>0</v>
      </c>
      <c r="AT190" s="257"/>
      <c r="AU190" s="225">
        <v>0</v>
      </c>
      <c r="AV190" s="225">
        <v>0</v>
      </c>
      <c r="AW190" s="257"/>
      <c r="AX190" s="225">
        <v>0</v>
      </c>
      <c r="AY190" s="225">
        <v>0</v>
      </c>
      <c r="AZ190" s="257"/>
      <c r="BA190" s="225">
        <v>0</v>
      </c>
      <c r="BB190" s="225">
        <v>0</v>
      </c>
      <c r="BC190" s="257"/>
      <c r="BD190" s="225">
        <v>0</v>
      </c>
      <c r="BE190" s="225">
        <v>0</v>
      </c>
      <c r="BF190" s="257"/>
      <c r="BG190" s="257"/>
      <c r="BH190" s="225">
        <v>0</v>
      </c>
      <c r="BI190" s="225">
        <v>0</v>
      </c>
      <c r="BJ190" s="257">
        <f t="shared" si="122"/>
        <v>475</v>
      </c>
      <c r="BK190" s="257"/>
      <c r="BL190" s="225">
        <f>BK190/$D190</f>
        <v>0</v>
      </c>
      <c r="BM190" s="225">
        <f>BK190/(E190+0.95*F190)</f>
        <v>0</v>
      </c>
      <c r="BN190" s="205">
        <f t="shared" si="116"/>
        <v>0</v>
      </c>
      <c r="BO190" s="205"/>
      <c r="BP190" s="227"/>
      <c r="BQ190" s="224">
        <f>BP190/$D190</f>
        <v>0</v>
      </c>
      <c r="BR190" s="227"/>
      <c r="BS190" s="224">
        <f>BR190/$D190</f>
        <v>0</v>
      </c>
      <c r="BT190" s="227"/>
      <c r="BU190" s="224">
        <f>BT190/$D190</f>
        <v>0</v>
      </c>
      <c r="BV190" s="227"/>
      <c r="BW190" s="224">
        <f>BV190/$D190</f>
        <v>0</v>
      </c>
      <c r="BX190" s="227"/>
      <c r="BY190" s="224">
        <f>BX190/$D190</f>
        <v>0</v>
      </c>
      <c r="BZ190" s="227">
        <v>238</v>
      </c>
      <c r="CA190" s="224">
        <f>BZ190/$D190</f>
        <v>0.47599999999999998</v>
      </c>
      <c r="CB190" s="227">
        <f>500*0.95</f>
        <v>475</v>
      </c>
      <c r="CC190" s="224">
        <f>CB190/$D190</f>
        <v>0.95</v>
      </c>
      <c r="CD190" s="227">
        <f>500*0.95</f>
        <v>475</v>
      </c>
      <c r="CE190" s="224">
        <f>CD190/$D190</f>
        <v>0.95</v>
      </c>
      <c r="CF190" s="227">
        <f>500*0.95</f>
        <v>475</v>
      </c>
      <c r="CG190" s="224">
        <f>CF190/$D190</f>
        <v>0.95</v>
      </c>
      <c r="CH190" s="227">
        <f>500*0.95</f>
        <v>475</v>
      </c>
      <c r="CI190" s="224">
        <f>CH190/$D190</f>
        <v>0.95</v>
      </c>
      <c r="CJ190" s="227">
        <f>500*0.95</f>
        <v>475</v>
      </c>
      <c r="CK190" s="224">
        <f>CJ190/$D190</f>
        <v>0.95</v>
      </c>
      <c r="CL190" s="227">
        <f>500*0.95</f>
        <v>475</v>
      </c>
      <c r="CM190" s="224">
        <f>CL190/$D190</f>
        <v>0.95</v>
      </c>
      <c r="CN190" s="227">
        <f>500*0.95</f>
        <v>475</v>
      </c>
      <c r="CO190" s="224">
        <f>CN190/$D190</f>
        <v>0.95</v>
      </c>
      <c r="CP190" s="213" t="str">
        <f t="shared" si="135"/>
        <v>Không đạt</v>
      </c>
      <c r="CQ190" s="213" t="str">
        <f t="shared" si="136"/>
        <v>Không đạt</v>
      </c>
      <c r="CR190" s="192"/>
      <c r="CS190" s="192"/>
      <c r="CT190" s="223"/>
      <c r="CU190" s="163"/>
      <c r="CW190" s="195"/>
      <c r="CX190" s="196"/>
      <c r="CY190" s="196"/>
      <c r="CZ190" s="197"/>
      <c r="DA190" s="196"/>
      <c r="DB190" s="196"/>
      <c r="DC190" s="196"/>
      <c r="DE190" s="199"/>
      <c r="DF190" s="200"/>
      <c r="DG190" s="181"/>
    </row>
    <row r="191" spans="1:111" hidden="1" outlineLevel="1" x14ac:dyDescent="0.25">
      <c r="A191" s="192">
        <f>MAX(A$183:$B190)+1</f>
        <v>35</v>
      </c>
      <c r="B191" s="240" t="s">
        <v>200</v>
      </c>
      <c r="C191" s="240"/>
      <c r="D191" s="214">
        <f t="shared" si="114"/>
        <v>0</v>
      </c>
      <c r="E191" s="205"/>
      <c r="F191" s="214">
        <f t="shared" si="167"/>
        <v>0</v>
      </c>
      <c r="G191" s="262"/>
      <c r="H191" s="262"/>
      <c r="I191" s="235"/>
      <c r="J191" s="235"/>
      <c r="K191" s="223"/>
      <c r="L191" s="235"/>
      <c r="M191" s="223"/>
      <c r="N191" s="223"/>
      <c r="O191" s="262">
        <f t="shared" si="140"/>
        <v>0</v>
      </c>
      <c r="P191" s="262">
        <v>0</v>
      </c>
      <c r="Q191" s="224" t="e">
        <f t="shared" si="121"/>
        <v>#DIV/0!</v>
      </c>
      <c r="R191" s="262"/>
      <c r="S191" s="225"/>
      <c r="T191" s="225" t="e">
        <v>#DIV/0!</v>
      </c>
      <c r="U191" s="262"/>
      <c r="V191" s="225"/>
      <c r="W191" s="225" t="e">
        <v>#DIV/0!</v>
      </c>
      <c r="X191" s="262"/>
      <c r="Y191" s="225"/>
      <c r="Z191" s="225" t="e">
        <v>#DIV/0!</v>
      </c>
      <c r="AA191" s="262"/>
      <c r="AB191" s="225"/>
      <c r="AC191" s="225" t="e">
        <v>#DIV/0!</v>
      </c>
      <c r="AD191" s="262"/>
      <c r="AE191" s="225"/>
      <c r="AF191" s="225" t="e">
        <v>#DIV/0!</v>
      </c>
      <c r="AG191" s="262"/>
      <c r="AH191" s="225"/>
      <c r="AI191" s="225" t="e">
        <v>#DIV/0!</v>
      </c>
      <c r="AJ191" s="257"/>
      <c r="AK191" s="225"/>
      <c r="AL191" s="225" t="e">
        <v>#DIV/0!</v>
      </c>
      <c r="AM191" s="262"/>
      <c r="AN191" s="225"/>
      <c r="AO191" s="225" t="e">
        <v>#DIV/0!</v>
      </c>
      <c r="AP191" s="225"/>
      <c r="AQ191" s="262"/>
      <c r="AR191" s="225"/>
      <c r="AS191" s="225" t="e">
        <v>#DIV/0!</v>
      </c>
      <c r="AT191" s="262"/>
      <c r="AU191" s="225"/>
      <c r="AV191" s="225" t="e">
        <v>#DIV/0!</v>
      </c>
      <c r="AW191" s="262"/>
      <c r="AX191" s="225"/>
      <c r="AY191" s="225" t="e">
        <v>#DIV/0!</v>
      </c>
      <c r="AZ191" s="262"/>
      <c r="BA191" s="225"/>
      <c r="BB191" s="225"/>
      <c r="BC191" s="262"/>
      <c r="BD191" s="225"/>
      <c r="BE191" s="225"/>
      <c r="BF191" s="262"/>
      <c r="BG191" s="262"/>
      <c r="BH191" s="225"/>
      <c r="BI191" s="225"/>
      <c r="BJ191" s="262">
        <f t="shared" si="122"/>
        <v>0</v>
      </c>
      <c r="BK191" s="262"/>
      <c r="BL191" s="225"/>
      <c r="BM191" s="225"/>
      <c r="BN191" s="205">
        <f t="shared" si="116"/>
        <v>0</v>
      </c>
      <c r="BO191" s="205"/>
      <c r="BP191" s="227"/>
      <c r="BQ191" s="224"/>
      <c r="BR191" s="227"/>
      <c r="BS191" s="224"/>
      <c r="BT191" s="227"/>
      <c r="BU191" s="224"/>
      <c r="BV191" s="227"/>
      <c r="BW191" s="224"/>
      <c r="BX191" s="227"/>
      <c r="BY191" s="224"/>
      <c r="BZ191" s="227"/>
      <c r="CA191" s="224"/>
      <c r="CB191" s="227"/>
      <c r="CC191" s="224"/>
      <c r="CD191" s="227"/>
      <c r="CE191" s="224"/>
      <c r="CF191" s="227"/>
      <c r="CG191" s="224"/>
      <c r="CH191" s="227"/>
      <c r="CI191" s="224"/>
      <c r="CJ191" s="227"/>
      <c r="CK191" s="224"/>
      <c r="CL191" s="227"/>
      <c r="CM191" s="224"/>
      <c r="CN191" s="227"/>
      <c r="CO191" s="224"/>
      <c r="CP191" s="213" t="str">
        <f t="shared" si="135"/>
        <v>Không đạt</v>
      </c>
      <c r="CQ191" s="213" t="str">
        <f t="shared" si="136"/>
        <v>Không đạt</v>
      </c>
      <c r="CR191" s="192"/>
      <c r="CS191" s="192"/>
      <c r="CT191" s="223"/>
      <c r="CU191" s="163"/>
      <c r="CW191" s="195"/>
      <c r="CX191" s="196"/>
      <c r="CY191" s="196"/>
      <c r="CZ191" s="197"/>
      <c r="DA191" s="196"/>
      <c r="DB191" s="196"/>
      <c r="DC191" s="196"/>
      <c r="DE191" s="199"/>
      <c r="DF191" s="200"/>
      <c r="DG191" s="181"/>
    </row>
    <row r="192" spans="1:111" ht="25.5" hidden="1" outlineLevel="1" x14ac:dyDescent="0.25">
      <c r="A192" s="192">
        <f>MAX(A$183:$B191)+1</f>
        <v>36</v>
      </c>
      <c r="B192" s="222" t="s">
        <v>340</v>
      </c>
      <c r="C192" s="222">
        <v>8096717</v>
      </c>
      <c r="D192" s="214">
        <f t="shared" si="114"/>
        <v>10000</v>
      </c>
      <c r="E192" s="205"/>
      <c r="F192" s="214">
        <f t="shared" si="167"/>
        <v>10000</v>
      </c>
      <c r="G192" s="257">
        <v>10000</v>
      </c>
      <c r="H192" s="257"/>
      <c r="I192" s="235"/>
      <c r="J192" s="235"/>
      <c r="K192" s="223"/>
      <c r="L192" s="235"/>
      <c r="M192" s="223"/>
      <c r="N192" s="223"/>
      <c r="O192" s="257">
        <f t="shared" si="140"/>
        <v>10000</v>
      </c>
      <c r="P192" s="257">
        <v>9350.5947479999995</v>
      </c>
      <c r="Q192" s="224">
        <f t="shared" si="121"/>
        <v>0.93505947479999996</v>
      </c>
      <c r="R192" s="257">
        <v>9355.1567350000005</v>
      </c>
      <c r="S192" s="225">
        <v>0.93551567350000009</v>
      </c>
      <c r="T192" s="225">
        <v>0.9847533405263158</v>
      </c>
      <c r="U192" s="257">
        <v>9500</v>
      </c>
      <c r="V192" s="225">
        <v>0.95</v>
      </c>
      <c r="W192" s="225">
        <v>1</v>
      </c>
      <c r="X192" s="257">
        <v>9500</v>
      </c>
      <c r="Y192" s="225">
        <v>0.95</v>
      </c>
      <c r="Z192" s="225">
        <v>1</v>
      </c>
      <c r="AA192" s="257">
        <v>9500</v>
      </c>
      <c r="AB192" s="225">
        <v>0.95</v>
      </c>
      <c r="AC192" s="225">
        <v>1</v>
      </c>
      <c r="AD192" s="257">
        <v>9500</v>
      </c>
      <c r="AE192" s="225">
        <v>0.95</v>
      </c>
      <c r="AF192" s="225">
        <v>1</v>
      </c>
      <c r="AG192" s="257">
        <v>9500</v>
      </c>
      <c r="AH192" s="225">
        <v>0.95</v>
      </c>
      <c r="AI192" s="225">
        <v>1</v>
      </c>
      <c r="AJ192" s="262">
        <v>9500</v>
      </c>
      <c r="AK192" s="225">
        <v>0.95</v>
      </c>
      <c r="AL192" s="225">
        <v>1</v>
      </c>
      <c r="AM192" s="257">
        <v>9500</v>
      </c>
      <c r="AN192" s="225">
        <v>0.95</v>
      </c>
      <c r="AO192" s="225">
        <v>1</v>
      </c>
      <c r="AP192" s="225"/>
      <c r="AQ192" s="257">
        <v>9500</v>
      </c>
      <c r="AR192" s="225">
        <v>0.95</v>
      </c>
      <c r="AS192" s="225">
        <v>1</v>
      </c>
      <c r="AT192" s="257">
        <v>9500</v>
      </c>
      <c r="AU192" s="225">
        <v>0.95</v>
      </c>
      <c r="AV192" s="225">
        <v>1</v>
      </c>
      <c r="AW192" s="257">
        <v>9500</v>
      </c>
      <c r="AX192" s="225">
        <v>0.95</v>
      </c>
      <c r="AY192" s="225">
        <v>1</v>
      </c>
      <c r="AZ192" s="257">
        <v>9500</v>
      </c>
      <c r="BA192" s="225">
        <v>0.95</v>
      </c>
      <c r="BB192" s="225">
        <v>1</v>
      </c>
      <c r="BC192" s="257">
        <v>9500</v>
      </c>
      <c r="BD192" s="225">
        <v>0.95</v>
      </c>
      <c r="BE192" s="225">
        <v>1</v>
      </c>
      <c r="BF192" s="257"/>
      <c r="BG192" s="257">
        <v>9500</v>
      </c>
      <c r="BH192" s="225">
        <v>0.95</v>
      </c>
      <c r="BI192" s="225">
        <v>1</v>
      </c>
      <c r="BJ192" s="257">
        <f t="shared" si="122"/>
        <v>9500</v>
      </c>
      <c r="BK192" s="257">
        <v>9500</v>
      </c>
      <c r="BL192" s="225">
        <f>BK192/$D192</f>
        <v>0.95</v>
      </c>
      <c r="BM192" s="225">
        <f t="shared" si="133"/>
        <v>1</v>
      </c>
      <c r="BN192" s="205">
        <f t="shared" si="116"/>
        <v>0</v>
      </c>
      <c r="BO192" s="205"/>
      <c r="BP192" s="227"/>
      <c r="BQ192" s="224">
        <f>BP192/$D192</f>
        <v>0</v>
      </c>
      <c r="BR192" s="227"/>
      <c r="BS192" s="224">
        <f>BR192/$D192</f>
        <v>0</v>
      </c>
      <c r="BT192" s="227">
        <v>0</v>
      </c>
      <c r="BU192" s="224">
        <f>BT192/$D192</f>
        <v>0</v>
      </c>
      <c r="BV192" s="227"/>
      <c r="BW192" s="224">
        <f>BV192/$D192</f>
        <v>0</v>
      </c>
      <c r="BX192" s="227">
        <v>2000</v>
      </c>
      <c r="BY192" s="224">
        <f>BX192/$D192</f>
        <v>0.2</v>
      </c>
      <c r="BZ192" s="227">
        <v>9500</v>
      </c>
      <c r="CA192" s="224">
        <f>BZ192/$D192</f>
        <v>0.95</v>
      </c>
      <c r="CB192" s="227">
        <f>BZ192</f>
        <v>9500</v>
      </c>
      <c r="CC192" s="224">
        <f>CB192/$D192</f>
        <v>0.95</v>
      </c>
      <c r="CD192" s="227">
        <f>CB192</f>
        <v>9500</v>
      </c>
      <c r="CE192" s="224">
        <f>CD192/$D192</f>
        <v>0.95</v>
      </c>
      <c r="CF192" s="227">
        <f>CD192</f>
        <v>9500</v>
      </c>
      <c r="CG192" s="224">
        <f>CF192/$D192</f>
        <v>0.95</v>
      </c>
      <c r="CH192" s="227">
        <f>CF192</f>
        <v>9500</v>
      </c>
      <c r="CI192" s="224">
        <f>CH192/$D192</f>
        <v>0.95</v>
      </c>
      <c r="CJ192" s="227">
        <f>CH192</f>
        <v>9500</v>
      </c>
      <c r="CK192" s="224">
        <f>CJ192/$D192</f>
        <v>0.95</v>
      </c>
      <c r="CL192" s="227">
        <f>CJ192</f>
        <v>9500</v>
      </c>
      <c r="CM192" s="224">
        <f>CL192/$D192</f>
        <v>0.95</v>
      </c>
      <c r="CN192" s="227">
        <f>CL192</f>
        <v>9500</v>
      </c>
      <c r="CO192" s="224">
        <f>CN192/$D192</f>
        <v>0.95</v>
      </c>
      <c r="CP192" s="213" t="str">
        <f t="shared" si="135"/>
        <v>Đạt</v>
      </c>
      <c r="CQ192" s="213" t="str">
        <f t="shared" si="136"/>
        <v>Đạt</v>
      </c>
      <c r="CR192" s="192"/>
      <c r="CS192" s="192"/>
      <c r="CT192" s="223"/>
      <c r="CU192" s="163"/>
      <c r="CW192" s="195"/>
      <c r="CX192" s="196"/>
      <c r="CY192" s="196"/>
      <c r="CZ192" s="197"/>
      <c r="DA192" s="196"/>
      <c r="DB192" s="196"/>
      <c r="DC192" s="196"/>
      <c r="DE192" s="199"/>
      <c r="DF192" s="200"/>
      <c r="DG192" s="181"/>
    </row>
    <row r="193" spans="1:111" hidden="1" outlineLevel="1" x14ac:dyDescent="0.25">
      <c r="A193" s="192"/>
      <c r="B193" s="240" t="s">
        <v>245</v>
      </c>
      <c r="C193" s="240"/>
      <c r="D193" s="214">
        <f t="shared" si="114"/>
        <v>0</v>
      </c>
      <c r="E193" s="205"/>
      <c r="F193" s="214">
        <f t="shared" si="167"/>
        <v>0</v>
      </c>
      <c r="G193" s="262"/>
      <c r="H193" s="262"/>
      <c r="I193" s="235"/>
      <c r="J193" s="235"/>
      <c r="K193" s="223"/>
      <c r="L193" s="235"/>
      <c r="M193" s="223"/>
      <c r="N193" s="223"/>
      <c r="O193" s="262">
        <f t="shared" si="140"/>
        <v>0</v>
      </c>
      <c r="P193" s="262">
        <v>0</v>
      </c>
      <c r="Q193" s="224" t="e">
        <f t="shared" si="121"/>
        <v>#DIV/0!</v>
      </c>
      <c r="R193" s="262"/>
      <c r="S193" s="225"/>
      <c r="T193" s="225" t="e">
        <v>#DIV/0!</v>
      </c>
      <c r="U193" s="262"/>
      <c r="V193" s="225"/>
      <c r="W193" s="225" t="e">
        <v>#DIV/0!</v>
      </c>
      <c r="X193" s="262"/>
      <c r="Y193" s="225"/>
      <c r="Z193" s="225" t="e">
        <v>#DIV/0!</v>
      </c>
      <c r="AA193" s="262"/>
      <c r="AB193" s="225"/>
      <c r="AC193" s="225" t="e">
        <v>#DIV/0!</v>
      </c>
      <c r="AD193" s="262"/>
      <c r="AE193" s="225"/>
      <c r="AF193" s="225" t="e">
        <v>#DIV/0!</v>
      </c>
      <c r="AG193" s="262"/>
      <c r="AH193" s="225"/>
      <c r="AI193" s="225" t="e">
        <v>#DIV/0!</v>
      </c>
      <c r="AJ193" s="257"/>
      <c r="AK193" s="225"/>
      <c r="AL193" s="225" t="e">
        <v>#DIV/0!</v>
      </c>
      <c r="AM193" s="262"/>
      <c r="AN193" s="225"/>
      <c r="AO193" s="225" t="e">
        <v>#DIV/0!</v>
      </c>
      <c r="AP193" s="225"/>
      <c r="AQ193" s="262"/>
      <c r="AR193" s="225"/>
      <c r="AS193" s="225" t="e">
        <v>#DIV/0!</v>
      </c>
      <c r="AT193" s="262"/>
      <c r="AU193" s="225"/>
      <c r="AV193" s="225" t="e">
        <v>#DIV/0!</v>
      </c>
      <c r="AW193" s="262"/>
      <c r="AX193" s="225"/>
      <c r="AY193" s="225" t="e">
        <v>#DIV/0!</v>
      </c>
      <c r="AZ193" s="262"/>
      <c r="BA193" s="225"/>
      <c r="BB193" s="225"/>
      <c r="BC193" s="262"/>
      <c r="BD193" s="225"/>
      <c r="BE193" s="225"/>
      <c r="BF193" s="262"/>
      <c r="BG193" s="262"/>
      <c r="BH193" s="225"/>
      <c r="BI193" s="225"/>
      <c r="BJ193" s="262">
        <f t="shared" si="122"/>
        <v>0</v>
      </c>
      <c r="BK193" s="262"/>
      <c r="BL193" s="225"/>
      <c r="BM193" s="225"/>
      <c r="BN193" s="205">
        <f t="shared" si="116"/>
        <v>0</v>
      </c>
      <c r="BO193" s="205"/>
      <c r="BP193" s="227"/>
      <c r="BQ193" s="224"/>
      <c r="BR193" s="227"/>
      <c r="BS193" s="224"/>
      <c r="BT193" s="227"/>
      <c r="BU193" s="224"/>
      <c r="BV193" s="227"/>
      <c r="BW193" s="224"/>
      <c r="BX193" s="227"/>
      <c r="BY193" s="224"/>
      <c r="BZ193" s="227"/>
      <c r="CA193" s="224"/>
      <c r="CB193" s="227"/>
      <c r="CC193" s="224"/>
      <c r="CD193" s="227"/>
      <c r="CE193" s="224"/>
      <c r="CF193" s="227"/>
      <c r="CG193" s="224"/>
      <c r="CH193" s="227"/>
      <c r="CI193" s="224"/>
      <c r="CJ193" s="227"/>
      <c r="CK193" s="224"/>
      <c r="CL193" s="227"/>
      <c r="CM193" s="224"/>
      <c r="CN193" s="227"/>
      <c r="CO193" s="224"/>
      <c r="CP193" s="213" t="str">
        <f t="shared" si="135"/>
        <v>Không đạt</v>
      </c>
      <c r="CQ193" s="213" t="str">
        <f t="shared" si="136"/>
        <v>Không đạt</v>
      </c>
      <c r="CR193" s="192"/>
      <c r="CS193" s="192"/>
      <c r="CT193" s="223"/>
      <c r="CU193" s="163"/>
      <c r="CW193" s="195"/>
      <c r="CX193" s="196"/>
      <c r="CY193" s="196"/>
      <c r="CZ193" s="197"/>
      <c r="DA193" s="196"/>
      <c r="DB193" s="196"/>
      <c r="DC193" s="196"/>
      <c r="DE193" s="199"/>
      <c r="DF193" s="200"/>
      <c r="DG193" s="181"/>
    </row>
    <row r="194" spans="1:111" ht="25.15" hidden="1" customHeight="1" outlineLevel="1" x14ac:dyDescent="0.25">
      <c r="A194" s="192">
        <f>MAX(A$183:$B193)+1</f>
        <v>37</v>
      </c>
      <c r="B194" s="222" t="s">
        <v>341</v>
      </c>
      <c r="C194" s="222"/>
      <c r="D194" s="214">
        <f t="shared" si="114"/>
        <v>5000</v>
      </c>
      <c r="E194" s="205"/>
      <c r="F194" s="214">
        <f t="shared" si="167"/>
        <v>5000</v>
      </c>
      <c r="G194" s="257"/>
      <c r="H194" s="257">
        <f>3000+2000</f>
        <v>5000</v>
      </c>
      <c r="I194" s="235"/>
      <c r="J194" s="235"/>
      <c r="K194" s="223"/>
      <c r="L194" s="235"/>
      <c r="M194" s="223"/>
      <c r="N194" s="223"/>
      <c r="O194" s="257">
        <f t="shared" si="140"/>
        <v>0</v>
      </c>
      <c r="P194" s="257">
        <v>0</v>
      </c>
      <c r="Q194" s="224">
        <f t="shared" si="121"/>
        <v>0</v>
      </c>
      <c r="R194" s="257"/>
      <c r="S194" s="225">
        <v>0</v>
      </c>
      <c r="T194" s="225">
        <v>0</v>
      </c>
      <c r="U194" s="257"/>
      <c r="V194" s="225">
        <v>0</v>
      </c>
      <c r="W194" s="225">
        <v>0</v>
      </c>
      <c r="X194" s="257"/>
      <c r="Y194" s="225">
        <v>0</v>
      </c>
      <c r="Z194" s="225">
        <v>0</v>
      </c>
      <c r="AA194" s="257"/>
      <c r="AB194" s="225">
        <v>0</v>
      </c>
      <c r="AC194" s="225">
        <v>0</v>
      </c>
      <c r="AD194" s="257"/>
      <c r="AE194" s="225">
        <v>0</v>
      </c>
      <c r="AF194" s="225">
        <v>0</v>
      </c>
      <c r="AG194" s="257"/>
      <c r="AH194" s="225">
        <v>0</v>
      </c>
      <c r="AI194" s="225">
        <v>0</v>
      </c>
      <c r="AJ194" s="257"/>
      <c r="AK194" s="225">
        <v>0</v>
      </c>
      <c r="AL194" s="225">
        <v>0</v>
      </c>
      <c r="AM194" s="257"/>
      <c r="AN194" s="225">
        <v>0</v>
      </c>
      <c r="AO194" s="225">
        <v>0</v>
      </c>
      <c r="AP194" s="225"/>
      <c r="AQ194" s="257"/>
      <c r="AR194" s="225">
        <v>0</v>
      </c>
      <c r="AS194" s="225">
        <v>0</v>
      </c>
      <c r="AT194" s="257"/>
      <c r="AU194" s="225">
        <v>0</v>
      </c>
      <c r="AV194" s="225">
        <v>0</v>
      </c>
      <c r="AW194" s="257"/>
      <c r="AX194" s="225">
        <v>0</v>
      </c>
      <c r="AY194" s="225">
        <v>0</v>
      </c>
      <c r="AZ194" s="257"/>
      <c r="BA194" s="225">
        <v>0</v>
      </c>
      <c r="BB194" s="225">
        <v>0</v>
      </c>
      <c r="BC194" s="257"/>
      <c r="BD194" s="225">
        <v>0</v>
      </c>
      <c r="BE194" s="225">
        <v>0</v>
      </c>
      <c r="BF194" s="257"/>
      <c r="BG194" s="257"/>
      <c r="BH194" s="225">
        <v>0</v>
      </c>
      <c r="BI194" s="225">
        <v>0</v>
      </c>
      <c r="BJ194" s="257">
        <f t="shared" si="122"/>
        <v>4750</v>
      </c>
      <c r="BK194" s="257"/>
      <c r="BL194" s="225">
        <f t="shared" ref="BL194:BL217" si="168">BK194/$D194</f>
        <v>0</v>
      </c>
      <c r="BM194" s="225">
        <f t="shared" si="133"/>
        <v>0</v>
      </c>
      <c r="BN194" s="205">
        <f t="shared" si="116"/>
        <v>0</v>
      </c>
      <c r="BO194" s="205"/>
      <c r="BP194" s="227"/>
      <c r="BQ194" s="224">
        <f>BP194/$D194</f>
        <v>0</v>
      </c>
      <c r="BR194" s="227"/>
      <c r="BS194" s="224">
        <f t="shared" ref="BS194:BT217" si="169">BR194/$D194</f>
        <v>0</v>
      </c>
      <c r="BT194" s="227"/>
      <c r="BU194" s="224">
        <f t="shared" ref="BU194:BV217" si="170">BT194/$D194</f>
        <v>0</v>
      </c>
      <c r="BV194" s="227">
        <f>H194*0.1</f>
        <v>500</v>
      </c>
      <c r="BW194" s="224">
        <f t="shared" ref="BW194:BX217" si="171">BV194/$D194</f>
        <v>0.1</v>
      </c>
      <c r="BX194" s="227">
        <f>F194*0.2</f>
        <v>1000</v>
      </c>
      <c r="BY194" s="224">
        <f t="shared" ref="BY194:BZ217" si="172">BX194/$D194</f>
        <v>0.2</v>
      </c>
      <c r="BZ194" s="227">
        <f>F194*0.4</f>
        <v>2000</v>
      </c>
      <c r="CA194" s="224">
        <f t="shared" ref="CA194:CB217" si="173">BZ194/$D194</f>
        <v>0.4</v>
      </c>
      <c r="CB194" s="227">
        <f>F194*0.5</f>
        <v>2500</v>
      </c>
      <c r="CC194" s="224">
        <f t="shared" ref="CC194:CE209" si="174">CB194/$D194</f>
        <v>0.5</v>
      </c>
      <c r="CD194" s="227">
        <f>F194*0.55</f>
        <v>2750</v>
      </c>
      <c r="CE194" s="224">
        <f t="shared" si="174"/>
        <v>0.55000000000000004</v>
      </c>
      <c r="CF194" s="227">
        <f>F194*0.6</f>
        <v>3000</v>
      </c>
      <c r="CG194" s="224">
        <f t="shared" ref="CG194:CI209" si="175">CF194/$D194</f>
        <v>0.6</v>
      </c>
      <c r="CH194" s="227">
        <f>F194*0.8</f>
        <v>4000</v>
      </c>
      <c r="CI194" s="224">
        <f t="shared" si="175"/>
        <v>0.8</v>
      </c>
      <c r="CJ194" s="227">
        <f>F194*0.95</f>
        <v>4750</v>
      </c>
      <c r="CK194" s="224">
        <f t="shared" ref="CK194:CL217" si="176">CJ194/$D194</f>
        <v>0.95</v>
      </c>
      <c r="CL194" s="227">
        <f>CJ194</f>
        <v>4750</v>
      </c>
      <c r="CM194" s="224">
        <f t="shared" ref="CM194:CN217" si="177">CL194/$D194</f>
        <v>0.95</v>
      </c>
      <c r="CN194" s="227">
        <f>CL194</f>
        <v>4750</v>
      </c>
      <c r="CO194" s="224">
        <f t="shared" ref="CO194:CO217" si="178">CN194/$D194</f>
        <v>0.95</v>
      </c>
      <c r="CP194" s="213" t="str">
        <f t="shared" si="135"/>
        <v>Không đạt</v>
      </c>
      <c r="CQ194" s="213" t="str">
        <f t="shared" si="136"/>
        <v>Không đạt</v>
      </c>
      <c r="CR194" s="192"/>
      <c r="CS194" s="192"/>
      <c r="CT194" s="223"/>
      <c r="CU194" s="163"/>
      <c r="CW194" s="195"/>
      <c r="CX194" s="196"/>
      <c r="CY194" s="196"/>
      <c r="CZ194" s="197"/>
      <c r="DA194" s="196"/>
      <c r="DB194" s="196"/>
      <c r="DC194" s="196"/>
      <c r="DE194" s="199"/>
      <c r="DF194" s="200"/>
      <c r="DG194" s="181"/>
    </row>
    <row r="195" spans="1:111" ht="25.5" hidden="1" outlineLevel="1" x14ac:dyDescent="0.25">
      <c r="A195" s="192">
        <f>MAX(A$183:$B194)+1</f>
        <v>38</v>
      </c>
      <c r="B195" s="222" t="s">
        <v>342</v>
      </c>
      <c r="C195" s="222"/>
      <c r="D195" s="214">
        <f t="shared" si="114"/>
        <v>3000</v>
      </c>
      <c r="E195" s="205"/>
      <c r="F195" s="214">
        <f t="shared" si="167"/>
        <v>3000</v>
      </c>
      <c r="G195" s="257"/>
      <c r="H195" s="257">
        <f>7000-4000</f>
        <v>3000</v>
      </c>
      <c r="I195" s="235"/>
      <c r="J195" s="235"/>
      <c r="K195" s="223"/>
      <c r="L195" s="235"/>
      <c r="M195" s="223"/>
      <c r="N195" s="223"/>
      <c r="O195" s="257">
        <f t="shared" si="140"/>
        <v>0</v>
      </c>
      <c r="P195" s="257">
        <v>0</v>
      </c>
      <c r="Q195" s="224">
        <f t="shared" si="121"/>
        <v>0</v>
      </c>
      <c r="R195" s="257"/>
      <c r="S195" s="225">
        <v>0</v>
      </c>
      <c r="T195" s="225">
        <v>0</v>
      </c>
      <c r="U195" s="257"/>
      <c r="V195" s="225">
        <v>0</v>
      </c>
      <c r="W195" s="225">
        <v>0</v>
      </c>
      <c r="X195" s="257"/>
      <c r="Y195" s="225">
        <v>0</v>
      </c>
      <c r="Z195" s="225">
        <v>0</v>
      </c>
      <c r="AA195" s="257"/>
      <c r="AB195" s="225">
        <v>0</v>
      </c>
      <c r="AC195" s="225">
        <v>0</v>
      </c>
      <c r="AD195" s="257"/>
      <c r="AE195" s="225">
        <v>0</v>
      </c>
      <c r="AF195" s="225">
        <v>0</v>
      </c>
      <c r="AG195" s="257"/>
      <c r="AH195" s="225">
        <v>0</v>
      </c>
      <c r="AI195" s="225">
        <v>0</v>
      </c>
      <c r="AJ195" s="205"/>
      <c r="AK195" s="225">
        <v>0</v>
      </c>
      <c r="AL195" s="225">
        <v>0</v>
      </c>
      <c r="AM195" s="257"/>
      <c r="AN195" s="225">
        <v>0</v>
      </c>
      <c r="AO195" s="225">
        <v>0</v>
      </c>
      <c r="AP195" s="225"/>
      <c r="AQ195" s="257"/>
      <c r="AR195" s="225">
        <v>0</v>
      </c>
      <c r="AS195" s="225">
        <v>0</v>
      </c>
      <c r="AT195" s="257"/>
      <c r="AU195" s="225">
        <v>0</v>
      </c>
      <c r="AV195" s="225">
        <v>0</v>
      </c>
      <c r="AW195" s="257"/>
      <c r="AX195" s="225">
        <v>0</v>
      </c>
      <c r="AY195" s="225">
        <v>0</v>
      </c>
      <c r="AZ195" s="257"/>
      <c r="BA195" s="225">
        <v>0</v>
      </c>
      <c r="BB195" s="225">
        <v>0</v>
      </c>
      <c r="BC195" s="257"/>
      <c r="BD195" s="225">
        <v>0</v>
      </c>
      <c r="BE195" s="225">
        <v>0</v>
      </c>
      <c r="BF195" s="257"/>
      <c r="BG195" s="257"/>
      <c r="BH195" s="225">
        <v>0</v>
      </c>
      <c r="BI195" s="225">
        <v>0</v>
      </c>
      <c r="BJ195" s="257">
        <f t="shared" si="122"/>
        <v>2850</v>
      </c>
      <c r="BK195" s="257"/>
      <c r="BL195" s="225">
        <f t="shared" si="168"/>
        <v>0</v>
      </c>
      <c r="BM195" s="225">
        <f t="shared" si="133"/>
        <v>0</v>
      </c>
      <c r="BN195" s="205">
        <f t="shared" si="116"/>
        <v>0</v>
      </c>
      <c r="BO195" s="205"/>
      <c r="BP195" s="227"/>
      <c r="BQ195" s="224">
        <f>BP195/$D195</f>
        <v>0</v>
      </c>
      <c r="BR195" s="227"/>
      <c r="BS195" s="224">
        <f t="shared" si="169"/>
        <v>0</v>
      </c>
      <c r="BT195" s="227"/>
      <c r="BU195" s="224">
        <f t="shared" si="170"/>
        <v>0</v>
      </c>
      <c r="BV195" s="227"/>
      <c r="BW195" s="224">
        <f t="shared" si="171"/>
        <v>0</v>
      </c>
      <c r="BX195" s="227"/>
      <c r="BY195" s="224">
        <f t="shared" si="172"/>
        <v>0</v>
      </c>
      <c r="BZ195" s="227">
        <v>3200</v>
      </c>
      <c r="CA195" s="224">
        <f t="shared" si="173"/>
        <v>1.0666666666666667</v>
      </c>
      <c r="CB195" s="227">
        <f>BZ195</f>
        <v>3200</v>
      </c>
      <c r="CC195" s="224">
        <f t="shared" si="174"/>
        <v>1.0666666666666667</v>
      </c>
      <c r="CD195" s="227">
        <f>CB195</f>
        <v>3200</v>
      </c>
      <c r="CE195" s="224">
        <f t="shared" si="174"/>
        <v>1.0666666666666667</v>
      </c>
      <c r="CF195" s="227">
        <v>6650</v>
      </c>
      <c r="CG195" s="224">
        <f t="shared" si="175"/>
        <v>2.2166666666666668</v>
      </c>
      <c r="CH195" s="227">
        <f>CF195</f>
        <v>6650</v>
      </c>
      <c r="CI195" s="224">
        <f t="shared" si="175"/>
        <v>2.2166666666666668</v>
      </c>
      <c r="CJ195" s="227">
        <f>CH195</f>
        <v>6650</v>
      </c>
      <c r="CK195" s="224">
        <f t="shared" si="176"/>
        <v>2.2166666666666668</v>
      </c>
      <c r="CL195" s="227">
        <f>CJ195</f>
        <v>6650</v>
      </c>
      <c r="CM195" s="224">
        <f t="shared" si="177"/>
        <v>2.2166666666666668</v>
      </c>
      <c r="CN195" s="227">
        <f>CL195</f>
        <v>6650</v>
      </c>
      <c r="CO195" s="224">
        <f t="shared" si="178"/>
        <v>2.2166666666666668</v>
      </c>
      <c r="CP195" s="213" t="str">
        <f t="shared" si="135"/>
        <v>Không đạt</v>
      </c>
      <c r="CQ195" s="213" t="str">
        <f t="shared" si="136"/>
        <v>Không đạt</v>
      </c>
      <c r="CR195" s="192"/>
      <c r="CS195" s="192"/>
      <c r="CT195" s="223"/>
      <c r="CU195" s="163"/>
      <c r="CW195" s="195"/>
      <c r="CX195" s="196"/>
      <c r="CY195" s="196"/>
      <c r="CZ195" s="197"/>
      <c r="DA195" s="196"/>
      <c r="DB195" s="196"/>
      <c r="DC195" s="196"/>
      <c r="DE195" s="199"/>
      <c r="DF195" s="200"/>
      <c r="DG195" s="181"/>
    </row>
    <row r="196" spans="1:111" s="233" customFormat="1" ht="18" customHeight="1" collapsed="1" x14ac:dyDescent="0.25">
      <c r="A196" s="191">
        <v>7</v>
      </c>
      <c r="B196" s="210" t="s">
        <v>343</v>
      </c>
      <c r="C196" s="210"/>
      <c r="D196" s="205">
        <f t="shared" ref="D196:I196" si="179">D197</f>
        <v>26500</v>
      </c>
      <c r="E196" s="205">
        <f t="shared" si="179"/>
        <v>0</v>
      </c>
      <c r="F196" s="205">
        <f t="shared" si="179"/>
        <v>26500</v>
      </c>
      <c r="G196" s="205">
        <f t="shared" si="179"/>
        <v>21000</v>
      </c>
      <c r="H196" s="205">
        <f t="shared" si="179"/>
        <v>5500</v>
      </c>
      <c r="I196" s="205">
        <f t="shared" si="179"/>
        <v>0</v>
      </c>
      <c r="J196" s="205"/>
      <c r="K196" s="205">
        <f>K197</f>
        <v>0</v>
      </c>
      <c r="L196" s="205">
        <f>L197</f>
        <v>0</v>
      </c>
      <c r="M196" s="231"/>
      <c r="N196" s="231"/>
      <c r="O196" s="205">
        <f t="shared" si="140"/>
        <v>21000</v>
      </c>
      <c r="P196" s="205">
        <v>18515</v>
      </c>
      <c r="Q196" s="186">
        <f t="shared" si="121"/>
        <v>0.69867924528301883</v>
      </c>
      <c r="R196" s="205">
        <v>19950</v>
      </c>
      <c r="S196" s="185">
        <v>0.75283018867924534</v>
      </c>
      <c r="T196" s="185">
        <v>0.79245283018867929</v>
      </c>
      <c r="U196" s="205">
        <v>19950</v>
      </c>
      <c r="V196" s="185">
        <v>0.75283018867924534</v>
      </c>
      <c r="W196" s="185">
        <v>0.79245283018867929</v>
      </c>
      <c r="X196" s="205">
        <v>19950</v>
      </c>
      <c r="Y196" s="185">
        <v>0.75283018867924534</v>
      </c>
      <c r="Z196" s="185">
        <v>0.79245283018867929</v>
      </c>
      <c r="AA196" s="205">
        <v>19950</v>
      </c>
      <c r="AB196" s="185">
        <v>0.75283018867924534</v>
      </c>
      <c r="AC196" s="185">
        <v>0.79245283018867929</v>
      </c>
      <c r="AD196" s="205">
        <v>19950</v>
      </c>
      <c r="AE196" s="185">
        <v>0.75283018867924534</v>
      </c>
      <c r="AF196" s="185">
        <v>0.79245283018867929</v>
      </c>
      <c r="AG196" s="205">
        <v>19950</v>
      </c>
      <c r="AH196" s="185">
        <v>0.75283018867924534</v>
      </c>
      <c r="AI196" s="185">
        <v>0.79245283018867929</v>
      </c>
      <c r="AJ196" s="189">
        <v>19950</v>
      </c>
      <c r="AK196" s="185">
        <v>0.75283018867924534</v>
      </c>
      <c r="AL196" s="185">
        <v>0.79245283018867929</v>
      </c>
      <c r="AM196" s="205">
        <v>19950</v>
      </c>
      <c r="AN196" s="185">
        <v>0.75283018867924534</v>
      </c>
      <c r="AO196" s="185">
        <v>0.79245283018867929</v>
      </c>
      <c r="AP196" s="185"/>
      <c r="AQ196" s="205">
        <v>19950</v>
      </c>
      <c r="AR196" s="185">
        <v>0.75283018867924534</v>
      </c>
      <c r="AS196" s="185">
        <v>0.79245283018867929</v>
      </c>
      <c r="AT196" s="205">
        <v>19950</v>
      </c>
      <c r="AU196" s="185">
        <v>0.75283018867924534</v>
      </c>
      <c r="AV196" s="185">
        <v>0.79245283018867929</v>
      </c>
      <c r="AW196" s="185"/>
      <c r="AX196" s="185"/>
      <c r="AY196" s="185"/>
      <c r="AZ196" s="205"/>
      <c r="BA196" s="185"/>
      <c r="BB196" s="185"/>
      <c r="BC196" s="205">
        <v>19950</v>
      </c>
      <c r="BD196" s="185">
        <v>0.75283018867924534</v>
      </c>
      <c r="BE196" s="185">
        <v>0.79245283018867929</v>
      </c>
      <c r="BF196" s="205"/>
      <c r="BG196" s="205">
        <v>19950</v>
      </c>
      <c r="BH196" s="185">
        <v>0.75283018867924534</v>
      </c>
      <c r="BI196" s="185">
        <v>0.79245283018867929</v>
      </c>
      <c r="BJ196" s="205">
        <f t="shared" si="122"/>
        <v>25175</v>
      </c>
      <c r="BK196" s="205">
        <f>BK197</f>
        <v>19950</v>
      </c>
      <c r="BL196" s="185">
        <f t="shared" si="168"/>
        <v>0.75283018867924534</v>
      </c>
      <c r="BM196" s="185">
        <f t="shared" si="133"/>
        <v>0.79245283018867929</v>
      </c>
      <c r="BN196" s="205">
        <f t="shared" ref="BN196:BN262" si="180">BK196-AD196</f>
        <v>0</v>
      </c>
      <c r="BO196" s="205"/>
      <c r="BP196" s="189">
        <f>BP197</f>
        <v>107</v>
      </c>
      <c r="BQ196" s="186">
        <f t="shared" si="134"/>
        <v>4.0377358490566034E-3</v>
      </c>
      <c r="BR196" s="189">
        <f>BR197</f>
        <v>3614</v>
      </c>
      <c r="BS196" s="186">
        <f t="shared" si="169"/>
        <v>0.13637735849056604</v>
      </c>
      <c r="BT196" s="189">
        <f>BT197</f>
        <v>10591</v>
      </c>
      <c r="BU196" s="186">
        <f t="shared" si="170"/>
        <v>0.39966037735849058</v>
      </c>
      <c r="BV196" s="189">
        <f>BV197</f>
        <v>14791</v>
      </c>
      <c r="BW196" s="186">
        <f t="shared" si="171"/>
        <v>0.5581509433962264</v>
      </c>
      <c r="BX196" s="189">
        <f>BX197</f>
        <v>15381</v>
      </c>
      <c r="BY196" s="186">
        <f t="shared" si="172"/>
        <v>0.58041509433962268</v>
      </c>
      <c r="BZ196" s="189">
        <f>BZ197</f>
        <v>15971</v>
      </c>
      <c r="CA196" s="186">
        <f t="shared" si="173"/>
        <v>0.60267924528301886</v>
      </c>
      <c r="CB196" s="189">
        <f>CB197</f>
        <v>19561</v>
      </c>
      <c r="CC196" s="186">
        <f t="shared" si="174"/>
        <v>0.73815094339622644</v>
      </c>
      <c r="CD196" s="189">
        <f>CD197</f>
        <v>20151</v>
      </c>
      <c r="CE196" s="186">
        <f t="shared" si="174"/>
        <v>0.76041509433962262</v>
      </c>
      <c r="CF196" s="189">
        <f>CF197</f>
        <v>24302</v>
      </c>
      <c r="CG196" s="186">
        <f t="shared" si="175"/>
        <v>0.91705660377358489</v>
      </c>
      <c r="CH196" s="189">
        <f>CH197</f>
        <v>24652</v>
      </c>
      <c r="CI196" s="186">
        <f t="shared" si="175"/>
        <v>0.93026415094339621</v>
      </c>
      <c r="CJ196" s="189">
        <f>CJ197</f>
        <v>25002</v>
      </c>
      <c r="CK196" s="186">
        <f t="shared" si="176"/>
        <v>0.94347169811320752</v>
      </c>
      <c r="CL196" s="189">
        <f>CL197</f>
        <v>25175</v>
      </c>
      <c r="CM196" s="186">
        <f t="shared" si="177"/>
        <v>0.95</v>
      </c>
      <c r="CN196" s="189">
        <f>CN197</f>
        <v>25175</v>
      </c>
      <c r="CO196" s="186">
        <f t="shared" si="178"/>
        <v>0.95</v>
      </c>
      <c r="CP196" s="213" t="str">
        <f t="shared" si="135"/>
        <v>Đạt</v>
      </c>
      <c r="CQ196" s="213" t="str">
        <f t="shared" si="136"/>
        <v>Đạt</v>
      </c>
      <c r="CR196" s="213"/>
      <c r="CS196" s="213"/>
      <c r="CT196" s="213"/>
      <c r="CU196" s="163"/>
      <c r="CV196" s="232"/>
      <c r="CW196" s="195"/>
      <c r="CX196" s="196"/>
      <c r="CY196" s="196"/>
      <c r="CZ196" s="197"/>
      <c r="DA196" s="196"/>
      <c r="DB196" s="196"/>
      <c r="DC196" s="196"/>
      <c r="DE196" s="199"/>
      <c r="DF196" s="200"/>
      <c r="DG196" s="181"/>
    </row>
    <row r="197" spans="1:111" s="255" customFormat="1" hidden="1" outlineLevel="1" x14ac:dyDescent="0.25">
      <c r="A197" s="191" t="s">
        <v>29</v>
      </c>
      <c r="B197" s="210" t="s">
        <v>157</v>
      </c>
      <c r="C197" s="210"/>
      <c r="D197" s="189">
        <f t="shared" ref="D197:I197" si="181">SUM(D198:D201)</f>
        <v>26500</v>
      </c>
      <c r="E197" s="189">
        <f t="shared" si="181"/>
        <v>0</v>
      </c>
      <c r="F197" s="189">
        <f t="shared" si="181"/>
        <v>26500</v>
      </c>
      <c r="G197" s="189">
        <f t="shared" si="181"/>
        <v>21000</v>
      </c>
      <c r="H197" s="189">
        <f t="shared" si="181"/>
        <v>5500</v>
      </c>
      <c r="I197" s="188">
        <f t="shared" si="181"/>
        <v>0</v>
      </c>
      <c r="J197" s="188"/>
      <c r="K197" s="189">
        <f>SUM(K198:K201)</f>
        <v>0</v>
      </c>
      <c r="L197" s="188">
        <f>SUM(L198:L201)</f>
        <v>0</v>
      </c>
      <c r="M197" s="231"/>
      <c r="N197" s="231"/>
      <c r="O197" s="188">
        <f t="shared" si="140"/>
        <v>21000</v>
      </c>
      <c r="P197" s="188">
        <v>27078.295252</v>
      </c>
      <c r="Q197" s="186">
        <f t="shared" si="121"/>
        <v>1.0218224623396226</v>
      </c>
      <c r="R197" s="189">
        <v>19950</v>
      </c>
      <c r="S197" s="185">
        <v>0.75283018867924534</v>
      </c>
      <c r="T197" s="185">
        <v>0.79245283018867929</v>
      </c>
      <c r="U197" s="189">
        <v>19950</v>
      </c>
      <c r="V197" s="185">
        <v>0.75283018867924534</v>
      </c>
      <c r="W197" s="185">
        <v>0.79245283018867929</v>
      </c>
      <c r="X197" s="189">
        <v>19950</v>
      </c>
      <c r="Y197" s="185">
        <v>0.75283018867924534</v>
      </c>
      <c r="Z197" s="185">
        <v>0.79245283018867929</v>
      </c>
      <c r="AA197" s="189">
        <v>19950</v>
      </c>
      <c r="AB197" s="185">
        <v>0.75283018867924534</v>
      </c>
      <c r="AC197" s="185">
        <v>0.79245283018867929</v>
      </c>
      <c r="AD197" s="189">
        <v>19950</v>
      </c>
      <c r="AE197" s="185">
        <v>0.75283018867924534</v>
      </c>
      <c r="AF197" s="185">
        <v>0.79245283018867929</v>
      </c>
      <c r="AG197" s="189">
        <v>19950</v>
      </c>
      <c r="AH197" s="185">
        <v>0.75283018867924534</v>
      </c>
      <c r="AI197" s="185">
        <v>0.79245283018867929</v>
      </c>
      <c r="AJ197" s="257">
        <v>19950</v>
      </c>
      <c r="AK197" s="185">
        <v>0.75283018867924534</v>
      </c>
      <c r="AL197" s="185">
        <v>0.79245283018867929</v>
      </c>
      <c r="AM197" s="189">
        <v>19950</v>
      </c>
      <c r="AN197" s="185">
        <v>0.75283018867924534</v>
      </c>
      <c r="AO197" s="185">
        <v>0.79245283018867929</v>
      </c>
      <c r="AP197" s="185"/>
      <c r="AQ197" s="189">
        <v>19950</v>
      </c>
      <c r="AR197" s="185">
        <v>0.75283018867924534</v>
      </c>
      <c r="AS197" s="185">
        <v>0.79245283018867929</v>
      </c>
      <c r="AT197" s="189">
        <v>19950</v>
      </c>
      <c r="AU197" s="185">
        <v>0.75283018867924534</v>
      </c>
      <c r="AV197" s="185">
        <v>0.79245283018867929</v>
      </c>
      <c r="AW197" s="185"/>
      <c r="AX197" s="185"/>
      <c r="AY197" s="185"/>
      <c r="AZ197" s="189"/>
      <c r="BA197" s="185"/>
      <c r="BB197" s="185"/>
      <c r="BC197" s="189">
        <v>19950</v>
      </c>
      <c r="BD197" s="185">
        <v>0.75283018867924534</v>
      </c>
      <c r="BE197" s="185">
        <v>0.79245283018867929</v>
      </c>
      <c r="BF197" s="189"/>
      <c r="BG197" s="189">
        <v>19950</v>
      </c>
      <c r="BH197" s="185">
        <v>0.75283018867924534</v>
      </c>
      <c r="BI197" s="185">
        <v>0.79245283018867929</v>
      </c>
      <c r="BJ197" s="189">
        <f t="shared" si="122"/>
        <v>25175</v>
      </c>
      <c r="BK197" s="189">
        <f>SUM(BK198:BK201)</f>
        <v>19950</v>
      </c>
      <c r="BL197" s="185">
        <f t="shared" si="168"/>
        <v>0.75283018867924534</v>
      </c>
      <c r="BM197" s="185">
        <f t="shared" si="133"/>
        <v>0.79245283018867929</v>
      </c>
      <c r="BN197" s="205">
        <f t="shared" si="180"/>
        <v>0</v>
      </c>
      <c r="BO197" s="205"/>
      <c r="BP197" s="189">
        <f>SUM(BP198:BP201)</f>
        <v>107</v>
      </c>
      <c r="BQ197" s="186">
        <f t="shared" si="134"/>
        <v>4.0377358490566034E-3</v>
      </c>
      <c r="BR197" s="189">
        <f>SUM(BR198:BR201)</f>
        <v>3614</v>
      </c>
      <c r="BS197" s="186">
        <f t="shared" si="169"/>
        <v>0.13637735849056604</v>
      </c>
      <c r="BT197" s="189">
        <f>SUM(BT198:BT201)</f>
        <v>10591</v>
      </c>
      <c r="BU197" s="186">
        <f t="shared" si="170"/>
        <v>0.39966037735849058</v>
      </c>
      <c r="BV197" s="189">
        <f>SUM(BV198:BV201)</f>
        <v>14791</v>
      </c>
      <c r="BW197" s="186">
        <f t="shared" si="171"/>
        <v>0.5581509433962264</v>
      </c>
      <c r="BX197" s="189">
        <f>SUM(BX198:BX201)</f>
        <v>15381</v>
      </c>
      <c r="BY197" s="186">
        <f t="shared" si="172"/>
        <v>0.58041509433962268</v>
      </c>
      <c r="BZ197" s="189">
        <f>SUM(BZ198:BZ201)</f>
        <v>15971</v>
      </c>
      <c r="CA197" s="186">
        <f t="shared" si="173"/>
        <v>0.60267924528301886</v>
      </c>
      <c r="CB197" s="189">
        <f>SUM(CB198:CB201)</f>
        <v>19561</v>
      </c>
      <c r="CC197" s="186">
        <f t="shared" si="174"/>
        <v>0.73815094339622644</v>
      </c>
      <c r="CD197" s="189">
        <f>SUM(CD198:CD201)</f>
        <v>20151</v>
      </c>
      <c r="CE197" s="186">
        <f t="shared" si="174"/>
        <v>0.76041509433962262</v>
      </c>
      <c r="CF197" s="189">
        <f>SUM(CF198:CF201)</f>
        <v>24302</v>
      </c>
      <c r="CG197" s="186">
        <f t="shared" si="175"/>
        <v>0.91705660377358489</v>
      </c>
      <c r="CH197" s="189">
        <f>SUM(CH198:CH201)</f>
        <v>24652</v>
      </c>
      <c r="CI197" s="186">
        <f t="shared" si="175"/>
        <v>0.93026415094339621</v>
      </c>
      <c r="CJ197" s="189">
        <f>SUM(CJ198:CJ201)</f>
        <v>25002</v>
      </c>
      <c r="CK197" s="186">
        <f t="shared" si="176"/>
        <v>0.94347169811320752</v>
      </c>
      <c r="CL197" s="189">
        <f>SUM(CL198:CL201)</f>
        <v>25175</v>
      </c>
      <c r="CM197" s="186">
        <f t="shared" si="177"/>
        <v>0.95</v>
      </c>
      <c r="CN197" s="189">
        <f>SUM(CN198:CN201)</f>
        <v>25175</v>
      </c>
      <c r="CO197" s="186">
        <f t="shared" si="178"/>
        <v>0.95</v>
      </c>
      <c r="CP197" s="213" t="str">
        <f t="shared" si="135"/>
        <v>Đạt</v>
      </c>
      <c r="CQ197" s="213" t="str">
        <f t="shared" si="136"/>
        <v>Đạt</v>
      </c>
      <c r="CR197" s="213"/>
      <c r="CS197" s="213"/>
      <c r="CT197" s="231"/>
      <c r="CU197" s="163"/>
      <c r="CV197" s="252"/>
      <c r="CW197" s="253"/>
      <c r="CX197" s="196"/>
      <c r="CY197" s="196"/>
      <c r="CZ197" s="197"/>
      <c r="DA197" s="196"/>
      <c r="DB197" s="196"/>
      <c r="DC197" s="196"/>
      <c r="DE197" s="199"/>
      <c r="DF197" s="200"/>
      <c r="DG197" s="181"/>
    </row>
    <row r="198" spans="1:111" hidden="1" outlineLevel="1" x14ac:dyDescent="0.25">
      <c r="A198" s="192">
        <v>1</v>
      </c>
      <c r="B198" s="247" t="s">
        <v>344</v>
      </c>
      <c r="C198" s="248">
        <v>7004686</v>
      </c>
      <c r="D198" s="214">
        <f>E198+F198</f>
        <v>10000</v>
      </c>
      <c r="E198" s="205"/>
      <c r="F198" s="214">
        <f>G198+H198+K198+M198</f>
        <v>10000</v>
      </c>
      <c r="G198" s="257">
        <v>4500</v>
      </c>
      <c r="H198" s="257">
        <v>5500</v>
      </c>
      <c r="I198" s="235"/>
      <c r="J198" s="235"/>
      <c r="K198" s="223"/>
      <c r="L198" s="235"/>
      <c r="M198" s="223"/>
      <c r="N198" s="223"/>
      <c r="O198" s="257">
        <f t="shared" si="140"/>
        <v>4500</v>
      </c>
      <c r="P198" s="257">
        <v>4500</v>
      </c>
      <c r="Q198" s="224">
        <f t="shared" si="121"/>
        <v>0.45</v>
      </c>
      <c r="R198" s="257">
        <v>4275</v>
      </c>
      <c r="S198" s="225">
        <v>0.42749999999999999</v>
      </c>
      <c r="T198" s="225">
        <v>0.45</v>
      </c>
      <c r="U198" s="257">
        <v>4275</v>
      </c>
      <c r="V198" s="225">
        <v>0.42749999999999999</v>
      </c>
      <c r="W198" s="225">
        <v>0.45</v>
      </c>
      <c r="X198" s="257">
        <v>4275</v>
      </c>
      <c r="Y198" s="225">
        <v>0.42749999999999999</v>
      </c>
      <c r="Z198" s="225">
        <v>0.45</v>
      </c>
      <c r="AA198" s="257">
        <v>4275</v>
      </c>
      <c r="AB198" s="225">
        <v>0.42749999999999999</v>
      </c>
      <c r="AC198" s="225">
        <v>0.45</v>
      </c>
      <c r="AD198" s="257">
        <v>4275</v>
      </c>
      <c r="AE198" s="225">
        <v>0.42749999999999999</v>
      </c>
      <c r="AF198" s="225">
        <v>0.45</v>
      </c>
      <c r="AG198" s="257">
        <v>4275</v>
      </c>
      <c r="AH198" s="225">
        <v>0.42749999999999999</v>
      </c>
      <c r="AI198" s="225">
        <v>0.45</v>
      </c>
      <c r="AJ198" s="257">
        <v>4275</v>
      </c>
      <c r="AK198" s="225">
        <v>0.42749999999999999</v>
      </c>
      <c r="AL198" s="225">
        <v>0.45</v>
      </c>
      <c r="AM198" s="257">
        <v>4275</v>
      </c>
      <c r="AN198" s="225">
        <v>0.42749999999999999</v>
      </c>
      <c r="AO198" s="225">
        <v>0.45</v>
      </c>
      <c r="AP198" s="225"/>
      <c r="AQ198" s="257">
        <v>4275</v>
      </c>
      <c r="AR198" s="225">
        <v>0.42749999999999999</v>
      </c>
      <c r="AS198" s="225">
        <v>0.45</v>
      </c>
      <c r="AT198" s="257">
        <v>4275</v>
      </c>
      <c r="AU198" s="225">
        <v>0.42749999999999999</v>
      </c>
      <c r="AV198" s="225">
        <v>0.45</v>
      </c>
      <c r="AW198" s="225"/>
      <c r="AX198" s="225"/>
      <c r="AY198" s="225"/>
      <c r="AZ198" s="257"/>
      <c r="BA198" s="225"/>
      <c r="BB198" s="225"/>
      <c r="BC198" s="257">
        <v>4275</v>
      </c>
      <c r="BD198" s="225">
        <v>0.42749999999999999</v>
      </c>
      <c r="BE198" s="225">
        <v>0.45</v>
      </c>
      <c r="BF198" s="257"/>
      <c r="BG198" s="257">
        <v>4275</v>
      </c>
      <c r="BH198" s="225">
        <v>0.42749999999999999</v>
      </c>
      <c r="BI198" s="225">
        <v>0.45</v>
      </c>
      <c r="BJ198" s="257">
        <f t="shared" si="122"/>
        <v>9500</v>
      </c>
      <c r="BK198" s="257">
        <v>4275</v>
      </c>
      <c r="BL198" s="225">
        <f t="shared" si="168"/>
        <v>0.42749999999999999</v>
      </c>
      <c r="BM198" s="225">
        <f t="shared" si="133"/>
        <v>0.45</v>
      </c>
      <c r="BN198" s="205">
        <f t="shared" si="180"/>
        <v>0</v>
      </c>
      <c r="BO198" s="205"/>
      <c r="BP198" s="227">
        <v>0</v>
      </c>
      <c r="BQ198" s="224">
        <f t="shared" si="134"/>
        <v>0</v>
      </c>
      <c r="BR198" s="227">
        <v>1500</v>
      </c>
      <c r="BS198" s="224">
        <f t="shared" si="169"/>
        <v>0.15</v>
      </c>
      <c r="BT198" s="227">
        <v>1500</v>
      </c>
      <c r="BU198" s="224">
        <f t="shared" si="170"/>
        <v>0.15</v>
      </c>
      <c r="BV198" s="227">
        <v>4000</v>
      </c>
      <c r="BW198" s="224">
        <f t="shared" si="171"/>
        <v>0.4</v>
      </c>
      <c r="BX198" s="227">
        <v>4000</v>
      </c>
      <c r="BY198" s="224">
        <f t="shared" si="172"/>
        <v>0.4</v>
      </c>
      <c r="BZ198" s="227">
        <v>4000</v>
      </c>
      <c r="CA198" s="224">
        <f t="shared" si="173"/>
        <v>0.4</v>
      </c>
      <c r="CB198" s="227">
        <v>7000</v>
      </c>
      <c r="CC198" s="224">
        <f t="shared" si="174"/>
        <v>0.7</v>
      </c>
      <c r="CD198" s="227">
        <v>7000</v>
      </c>
      <c r="CE198" s="224">
        <f t="shared" si="174"/>
        <v>0.7</v>
      </c>
      <c r="CF198" s="227">
        <v>9500</v>
      </c>
      <c r="CG198" s="224">
        <f t="shared" si="175"/>
        <v>0.95</v>
      </c>
      <c r="CH198" s="227">
        <v>9500</v>
      </c>
      <c r="CI198" s="224">
        <f t="shared" si="175"/>
        <v>0.95</v>
      </c>
      <c r="CJ198" s="227">
        <v>9500</v>
      </c>
      <c r="CK198" s="224">
        <f t="shared" si="176"/>
        <v>0.95</v>
      </c>
      <c r="CL198" s="227">
        <v>9500</v>
      </c>
      <c r="CM198" s="224">
        <f t="shared" si="177"/>
        <v>0.95</v>
      </c>
      <c r="CN198" s="227">
        <v>9500</v>
      </c>
      <c r="CO198" s="224">
        <f t="shared" si="178"/>
        <v>0.95</v>
      </c>
      <c r="CP198" s="213" t="str">
        <f t="shared" si="135"/>
        <v>Đạt</v>
      </c>
      <c r="CQ198" s="213" t="str">
        <f t="shared" si="136"/>
        <v>Đạt</v>
      </c>
      <c r="CR198" s="192"/>
      <c r="CS198" s="192"/>
      <c r="CT198" s="223"/>
      <c r="CU198" s="163"/>
      <c r="CW198" s="195"/>
      <c r="CX198" s="196"/>
      <c r="CY198" s="196"/>
      <c r="CZ198" s="197"/>
      <c r="DA198" s="196"/>
      <c r="DB198" s="196"/>
      <c r="DC198" s="196"/>
      <c r="DE198" s="199"/>
      <c r="DF198" s="200"/>
      <c r="DG198" s="181"/>
    </row>
    <row r="199" spans="1:111" ht="31.9" hidden="1" customHeight="1" outlineLevel="1" x14ac:dyDescent="0.25">
      <c r="A199" s="192">
        <f>MAX(A$198:$B198)+1</f>
        <v>2</v>
      </c>
      <c r="B199" s="247" t="s">
        <v>345</v>
      </c>
      <c r="C199" s="248">
        <v>7004686</v>
      </c>
      <c r="D199" s="214">
        <f>E199+F199</f>
        <v>4500</v>
      </c>
      <c r="E199" s="205"/>
      <c r="F199" s="214">
        <f>G199+H199+K199+M199</f>
        <v>4500</v>
      </c>
      <c r="G199" s="257">
        <v>4500</v>
      </c>
      <c r="H199" s="257"/>
      <c r="I199" s="235"/>
      <c r="J199" s="235"/>
      <c r="K199" s="223"/>
      <c r="L199" s="235"/>
      <c r="M199" s="223"/>
      <c r="N199" s="223"/>
      <c r="O199" s="257">
        <f t="shared" si="140"/>
        <v>4500</v>
      </c>
      <c r="P199" s="257">
        <v>4275</v>
      </c>
      <c r="Q199" s="224">
        <f t="shared" si="121"/>
        <v>0.95</v>
      </c>
      <c r="R199" s="257">
        <v>4275</v>
      </c>
      <c r="S199" s="225">
        <v>0.95</v>
      </c>
      <c r="T199" s="225">
        <v>1</v>
      </c>
      <c r="U199" s="257">
        <v>4275</v>
      </c>
      <c r="V199" s="225">
        <v>0.95</v>
      </c>
      <c r="W199" s="225">
        <v>1</v>
      </c>
      <c r="X199" s="257">
        <v>4275</v>
      </c>
      <c r="Y199" s="225">
        <v>0.95</v>
      </c>
      <c r="Z199" s="225">
        <v>1</v>
      </c>
      <c r="AA199" s="257">
        <v>4275</v>
      </c>
      <c r="AB199" s="225">
        <v>0.95</v>
      </c>
      <c r="AC199" s="225">
        <v>1</v>
      </c>
      <c r="AD199" s="257">
        <v>4275</v>
      </c>
      <c r="AE199" s="225">
        <v>0.95</v>
      </c>
      <c r="AF199" s="225">
        <v>1</v>
      </c>
      <c r="AG199" s="257">
        <v>4275</v>
      </c>
      <c r="AH199" s="225">
        <v>0.95</v>
      </c>
      <c r="AI199" s="225">
        <v>1</v>
      </c>
      <c r="AJ199" s="257">
        <v>4275</v>
      </c>
      <c r="AK199" s="225">
        <v>0.95</v>
      </c>
      <c r="AL199" s="225">
        <v>1</v>
      </c>
      <c r="AM199" s="257">
        <v>4275</v>
      </c>
      <c r="AN199" s="225">
        <v>0.95</v>
      </c>
      <c r="AO199" s="225">
        <v>1</v>
      </c>
      <c r="AP199" s="225"/>
      <c r="AQ199" s="257">
        <v>4275</v>
      </c>
      <c r="AR199" s="225">
        <v>0.95</v>
      </c>
      <c r="AS199" s="225">
        <v>1</v>
      </c>
      <c r="AT199" s="257">
        <v>4275</v>
      </c>
      <c r="AU199" s="225">
        <v>0.95</v>
      </c>
      <c r="AV199" s="225">
        <v>1</v>
      </c>
      <c r="AW199" s="225"/>
      <c r="AX199" s="225"/>
      <c r="AY199" s="225"/>
      <c r="AZ199" s="225"/>
      <c r="BA199" s="225"/>
      <c r="BB199" s="225"/>
      <c r="BC199" s="257">
        <v>4275</v>
      </c>
      <c r="BD199" s="225">
        <v>0.95</v>
      </c>
      <c r="BE199" s="225">
        <v>1</v>
      </c>
      <c r="BF199" s="257"/>
      <c r="BG199" s="257">
        <v>4275</v>
      </c>
      <c r="BH199" s="225">
        <v>0.95</v>
      </c>
      <c r="BI199" s="225">
        <v>1</v>
      </c>
      <c r="BJ199" s="257">
        <f t="shared" si="122"/>
        <v>4275</v>
      </c>
      <c r="BK199" s="257">
        <v>4275</v>
      </c>
      <c r="BL199" s="225">
        <f t="shared" si="168"/>
        <v>0.95</v>
      </c>
      <c r="BM199" s="225">
        <f t="shared" si="133"/>
        <v>1</v>
      </c>
      <c r="BN199" s="205">
        <f t="shared" si="180"/>
        <v>0</v>
      </c>
      <c r="BO199" s="205"/>
      <c r="BP199" s="227">
        <v>107</v>
      </c>
      <c r="BQ199" s="224">
        <f t="shared" si="134"/>
        <v>2.3777777777777776E-2</v>
      </c>
      <c r="BR199" s="227">
        <v>214</v>
      </c>
      <c r="BS199" s="224">
        <f t="shared" si="169"/>
        <v>4.7555555555555552E-2</v>
      </c>
      <c r="BT199" s="227">
        <v>1191</v>
      </c>
      <c r="BU199" s="224">
        <f t="shared" si="170"/>
        <v>0.26466666666666666</v>
      </c>
      <c r="BV199" s="227">
        <v>2391</v>
      </c>
      <c r="BW199" s="224">
        <f t="shared" si="171"/>
        <v>0.53133333333333332</v>
      </c>
      <c r="BX199" s="227">
        <v>2481</v>
      </c>
      <c r="BY199" s="224">
        <f t="shared" si="172"/>
        <v>0.55133333333333334</v>
      </c>
      <c r="BZ199" s="227">
        <v>2571</v>
      </c>
      <c r="CA199" s="224">
        <f t="shared" si="173"/>
        <v>0.57133333333333336</v>
      </c>
      <c r="CB199" s="227">
        <v>2661</v>
      </c>
      <c r="CC199" s="224">
        <f t="shared" si="174"/>
        <v>0.59133333333333338</v>
      </c>
      <c r="CD199" s="227">
        <v>2751</v>
      </c>
      <c r="CE199" s="224">
        <f t="shared" si="174"/>
        <v>0.61133333333333328</v>
      </c>
      <c r="CF199" s="227">
        <v>3902</v>
      </c>
      <c r="CG199" s="224">
        <f t="shared" si="175"/>
        <v>0.86711111111111117</v>
      </c>
      <c r="CH199" s="227">
        <v>4002</v>
      </c>
      <c r="CI199" s="224">
        <f t="shared" si="175"/>
        <v>0.88933333333333331</v>
      </c>
      <c r="CJ199" s="227">
        <v>4102</v>
      </c>
      <c r="CK199" s="224">
        <f t="shared" si="176"/>
        <v>0.91155555555555556</v>
      </c>
      <c r="CL199" s="227">
        <f>G199*0.95</f>
        <v>4275</v>
      </c>
      <c r="CM199" s="224">
        <f t="shared" si="177"/>
        <v>0.95</v>
      </c>
      <c r="CN199" s="227">
        <v>4275</v>
      </c>
      <c r="CO199" s="224">
        <f t="shared" si="178"/>
        <v>0.95</v>
      </c>
      <c r="CP199" s="213" t="str">
        <f t="shared" si="135"/>
        <v>Đạt</v>
      </c>
      <c r="CQ199" s="213" t="str">
        <f t="shared" si="136"/>
        <v>Đạt</v>
      </c>
      <c r="CR199" s="192"/>
      <c r="CS199" s="192"/>
      <c r="CT199" s="223"/>
      <c r="CU199" s="163"/>
      <c r="CW199" s="195"/>
      <c r="CX199" s="196"/>
      <c r="CY199" s="196"/>
      <c r="CZ199" s="197"/>
      <c r="DA199" s="196"/>
      <c r="DB199" s="196"/>
      <c r="DC199" s="196"/>
      <c r="DE199" s="199"/>
      <c r="DF199" s="200"/>
      <c r="DG199" s="181"/>
    </row>
    <row r="200" spans="1:111" hidden="1" outlineLevel="1" x14ac:dyDescent="0.25">
      <c r="A200" s="192">
        <f>MAX(A$198:$B199)+1</f>
        <v>3</v>
      </c>
      <c r="B200" s="247" t="s">
        <v>346</v>
      </c>
      <c r="C200" s="248">
        <v>7004686</v>
      </c>
      <c r="D200" s="214">
        <f>E200+F200</f>
        <v>2000</v>
      </c>
      <c r="E200" s="205"/>
      <c r="F200" s="214">
        <f>G200+H200+K200+M200</f>
        <v>2000</v>
      </c>
      <c r="G200" s="257">
        <v>2000</v>
      </c>
      <c r="H200" s="257"/>
      <c r="I200" s="235"/>
      <c r="J200" s="235"/>
      <c r="K200" s="223"/>
      <c r="L200" s="235"/>
      <c r="M200" s="223"/>
      <c r="N200" s="223"/>
      <c r="O200" s="257">
        <f t="shared" si="140"/>
        <v>2000</v>
      </c>
      <c r="P200" s="257">
        <v>2000</v>
      </c>
      <c r="Q200" s="224">
        <f t="shared" si="121"/>
        <v>1</v>
      </c>
      <c r="R200" s="257">
        <v>1900</v>
      </c>
      <c r="S200" s="225">
        <v>0.95</v>
      </c>
      <c r="T200" s="225">
        <v>1</v>
      </c>
      <c r="U200" s="257">
        <v>1900</v>
      </c>
      <c r="V200" s="225">
        <v>0.95</v>
      </c>
      <c r="W200" s="225">
        <v>1</v>
      </c>
      <c r="X200" s="257">
        <v>1900</v>
      </c>
      <c r="Y200" s="225">
        <v>0.95</v>
      </c>
      <c r="Z200" s="225">
        <v>1</v>
      </c>
      <c r="AA200" s="257">
        <v>1900</v>
      </c>
      <c r="AB200" s="225">
        <v>0.95</v>
      </c>
      <c r="AC200" s="225">
        <v>1</v>
      </c>
      <c r="AD200" s="257">
        <v>1900</v>
      </c>
      <c r="AE200" s="225">
        <v>0.95</v>
      </c>
      <c r="AF200" s="225">
        <v>1</v>
      </c>
      <c r="AG200" s="257">
        <v>1900</v>
      </c>
      <c r="AH200" s="225">
        <v>0.95</v>
      </c>
      <c r="AI200" s="225">
        <v>1</v>
      </c>
      <c r="AJ200" s="257">
        <v>1900</v>
      </c>
      <c r="AK200" s="225">
        <v>0.95</v>
      </c>
      <c r="AL200" s="225">
        <v>1</v>
      </c>
      <c r="AM200" s="257">
        <v>1900</v>
      </c>
      <c r="AN200" s="225">
        <v>0.95</v>
      </c>
      <c r="AO200" s="225">
        <v>1</v>
      </c>
      <c r="AP200" s="225"/>
      <c r="AQ200" s="257">
        <v>1900</v>
      </c>
      <c r="AR200" s="225">
        <v>0.95</v>
      </c>
      <c r="AS200" s="225">
        <v>1</v>
      </c>
      <c r="AT200" s="257">
        <v>1900</v>
      </c>
      <c r="AU200" s="225">
        <v>0.95</v>
      </c>
      <c r="AV200" s="225">
        <v>1</v>
      </c>
      <c r="AW200" s="225"/>
      <c r="AX200" s="225"/>
      <c r="AY200" s="225"/>
      <c r="AZ200" s="225"/>
      <c r="BA200" s="225"/>
      <c r="BB200" s="225"/>
      <c r="BC200" s="257">
        <v>1900</v>
      </c>
      <c r="BD200" s="225">
        <v>0.95</v>
      </c>
      <c r="BE200" s="225">
        <v>1</v>
      </c>
      <c r="BF200" s="257"/>
      <c r="BG200" s="257">
        <v>1900</v>
      </c>
      <c r="BH200" s="225">
        <v>0.95</v>
      </c>
      <c r="BI200" s="225">
        <v>1</v>
      </c>
      <c r="BJ200" s="257">
        <f t="shared" si="122"/>
        <v>1900</v>
      </c>
      <c r="BK200" s="257">
        <v>1900</v>
      </c>
      <c r="BL200" s="225">
        <f t="shared" si="168"/>
        <v>0.95</v>
      </c>
      <c r="BM200" s="225">
        <f t="shared" si="133"/>
        <v>1</v>
      </c>
      <c r="BN200" s="205">
        <f t="shared" si="180"/>
        <v>0</v>
      </c>
      <c r="BO200" s="205"/>
      <c r="BP200" s="227">
        <v>0</v>
      </c>
      <c r="BQ200" s="224">
        <f t="shared" si="134"/>
        <v>0</v>
      </c>
      <c r="BR200" s="227">
        <f>G200*0.95</f>
        <v>1900</v>
      </c>
      <c r="BS200" s="224">
        <f t="shared" si="169"/>
        <v>0.95</v>
      </c>
      <c r="BT200" s="227">
        <v>1900</v>
      </c>
      <c r="BU200" s="224">
        <f t="shared" si="170"/>
        <v>0.95</v>
      </c>
      <c r="BV200" s="227">
        <v>1900</v>
      </c>
      <c r="BW200" s="224">
        <f t="shared" si="171"/>
        <v>0.95</v>
      </c>
      <c r="BX200" s="227">
        <v>1900</v>
      </c>
      <c r="BY200" s="224">
        <f t="shared" si="172"/>
        <v>0.95</v>
      </c>
      <c r="BZ200" s="227">
        <v>1900</v>
      </c>
      <c r="CA200" s="224">
        <f t="shared" si="173"/>
        <v>0.95</v>
      </c>
      <c r="CB200" s="227">
        <v>1900</v>
      </c>
      <c r="CC200" s="224">
        <f t="shared" si="174"/>
        <v>0.95</v>
      </c>
      <c r="CD200" s="227">
        <v>1900</v>
      </c>
      <c r="CE200" s="224">
        <f t="shared" si="174"/>
        <v>0.95</v>
      </c>
      <c r="CF200" s="227">
        <v>1900</v>
      </c>
      <c r="CG200" s="224">
        <f t="shared" si="175"/>
        <v>0.95</v>
      </c>
      <c r="CH200" s="227">
        <v>1900</v>
      </c>
      <c r="CI200" s="224">
        <f t="shared" si="175"/>
        <v>0.95</v>
      </c>
      <c r="CJ200" s="227">
        <v>1900</v>
      </c>
      <c r="CK200" s="224">
        <f t="shared" si="176"/>
        <v>0.95</v>
      </c>
      <c r="CL200" s="227">
        <v>1900</v>
      </c>
      <c r="CM200" s="224">
        <f t="shared" si="177"/>
        <v>0.95</v>
      </c>
      <c r="CN200" s="227">
        <v>1900</v>
      </c>
      <c r="CO200" s="224">
        <f t="shared" si="178"/>
        <v>0.95</v>
      </c>
      <c r="CP200" s="213" t="str">
        <f t="shared" si="135"/>
        <v>Đạt</v>
      </c>
      <c r="CQ200" s="213" t="str">
        <f t="shared" si="136"/>
        <v>Đạt</v>
      </c>
      <c r="CR200" s="192"/>
      <c r="CS200" s="192"/>
      <c r="CT200" s="223"/>
      <c r="CU200" s="163"/>
      <c r="CW200" s="195"/>
      <c r="CX200" s="196"/>
      <c r="CY200" s="196"/>
      <c r="CZ200" s="197"/>
      <c r="DA200" s="196"/>
      <c r="DB200" s="196"/>
      <c r="DC200" s="196"/>
      <c r="DE200" s="199"/>
      <c r="DF200" s="200"/>
      <c r="DG200" s="181"/>
    </row>
    <row r="201" spans="1:111" ht="25.5" hidden="1" outlineLevel="1" x14ac:dyDescent="0.25">
      <c r="A201" s="192">
        <f>MAX(A$198:$B200)+1</f>
        <v>4</v>
      </c>
      <c r="B201" s="247" t="s">
        <v>347</v>
      </c>
      <c r="C201" s="248">
        <v>7004686</v>
      </c>
      <c r="D201" s="214">
        <f>E201+F201</f>
        <v>10000</v>
      </c>
      <c r="E201" s="205"/>
      <c r="F201" s="214">
        <f>G201+H201+K201+M201</f>
        <v>10000</v>
      </c>
      <c r="G201" s="257">
        <v>10000</v>
      </c>
      <c r="H201" s="257"/>
      <c r="I201" s="235"/>
      <c r="J201" s="235"/>
      <c r="K201" s="223"/>
      <c r="L201" s="235"/>
      <c r="M201" s="223"/>
      <c r="N201" s="223"/>
      <c r="O201" s="257">
        <f t="shared" si="140"/>
        <v>10000</v>
      </c>
      <c r="P201" s="257">
        <v>7740</v>
      </c>
      <c r="Q201" s="224">
        <f t="shared" si="121"/>
        <v>0.77400000000000002</v>
      </c>
      <c r="R201" s="257">
        <v>9500</v>
      </c>
      <c r="S201" s="225">
        <v>0.95</v>
      </c>
      <c r="T201" s="225">
        <v>1</v>
      </c>
      <c r="U201" s="257">
        <v>9500</v>
      </c>
      <c r="V201" s="225">
        <v>0.95</v>
      </c>
      <c r="W201" s="225">
        <v>1</v>
      </c>
      <c r="X201" s="257">
        <v>9500</v>
      </c>
      <c r="Y201" s="225">
        <v>0.95</v>
      </c>
      <c r="Z201" s="225">
        <v>1</v>
      </c>
      <c r="AA201" s="257">
        <v>9500</v>
      </c>
      <c r="AB201" s="225">
        <v>0.95</v>
      </c>
      <c r="AC201" s="225">
        <v>1</v>
      </c>
      <c r="AD201" s="257">
        <v>9500</v>
      </c>
      <c r="AE201" s="225">
        <v>0.95</v>
      </c>
      <c r="AF201" s="225">
        <v>1</v>
      </c>
      <c r="AG201" s="257">
        <v>9500</v>
      </c>
      <c r="AH201" s="225">
        <v>0.95</v>
      </c>
      <c r="AI201" s="225">
        <v>1</v>
      </c>
      <c r="AJ201" s="205">
        <v>9500</v>
      </c>
      <c r="AK201" s="225">
        <v>0.95</v>
      </c>
      <c r="AL201" s="225">
        <v>1</v>
      </c>
      <c r="AM201" s="257">
        <v>9500</v>
      </c>
      <c r="AN201" s="225">
        <v>0.95</v>
      </c>
      <c r="AO201" s="225">
        <v>1</v>
      </c>
      <c r="AP201" s="225"/>
      <c r="AQ201" s="257">
        <v>9500</v>
      </c>
      <c r="AR201" s="225">
        <v>0.95</v>
      </c>
      <c r="AS201" s="225">
        <v>1</v>
      </c>
      <c r="AT201" s="257">
        <v>9500</v>
      </c>
      <c r="AU201" s="225">
        <v>0.95</v>
      </c>
      <c r="AV201" s="225">
        <v>1</v>
      </c>
      <c r="AW201" s="225"/>
      <c r="AX201" s="225"/>
      <c r="AY201" s="225"/>
      <c r="AZ201" s="225"/>
      <c r="BA201" s="225"/>
      <c r="BB201" s="225"/>
      <c r="BC201" s="257">
        <v>9500</v>
      </c>
      <c r="BD201" s="225">
        <v>0.95</v>
      </c>
      <c r="BE201" s="225">
        <v>1</v>
      </c>
      <c r="BF201" s="257"/>
      <c r="BG201" s="257">
        <v>9500</v>
      </c>
      <c r="BH201" s="225">
        <v>0.95</v>
      </c>
      <c r="BI201" s="225">
        <v>1</v>
      </c>
      <c r="BJ201" s="257">
        <f t="shared" si="122"/>
        <v>9500</v>
      </c>
      <c r="BK201" s="257">
        <v>9500</v>
      </c>
      <c r="BL201" s="225">
        <f t="shared" si="168"/>
        <v>0.95</v>
      </c>
      <c r="BM201" s="225">
        <f t="shared" si="133"/>
        <v>1</v>
      </c>
      <c r="BN201" s="205">
        <f t="shared" si="180"/>
        <v>0</v>
      </c>
      <c r="BO201" s="205"/>
      <c r="BP201" s="227">
        <v>0</v>
      </c>
      <c r="BQ201" s="224">
        <f t="shared" si="134"/>
        <v>0</v>
      </c>
      <c r="BR201" s="227">
        <v>0</v>
      </c>
      <c r="BS201" s="224">
        <f t="shared" si="169"/>
        <v>0</v>
      </c>
      <c r="BT201" s="227">
        <v>6000</v>
      </c>
      <c r="BU201" s="224">
        <f t="shared" si="170"/>
        <v>0.6</v>
      </c>
      <c r="BV201" s="227">
        <v>6500</v>
      </c>
      <c r="BW201" s="224">
        <f t="shared" si="171"/>
        <v>0.65</v>
      </c>
      <c r="BX201" s="227">
        <v>7000</v>
      </c>
      <c r="BY201" s="224">
        <f t="shared" si="172"/>
        <v>0.7</v>
      </c>
      <c r="BZ201" s="227">
        <v>7500</v>
      </c>
      <c r="CA201" s="224">
        <f t="shared" si="173"/>
        <v>0.75</v>
      </c>
      <c r="CB201" s="227">
        <v>8000</v>
      </c>
      <c r="CC201" s="224">
        <f t="shared" si="174"/>
        <v>0.8</v>
      </c>
      <c r="CD201" s="227">
        <v>8500</v>
      </c>
      <c r="CE201" s="224">
        <f t="shared" si="174"/>
        <v>0.85</v>
      </c>
      <c r="CF201" s="227">
        <v>9000</v>
      </c>
      <c r="CG201" s="224">
        <f t="shared" si="175"/>
        <v>0.9</v>
      </c>
      <c r="CH201" s="227">
        <v>9250</v>
      </c>
      <c r="CI201" s="224">
        <f t="shared" si="175"/>
        <v>0.92500000000000004</v>
      </c>
      <c r="CJ201" s="227">
        <v>9500</v>
      </c>
      <c r="CK201" s="224">
        <f t="shared" si="176"/>
        <v>0.95</v>
      </c>
      <c r="CL201" s="227">
        <v>9500</v>
      </c>
      <c r="CM201" s="224">
        <f t="shared" si="177"/>
        <v>0.95</v>
      </c>
      <c r="CN201" s="227">
        <v>9500</v>
      </c>
      <c r="CO201" s="224">
        <f t="shared" si="178"/>
        <v>0.95</v>
      </c>
      <c r="CP201" s="213" t="str">
        <f t="shared" si="135"/>
        <v>Đạt</v>
      </c>
      <c r="CQ201" s="213" t="str">
        <f t="shared" si="136"/>
        <v>Đạt</v>
      </c>
      <c r="CR201" s="192"/>
      <c r="CS201" s="192"/>
      <c r="CT201" s="223"/>
      <c r="CU201" s="163"/>
      <c r="CW201" s="195"/>
      <c r="CX201" s="196"/>
      <c r="CY201" s="196"/>
      <c r="CZ201" s="197"/>
      <c r="DA201" s="196"/>
      <c r="DB201" s="196"/>
      <c r="DC201" s="196"/>
      <c r="DE201" s="199"/>
      <c r="DF201" s="200"/>
      <c r="DG201" s="181"/>
    </row>
    <row r="202" spans="1:111" s="233" customFormat="1" ht="18" customHeight="1" collapsed="1" x14ac:dyDescent="0.25">
      <c r="A202" s="191">
        <v>8</v>
      </c>
      <c r="B202" s="210" t="s">
        <v>348</v>
      </c>
      <c r="C202" s="210"/>
      <c r="D202" s="205">
        <f t="shared" ref="D202:I203" si="182">D203</f>
        <v>150000</v>
      </c>
      <c r="E202" s="205">
        <f t="shared" si="182"/>
        <v>0</v>
      </c>
      <c r="F202" s="205">
        <f t="shared" si="182"/>
        <v>150000</v>
      </c>
      <c r="G202" s="205">
        <f t="shared" si="182"/>
        <v>80000</v>
      </c>
      <c r="H202" s="205">
        <f t="shared" si="182"/>
        <v>70000</v>
      </c>
      <c r="I202" s="205">
        <f t="shared" si="182"/>
        <v>0</v>
      </c>
      <c r="J202" s="205"/>
      <c r="K202" s="205">
        <f>K203</f>
        <v>0</v>
      </c>
      <c r="L202" s="205">
        <f>L203</f>
        <v>0</v>
      </c>
      <c r="M202" s="231"/>
      <c r="N202" s="231"/>
      <c r="O202" s="205">
        <f t="shared" si="140"/>
        <v>80000</v>
      </c>
      <c r="P202" s="205">
        <v>1444</v>
      </c>
      <c r="Q202" s="186">
        <f t="shared" si="121"/>
        <v>9.6266666666666671E-3</v>
      </c>
      <c r="R202" s="205">
        <v>1444</v>
      </c>
      <c r="S202" s="185">
        <v>9.6266666666666671E-3</v>
      </c>
      <c r="T202" s="185">
        <v>1.0133333333333333E-2</v>
      </c>
      <c r="U202" s="205">
        <v>1444.167211</v>
      </c>
      <c r="V202" s="185">
        <v>9.6277814066666658E-3</v>
      </c>
      <c r="W202" s="185">
        <v>1.0134506743859649E-2</v>
      </c>
      <c r="X202" s="205">
        <v>1444.167211</v>
      </c>
      <c r="Y202" s="185">
        <v>9.6277814066666658E-3</v>
      </c>
      <c r="Z202" s="185">
        <v>1.0134506743859649E-2</v>
      </c>
      <c r="AA202" s="205">
        <v>1444.167211</v>
      </c>
      <c r="AB202" s="185">
        <v>9.6277814066666658E-3</v>
      </c>
      <c r="AC202" s="185">
        <v>1.0134506743859649E-2</v>
      </c>
      <c r="AD202" s="205">
        <v>2104.827601</v>
      </c>
      <c r="AE202" s="185">
        <v>1.4032184006666667E-2</v>
      </c>
      <c r="AF202" s="185">
        <v>1.4770720007017544E-2</v>
      </c>
      <c r="AG202" s="205">
        <v>2104.827601</v>
      </c>
      <c r="AH202" s="185">
        <v>1.4032184006666667E-2</v>
      </c>
      <c r="AI202" s="185">
        <v>1.4770720007017544E-2</v>
      </c>
      <c r="AJ202" s="189">
        <v>2104.827601</v>
      </c>
      <c r="AK202" s="185">
        <v>1.4032184006666667E-2</v>
      </c>
      <c r="AL202" s="185">
        <v>1.4770720007017544E-2</v>
      </c>
      <c r="AM202" s="205">
        <v>2124</v>
      </c>
      <c r="AN202" s="185">
        <v>1.4160000000000001E-2</v>
      </c>
      <c r="AO202" s="185">
        <v>1.4905263157894737E-2</v>
      </c>
      <c r="AP202" s="185"/>
      <c r="AQ202" s="205">
        <v>2124</v>
      </c>
      <c r="AR202" s="185">
        <v>1.4160000000000001E-2</v>
      </c>
      <c r="AS202" s="185">
        <v>1.4905263157894737E-2</v>
      </c>
      <c r="AT202" s="205">
        <v>2124</v>
      </c>
      <c r="AU202" s="185">
        <v>1.4160000000000001E-2</v>
      </c>
      <c r="AV202" s="185">
        <v>1.4905263157894737E-2</v>
      </c>
      <c r="AW202" s="185"/>
      <c r="AX202" s="185"/>
      <c r="AY202" s="185"/>
      <c r="AZ202" s="185"/>
      <c r="BA202" s="185"/>
      <c r="BB202" s="185"/>
      <c r="BC202" s="205">
        <v>2124</v>
      </c>
      <c r="BD202" s="185">
        <v>1.4160000000000001E-2</v>
      </c>
      <c r="BE202" s="185">
        <v>1.4905263157894737E-2</v>
      </c>
      <c r="BF202" s="205"/>
      <c r="BG202" s="205">
        <v>2759</v>
      </c>
      <c r="BH202" s="185">
        <v>1.8393333333333334E-2</v>
      </c>
      <c r="BI202" s="185">
        <v>1.936140350877193E-2</v>
      </c>
      <c r="BJ202" s="205">
        <f t="shared" si="122"/>
        <v>142500</v>
      </c>
      <c r="BK202" s="205">
        <v>7799</v>
      </c>
      <c r="BL202" s="185">
        <f t="shared" si="168"/>
        <v>5.1993333333333336E-2</v>
      </c>
      <c r="BM202" s="185">
        <f t="shared" si="133"/>
        <v>5.472982456140351E-2</v>
      </c>
      <c r="BN202" s="205">
        <f t="shared" si="180"/>
        <v>5694.172399</v>
      </c>
      <c r="BO202" s="205"/>
      <c r="BP202" s="189">
        <f>BP203</f>
        <v>0</v>
      </c>
      <c r="BQ202" s="186">
        <f t="shared" si="134"/>
        <v>0</v>
      </c>
      <c r="BR202" s="189">
        <f>BR203</f>
        <v>3000</v>
      </c>
      <c r="BS202" s="186">
        <f t="shared" si="169"/>
        <v>0.02</v>
      </c>
      <c r="BT202" s="189">
        <f>BT203</f>
        <v>30000</v>
      </c>
      <c r="BU202" s="186">
        <f t="shared" si="170"/>
        <v>0.2</v>
      </c>
      <c r="BV202" s="189">
        <f t="shared" ref="BV202:CJ203" si="183">BV203</f>
        <v>40000</v>
      </c>
      <c r="BW202" s="186">
        <f t="shared" si="171"/>
        <v>0.26666666666666666</v>
      </c>
      <c r="BX202" s="189">
        <f t="shared" si="183"/>
        <v>45000</v>
      </c>
      <c r="BY202" s="186">
        <f t="shared" si="172"/>
        <v>0.3</v>
      </c>
      <c r="BZ202" s="189">
        <f t="shared" si="183"/>
        <v>60000</v>
      </c>
      <c r="CA202" s="186">
        <f t="shared" si="173"/>
        <v>0.4</v>
      </c>
      <c r="CB202" s="189">
        <f t="shared" si="183"/>
        <v>75000</v>
      </c>
      <c r="CC202" s="186">
        <f t="shared" si="174"/>
        <v>0.5</v>
      </c>
      <c r="CD202" s="189">
        <f t="shared" si="183"/>
        <v>90000</v>
      </c>
      <c r="CE202" s="186">
        <f t="shared" si="174"/>
        <v>0.6</v>
      </c>
      <c r="CF202" s="189">
        <f t="shared" si="183"/>
        <v>105000</v>
      </c>
      <c r="CG202" s="186">
        <f t="shared" si="175"/>
        <v>0.7</v>
      </c>
      <c r="CH202" s="189">
        <f t="shared" si="183"/>
        <v>120000</v>
      </c>
      <c r="CI202" s="186">
        <f t="shared" si="175"/>
        <v>0.8</v>
      </c>
      <c r="CJ202" s="189">
        <f t="shared" si="183"/>
        <v>135000</v>
      </c>
      <c r="CK202" s="186">
        <f t="shared" si="176"/>
        <v>0.9</v>
      </c>
      <c r="CL202" s="189">
        <f t="shared" ref="CL202:CN203" si="184">CL203</f>
        <v>142500</v>
      </c>
      <c r="CM202" s="186">
        <f t="shared" si="177"/>
        <v>0.95</v>
      </c>
      <c r="CN202" s="189">
        <f t="shared" si="184"/>
        <v>142500</v>
      </c>
      <c r="CO202" s="186">
        <f t="shared" si="178"/>
        <v>0.95</v>
      </c>
      <c r="CP202" s="213" t="str">
        <f t="shared" si="135"/>
        <v>Không đạt</v>
      </c>
      <c r="CQ202" s="213" t="str">
        <f t="shared" si="136"/>
        <v>Không đạt</v>
      </c>
      <c r="CR202" s="213"/>
      <c r="CS202" s="213"/>
      <c r="CT202" s="213"/>
      <c r="CU202" s="163"/>
      <c r="CV202" s="232"/>
      <c r="CW202" s="195"/>
      <c r="CX202" s="196"/>
      <c r="CY202" s="196"/>
      <c r="CZ202" s="197"/>
      <c r="DA202" s="196"/>
      <c r="DB202" s="196"/>
      <c r="DC202" s="196"/>
      <c r="DE202" s="199"/>
      <c r="DF202" s="200"/>
      <c r="DG202" s="181"/>
    </row>
    <row r="203" spans="1:111" s="255" customFormat="1" hidden="1" outlineLevel="1" x14ac:dyDescent="0.25">
      <c r="A203" s="191" t="s">
        <v>29</v>
      </c>
      <c r="B203" s="210" t="s">
        <v>157</v>
      </c>
      <c r="C203" s="210"/>
      <c r="D203" s="189">
        <f t="shared" si="182"/>
        <v>150000</v>
      </c>
      <c r="E203" s="189">
        <f t="shared" si="182"/>
        <v>0</v>
      </c>
      <c r="F203" s="189">
        <f t="shared" si="182"/>
        <v>150000</v>
      </c>
      <c r="G203" s="189">
        <f t="shared" si="182"/>
        <v>80000</v>
      </c>
      <c r="H203" s="189">
        <f t="shared" si="182"/>
        <v>70000</v>
      </c>
      <c r="I203" s="214">
        <f t="shared" si="182"/>
        <v>0</v>
      </c>
      <c r="J203" s="214"/>
      <c r="K203" s="189">
        <f>K204</f>
        <v>0</v>
      </c>
      <c r="L203" s="214">
        <f>L204</f>
        <v>0</v>
      </c>
      <c r="M203" s="214">
        <f>M204</f>
        <v>0</v>
      </c>
      <c r="N203" s="214">
        <f>N204</f>
        <v>0</v>
      </c>
      <c r="O203" s="214">
        <f>O204</f>
        <v>80000</v>
      </c>
      <c r="P203" s="214">
        <v>27078.295252</v>
      </c>
      <c r="Q203" s="258">
        <f t="shared" si="121"/>
        <v>0.18052196834666667</v>
      </c>
      <c r="R203" s="189">
        <v>1444</v>
      </c>
      <c r="S203" s="185">
        <v>9.6266666666666671E-3</v>
      </c>
      <c r="T203" s="185">
        <v>1.0133333333333333E-2</v>
      </c>
      <c r="U203" s="189">
        <v>1444.167211</v>
      </c>
      <c r="V203" s="185">
        <v>9.6277814066666658E-3</v>
      </c>
      <c r="W203" s="185">
        <v>1.0134506743859649E-2</v>
      </c>
      <c r="X203" s="189">
        <v>1444.167211</v>
      </c>
      <c r="Y203" s="185">
        <v>9.6277814066666658E-3</v>
      </c>
      <c r="Z203" s="185">
        <v>1.0134506743859649E-2</v>
      </c>
      <c r="AA203" s="189">
        <v>1444.167211</v>
      </c>
      <c r="AB203" s="185">
        <v>9.6277814066666658E-3</v>
      </c>
      <c r="AC203" s="185">
        <v>1.0134506743859649E-2</v>
      </c>
      <c r="AD203" s="189">
        <v>2104.827601</v>
      </c>
      <c r="AE203" s="185">
        <v>1.4032184006666667E-2</v>
      </c>
      <c r="AF203" s="185">
        <v>1.4770720007017544E-2</v>
      </c>
      <c r="AG203" s="189">
        <v>2104.827601</v>
      </c>
      <c r="AH203" s="185">
        <v>1.4032184006666667E-2</v>
      </c>
      <c r="AI203" s="185">
        <v>1.4770720007017544E-2</v>
      </c>
      <c r="AJ203" s="257">
        <v>2104.827601</v>
      </c>
      <c r="AK203" s="185">
        <v>1.4032184006666667E-2</v>
      </c>
      <c r="AL203" s="185">
        <v>1.4770720007017544E-2</v>
      </c>
      <c r="AM203" s="189">
        <v>2124</v>
      </c>
      <c r="AN203" s="185">
        <v>1.4160000000000001E-2</v>
      </c>
      <c r="AO203" s="185">
        <v>1.4905263157894737E-2</v>
      </c>
      <c r="AP203" s="185"/>
      <c r="AQ203" s="189">
        <v>2124</v>
      </c>
      <c r="AR203" s="185">
        <v>1.4160000000000001E-2</v>
      </c>
      <c r="AS203" s="185">
        <v>1.4905263157894737E-2</v>
      </c>
      <c r="AT203" s="189">
        <v>2124</v>
      </c>
      <c r="AU203" s="185">
        <v>1.4160000000000001E-2</v>
      </c>
      <c r="AV203" s="185">
        <v>1.4905263157894737E-2</v>
      </c>
      <c r="AW203" s="185"/>
      <c r="AX203" s="185"/>
      <c r="AY203" s="185"/>
      <c r="AZ203" s="185"/>
      <c r="BA203" s="185"/>
      <c r="BB203" s="185"/>
      <c r="BC203" s="189">
        <v>2124</v>
      </c>
      <c r="BD203" s="185">
        <v>1.4160000000000001E-2</v>
      </c>
      <c r="BE203" s="185">
        <v>1.4905263157894737E-2</v>
      </c>
      <c r="BF203" s="189"/>
      <c r="BG203" s="189">
        <v>2759</v>
      </c>
      <c r="BH203" s="185">
        <v>1.8393333333333334E-2</v>
      </c>
      <c r="BI203" s="185">
        <v>1.936140350877193E-2</v>
      </c>
      <c r="BJ203" s="189">
        <f t="shared" si="122"/>
        <v>142500</v>
      </c>
      <c r="BK203" s="189">
        <f>BK204</f>
        <v>2796.7367669999999</v>
      </c>
      <c r="BL203" s="185">
        <f t="shared" si="168"/>
        <v>1.8644911779999999E-2</v>
      </c>
      <c r="BM203" s="185">
        <f t="shared" si="133"/>
        <v>1.962622292631579E-2</v>
      </c>
      <c r="BN203" s="205">
        <f t="shared" si="180"/>
        <v>691.90916599999991</v>
      </c>
      <c r="BO203" s="205"/>
      <c r="BP203" s="245">
        <f>BP204</f>
        <v>0</v>
      </c>
      <c r="BQ203" s="258">
        <f t="shared" si="134"/>
        <v>0</v>
      </c>
      <c r="BR203" s="245">
        <f>BR204</f>
        <v>3000</v>
      </c>
      <c r="BS203" s="258">
        <f t="shared" si="169"/>
        <v>0.02</v>
      </c>
      <c r="BT203" s="245">
        <f>BT204</f>
        <v>30000</v>
      </c>
      <c r="BU203" s="258">
        <f t="shared" si="170"/>
        <v>0.2</v>
      </c>
      <c r="BV203" s="245">
        <f t="shared" si="183"/>
        <v>40000</v>
      </c>
      <c r="BW203" s="258">
        <f t="shared" si="171"/>
        <v>0.26666666666666666</v>
      </c>
      <c r="BX203" s="245">
        <f t="shared" si="183"/>
        <v>45000</v>
      </c>
      <c r="BY203" s="258">
        <f t="shared" si="172"/>
        <v>0.3</v>
      </c>
      <c r="BZ203" s="245">
        <f t="shared" si="183"/>
        <v>60000</v>
      </c>
      <c r="CA203" s="258">
        <f t="shared" si="173"/>
        <v>0.4</v>
      </c>
      <c r="CB203" s="245">
        <f t="shared" si="183"/>
        <v>75000</v>
      </c>
      <c r="CC203" s="258">
        <f t="shared" si="174"/>
        <v>0.5</v>
      </c>
      <c r="CD203" s="245">
        <f t="shared" si="183"/>
        <v>90000</v>
      </c>
      <c r="CE203" s="258">
        <f t="shared" si="174"/>
        <v>0.6</v>
      </c>
      <c r="CF203" s="245">
        <f t="shared" si="183"/>
        <v>105000</v>
      </c>
      <c r="CG203" s="258">
        <f t="shared" si="175"/>
        <v>0.7</v>
      </c>
      <c r="CH203" s="245">
        <f t="shared" si="183"/>
        <v>120000</v>
      </c>
      <c r="CI203" s="258">
        <f t="shared" si="175"/>
        <v>0.8</v>
      </c>
      <c r="CJ203" s="245">
        <f t="shared" si="183"/>
        <v>135000</v>
      </c>
      <c r="CK203" s="258">
        <f t="shared" si="176"/>
        <v>0.9</v>
      </c>
      <c r="CL203" s="245">
        <f t="shared" si="184"/>
        <v>142500</v>
      </c>
      <c r="CM203" s="258">
        <f t="shared" si="177"/>
        <v>0.95</v>
      </c>
      <c r="CN203" s="245">
        <f t="shared" si="184"/>
        <v>142500</v>
      </c>
      <c r="CO203" s="258">
        <f t="shared" si="178"/>
        <v>0.95</v>
      </c>
      <c r="CP203" s="213" t="str">
        <f t="shared" si="135"/>
        <v>Không đạt</v>
      </c>
      <c r="CQ203" s="213" t="str">
        <f t="shared" si="136"/>
        <v>Không đạt</v>
      </c>
      <c r="CR203" s="213"/>
      <c r="CS203" s="213"/>
      <c r="CT203" s="231"/>
      <c r="CU203" s="163"/>
      <c r="CV203" s="142"/>
      <c r="CW203" s="195"/>
      <c r="CX203" s="196"/>
      <c r="CY203" s="196"/>
      <c r="CZ203" s="197"/>
      <c r="DA203" s="196"/>
      <c r="DB203" s="196"/>
      <c r="DC203" s="196"/>
      <c r="DD203" s="144"/>
      <c r="DE203" s="199"/>
      <c r="DF203" s="200"/>
      <c r="DG203" s="181"/>
    </row>
    <row r="204" spans="1:111" ht="44.45" hidden="1" customHeight="1" outlineLevel="1" x14ac:dyDescent="0.25">
      <c r="A204" s="192">
        <v>1</v>
      </c>
      <c r="B204" s="222" t="s">
        <v>349</v>
      </c>
      <c r="C204" s="248">
        <v>7004692</v>
      </c>
      <c r="D204" s="214">
        <f>E204+F204</f>
        <v>150000</v>
      </c>
      <c r="E204" s="205"/>
      <c r="F204" s="214">
        <f>G204+H204+K204+M204</f>
        <v>150000</v>
      </c>
      <c r="G204" s="257">
        <v>80000</v>
      </c>
      <c r="H204" s="257">
        <v>70000</v>
      </c>
      <c r="I204" s="235"/>
      <c r="J204" s="235"/>
      <c r="K204" s="223"/>
      <c r="L204" s="235"/>
      <c r="M204" s="223"/>
      <c r="N204" s="223"/>
      <c r="O204" s="257">
        <f>G204+I204+L204+N204</f>
        <v>80000</v>
      </c>
      <c r="P204" s="257">
        <v>1444</v>
      </c>
      <c r="Q204" s="224">
        <f t="shared" si="121"/>
        <v>9.6266666666666671E-3</v>
      </c>
      <c r="R204" s="257">
        <v>1444</v>
      </c>
      <c r="S204" s="225">
        <v>9.6266666666666671E-3</v>
      </c>
      <c r="T204" s="225">
        <v>1.0133333333333333E-2</v>
      </c>
      <c r="U204" s="257">
        <v>1444.167211</v>
      </c>
      <c r="V204" s="225">
        <v>9.6277814066666658E-3</v>
      </c>
      <c r="W204" s="225">
        <v>1.0134506743859649E-2</v>
      </c>
      <c r="X204" s="257">
        <v>1444.167211</v>
      </c>
      <c r="Y204" s="225">
        <v>9.6277814066666658E-3</v>
      </c>
      <c r="Z204" s="225">
        <v>1.0134506743859649E-2</v>
      </c>
      <c r="AA204" s="257">
        <v>1444.167211</v>
      </c>
      <c r="AB204" s="225">
        <v>9.6277814066666658E-3</v>
      </c>
      <c r="AC204" s="225">
        <v>1.0134506743859649E-2</v>
      </c>
      <c r="AD204" s="257">
        <v>2104.827601</v>
      </c>
      <c r="AE204" s="225">
        <v>1.4032184006666667E-2</v>
      </c>
      <c r="AF204" s="225">
        <v>1.4770720007017544E-2</v>
      </c>
      <c r="AG204" s="257">
        <v>2104.827601</v>
      </c>
      <c r="AH204" s="225">
        <v>1.4032184006666667E-2</v>
      </c>
      <c r="AI204" s="225">
        <v>1.4770720007017544E-2</v>
      </c>
      <c r="AJ204" s="205">
        <v>2104.827601</v>
      </c>
      <c r="AK204" s="225">
        <v>1.4032184006666667E-2</v>
      </c>
      <c r="AL204" s="225">
        <v>1.4770720007017544E-2</v>
      </c>
      <c r="AM204" s="257">
        <v>2124</v>
      </c>
      <c r="AN204" s="225">
        <v>1.4160000000000001E-2</v>
      </c>
      <c r="AO204" s="225">
        <v>1.4905263157894737E-2</v>
      </c>
      <c r="AP204" s="225"/>
      <c r="AQ204" s="257">
        <v>2124</v>
      </c>
      <c r="AR204" s="225">
        <v>1.4160000000000001E-2</v>
      </c>
      <c r="AS204" s="225">
        <v>1.4905263157894737E-2</v>
      </c>
      <c r="AT204" s="257">
        <v>2124</v>
      </c>
      <c r="AU204" s="225">
        <v>1.4160000000000001E-2</v>
      </c>
      <c r="AV204" s="225">
        <v>1.4905263157894737E-2</v>
      </c>
      <c r="AW204" s="225"/>
      <c r="AX204" s="225"/>
      <c r="AY204" s="225"/>
      <c r="AZ204" s="225"/>
      <c r="BA204" s="225"/>
      <c r="BB204" s="225"/>
      <c r="BC204" s="257">
        <v>2124</v>
      </c>
      <c r="BD204" s="225">
        <v>1.4160000000000001E-2</v>
      </c>
      <c r="BE204" s="225">
        <v>1.4905263157894737E-2</v>
      </c>
      <c r="BF204" s="257"/>
      <c r="BG204" s="257">
        <v>2759</v>
      </c>
      <c r="BH204" s="225">
        <v>1.8393333333333334E-2</v>
      </c>
      <c r="BI204" s="225">
        <v>1.936140350877193E-2</v>
      </c>
      <c r="BJ204" s="257">
        <f t="shared" si="122"/>
        <v>142500</v>
      </c>
      <c r="BK204" s="257">
        <v>2796.7367669999999</v>
      </c>
      <c r="BL204" s="225">
        <f t="shared" si="168"/>
        <v>1.8644911779999999E-2</v>
      </c>
      <c r="BM204" s="225">
        <f t="shared" si="133"/>
        <v>1.962622292631579E-2</v>
      </c>
      <c r="BN204" s="205">
        <f t="shared" si="180"/>
        <v>691.90916599999991</v>
      </c>
      <c r="BO204" s="205"/>
      <c r="BP204" s="227">
        <v>0</v>
      </c>
      <c r="BQ204" s="224">
        <f t="shared" si="134"/>
        <v>0</v>
      </c>
      <c r="BR204" s="227">
        <v>3000</v>
      </c>
      <c r="BS204" s="224">
        <f t="shared" si="169"/>
        <v>0.02</v>
      </c>
      <c r="BT204" s="227">
        <v>30000</v>
      </c>
      <c r="BU204" s="224">
        <f t="shared" si="170"/>
        <v>0.2</v>
      </c>
      <c r="BV204" s="227">
        <v>40000</v>
      </c>
      <c r="BW204" s="224">
        <f t="shared" si="171"/>
        <v>0.26666666666666666</v>
      </c>
      <c r="BX204" s="227">
        <v>45000</v>
      </c>
      <c r="BY204" s="224">
        <f t="shared" si="172"/>
        <v>0.3</v>
      </c>
      <c r="BZ204" s="227">
        <v>60000</v>
      </c>
      <c r="CA204" s="224">
        <f t="shared" si="173"/>
        <v>0.4</v>
      </c>
      <c r="CB204" s="227">
        <v>75000</v>
      </c>
      <c r="CC204" s="224">
        <f t="shared" si="174"/>
        <v>0.5</v>
      </c>
      <c r="CD204" s="227">
        <v>90000</v>
      </c>
      <c r="CE204" s="224">
        <f t="shared" si="174"/>
        <v>0.6</v>
      </c>
      <c r="CF204" s="227">
        <v>105000</v>
      </c>
      <c r="CG204" s="224">
        <f t="shared" si="175"/>
        <v>0.7</v>
      </c>
      <c r="CH204" s="227">
        <v>120000</v>
      </c>
      <c r="CI204" s="224">
        <f t="shared" si="175"/>
        <v>0.8</v>
      </c>
      <c r="CJ204" s="227">
        <v>135000</v>
      </c>
      <c r="CK204" s="224">
        <f t="shared" si="176"/>
        <v>0.9</v>
      </c>
      <c r="CL204" s="227">
        <v>142500</v>
      </c>
      <c r="CM204" s="224">
        <f t="shared" si="177"/>
        <v>0.95</v>
      </c>
      <c r="CN204" s="227">
        <v>142500</v>
      </c>
      <c r="CO204" s="224">
        <f t="shared" si="178"/>
        <v>0.95</v>
      </c>
      <c r="CP204" s="213" t="str">
        <f t="shared" si="135"/>
        <v>Không đạt</v>
      </c>
      <c r="CQ204" s="213" t="str">
        <f t="shared" si="136"/>
        <v>Không đạt</v>
      </c>
      <c r="CR204" s="192"/>
      <c r="CS204" s="192"/>
      <c r="CT204" s="223"/>
      <c r="CU204" s="163"/>
      <c r="CW204" s="195"/>
      <c r="CX204" s="196"/>
      <c r="CY204" s="196"/>
      <c r="CZ204" s="197"/>
      <c r="DA204" s="196"/>
      <c r="DB204" s="196"/>
      <c r="DC204" s="196"/>
      <c r="DE204" s="199"/>
      <c r="DF204" s="200"/>
      <c r="DG204" s="181"/>
    </row>
    <row r="205" spans="1:111" s="233" customFormat="1" ht="18" customHeight="1" collapsed="1" x14ac:dyDescent="0.25">
      <c r="A205" s="191">
        <v>9</v>
      </c>
      <c r="B205" s="210" t="s">
        <v>350</v>
      </c>
      <c r="C205" s="210"/>
      <c r="D205" s="205">
        <f t="shared" ref="D205:I205" si="185">D206</f>
        <v>25000</v>
      </c>
      <c r="E205" s="205">
        <f t="shared" si="185"/>
        <v>0</v>
      </c>
      <c r="F205" s="205">
        <f t="shared" si="185"/>
        <v>25000</v>
      </c>
      <c r="G205" s="205">
        <f t="shared" si="185"/>
        <v>20000</v>
      </c>
      <c r="H205" s="205">
        <f t="shared" si="185"/>
        <v>5000</v>
      </c>
      <c r="I205" s="205">
        <f t="shared" si="185"/>
        <v>0</v>
      </c>
      <c r="J205" s="205"/>
      <c r="K205" s="205">
        <f>K206</f>
        <v>0</v>
      </c>
      <c r="L205" s="205">
        <f>L206</f>
        <v>0</v>
      </c>
      <c r="M205" s="231"/>
      <c r="N205" s="231"/>
      <c r="O205" s="205">
        <f>G205+I205+L205+N205</f>
        <v>20000</v>
      </c>
      <c r="P205" s="205">
        <v>0</v>
      </c>
      <c r="Q205" s="186">
        <f t="shared" ref="Q205:Q267" si="186">P205/$D205</f>
        <v>0</v>
      </c>
      <c r="R205" s="205">
        <v>1426.188042</v>
      </c>
      <c r="S205" s="185">
        <v>6.2008175739130436E-2</v>
      </c>
      <c r="T205" s="185">
        <v>6.5271763935926777E-2</v>
      </c>
      <c r="U205" s="205">
        <v>1426.188042</v>
      </c>
      <c r="V205" s="185">
        <v>6.2008175739130436E-2</v>
      </c>
      <c r="W205" s="185">
        <v>6.5271763935926777E-2</v>
      </c>
      <c r="X205" s="205">
        <v>1426.188042</v>
      </c>
      <c r="Y205" s="185">
        <v>6.2008175739130436E-2</v>
      </c>
      <c r="Z205" s="185">
        <v>6.5271763935926777E-2</v>
      </c>
      <c r="AA205" s="205">
        <v>1426.188042</v>
      </c>
      <c r="AB205" s="185">
        <v>6.2008175739130436E-2</v>
      </c>
      <c r="AC205" s="185">
        <v>6.5271763935926777E-2</v>
      </c>
      <c r="AD205" s="205">
        <v>7600</v>
      </c>
      <c r="AE205" s="185">
        <v>0.33043478260869563</v>
      </c>
      <c r="AF205" s="185">
        <v>0.34782608695652173</v>
      </c>
      <c r="AG205" s="205">
        <v>7600</v>
      </c>
      <c r="AH205" s="185">
        <v>0.33043478260869563</v>
      </c>
      <c r="AI205" s="185">
        <v>0.34782608695652173</v>
      </c>
      <c r="AJ205" s="226">
        <v>7600</v>
      </c>
      <c r="AK205" s="185">
        <v>0.33043478260869563</v>
      </c>
      <c r="AL205" s="185">
        <v>0.34782608695652173</v>
      </c>
      <c r="AM205" s="205">
        <v>7600</v>
      </c>
      <c r="AN205" s="185">
        <v>0.33043478260869563</v>
      </c>
      <c r="AO205" s="185">
        <v>0.34782608695652173</v>
      </c>
      <c r="AP205" s="185"/>
      <c r="AQ205" s="205">
        <v>7600</v>
      </c>
      <c r="AR205" s="185">
        <v>0.33043478260869563</v>
      </c>
      <c r="AS205" s="185">
        <v>0.34782608695652173</v>
      </c>
      <c r="AT205" s="205">
        <v>7600</v>
      </c>
      <c r="AU205" s="185">
        <v>0.33043478260869563</v>
      </c>
      <c r="AV205" s="185">
        <v>0.34782608695652173</v>
      </c>
      <c r="AW205" s="185"/>
      <c r="AX205" s="185"/>
      <c r="AY205" s="185"/>
      <c r="AZ205" s="185"/>
      <c r="BA205" s="185"/>
      <c r="BB205" s="185"/>
      <c r="BC205" s="205">
        <v>7600</v>
      </c>
      <c r="BD205" s="185">
        <v>0.33043478260869563</v>
      </c>
      <c r="BE205" s="185">
        <v>0.34782608695652173</v>
      </c>
      <c r="BF205" s="205"/>
      <c r="BG205" s="205">
        <v>17692</v>
      </c>
      <c r="BH205" s="185">
        <v>0.70767999999999998</v>
      </c>
      <c r="BI205" s="185">
        <v>0.74492631578947366</v>
      </c>
      <c r="BJ205" s="205">
        <f t="shared" ref="BJ205:BJ267" si="187">E205+(F205*0.95)</f>
        <v>23750</v>
      </c>
      <c r="BK205" s="205">
        <v>17961.530085999999</v>
      </c>
      <c r="BL205" s="185">
        <f t="shared" si="168"/>
        <v>0.71846120343999997</v>
      </c>
      <c r="BM205" s="185">
        <f t="shared" si="133"/>
        <v>0.75627495098947362</v>
      </c>
      <c r="BN205" s="205">
        <f t="shared" si="180"/>
        <v>10361.530085999999</v>
      </c>
      <c r="BO205" s="205"/>
      <c r="BP205" s="189">
        <f>BP206</f>
        <v>0</v>
      </c>
      <c r="BQ205" s="186">
        <f t="shared" si="134"/>
        <v>0</v>
      </c>
      <c r="BR205" s="189">
        <f>BR206</f>
        <v>1300</v>
      </c>
      <c r="BS205" s="186">
        <f t="shared" si="169"/>
        <v>5.1999999999999998E-2</v>
      </c>
      <c r="BT205" s="189">
        <f>BT206</f>
        <v>1300</v>
      </c>
      <c r="BU205" s="186">
        <f t="shared" si="170"/>
        <v>5.1999999999999998E-2</v>
      </c>
      <c r="BV205" s="189">
        <f t="shared" ref="BV205:CJ205" si="188">BV206</f>
        <v>7800</v>
      </c>
      <c r="BW205" s="186">
        <f t="shared" si="171"/>
        <v>0.312</v>
      </c>
      <c r="BX205" s="189">
        <f t="shared" si="188"/>
        <v>7800</v>
      </c>
      <c r="BY205" s="186">
        <f t="shared" si="172"/>
        <v>0.312</v>
      </c>
      <c r="BZ205" s="189">
        <f t="shared" si="188"/>
        <v>10800</v>
      </c>
      <c r="CA205" s="186">
        <f t="shared" si="173"/>
        <v>0.432</v>
      </c>
      <c r="CB205" s="189">
        <f t="shared" si="188"/>
        <v>10800</v>
      </c>
      <c r="CC205" s="186">
        <f t="shared" si="174"/>
        <v>0.432</v>
      </c>
      <c r="CD205" s="189">
        <f t="shared" si="188"/>
        <v>10800</v>
      </c>
      <c r="CE205" s="186">
        <f t="shared" si="174"/>
        <v>0.432</v>
      </c>
      <c r="CF205" s="189">
        <f t="shared" si="188"/>
        <v>14800</v>
      </c>
      <c r="CG205" s="186">
        <f t="shared" si="175"/>
        <v>0.59199999999999997</v>
      </c>
      <c r="CH205" s="189">
        <f t="shared" si="188"/>
        <v>14800</v>
      </c>
      <c r="CI205" s="186">
        <f t="shared" si="175"/>
        <v>0.59199999999999997</v>
      </c>
      <c r="CJ205" s="189">
        <f t="shared" si="188"/>
        <v>14800</v>
      </c>
      <c r="CK205" s="186">
        <f t="shared" si="176"/>
        <v>0.59199999999999997</v>
      </c>
      <c r="CL205" s="189">
        <f>CL206</f>
        <v>19800</v>
      </c>
      <c r="CM205" s="186">
        <f t="shared" si="177"/>
        <v>0.79200000000000004</v>
      </c>
      <c r="CN205" s="189">
        <f>CN206</f>
        <v>21850</v>
      </c>
      <c r="CO205" s="186">
        <f t="shared" si="178"/>
        <v>0.874</v>
      </c>
      <c r="CP205" s="213" t="str">
        <f t="shared" si="135"/>
        <v>Đạt</v>
      </c>
      <c r="CQ205" s="213" t="str">
        <f t="shared" si="136"/>
        <v>Đạt</v>
      </c>
      <c r="CR205" s="213"/>
      <c r="CS205" s="213"/>
      <c r="CT205" s="213"/>
      <c r="CU205" s="163"/>
      <c r="CV205" s="232"/>
      <c r="CW205" s="195"/>
      <c r="CX205" s="196"/>
      <c r="CY205" s="196"/>
      <c r="CZ205" s="197"/>
      <c r="DA205" s="196"/>
      <c r="DB205" s="196"/>
      <c r="DC205" s="196"/>
      <c r="DE205" s="199"/>
      <c r="DF205" s="200"/>
      <c r="DG205" s="181"/>
    </row>
    <row r="206" spans="1:111" s="255" customFormat="1" hidden="1" outlineLevel="1" x14ac:dyDescent="0.25">
      <c r="A206" s="263" t="s">
        <v>29</v>
      </c>
      <c r="B206" s="264" t="s">
        <v>157</v>
      </c>
      <c r="C206" s="265"/>
      <c r="D206" s="226">
        <f t="shared" ref="D206:I206" si="189">SUM(D207:D208)</f>
        <v>25000</v>
      </c>
      <c r="E206" s="226">
        <f t="shared" si="189"/>
        <v>0</v>
      </c>
      <c r="F206" s="226">
        <f t="shared" si="189"/>
        <v>25000</v>
      </c>
      <c r="G206" s="226">
        <f t="shared" si="189"/>
        <v>20000</v>
      </c>
      <c r="H206" s="226">
        <f t="shared" si="189"/>
        <v>5000</v>
      </c>
      <c r="I206" s="226">
        <f t="shared" si="189"/>
        <v>0</v>
      </c>
      <c r="J206" s="226"/>
      <c r="K206" s="226">
        <f>SUM(K207:K208)</f>
        <v>0</v>
      </c>
      <c r="L206" s="226">
        <f>SUM(L207:L208)</f>
        <v>0</v>
      </c>
      <c r="M206" s="266">
        <f>SUM(M207:M208)</f>
        <v>0</v>
      </c>
      <c r="N206" s="226">
        <f>SUM(N207:N208)</f>
        <v>0</v>
      </c>
      <c r="O206" s="266">
        <f>SUM(O207:O208)</f>
        <v>20000</v>
      </c>
      <c r="P206" s="266">
        <v>27078.295252</v>
      </c>
      <c r="Q206" s="212">
        <f t="shared" si="186"/>
        <v>1.08313181008</v>
      </c>
      <c r="R206" s="226">
        <v>1426.188042</v>
      </c>
      <c r="S206" s="211">
        <v>6.2008175739130436E-2</v>
      </c>
      <c r="T206" s="211">
        <v>6.5271763935926777E-2</v>
      </c>
      <c r="U206" s="226">
        <v>1426.188042</v>
      </c>
      <c r="V206" s="211">
        <v>6.2008175739130436E-2</v>
      </c>
      <c r="W206" s="211">
        <v>6.5271763935926777E-2</v>
      </c>
      <c r="X206" s="226">
        <v>1426.188042</v>
      </c>
      <c r="Y206" s="211">
        <v>6.2008175739130436E-2</v>
      </c>
      <c r="Z206" s="211">
        <v>6.5271763935926777E-2</v>
      </c>
      <c r="AA206" s="226">
        <v>1426.188042</v>
      </c>
      <c r="AB206" s="211">
        <v>6.2008175739130436E-2</v>
      </c>
      <c r="AC206" s="211">
        <v>6.5271763935926777E-2</v>
      </c>
      <c r="AD206" s="226">
        <v>7600</v>
      </c>
      <c r="AE206" s="211">
        <v>0.33043478260869563</v>
      </c>
      <c r="AF206" s="211">
        <v>0.34782608695652173</v>
      </c>
      <c r="AG206" s="226">
        <v>7600</v>
      </c>
      <c r="AH206" s="211">
        <v>0.33043478260869563</v>
      </c>
      <c r="AI206" s="211">
        <v>0.34782608695652173</v>
      </c>
      <c r="AJ206" s="257">
        <v>7600</v>
      </c>
      <c r="AK206" s="211">
        <v>0.33043478260869563</v>
      </c>
      <c r="AL206" s="211">
        <v>0.34782608695652173</v>
      </c>
      <c r="AM206" s="226">
        <v>7600</v>
      </c>
      <c r="AN206" s="211">
        <v>0.33043478260869563</v>
      </c>
      <c r="AO206" s="211">
        <v>0.34782608695652173</v>
      </c>
      <c r="AP206" s="211"/>
      <c r="AQ206" s="226">
        <v>7600</v>
      </c>
      <c r="AR206" s="211">
        <v>0.33043478260869563</v>
      </c>
      <c r="AS206" s="211">
        <v>0.34782608695652173</v>
      </c>
      <c r="AT206" s="226">
        <v>7600</v>
      </c>
      <c r="AU206" s="211">
        <v>0.33043478260869563</v>
      </c>
      <c r="AV206" s="211">
        <v>0.34782608695652173</v>
      </c>
      <c r="AW206" s="211"/>
      <c r="AX206" s="211"/>
      <c r="AY206" s="211"/>
      <c r="AZ206" s="211"/>
      <c r="BA206" s="211"/>
      <c r="BB206" s="211"/>
      <c r="BC206" s="226">
        <v>7600</v>
      </c>
      <c r="BD206" s="211">
        <v>0.33043478260869563</v>
      </c>
      <c r="BE206" s="211">
        <v>0.34782608695652173</v>
      </c>
      <c r="BF206" s="226"/>
      <c r="BG206" s="226">
        <v>17692</v>
      </c>
      <c r="BH206" s="211">
        <v>0.70767999999999998</v>
      </c>
      <c r="BI206" s="211">
        <v>0.74492631578947366</v>
      </c>
      <c r="BJ206" s="226">
        <f t="shared" si="187"/>
        <v>23750</v>
      </c>
      <c r="BK206" s="226">
        <f>SUM(BK207:BK208)</f>
        <v>17961.530085999999</v>
      </c>
      <c r="BL206" s="211">
        <f t="shared" si="168"/>
        <v>0.71846120343999997</v>
      </c>
      <c r="BM206" s="211">
        <f t="shared" si="133"/>
        <v>0.75627495098947362</v>
      </c>
      <c r="BN206" s="205">
        <f t="shared" si="180"/>
        <v>10361.530085999999</v>
      </c>
      <c r="BO206" s="205"/>
      <c r="BP206" s="230">
        <f>SUM(BP207:BP208)</f>
        <v>0</v>
      </c>
      <c r="BQ206" s="212">
        <f t="shared" si="134"/>
        <v>0</v>
      </c>
      <c r="BR206" s="230">
        <f>SUM(BR207:BR208)</f>
        <v>1300</v>
      </c>
      <c r="BS206" s="212">
        <f t="shared" si="169"/>
        <v>5.1999999999999998E-2</v>
      </c>
      <c r="BT206" s="230">
        <f>SUM(BT207:BT208)</f>
        <v>1300</v>
      </c>
      <c r="BU206" s="212">
        <f t="shared" si="170"/>
        <v>5.1999999999999998E-2</v>
      </c>
      <c r="BV206" s="230">
        <f>SUM(BV207:BV208)</f>
        <v>7800</v>
      </c>
      <c r="BW206" s="212">
        <f t="shared" si="171"/>
        <v>0.312</v>
      </c>
      <c r="BX206" s="230">
        <f>SUM(BX207:BX208)</f>
        <v>7800</v>
      </c>
      <c r="BY206" s="212">
        <f t="shared" si="172"/>
        <v>0.312</v>
      </c>
      <c r="BZ206" s="230">
        <f>SUM(BZ207:BZ208)</f>
        <v>10800</v>
      </c>
      <c r="CA206" s="212">
        <f t="shared" si="173"/>
        <v>0.432</v>
      </c>
      <c r="CB206" s="230">
        <f>SUM(CB207:CB208)</f>
        <v>10800</v>
      </c>
      <c r="CC206" s="212">
        <f t="shared" si="174"/>
        <v>0.432</v>
      </c>
      <c r="CD206" s="230">
        <f>SUM(CD207:CD208)</f>
        <v>10800</v>
      </c>
      <c r="CE206" s="212">
        <f t="shared" si="174"/>
        <v>0.432</v>
      </c>
      <c r="CF206" s="230">
        <f>SUM(CF207:CF208)</f>
        <v>14800</v>
      </c>
      <c r="CG206" s="212">
        <f t="shared" si="175"/>
        <v>0.59199999999999997</v>
      </c>
      <c r="CH206" s="230">
        <f>SUM(CH207:CH208)</f>
        <v>14800</v>
      </c>
      <c r="CI206" s="212">
        <f t="shared" si="175"/>
        <v>0.59199999999999997</v>
      </c>
      <c r="CJ206" s="230">
        <f>SUM(CJ207:CJ208)</f>
        <v>14800</v>
      </c>
      <c r="CK206" s="212">
        <f t="shared" si="176"/>
        <v>0.59199999999999997</v>
      </c>
      <c r="CL206" s="230">
        <f>SUM(CL207:CL208)</f>
        <v>19800</v>
      </c>
      <c r="CM206" s="212">
        <f t="shared" si="177"/>
        <v>0.79200000000000004</v>
      </c>
      <c r="CN206" s="230">
        <f>SUM(CN207:CN208)</f>
        <v>21850</v>
      </c>
      <c r="CO206" s="212">
        <f t="shared" si="178"/>
        <v>0.874</v>
      </c>
      <c r="CP206" s="213" t="str">
        <f t="shared" si="135"/>
        <v>Đạt</v>
      </c>
      <c r="CQ206" s="213" t="str">
        <f t="shared" si="136"/>
        <v>Đạt</v>
      </c>
      <c r="CR206" s="213"/>
      <c r="CS206" s="213"/>
      <c r="CT206" s="213"/>
      <c r="CU206" s="163"/>
      <c r="CV206" s="142"/>
      <c r="CW206" s="195"/>
      <c r="CX206" s="196"/>
      <c r="CY206" s="196"/>
      <c r="CZ206" s="197"/>
      <c r="DA206" s="196"/>
      <c r="DB206" s="196"/>
      <c r="DC206" s="196"/>
      <c r="DD206" s="144"/>
      <c r="DE206" s="199"/>
      <c r="DF206" s="200"/>
      <c r="DG206" s="181"/>
    </row>
    <row r="207" spans="1:111" ht="44.45" hidden="1" customHeight="1" outlineLevel="1" x14ac:dyDescent="0.25">
      <c r="A207" s="192">
        <v>1</v>
      </c>
      <c r="B207" s="247" t="s">
        <v>351</v>
      </c>
      <c r="C207" s="248">
        <v>7906859</v>
      </c>
      <c r="D207" s="214">
        <f>E207+F207</f>
        <v>10000</v>
      </c>
      <c r="E207" s="205"/>
      <c r="F207" s="214">
        <f>G207+H207+K207+M207</f>
        <v>10000</v>
      </c>
      <c r="G207" s="257">
        <v>10000</v>
      </c>
      <c r="H207" s="257"/>
      <c r="I207" s="235"/>
      <c r="J207" s="235"/>
      <c r="K207" s="223"/>
      <c r="L207" s="235"/>
      <c r="M207" s="223"/>
      <c r="N207" s="223"/>
      <c r="O207" s="257">
        <f t="shared" ref="O207:O243" si="190">G207+I207+L207+N207</f>
        <v>10000</v>
      </c>
      <c r="P207" s="257">
        <v>0</v>
      </c>
      <c r="Q207" s="224">
        <f t="shared" si="186"/>
        <v>0</v>
      </c>
      <c r="R207" s="257">
        <v>1426.188042</v>
      </c>
      <c r="S207" s="225">
        <v>0.17827350524999999</v>
      </c>
      <c r="T207" s="225">
        <v>0.18765632131578946</v>
      </c>
      <c r="U207" s="257">
        <v>1426.188042</v>
      </c>
      <c r="V207" s="225">
        <v>0.17827350524999999</v>
      </c>
      <c r="W207" s="225">
        <v>0.18765632131578946</v>
      </c>
      <c r="X207" s="257">
        <v>1426.188042</v>
      </c>
      <c r="Y207" s="225">
        <v>0.17827350524999999</v>
      </c>
      <c r="Z207" s="225">
        <v>0.18765632131578946</v>
      </c>
      <c r="AA207" s="257">
        <v>1426.188042</v>
      </c>
      <c r="AB207" s="225">
        <v>0.17827350524999999</v>
      </c>
      <c r="AC207" s="225">
        <v>0.18765632131578946</v>
      </c>
      <c r="AD207" s="257">
        <v>7600</v>
      </c>
      <c r="AE207" s="225">
        <v>0.95</v>
      </c>
      <c r="AF207" s="225">
        <v>1</v>
      </c>
      <c r="AG207" s="257">
        <v>7600</v>
      </c>
      <c r="AH207" s="225">
        <v>0.95</v>
      </c>
      <c r="AI207" s="225">
        <v>1</v>
      </c>
      <c r="AJ207" s="257">
        <v>7600</v>
      </c>
      <c r="AK207" s="225">
        <v>0.95</v>
      </c>
      <c r="AL207" s="225">
        <v>1</v>
      </c>
      <c r="AM207" s="257">
        <v>7600</v>
      </c>
      <c r="AN207" s="225">
        <v>0.95</v>
      </c>
      <c r="AO207" s="225">
        <v>1</v>
      </c>
      <c r="AP207" s="225"/>
      <c r="AQ207" s="257">
        <v>7600</v>
      </c>
      <c r="AR207" s="225">
        <v>0.95</v>
      </c>
      <c r="AS207" s="225">
        <v>1</v>
      </c>
      <c r="AT207" s="257">
        <v>7600</v>
      </c>
      <c r="AU207" s="225">
        <v>0.95</v>
      </c>
      <c r="AV207" s="225">
        <v>1</v>
      </c>
      <c r="AW207" s="225"/>
      <c r="AX207" s="225"/>
      <c r="AY207" s="225"/>
      <c r="AZ207" s="225"/>
      <c r="BA207" s="225"/>
      <c r="BB207" s="225"/>
      <c r="BC207" s="257">
        <v>7600</v>
      </c>
      <c r="BD207" s="225">
        <v>0.95</v>
      </c>
      <c r="BE207" s="225">
        <v>1</v>
      </c>
      <c r="BF207" s="257"/>
      <c r="BG207" s="257">
        <v>7600</v>
      </c>
      <c r="BH207" s="225">
        <v>0.76</v>
      </c>
      <c r="BI207" s="225">
        <v>0.8</v>
      </c>
      <c r="BJ207" s="257">
        <f t="shared" si="187"/>
        <v>9500</v>
      </c>
      <c r="BK207" s="257">
        <v>7869.5300859999998</v>
      </c>
      <c r="BL207" s="225">
        <f t="shared" si="168"/>
        <v>0.78695300859999995</v>
      </c>
      <c r="BM207" s="225">
        <f t="shared" ref="BM207:BM269" si="191">BK207/(E207+0.95*F207)</f>
        <v>0.82837158799999999</v>
      </c>
      <c r="BN207" s="205">
        <f t="shared" si="180"/>
        <v>269.53008599999976</v>
      </c>
      <c r="BO207" s="205"/>
      <c r="BP207" s="227"/>
      <c r="BQ207" s="224">
        <f t="shared" ref="BQ207:BR259" si="192">BP207/$D207</f>
        <v>0</v>
      </c>
      <c r="BR207" s="227">
        <v>1300</v>
      </c>
      <c r="BS207" s="224">
        <f t="shared" si="169"/>
        <v>0.13</v>
      </c>
      <c r="BT207" s="227">
        <v>1300</v>
      </c>
      <c r="BU207" s="224">
        <f t="shared" si="170"/>
        <v>0.13</v>
      </c>
      <c r="BV207" s="227">
        <f>8000*0.95</f>
        <v>7600</v>
      </c>
      <c r="BW207" s="224">
        <f t="shared" si="171"/>
        <v>0.76</v>
      </c>
      <c r="BX207" s="227">
        <v>7600</v>
      </c>
      <c r="BY207" s="224">
        <f t="shared" si="172"/>
        <v>0.76</v>
      </c>
      <c r="BZ207" s="227">
        <v>7600</v>
      </c>
      <c r="CA207" s="224">
        <f t="shared" si="173"/>
        <v>0.76</v>
      </c>
      <c r="CB207" s="227">
        <v>7600</v>
      </c>
      <c r="CC207" s="224">
        <f t="shared" si="174"/>
        <v>0.76</v>
      </c>
      <c r="CD207" s="227">
        <v>7600</v>
      </c>
      <c r="CE207" s="224">
        <f t="shared" si="174"/>
        <v>0.76</v>
      </c>
      <c r="CF207" s="227">
        <v>7600</v>
      </c>
      <c r="CG207" s="224">
        <f t="shared" si="175"/>
        <v>0.76</v>
      </c>
      <c r="CH207" s="227">
        <v>7600</v>
      </c>
      <c r="CI207" s="224">
        <f t="shared" si="175"/>
        <v>0.76</v>
      </c>
      <c r="CJ207" s="227">
        <v>7600</v>
      </c>
      <c r="CK207" s="224">
        <f t="shared" si="176"/>
        <v>0.76</v>
      </c>
      <c r="CL207" s="227">
        <v>7600</v>
      </c>
      <c r="CM207" s="224">
        <f t="shared" si="177"/>
        <v>0.76</v>
      </c>
      <c r="CN207" s="227">
        <v>7600</v>
      </c>
      <c r="CO207" s="224">
        <f t="shared" si="178"/>
        <v>0.76</v>
      </c>
      <c r="CP207" s="213" t="str">
        <f t="shared" ref="CP207:CP269" si="193">IF(BM207&gt;34.7%,"Đạt","Không đạt")</f>
        <v>Đạt</v>
      </c>
      <c r="CQ207" s="213" t="str">
        <f t="shared" ref="CQ207:CQ269" si="194">IF(BM207&gt;43.8%,"Đạt","Không đạt")</f>
        <v>Đạt</v>
      </c>
      <c r="CR207" s="192"/>
      <c r="CS207" s="192"/>
      <c r="CT207" s="223"/>
      <c r="CU207" s="163"/>
      <c r="CW207" s="195"/>
      <c r="CX207" s="196"/>
      <c r="CY207" s="196"/>
      <c r="CZ207" s="197"/>
      <c r="DA207" s="196"/>
      <c r="DB207" s="196"/>
      <c r="DC207" s="196"/>
      <c r="DE207" s="199"/>
      <c r="DF207" s="200"/>
      <c r="DG207" s="181"/>
    </row>
    <row r="208" spans="1:111" ht="71.45" hidden="1" customHeight="1" outlineLevel="1" x14ac:dyDescent="0.25">
      <c r="A208" s="192">
        <f>MAX(A206:A207)+1</f>
        <v>2</v>
      </c>
      <c r="B208" s="222" t="s">
        <v>352</v>
      </c>
      <c r="C208" s="222" t="s">
        <v>353</v>
      </c>
      <c r="D208" s="214">
        <f>E208+F208</f>
        <v>15000</v>
      </c>
      <c r="E208" s="205"/>
      <c r="F208" s="214">
        <f>G208+H208+K208+M208</f>
        <v>15000</v>
      </c>
      <c r="G208" s="257">
        <v>10000</v>
      </c>
      <c r="H208" s="257">
        <v>5000</v>
      </c>
      <c r="I208" s="235"/>
      <c r="J208" s="235"/>
      <c r="K208" s="223"/>
      <c r="L208" s="235"/>
      <c r="M208" s="223"/>
      <c r="N208" s="223"/>
      <c r="O208" s="257">
        <f t="shared" si="190"/>
        <v>10000</v>
      </c>
      <c r="P208" s="257">
        <v>0</v>
      </c>
      <c r="Q208" s="224">
        <f t="shared" si="186"/>
        <v>0</v>
      </c>
      <c r="R208" s="257"/>
      <c r="S208" s="225">
        <v>0</v>
      </c>
      <c r="T208" s="225">
        <v>0</v>
      </c>
      <c r="U208" s="257"/>
      <c r="V208" s="225">
        <v>0</v>
      </c>
      <c r="W208" s="225">
        <v>0</v>
      </c>
      <c r="X208" s="257"/>
      <c r="Y208" s="225">
        <v>0</v>
      </c>
      <c r="Z208" s="225">
        <v>0</v>
      </c>
      <c r="AA208" s="257"/>
      <c r="AB208" s="225">
        <v>0</v>
      </c>
      <c r="AC208" s="225">
        <v>0</v>
      </c>
      <c r="AD208" s="257"/>
      <c r="AE208" s="225">
        <v>0</v>
      </c>
      <c r="AF208" s="225">
        <v>0</v>
      </c>
      <c r="AG208" s="257"/>
      <c r="AH208" s="225">
        <v>0</v>
      </c>
      <c r="AI208" s="225">
        <v>0</v>
      </c>
      <c r="AJ208" s="205"/>
      <c r="AK208" s="225">
        <v>0</v>
      </c>
      <c r="AL208" s="225">
        <v>0</v>
      </c>
      <c r="AM208" s="257"/>
      <c r="AN208" s="225">
        <v>0</v>
      </c>
      <c r="AO208" s="225">
        <v>0</v>
      </c>
      <c r="AP208" s="225"/>
      <c r="AQ208" s="257"/>
      <c r="AR208" s="225">
        <v>0</v>
      </c>
      <c r="AS208" s="225">
        <v>0</v>
      </c>
      <c r="AT208" s="257"/>
      <c r="AU208" s="225">
        <v>0</v>
      </c>
      <c r="AV208" s="225">
        <v>0</v>
      </c>
      <c r="AW208" s="225"/>
      <c r="AX208" s="225"/>
      <c r="AY208" s="225"/>
      <c r="AZ208" s="225"/>
      <c r="BA208" s="225"/>
      <c r="BB208" s="225"/>
      <c r="BC208" s="257"/>
      <c r="BD208" s="225">
        <v>0</v>
      </c>
      <c r="BE208" s="225">
        <v>0</v>
      </c>
      <c r="BF208" s="257">
        <f>BK208-G208</f>
        <v>92</v>
      </c>
      <c r="BG208" s="257">
        <v>10092</v>
      </c>
      <c r="BH208" s="225">
        <v>0.67279999999999995</v>
      </c>
      <c r="BI208" s="225">
        <v>0.70821052631578951</v>
      </c>
      <c r="BJ208" s="257">
        <f t="shared" si="187"/>
        <v>14250</v>
      </c>
      <c r="BK208" s="257">
        <v>10092</v>
      </c>
      <c r="BL208" s="225">
        <f t="shared" si="168"/>
        <v>0.67279999999999995</v>
      </c>
      <c r="BM208" s="225">
        <f t="shared" si="191"/>
        <v>0.70821052631578951</v>
      </c>
      <c r="BN208" s="205">
        <f t="shared" si="180"/>
        <v>10092</v>
      </c>
      <c r="BO208" s="205"/>
      <c r="BP208" s="227"/>
      <c r="BQ208" s="224">
        <f t="shared" si="192"/>
        <v>0</v>
      </c>
      <c r="BR208" s="227"/>
      <c r="BS208" s="224">
        <f t="shared" si="169"/>
        <v>0</v>
      </c>
      <c r="BT208" s="227"/>
      <c r="BU208" s="224">
        <f t="shared" si="170"/>
        <v>0</v>
      </c>
      <c r="BV208" s="227">
        <v>200</v>
      </c>
      <c r="BW208" s="224">
        <f t="shared" si="171"/>
        <v>1.3333333333333334E-2</v>
      </c>
      <c r="BX208" s="227">
        <v>200</v>
      </c>
      <c r="BY208" s="224">
        <f t="shared" si="172"/>
        <v>1.3333333333333334E-2</v>
      </c>
      <c r="BZ208" s="227">
        <v>3200</v>
      </c>
      <c r="CA208" s="224">
        <f t="shared" si="173"/>
        <v>0.21333333333333335</v>
      </c>
      <c r="CB208" s="227">
        <v>3200</v>
      </c>
      <c r="CC208" s="224">
        <f t="shared" si="174"/>
        <v>0.21333333333333335</v>
      </c>
      <c r="CD208" s="227">
        <v>3200</v>
      </c>
      <c r="CE208" s="224">
        <f t="shared" si="174"/>
        <v>0.21333333333333335</v>
      </c>
      <c r="CF208" s="227">
        <v>7200</v>
      </c>
      <c r="CG208" s="224">
        <f t="shared" si="175"/>
        <v>0.48</v>
      </c>
      <c r="CH208" s="227">
        <v>7200</v>
      </c>
      <c r="CI208" s="224">
        <f t="shared" si="175"/>
        <v>0.48</v>
      </c>
      <c r="CJ208" s="227">
        <v>7200</v>
      </c>
      <c r="CK208" s="224">
        <f t="shared" si="176"/>
        <v>0.48</v>
      </c>
      <c r="CL208" s="227">
        <v>12200</v>
      </c>
      <c r="CM208" s="224">
        <f t="shared" si="177"/>
        <v>0.81333333333333335</v>
      </c>
      <c r="CN208" s="227">
        <f>15000*0.95</f>
        <v>14250</v>
      </c>
      <c r="CO208" s="224">
        <f t="shared" si="178"/>
        <v>0.95</v>
      </c>
      <c r="CP208" s="213" t="str">
        <f t="shared" si="193"/>
        <v>Đạt</v>
      </c>
      <c r="CQ208" s="213" t="str">
        <f t="shared" si="194"/>
        <v>Đạt</v>
      </c>
      <c r="CR208" s="192"/>
      <c r="CS208" s="192"/>
      <c r="CT208" s="223"/>
      <c r="CU208" s="163"/>
      <c r="CW208" s="195"/>
      <c r="CX208" s="196"/>
      <c r="CY208" s="196"/>
      <c r="CZ208" s="197"/>
      <c r="DA208" s="196"/>
      <c r="DB208" s="196"/>
      <c r="DC208" s="196"/>
      <c r="DE208" s="199"/>
      <c r="DF208" s="200"/>
      <c r="DG208" s="181"/>
    </row>
    <row r="209" spans="1:111" s="233" customFormat="1" ht="18" customHeight="1" collapsed="1" x14ac:dyDescent="0.25">
      <c r="A209" s="191">
        <v>10</v>
      </c>
      <c r="B209" s="210" t="s">
        <v>354</v>
      </c>
      <c r="C209" s="210"/>
      <c r="D209" s="205">
        <f t="shared" ref="D209:I211" si="195">D210</f>
        <v>15000</v>
      </c>
      <c r="E209" s="205">
        <f t="shared" si="195"/>
        <v>0</v>
      </c>
      <c r="F209" s="205">
        <f t="shared" si="195"/>
        <v>15000</v>
      </c>
      <c r="G209" s="205">
        <f t="shared" si="195"/>
        <v>15000</v>
      </c>
      <c r="H209" s="205">
        <f t="shared" si="195"/>
        <v>0</v>
      </c>
      <c r="I209" s="205">
        <f t="shared" si="195"/>
        <v>0</v>
      </c>
      <c r="J209" s="205"/>
      <c r="K209" s="205">
        <f t="shared" ref="K209:L211" si="196">K210</f>
        <v>0</v>
      </c>
      <c r="L209" s="205">
        <f t="shared" si="196"/>
        <v>0</v>
      </c>
      <c r="M209" s="231"/>
      <c r="N209" s="231"/>
      <c r="O209" s="205">
        <f t="shared" si="190"/>
        <v>15000</v>
      </c>
      <c r="P209" s="205">
        <v>0</v>
      </c>
      <c r="Q209" s="186">
        <f t="shared" si="186"/>
        <v>0</v>
      </c>
      <c r="R209" s="205">
        <v>0</v>
      </c>
      <c r="S209" s="185">
        <v>0</v>
      </c>
      <c r="T209" s="185">
        <v>0</v>
      </c>
      <c r="U209" s="205">
        <v>0</v>
      </c>
      <c r="V209" s="185">
        <v>0</v>
      </c>
      <c r="W209" s="185">
        <v>0</v>
      </c>
      <c r="X209" s="205">
        <v>0</v>
      </c>
      <c r="Y209" s="185">
        <v>0</v>
      </c>
      <c r="Z209" s="185">
        <v>0</v>
      </c>
      <c r="AA209" s="205">
        <v>0</v>
      </c>
      <c r="AB209" s="185">
        <v>0</v>
      </c>
      <c r="AC209" s="185">
        <v>0</v>
      </c>
      <c r="AD209" s="205">
        <v>5672.402</v>
      </c>
      <c r="AE209" s="185">
        <v>0.37816013333333331</v>
      </c>
      <c r="AF209" s="185">
        <v>0.39806329824561404</v>
      </c>
      <c r="AG209" s="205">
        <v>5956.06</v>
      </c>
      <c r="AH209" s="185">
        <v>0.39707066666666668</v>
      </c>
      <c r="AI209" s="185">
        <v>0.41796912280701759</v>
      </c>
      <c r="AJ209" s="226">
        <v>5956.06</v>
      </c>
      <c r="AK209" s="185">
        <v>0.39707066666666668</v>
      </c>
      <c r="AL209" s="185">
        <v>0.41796912280701759</v>
      </c>
      <c r="AM209" s="267">
        <v>5956.06</v>
      </c>
      <c r="AN209" s="185">
        <v>0.39707066666666668</v>
      </c>
      <c r="AO209" s="185">
        <v>0.41796912280701759</v>
      </c>
      <c r="AP209" s="185"/>
      <c r="AQ209" s="205">
        <v>6068</v>
      </c>
      <c r="AR209" s="185">
        <v>0.40453333333333336</v>
      </c>
      <c r="AS209" s="185">
        <v>0.42582456140350877</v>
      </c>
      <c r="AT209" s="205">
        <v>6068</v>
      </c>
      <c r="AU209" s="185">
        <v>0.40453333333333336</v>
      </c>
      <c r="AV209" s="185">
        <v>0.42582456140350877</v>
      </c>
      <c r="AW209" s="185"/>
      <c r="AX209" s="185"/>
      <c r="AY209" s="185"/>
      <c r="AZ209" s="185"/>
      <c r="BA209" s="185"/>
      <c r="BB209" s="185"/>
      <c r="BC209" s="205">
        <v>6068</v>
      </c>
      <c r="BD209" s="185">
        <v>0.40453333333333336</v>
      </c>
      <c r="BE209" s="185">
        <v>0.42582456140350877</v>
      </c>
      <c r="BF209" s="205"/>
      <c r="BG209" s="205">
        <v>6068</v>
      </c>
      <c r="BH209" s="185">
        <v>0.40453333333333336</v>
      </c>
      <c r="BI209" s="185">
        <v>0.42582456140350877</v>
      </c>
      <c r="BJ209" s="205">
        <f t="shared" si="187"/>
        <v>14250</v>
      </c>
      <c r="BK209" s="205">
        <f>BK210</f>
        <v>6820</v>
      </c>
      <c r="BL209" s="185">
        <f t="shared" si="168"/>
        <v>0.45466666666666666</v>
      </c>
      <c r="BM209" s="185">
        <f t="shared" si="191"/>
        <v>0.47859649122807019</v>
      </c>
      <c r="BN209" s="205">
        <f t="shared" si="180"/>
        <v>1147.598</v>
      </c>
      <c r="BO209" s="205"/>
      <c r="BP209" s="189">
        <f>BP210</f>
        <v>0</v>
      </c>
      <c r="BQ209" s="186">
        <f t="shared" si="192"/>
        <v>0</v>
      </c>
      <c r="BR209" s="189">
        <f>BR210</f>
        <v>1200</v>
      </c>
      <c r="BS209" s="186">
        <f t="shared" si="169"/>
        <v>0.08</v>
      </c>
      <c r="BT209" s="189">
        <f>BT210</f>
        <v>2500</v>
      </c>
      <c r="BU209" s="186">
        <f t="shared" si="170"/>
        <v>0.16666666666666666</v>
      </c>
      <c r="BV209" s="189">
        <f t="shared" ref="BV209:CJ211" si="197">BV210</f>
        <v>6800</v>
      </c>
      <c r="BW209" s="186">
        <f t="shared" si="171"/>
        <v>0.45333333333333331</v>
      </c>
      <c r="BX209" s="189">
        <f t="shared" si="197"/>
        <v>7688</v>
      </c>
      <c r="BY209" s="186">
        <f t="shared" si="172"/>
        <v>0.51253333333333329</v>
      </c>
      <c r="BZ209" s="189">
        <f t="shared" si="197"/>
        <v>9698</v>
      </c>
      <c r="CA209" s="186">
        <f t="shared" si="173"/>
        <v>0.64653333333333329</v>
      </c>
      <c r="CB209" s="189">
        <f t="shared" si="197"/>
        <v>12900</v>
      </c>
      <c r="CC209" s="186">
        <f t="shared" si="174"/>
        <v>0.86</v>
      </c>
      <c r="CD209" s="189">
        <f t="shared" si="197"/>
        <v>14250</v>
      </c>
      <c r="CE209" s="186">
        <f t="shared" si="174"/>
        <v>0.95</v>
      </c>
      <c r="CF209" s="189">
        <f t="shared" si="197"/>
        <v>14250</v>
      </c>
      <c r="CG209" s="186">
        <f t="shared" si="175"/>
        <v>0.95</v>
      </c>
      <c r="CH209" s="189">
        <f t="shared" si="197"/>
        <v>14250</v>
      </c>
      <c r="CI209" s="186">
        <f t="shared" si="175"/>
        <v>0.95</v>
      </c>
      <c r="CJ209" s="189">
        <f t="shared" si="197"/>
        <v>14250</v>
      </c>
      <c r="CK209" s="186">
        <f t="shared" si="176"/>
        <v>0.95</v>
      </c>
      <c r="CL209" s="189">
        <f t="shared" ref="CL209:CN211" si="198">CL210</f>
        <v>14250</v>
      </c>
      <c r="CM209" s="186">
        <f t="shared" si="177"/>
        <v>0.95</v>
      </c>
      <c r="CN209" s="189">
        <f t="shared" si="198"/>
        <v>14250</v>
      </c>
      <c r="CO209" s="186">
        <f t="shared" si="178"/>
        <v>0.95</v>
      </c>
      <c r="CP209" s="213" t="str">
        <f t="shared" si="193"/>
        <v>Đạt</v>
      </c>
      <c r="CQ209" s="213" t="str">
        <f t="shared" si="194"/>
        <v>Đạt</v>
      </c>
      <c r="CR209" s="213"/>
      <c r="CS209" s="213"/>
      <c r="CT209" s="213"/>
      <c r="CU209" s="163"/>
      <c r="CV209" s="232"/>
      <c r="CW209" s="195"/>
      <c r="CX209" s="196"/>
      <c r="CY209" s="196"/>
      <c r="CZ209" s="197"/>
      <c r="DA209" s="196"/>
      <c r="DB209" s="196"/>
      <c r="DC209" s="196"/>
      <c r="DE209" s="199"/>
      <c r="DF209" s="200"/>
      <c r="DG209" s="181"/>
    </row>
    <row r="210" spans="1:111" s="255" customFormat="1" hidden="1" outlineLevel="1" x14ac:dyDescent="0.25">
      <c r="A210" s="263" t="s">
        <v>29</v>
      </c>
      <c r="B210" s="264" t="s">
        <v>157</v>
      </c>
      <c r="C210" s="265"/>
      <c r="D210" s="226">
        <f t="shared" si="195"/>
        <v>15000</v>
      </c>
      <c r="E210" s="226">
        <f t="shared" si="195"/>
        <v>0</v>
      </c>
      <c r="F210" s="226">
        <f t="shared" si="195"/>
        <v>15000</v>
      </c>
      <c r="G210" s="226">
        <f t="shared" si="195"/>
        <v>15000</v>
      </c>
      <c r="H210" s="226">
        <f t="shared" si="195"/>
        <v>0</v>
      </c>
      <c r="I210" s="226">
        <f t="shared" si="195"/>
        <v>0</v>
      </c>
      <c r="J210" s="226"/>
      <c r="K210" s="226">
        <f t="shared" si="196"/>
        <v>0</v>
      </c>
      <c r="L210" s="266">
        <f t="shared" si="196"/>
        <v>0</v>
      </c>
      <c r="M210" s="226"/>
      <c r="N210" s="266"/>
      <c r="O210" s="226">
        <f t="shared" si="190"/>
        <v>15000</v>
      </c>
      <c r="P210" s="226">
        <v>27078.295252</v>
      </c>
      <c r="Q210" s="212">
        <f t="shared" si="186"/>
        <v>1.8052196834666667</v>
      </c>
      <c r="R210" s="226">
        <v>0</v>
      </c>
      <c r="S210" s="211">
        <v>0</v>
      </c>
      <c r="T210" s="211">
        <v>0</v>
      </c>
      <c r="U210" s="226">
        <v>0</v>
      </c>
      <c r="V210" s="211">
        <v>0</v>
      </c>
      <c r="W210" s="211">
        <v>0</v>
      </c>
      <c r="X210" s="226">
        <v>0</v>
      </c>
      <c r="Y210" s="211">
        <v>0</v>
      </c>
      <c r="Z210" s="211">
        <v>0</v>
      </c>
      <c r="AA210" s="226">
        <v>0</v>
      </c>
      <c r="AB210" s="211">
        <v>0</v>
      </c>
      <c r="AC210" s="211">
        <v>0</v>
      </c>
      <c r="AD210" s="226">
        <v>5672.402</v>
      </c>
      <c r="AE210" s="211">
        <v>0.37816013333333331</v>
      </c>
      <c r="AF210" s="211">
        <v>0.39806329824561404</v>
      </c>
      <c r="AG210" s="226">
        <v>5956.06</v>
      </c>
      <c r="AH210" s="211">
        <v>0.39707066666666668</v>
      </c>
      <c r="AI210" s="211">
        <v>0.41796912280701759</v>
      </c>
      <c r="AJ210" s="214">
        <v>5956.06</v>
      </c>
      <c r="AK210" s="211">
        <v>0.39707066666666668</v>
      </c>
      <c r="AL210" s="211">
        <v>0.41796912280701759</v>
      </c>
      <c r="AM210" s="226">
        <v>5956.06</v>
      </c>
      <c r="AN210" s="211">
        <v>0.39707066666666668</v>
      </c>
      <c r="AO210" s="211">
        <v>0.41796912280701759</v>
      </c>
      <c r="AP210" s="211"/>
      <c r="AQ210" s="226">
        <v>6068</v>
      </c>
      <c r="AR210" s="211">
        <v>0.40453333333333336</v>
      </c>
      <c r="AS210" s="211">
        <v>0.42582456140350877</v>
      </c>
      <c r="AT210" s="226">
        <v>6068</v>
      </c>
      <c r="AU210" s="211">
        <v>0.40453333333333336</v>
      </c>
      <c r="AV210" s="211">
        <v>0.42582456140350877</v>
      </c>
      <c r="AW210" s="211"/>
      <c r="AX210" s="211"/>
      <c r="AY210" s="211"/>
      <c r="AZ210" s="211"/>
      <c r="BA210" s="211"/>
      <c r="BB210" s="211"/>
      <c r="BC210" s="226">
        <v>6068</v>
      </c>
      <c r="BD210" s="211">
        <v>0.40453333333333336</v>
      </c>
      <c r="BE210" s="211">
        <v>0.42582456140350877</v>
      </c>
      <c r="BF210" s="226"/>
      <c r="BG210" s="226">
        <v>6068</v>
      </c>
      <c r="BH210" s="211">
        <v>0.40453333333333336</v>
      </c>
      <c r="BI210" s="211">
        <v>0.42582456140350877</v>
      </c>
      <c r="BJ210" s="226">
        <f t="shared" si="187"/>
        <v>14250</v>
      </c>
      <c r="BK210" s="226">
        <f>BK211</f>
        <v>6820</v>
      </c>
      <c r="BL210" s="211">
        <f t="shared" si="168"/>
        <v>0.45466666666666666</v>
      </c>
      <c r="BM210" s="211">
        <f t="shared" si="191"/>
        <v>0.47859649122807019</v>
      </c>
      <c r="BN210" s="205">
        <f t="shared" si="180"/>
        <v>1147.598</v>
      </c>
      <c r="BO210" s="205"/>
      <c r="BP210" s="230">
        <f>BP211</f>
        <v>0</v>
      </c>
      <c r="BQ210" s="212">
        <f t="shared" si="192"/>
        <v>0</v>
      </c>
      <c r="BR210" s="230">
        <f>BR211</f>
        <v>1200</v>
      </c>
      <c r="BS210" s="212">
        <f t="shared" si="169"/>
        <v>0.08</v>
      </c>
      <c r="BT210" s="230">
        <f>BT211</f>
        <v>2500</v>
      </c>
      <c r="BU210" s="212">
        <f t="shared" si="170"/>
        <v>0.16666666666666666</v>
      </c>
      <c r="BV210" s="230">
        <f t="shared" si="197"/>
        <v>6800</v>
      </c>
      <c r="BW210" s="212">
        <f t="shared" si="171"/>
        <v>0.45333333333333331</v>
      </c>
      <c r="BX210" s="230">
        <f t="shared" si="197"/>
        <v>7688</v>
      </c>
      <c r="BY210" s="212">
        <f t="shared" si="172"/>
        <v>0.51253333333333329</v>
      </c>
      <c r="BZ210" s="230">
        <f t="shared" si="197"/>
        <v>9698</v>
      </c>
      <c r="CA210" s="212">
        <f t="shared" si="173"/>
        <v>0.64653333333333329</v>
      </c>
      <c r="CB210" s="230">
        <f t="shared" si="197"/>
        <v>12900</v>
      </c>
      <c r="CC210" s="212">
        <f t="shared" ref="CC210:CD217" si="199">CB210/$D210</f>
        <v>0.86</v>
      </c>
      <c r="CD210" s="230">
        <f t="shared" si="197"/>
        <v>14250</v>
      </c>
      <c r="CE210" s="212">
        <f t="shared" ref="CE210:CF217" si="200">CD210/$D210</f>
        <v>0.95</v>
      </c>
      <c r="CF210" s="230">
        <f t="shared" si="197"/>
        <v>14250</v>
      </c>
      <c r="CG210" s="212">
        <f t="shared" ref="CG210:CH217" si="201">CF210/$D210</f>
        <v>0.95</v>
      </c>
      <c r="CH210" s="230">
        <f t="shared" si="197"/>
        <v>14250</v>
      </c>
      <c r="CI210" s="212">
        <f t="shared" ref="CI210:CJ217" si="202">CH210/$D210</f>
        <v>0.95</v>
      </c>
      <c r="CJ210" s="230">
        <f t="shared" si="197"/>
        <v>14250</v>
      </c>
      <c r="CK210" s="212">
        <f t="shared" si="176"/>
        <v>0.95</v>
      </c>
      <c r="CL210" s="230">
        <f t="shared" si="198"/>
        <v>14250</v>
      </c>
      <c r="CM210" s="212">
        <f t="shared" si="177"/>
        <v>0.95</v>
      </c>
      <c r="CN210" s="230">
        <f t="shared" si="198"/>
        <v>14250</v>
      </c>
      <c r="CO210" s="212">
        <f t="shared" si="178"/>
        <v>0.95</v>
      </c>
      <c r="CP210" s="213" t="str">
        <f t="shared" si="193"/>
        <v>Đạt</v>
      </c>
      <c r="CQ210" s="213" t="str">
        <f t="shared" si="194"/>
        <v>Đạt</v>
      </c>
      <c r="CR210" s="213"/>
      <c r="CS210" s="213"/>
      <c r="CT210" s="213"/>
      <c r="CU210" s="163"/>
      <c r="CV210" s="142"/>
      <c r="CW210" s="195"/>
      <c r="CX210" s="196"/>
      <c r="CY210" s="196"/>
      <c r="CZ210" s="197"/>
      <c r="DA210" s="196"/>
      <c r="DB210" s="196"/>
      <c r="DC210" s="196"/>
      <c r="DD210" s="144"/>
      <c r="DE210" s="199"/>
      <c r="DF210" s="200"/>
      <c r="DG210" s="181"/>
    </row>
    <row r="211" spans="1:111" hidden="1" outlineLevel="1" x14ac:dyDescent="0.25">
      <c r="A211" s="256" t="s">
        <v>34</v>
      </c>
      <c r="B211" s="210" t="s">
        <v>335</v>
      </c>
      <c r="C211" s="210"/>
      <c r="D211" s="214">
        <f t="shared" si="195"/>
        <v>15000</v>
      </c>
      <c r="E211" s="214">
        <f t="shared" si="195"/>
        <v>0</v>
      </c>
      <c r="F211" s="214">
        <f t="shared" si="195"/>
        <v>15000</v>
      </c>
      <c r="G211" s="214">
        <f t="shared" si="195"/>
        <v>15000</v>
      </c>
      <c r="H211" s="214">
        <f t="shared" si="195"/>
        <v>0</v>
      </c>
      <c r="I211" s="214">
        <f t="shared" si="195"/>
        <v>0</v>
      </c>
      <c r="J211" s="214"/>
      <c r="K211" s="214">
        <f t="shared" si="196"/>
        <v>0</v>
      </c>
      <c r="L211" s="214">
        <f t="shared" si="196"/>
        <v>0</v>
      </c>
      <c r="M211" s="223"/>
      <c r="N211" s="223"/>
      <c r="O211" s="214">
        <f t="shared" si="190"/>
        <v>15000</v>
      </c>
      <c r="P211" s="214">
        <v>10584.202748</v>
      </c>
      <c r="Q211" s="258">
        <f t="shared" si="186"/>
        <v>0.70561351653333326</v>
      </c>
      <c r="R211" s="214">
        <v>0</v>
      </c>
      <c r="S211" s="268">
        <v>0</v>
      </c>
      <c r="T211" s="268">
        <v>0</v>
      </c>
      <c r="U211" s="214">
        <v>0</v>
      </c>
      <c r="V211" s="268">
        <v>0</v>
      </c>
      <c r="W211" s="268">
        <v>0</v>
      </c>
      <c r="X211" s="214">
        <v>0</v>
      </c>
      <c r="Y211" s="268">
        <v>0</v>
      </c>
      <c r="Z211" s="268">
        <v>0</v>
      </c>
      <c r="AA211" s="214">
        <v>0</v>
      </c>
      <c r="AB211" s="268">
        <v>0</v>
      </c>
      <c r="AC211" s="268">
        <v>0</v>
      </c>
      <c r="AD211" s="214">
        <v>5672.402</v>
      </c>
      <c r="AE211" s="268">
        <v>0.37816013333333331</v>
      </c>
      <c r="AF211" s="268">
        <v>0.39806329824561404</v>
      </c>
      <c r="AG211" s="214">
        <v>5956.06</v>
      </c>
      <c r="AH211" s="268">
        <v>0.39707066666666668</v>
      </c>
      <c r="AI211" s="268">
        <v>0.41796912280701759</v>
      </c>
      <c r="AJ211" s="223">
        <v>5956.06</v>
      </c>
      <c r="AK211" s="268">
        <v>0.39707066666666668</v>
      </c>
      <c r="AL211" s="268">
        <v>0.41796912280701759</v>
      </c>
      <c r="AM211" s="214">
        <v>5956.06</v>
      </c>
      <c r="AN211" s="268">
        <v>0.39707066666666668</v>
      </c>
      <c r="AO211" s="268">
        <v>0.41796912280701759</v>
      </c>
      <c r="AP211" s="268"/>
      <c r="AQ211" s="214">
        <v>6068</v>
      </c>
      <c r="AR211" s="268">
        <v>0.40453333333333336</v>
      </c>
      <c r="AS211" s="268">
        <v>0.42582456140350877</v>
      </c>
      <c r="AT211" s="214">
        <v>6068</v>
      </c>
      <c r="AU211" s="268">
        <v>0.40453333333333336</v>
      </c>
      <c r="AV211" s="268">
        <v>0.42582456140350877</v>
      </c>
      <c r="AW211" s="268"/>
      <c r="AX211" s="268"/>
      <c r="AY211" s="268"/>
      <c r="AZ211" s="268"/>
      <c r="BA211" s="268"/>
      <c r="BB211" s="268"/>
      <c r="BC211" s="214">
        <v>6068</v>
      </c>
      <c r="BD211" s="268">
        <v>0.40453333333333336</v>
      </c>
      <c r="BE211" s="268">
        <v>0.42582456140350877</v>
      </c>
      <c r="BF211" s="214"/>
      <c r="BG211" s="214">
        <v>6068</v>
      </c>
      <c r="BH211" s="268">
        <v>0.40453333333333336</v>
      </c>
      <c r="BI211" s="268">
        <v>0.42582456140350877</v>
      </c>
      <c r="BJ211" s="214">
        <f t="shared" si="187"/>
        <v>14250</v>
      </c>
      <c r="BK211" s="214">
        <f>BK212</f>
        <v>6820</v>
      </c>
      <c r="BL211" s="268">
        <f t="shared" si="168"/>
        <v>0.45466666666666666</v>
      </c>
      <c r="BM211" s="268">
        <f t="shared" si="191"/>
        <v>0.47859649122807019</v>
      </c>
      <c r="BN211" s="205">
        <f t="shared" si="180"/>
        <v>1147.598</v>
      </c>
      <c r="BO211" s="205"/>
      <c r="BP211" s="245">
        <f>BP212</f>
        <v>0</v>
      </c>
      <c r="BQ211" s="258">
        <f t="shared" si="192"/>
        <v>0</v>
      </c>
      <c r="BR211" s="245">
        <f>BR212</f>
        <v>1200</v>
      </c>
      <c r="BS211" s="258">
        <f t="shared" si="169"/>
        <v>0.08</v>
      </c>
      <c r="BT211" s="245">
        <f>BT212</f>
        <v>2500</v>
      </c>
      <c r="BU211" s="258">
        <f t="shared" si="170"/>
        <v>0.16666666666666666</v>
      </c>
      <c r="BV211" s="245">
        <f t="shared" si="197"/>
        <v>6800</v>
      </c>
      <c r="BW211" s="258">
        <f t="shared" si="171"/>
        <v>0.45333333333333331</v>
      </c>
      <c r="BX211" s="245">
        <f t="shared" si="197"/>
        <v>7688</v>
      </c>
      <c r="BY211" s="258">
        <f t="shared" si="172"/>
        <v>0.51253333333333329</v>
      </c>
      <c r="BZ211" s="245">
        <f t="shared" si="197"/>
        <v>9698</v>
      </c>
      <c r="CA211" s="258">
        <f t="shared" si="173"/>
        <v>0.64653333333333329</v>
      </c>
      <c r="CB211" s="245">
        <f t="shared" si="197"/>
        <v>12900</v>
      </c>
      <c r="CC211" s="258">
        <f t="shared" si="199"/>
        <v>0.86</v>
      </c>
      <c r="CD211" s="245">
        <f t="shared" si="197"/>
        <v>14250</v>
      </c>
      <c r="CE211" s="258">
        <f t="shared" si="200"/>
        <v>0.95</v>
      </c>
      <c r="CF211" s="245">
        <f t="shared" si="197"/>
        <v>14250</v>
      </c>
      <c r="CG211" s="258">
        <f t="shared" si="201"/>
        <v>0.95</v>
      </c>
      <c r="CH211" s="245">
        <f t="shared" si="197"/>
        <v>14250</v>
      </c>
      <c r="CI211" s="258">
        <f t="shared" si="202"/>
        <v>0.95</v>
      </c>
      <c r="CJ211" s="245">
        <f t="shared" si="197"/>
        <v>14250</v>
      </c>
      <c r="CK211" s="258">
        <f t="shared" si="176"/>
        <v>0.95</v>
      </c>
      <c r="CL211" s="245">
        <f t="shared" si="198"/>
        <v>14250</v>
      </c>
      <c r="CM211" s="258">
        <f t="shared" si="177"/>
        <v>0.95</v>
      </c>
      <c r="CN211" s="245">
        <f t="shared" si="198"/>
        <v>14250</v>
      </c>
      <c r="CO211" s="258">
        <f t="shared" si="178"/>
        <v>0.95</v>
      </c>
      <c r="CP211" s="213" t="str">
        <f t="shared" si="193"/>
        <v>Đạt</v>
      </c>
      <c r="CQ211" s="213" t="str">
        <f t="shared" si="194"/>
        <v>Đạt</v>
      </c>
      <c r="CR211" s="192"/>
      <c r="CS211" s="192"/>
      <c r="CT211" s="223"/>
      <c r="CU211" s="163"/>
      <c r="CW211" s="195"/>
      <c r="CX211" s="196"/>
      <c r="CY211" s="196"/>
      <c r="CZ211" s="197"/>
      <c r="DA211" s="196"/>
      <c r="DB211" s="196"/>
      <c r="DC211" s="196"/>
      <c r="DE211" s="199"/>
      <c r="DF211" s="200"/>
      <c r="DG211" s="181"/>
    </row>
    <row r="212" spans="1:111" ht="25.5" hidden="1" outlineLevel="1" x14ac:dyDescent="0.25">
      <c r="A212" s="192">
        <v>1</v>
      </c>
      <c r="B212" s="269" t="s">
        <v>355</v>
      </c>
      <c r="C212" s="269">
        <v>8047837</v>
      </c>
      <c r="D212" s="214">
        <f>E212+F212</f>
        <v>15000</v>
      </c>
      <c r="E212" s="205"/>
      <c r="F212" s="214">
        <f>G212+H212+K212+M212</f>
        <v>15000</v>
      </c>
      <c r="G212" s="270">
        <v>15000</v>
      </c>
      <c r="H212" s="223"/>
      <c r="I212" s="235"/>
      <c r="J212" s="235"/>
      <c r="K212" s="223"/>
      <c r="L212" s="235"/>
      <c r="M212" s="223"/>
      <c r="N212" s="223"/>
      <c r="O212" s="223">
        <f t="shared" si="190"/>
        <v>15000</v>
      </c>
      <c r="P212" s="223">
        <v>0</v>
      </c>
      <c r="Q212" s="224">
        <f t="shared" si="186"/>
        <v>0</v>
      </c>
      <c r="R212" s="223"/>
      <c r="S212" s="225">
        <v>0</v>
      </c>
      <c r="T212" s="225">
        <v>0</v>
      </c>
      <c r="U212" s="223"/>
      <c r="V212" s="225">
        <v>0</v>
      </c>
      <c r="W212" s="225">
        <v>0</v>
      </c>
      <c r="X212" s="223"/>
      <c r="Y212" s="225">
        <v>0</v>
      </c>
      <c r="Z212" s="225">
        <v>0</v>
      </c>
      <c r="AA212" s="223"/>
      <c r="AB212" s="225">
        <v>0</v>
      </c>
      <c r="AC212" s="225">
        <v>0</v>
      </c>
      <c r="AD212" s="223">
        <v>5672.402</v>
      </c>
      <c r="AE212" s="225">
        <v>0.37816013333333331</v>
      </c>
      <c r="AF212" s="225">
        <v>0.39806329824561404</v>
      </c>
      <c r="AG212" s="223">
        <v>5956.06</v>
      </c>
      <c r="AH212" s="225">
        <v>0.39707066666666668</v>
      </c>
      <c r="AI212" s="225">
        <v>0.41796912280701759</v>
      </c>
      <c r="AJ212" s="205">
        <v>5956.06</v>
      </c>
      <c r="AK212" s="225">
        <v>0.39707066666666668</v>
      </c>
      <c r="AL212" s="225">
        <v>0.41796912280701759</v>
      </c>
      <c r="AM212" s="223">
        <v>5956.06</v>
      </c>
      <c r="AN212" s="225">
        <v>0.39707066666666668</v>
      </c>
      <c r="AO212" s="225">
        <v>0.41796912280701759</v>
      </c>
      <c r="AP212" s="225"/>
      <c r="AQ212" s="223">
        <v>6068</v>
      </c>
      <c r="AR212" s="225">
        <v>0.40453333333333336</v>
      </c>
      <c r="AS212" s="225">
        <v>0.42582456140350877</v>
      </c>
      <c r="AT212" s="271">
        <v>6068</v>
      </c>
      <c r="AU212" s="225">
        <v>0.40453333333333336</v>
      </c>
      <c r="AV212" s="225">
        <v>0.42582456140350877</v>
      </c>
      <c r="AW212" s="225"/>
      <c r="AX212" s="225"/>
      <c r="AY212" s="225"/>
      <c r="AZ212" s="225"/>
      <c r="BA212" s="225"/>
      <c r="BB212" s="225"/>
      <c r="BC212" s="271">
        <v>6068</v>
      </c>
      <c r="BD212" s="225">
        <v>0.40453333333333336</v>
      </c>
      <c r="BE212" s="225">
        <v>0.42582456140350877</v>
      </c>
      <c r="BF212" s="271"/>
      <c r="BG212" s="271">
        <v>6068</v>
      </c>
      <c r="BH212" s="225">
        <v>0.40453333333333336</v>
      </c>
      <c r="BI212" s="225">
        <v>0.42582456140350877</v>
      </c>
      <c r="BJ212" s="271">
        <f t="shared" si="187"/>
        <v>14250</v>
      </c>
      <c r="BK212" s="271">
        <v>6820</v>
      </c>
      <c r="BL212" s="225">
        <f t="shared" si="168"/>
        <v>0.45466666666666666</v>
      </c>
      <c r="BM212" s="225">
        <f t="shared" si="191"/>
        <v>0.47859649122807019</v>
      </c>
      <c r="BN212" s="205">
        <f t="shared" si="180"/>
        <v>1147.598</v>
      </c>
      <c r="BO212" s="205"/>
      <c r="BP212" s="227"/>
      <c r="BQ212" s="224">
        <f t="shared" si="192"/>
        <v>0</v>
      </c>
      <c r="BR212" s="227">
        <v>1200</v>
      </c>
      <c r="BS212" s="224">
        <f t="shared" si="169"/>
        <v>0.08</v>
      </c>
      <c r="BT212" s="227">
        <v>2500</v>
      </c>
      <c r="BU212" s="224">
        <f t="shared" si="170"/>
        <v>0.16666666666666666</v>
      </c>
      <c r="BV212" s="227">
        <v>6800</v>
      </c>
      <c r="BW212" s="224">
        <f t="shared" si="171"/>
        <v>0.45333333333333331</v>
      </c>
      <c r="BX212" s="227">
        <v>7688</v>
      </c>
      <c r="BY212" s="224">
        <f t="shared" si="172"/>
        <v>0.51253333333333329</v>
      </c>
      <c r="BZ212" s="227">
        <v>9698</v>
      </c>
      <c r="CA212" s="224">
        <f t="shared" si="173"/>
        <v>0.64653333333333329</v>
      </c>
      <c r="CB212" s="227">
        <f>G212*0.86</f>
        <v>12900</v>
      </c>
      <c r="CC212" s="224">
        <f t="shared" si="199"/>
        <v>0.86</v>
      </c>
      <c r="CD212" s="227">
        <f>G212*0.95</f>
        <v>14250</v>
      </c>
      <c r="CE212" s="224">
        <f t="shared" si="200"/>
        <v>0.95</v>
      </c>
      <c r="CF212" s="227">
        <v>14250</v>
      </c>
      <c r="CG212" s="224">
        <f t="shared" si="201"/>
        <v>0.95</v>
      </c>
      <c r="CH212" s="227">
        <v>14250</v>
      </c>
      <c r="CI212" s="224">
        <f t="shared" si="202"/>
        <v>0.95</v>
      </c>
      <c r="CJ212" s="227">
        <v>14250</v>
      </c>
      <c r="CK212" s="224">
        <f t="shared" si="176"/>
        <v>0.95</v>
      </c>
      <c r="CL212" s="227">
        <v>14250</v>
      </c>
      <c r="CM212" s="224">
        <f t="shared" si="177"/>
        <v>0.95</v>
      </c>
      <c r="CN212" s="227">
        <v>14250</v>
      </c>
      <c r="CO212" s="224">
        <f t="shared" si="178"/>
        <v>0.95</v>
      </c>
      <c r="CP212" s="213" t="str">
        <f t="shared" si="193"/>
        <v>Đạt</v>
      </c>
      <c r="CQ212" s="213" t="str">
        <f t="shared" si="194"/>
        <v>Đạt</v>
      </c>
      <c r="CR212" s="192"/>
      <c r="CS212" s="192"/>
      <c r="CT212" s="223"/>
      <c r="CU212" s="163"/>
      <c r="CW212" s="195"/>
      <c r="CX212" s="196"/>
      <c r="CY212" s="196"/>
      <c r="CZ212" s="197"/>
      <c r="DA212" s="196"/>
      <c r="DB212" s="196"/>
      <c r="DC212" s="196"/>
      <c r="DE212" s="199"/>
      <c r="DF212" s="200"/>
      <c r="DG212" s="181"/>
    </row>
    <row r="213" spans="1:111" s="233" customFormat="1" ht="18" customHeight="1" collapsed="1" x14ac:dyDescent="0.25">
      <c r="A213" s="191">
        <v>11</v>
      </c>
      <c r="B213" s="210" t="s">
        <v>356</v>
      </c>
      <c r="C213" s="210"/>
      <c r="D213" s="205">
        <f>D214+D218</f>
        <v>120538</v>
      </c>
      <c r="E213" s="205">
        <f t="shared" ref="E213:I213" si="203">E214+E218</f>
        <v>0</v>
      </c>
      <c r="F213" s="205">
        <f t="shared" si="203"/>
        <v>120538</v>
      </c>
      <c r="G213" s="205">
        <f t="shared" si="203"/>
        <v>70538</v>
      </c>
      <c r="H213" s="205">
        <f t="shared" si="203"/>
        <v>0</v>
      </c>
      <c r="I213" s="205">
        <f t="shared" si="203"/>
        <v>0</v>
      </c>
      <c r="J213" s="205"/>
      <c r="K213" s="205">
        <f>K214+K218</f>
        <v>50000</v>
      </c>
      <c r="L213" s="205">
        <f>L214+L218</f>
        <v>0</v>
      </c>
      <c r="M213" s="231"/>
      <c r="N213" s="231"/>
      <c r="O213" s="205">
        <f t="shared" si="190"/>
        <v>70538</v>
      </c>
      <c r="P213" s="205">
        <v>5192</v>
      </c>
      <c r="Q213" s="186">
        <f t="shared" si="186"/>
        <v>4.3073553568169373E-2</v>
      </c>
      <c r="R213" s="205">
        <v>10619.907956999999</v>
      </c>
      <c r="S213" s="185">
        <v>0.21239815913999999</v>
      </c>
      <c r="T213" s="185">
        <v>0.22357700962105262</v>
      </c>
      <c r="U213" s="205">
        <v>10695.719956999999</v>
      </c>
      <c r="V213" s="185">
        <v>0.21391439913999999</v>
      </c>
      <c r="W213" s="185">
        <v>0.22517305172631577</v>
      </c>
      <c r="X213" s="205">
        <v>10695.719956999999</v>
      </c>
      <c r="Y213" s="185">
        <v>0.21391439913999999</v>
      </c>
      <c r="Z213" s="185">
        <v>0.22517305172631577</v>
      </c>
      <c r="AA213" s="205">
        <v>10695.719956999999</v>
      </c>
      <c r="AB213" s="185">
        <v>0.21391439913999999</v>
      </c>
      <c r="AC213" s="185">
        <v>0.22517305172631577</v>
      </c>
      <c r="AD213" s="205">
        <v>10695.719956999999</v>
      </c>
      <c r="AE213" s="185">
        <v>0.21391439913999999</v>
      </c>
      <c r="AF213" s="185">
        <v>0.22517305172631577</v>
      </c>
      <c r="AG213" s="205">
        <v>16216.696532</v>
      </c>
      <c r="AH213" s="185">
        <v>0.32433393063999999</v>
      </c>
      <c r="AI213" s="185">
        <v>0.34140413751578946</v>
      </c>
      <c r="AJ213" s="226">
        <v>16216.696532</v>
      </c>
      <c r="AK213" s="185">
        <v>0.32433393063999999</v>
      </c>
      <c r="AL213" s="185">
        <v>0.34140413751578946</v>
      </c>
      <c r="AM213" s="205">
        <v>16216.696532</v>
      </c>
      <c r="AN213" s="185">
        <v>0.32433393063999999</v>
      </c>
      <c r="AO213" s="185">
        <v>0.34140413751578946</v>
      </c>
      <c r="AP213" s="185"/>
      <c r="AQ213" s="205">
        <v>16216.696532</v>
      </c>
      <c r="AR213" s="185">
        <v>0.32433393063999999</v>
      </c>
      <c r="AS213" s="185">
        <v>0.34140413751578946</v>
      </c>
      <c r="AT213" s="205">
        <v>16216.696532</v>
      </c>
      <c r="AU213" s="185">
        <v>0.32433393063999999</v>
      </c>
      <c r="AV213" s="185">
        <v>0.34140413751578946</v>
      </c>
      <c r="AW213" s="185"/>
      <c r="AX213" s="185"/>
      <c r="AY213" s="185"/>
      <c r="AZ213" s="185"/>
      <c r="BA213" s="185"/>
      <c r="BB213" s="185"/>
      <c r="BC213" s="205">
        <v>16216.696532</v>
      </c>
      <c r="BD213" s="185">
        <v>0.32433393063999999</v>
      </c>
      <c r="BE213" s="185">
        <v>0.34140413751578946</v>
      </c>
      <c r="BF213" s="205"/>
      <c r="BG213" s="205">
        <v>22389</v>
      </c>
      <c r="BH213" s="185">
        <v>0.18574225555426505</v>
      </c>
      <c r="BI213" s="185">
        <v>0.19551816374133163</v>
      </c>
      <c r="BJ213" s="205">
        <f t="shared" si="187"/>
        <v>114511.09999999999</v>
      </c>
      <c r="BK213" s="205">
        <v>23447.195070000002</v>
      </c>
      <c r="BL213" s="185">
        <f t="shared" si="168"/>
        <v>0.19452118891967679</v>
      </c>
      <c r="BM213" s="185">
        <f t="shared" si="191"/>
        <v>0.20475914623123875</v>
      </c>
      <c r="BN213" s="205">
        <f t="shared" si="180"/>
        <v>12751.475113000002</v>
      </c>
      <c r="BO213" s="205"/>
      <c r="BP213" s="189">
        <f>BP214+BP218</f>
        <v>10000</v>
      </c>
      <c r="BQ213" s="186">
        <f t="shared" si="192"/>
        <v>8.2961389769201407E-2</v>
      </c>
      <c r="BR213" s="189">
        <f>BR214+BR218</f>
        <v>12000</v>
      </c>
      <c r="BS213" s="186">
        <f t="shared" si="169"/>
        <v>9.9553667723041694E-2</v>
      </c>
      <c r="BT213" s="189">
        <f>BT214+BT218</f>
        <v>15000</v>
      </c>
      <c r="BU213" s="186">
        <f t="shared" si="170"/>
        <v>0.12444208465380212</v>
      </c>
      <c r="BV213" s="189">
        <f>BV214+BV218</f>
        <v>18000</v>
      </c>
      <c r="BW213" s="186">
        <f t="shared" si="171"/>
        <v>0.14933050158456254</v>
      </c>
      <c r="BX213" s="189">
        <f>BX214+BX218</f>
        <v>21000</v>
      </c>
      <c r="BY213" s="186">
        <f t="shared" si="172"/>
        <v>0.17421891851532298</v>
      </c>
      <c r="BZ213" s="189">
        <f>BZ214+BZ218</f>
        <v>24000</v>
      </c>
      <c r="CA213" s="186">
        <f t="shared" si="173"/>
        <v>0.19910733544608339</v>
      </c>
      <c r="CB213" s="189">
        <f>CB214+CB218</f>
        <v>26500</v>
      </c>
      <c r="CC213" s="186">
        <f t="shared" si="199"/>
        <v>0.21984768288838374</v>
      </c>
      <c r="CD213" s="189">
        <f>CD214+CD218</f>
        <v>29500</v>
      </c>
      <c r="CE213" s="186">
        <f t="shared" si="200"/>
        <v>0.24473609981914418</v>
      </c>
      <c r="CF213" s="189">
        <f>CF214+CF218</f>
        <v>32500</v>
      </c>
      <c r="CG213" s="186">
        <f t="shared" si="201"/>
        <v>0.26962451674990462</v>
      </c>
      <c r="CH213" s="189">
        <f>CH214+CH218</f>
        <v>35500</v>
      </c>
      <c r="CI213" s="186">
        <f t="shared" si="202"/>
        <v>0.294512933680665</v>
      </c>
      <c r="CJ213" s="189">
        <f>CJ214+CJ218</f>
        <v>38500</v>
      </c>
      <c r="CK213" s="186">
        <f t="shared" si="176"/>
        <v>0.31940135061142544</v>
      </c>
      <c r="CL213" s="189">
        <f>CL214+CL218</f>
        <v>42500</v>
      </c>
      <c r="CM213" s="186">
        <f t="shared" si="177"/>
        <v>0.35258590651910598</v>
      </c>
      <c r="CN213" s="189">
        <f>CN214+CN218</f>
        <v>47500</v>
      </c>
      <c r="CO213" s="186">
        <f t="shared" si="178"/>
        <v>0.3940666014037067</v>
      </c>
      <c r="CP213" s="213" t="str">
        <f t="shared" si="193"/>
        <v>Không đạt</v>
      </c>
      <c r="CQ213" s="213" t="str">
        <f t="shared" si="194"/>
        <v>Không đạt</v>
      </c>
      <c r="CR213" s="213"/>
      <c r="CS213" s="213"/>
      <c r="CT213" s="213"/>
      <c r="CU213" s="163"/>
      <c r="CV213" s="232"/>
      <c r="CW213" s="195"/>
      <c r="CX213" s="196"/>
      <c r="CY213" s="196"/>
      <c r="CZ213" s="197"/>
      <c r="DA213" s="196"/>
      <c r="DB213" s="196"/>
      <c r="DC213" s="196"/>
      <c r="DE213" s="199"/>
      <c r="DF213" s="200"/>
      <c r="DG213" s="181"/>
    </row>
    <row r="214" spans="1:111" s="255" customFormat="1" hidden="1" outlineLevel="1" x14ac:dyDescent="0.25">
      <c r="A214" s="263" t="s">
        <v>29</v>
      </c>
      <c r="B214" s="264" t="s">
        <v>157</v>
      </c>
      <c r="C214" s="265"/>
      <c r="D214" s="226">
        <f>D216+D215</f>
        <v>120538</v>
      </c>
      <c r="E214" s="226">
        <f t="shared" ref="E214:M214" si="204">E216+E215</f>
        <v>0</v>
      </c>
      <c r="F214" s="226">
        <f t="shared" si="204"/>
        <v>120538</v>
      </c>
      <c r="G214" s="226">
        <f t="shared" si="204"/>
        <v>70538</v>
      </c>
      <c r="H214" s="226">
        <f t="shared" si="204"/>
        <v>0</v>
      </c>
      <c r="I214" s="226">
        <f t="shared" si="204"/>
        <v>0</v>
      </c>
      <c r="J214" s="226">
        <f t="shared" si="204"/>
        <v>0</v>
      </c>
      <c r="K214" s="226">
        <f t="shared" si="204"/>
        <v>50000</v>
      </c>
      <c r="L214" s="226">
        <f t="shared" si="204"/>
        <v>0</v>
      </c>
      <c r="M214" s="226">
        <f t="shared" si="204"/>
        <v>0</v>
      </c>
      <c r="N214" s="226"/>
      <c r="O214" s="266">
        <f t="shared" si="190"/>
        <v>70538</v>
      </c>
      <c r="P214" s="266">
        <v>27078.295252</v>
      </c>
      <c r="Q214" s="212">
        <f t="shared" si="186"/>
        <v>0.22464530066866881</v>
      </c>
      <c r="R214" s="226">
        <v>10619.907956999999</v>
      </c>
      <c r="S214" s="211">
        <v>0.21239815913999999</v>
      </c>
      <c r="T214" s="211">
        <v>0.22357700962105262</v>
      </c>
      <c r="U214" s="226">
        <v>10695.719956999999</v>
      </c>
      <c r="V214" s="211">
        <v>0.21391439913999999</v>
      </c>
      <c r="W214" s="211">
        <v>0.22517305172631577</v>
      </c>
      <c r="X214" s="226">
        <v>10695.719956999999</v>
      </c>
      <c r="Y214" s="211">
        <v>0.21391439913999999</v>
      </c>
      <c r="Z214" s="211">
        <v>0.22517305172631577</v>
      </c>
      <c r="AA214" s="226">
        <v>10695.719956999999</v>
      </c>
      <c r="AB214" s="211">
        <v>0.21391439913999999</v>
      </c>
      <c r="AC214" s="211">
        <v>0.22517305172631577</v>
      </c>
      <c r="AD214" s="226">
        <v>10695.719956999999</v>
      </c>
      <c r="AE214" s="211">
        <v>0.21391439913999999</v>
      </c>
      <c r="AF214" s="211">
        <v>0.22517305172631577</v>
      </c>
      <c r="AG214" s="226">
        <v>16216.696532</v>
      </c>
      <c r="AH214" s="211">
        <v>0.32433393063999999</v>
      </c>
      <c r="AI214" s="211">
        <v>0.34140413751578946</v>
      </c>
      <c r="AJ214" s="188">
        <v>16216.696532</v>
      </c>
      <c r="AK214" s="211">
        <v>0.32433393063999999</v>
      </c>
      <c r="AL214" s="211">
        <v>0.34140413751578946</v>
      </c>
      <c r="AM214" s="226">
        <v>16216.696532</v>
      </c>
      <c r="AN214" s="211">
        <v>0.32433393063999999</v>
      </c>
      <c r="AO214" s="211">
        <v>0.34140413751578946</v>
      </c>
      <c r="AP214" s="211"/>
      <c r="AQ214" s="226">
        <v>16216.696532</v>
      </c>
      <c r="AR214" s="211">
        <v>0.32433393063999999</v>
      </c>
      <c r="AS214" s="211">
        <v>0.34140413751578946</v>
      </c>
      <c r="AT214" s="226">
        <v>16216.696532</v>
      </c>
      <c r="AU214" s="211">
        <v>0.32433393063999999</v>
      </c>
      <c r="AV214" s="211">
        <v>0.34140413751578946</v>
      </c>
      <c r="AW214" s="211"/>
      <c r="AX214" s="211"/>
      <c r="AY214" s="211"/>
      <c r="AZ214" s="211"/>
      <c r="BA214" s="211"/>
      <c r="BB214" s="211"/>
      <c r="BC214" s="226">
        <f t="shared" ref="BC214" si="205">BC216+BC215</f>
        <v>16216.696532</v>
      </c>
      <c r="BD214" s="211">
        <v>0.32433393063999999</v>
      </c>
      <c r="BE214" s="211">
        <v>0.34140413751578946</v>
      </c>
      <c r="BF214" s="226"/>
      <c r="BG214" s="226">
        <v>22389</v>
      </c>
      <c r="BH214" s="211">
        <v>0.18574225555426505</v>
      </c>
      <c r="BI214" s="211">
        <v>0.19551816374133163</v>
      </c>
      <c r="BJ214" s="226">
        <f t="shared" si="187"/>
        <v>114511.09999999999</v>
      </c>
      <c r="BK214" s="226">
        <v>22465.08207</v>
      </c>
      <c r="BL214" s="211">
        <f t="shared" si="168"/>
        <v>0.18637344298063682</v>
      </c>
      <c r="BM214" s="211">
        <f t="shared" si="191"/>
        <v>0.19618257155856508</v>
      </c>
      <c r="BN214" s="205">
        <f t="shared" si="180"/>
        <v>11769.362113000001</v>
      </c>
      <c r="BO214" s="205"/>
      <c r="BP214" s="230">
        <f>BP216</f>
        <v>10000</v>
      </c>
      <c r="BQ214" s="212">
        <f t="shared" si="192"/>
        <v>8.2961389769201407E-2</v>
      </c>
      <c r="BR214" s="230">
        <f>BR216</f>
        <v>12000</v>
      </c>
      <c r="BS214" s="212">
        <f t="shared" si="169"/>
        <v>9.9553667723041694E-2</v>
      </c>
      <c r="BT214" s="230">
        <f>BT216</f>
        <v>15000</v>
      </c>
      <c r="BU214" s="212">
        <f t="shared" si="170"/>
        <v>0.12444208465380212</v>
      </c>
      <c r="BV214" s="230">
        <f>BV216</f>
        <v>18000</v>
      </c>
      <c r="BW214" s="212">
        <f t="shared" si="171"/>
        <v>0.14933050158456254</v>
      </c>
      <c r="BX214" s="230">
        <f>BX216</f>
        <v>21000</v>
      </c>
      <c r="BY214" s="212">
        <f t="shared" si="172"/>
        <v>0.17421891851532298</v>
      </c>
      <c r="BZ214" s="230">
        <f>BZ216</f>
        <v>24000</v>
      </c>
      <c r="CA214" s="212">
        <f t="shared" si="173"/>
        <v>0.19910733544608339</v>
      </c>
      <c r="CB214" s="230">
        <f>CB216</f>
        <v>26500</v>
      </c>
      <c r="CC214" s="212">
        <f t="shared" si="199"/>
        <v>0.21984768288838374</v>
      </c>
      <c r="CD214" s="230">
        <f>CD216</f>
        <v>29500</v>
      </c>
      <c r="CE214" s="212">
        <f t="shared" si="200"/>
        <v>0.24473609981914418</v>
      </c>
      <c r="CF214" s="230">
        <f>CF216</f>
        <v>32500</v>
      </c>
      <c r="CG214" s="212">
        <f t="shared" si="201"/>
        <v>0.26962451674990462</v>
      </c>
      <c r="CH214" s="230">
        <f>CH216</f>
        <v>35500</v>
      </c>
      <c r="CI214" s="212">
        <f t="shared" si="202"/>
        <v>0.294512933680665</v>
      </c>
      <c r="CJ214" s="230">
        <f>CJ216</f>
        <v>38500</v>
      </c>
      <c r="CK214" s="212">
        <f t="shared" si="176"/>
        <v>0.31940135061142544</v>
      </c>
      <c r="CL214" s="230">
        <f>CL216</f>
        <v>42500</v>
      </c>
      <c r="CM214" s="212">
        <f t="shared" si="177"/>
        <v>0.35258590651910598</v>
      </c>
      <c r="CN214" s="230">
        <f>CN216</f>
        <v>47500</v>
      </c>
      <c r="CO214" s="212">
        <f t="shared" si="178"/>
        <v>0.3940666014037067</v>
      </c>
      <c r="CP214" s="213" t="str">
        <f t="shared" si="193"/>
        <v>Không đạt</v>
      </c>
      <c r="CQ214" s="213" t="str">
        <f t="shared" si="194"/>
        <v>Không đạt</v>
      </c>
      <c r="CR214" s="213"/>
      <c r="CS214" s="213"/>
      <c r="CT214" s="213"/>
      <c r="CU214" s="163"/>
      <c r="CV214" s="142"/>
      <c r="CW214" s="195"/>
      <c r="CX214" s="196"/>
      <c r="CY214" s="196"/>
      <c r="CZ214" s="197"/>
      <c r="DA214" s="196"/>
      <c r="DB214" s="196"/>
      <c r="DC214" s="196"/>
      <c r="DD214" s="144"/>
      <c r="DE214" s="199"/>
      <c r="DF214" s="200"/>
      <c r="DG214" s="181"/>
    </row>
    <row r="215" spans="1:111" s="255" customFormat="1" hidden="1" outlineLevel="1" x14ac:dyDescent="0.25">
      <c r="A215" s="191" t="s">
        <v>34</v>
      </c>
      <c r="B215" s="210" t="s">
        <v>154</v>
      </c>
      <c r="C215" s="210"/>
      <c r="D215" s="188">
        <f>E215+F215</f>
        <v>1964</v>
      </c>
      <c r="E215" s="189"/>
      <c r="F215" s="188">
        <f>G215+H215+K215+M215</f>
        <v>1964</v>
      </c>
      <c r="G215" s="189">
        <v>1964</v>
      </c>
      <c r="H215" s="189"/>
      <c r="I215" s="188"/>
      <c r="J215" s="188"/>
      <c r="K215" s="189"/>
      <c r="L215" s="188"/>
      <c r="M215" s="231"/>
      <c r="N215" s="231"/>
      <c r="O215" s="188"/>
      <c r="P215" s="188"/>
      <c r="Q215" s="186"/>
      <c r="R215" s="189"/>
      <c r="S215" s="185"/>
      <c r="T215" s="185"/>
      <c r="U215" s="189"/>
      <c r="V215" s="185"/>
      <c r="W215" s="185"/>
      <c r="X215" s="189"/>
      <c r="Y215" s="185"/>
      <c r="Z215" s="185"/>
      <c r="AA215" s="189"/>
      <c r="AB215" s="185"/>
      <c r="AC215" s="185"/>
      <c r="AD215" s="189"/>
      <c r="AE215" s="185"/>
      <c r="AF215" s="185"/>
      <c r="AG215" s="189"/>
      <c r="AH215" s="185"/>
      <c r="AI215" s="185"/>
      <c r="AJ215" s="188"/>
      <c r="AK215" s="185"/>
      <c r="AL215" s="185"/>
      <c r="AM215" s="189"/>
      <c r="AN215" s="185"/>
      <c r="AO215" s="185"/>
      <c r="AP215" s="185"/>
      <c r="AQ215" s="189"/>
      <c r="AR215" s="185"/>
      <c r="AS215" s="185"/>
      <c r="AT215" s="189"/>
      <c r="AU215" s="185"/>
      <c r="AV215" s="185"/>
      <c r="AW215" s="185"/>
      <c r="AX215" s="185"/>
      <c r="AY215" s="185"/>
      <c r="AZ215" s="185"/>
      <c r="BA215" s="185"/>
      <c r="BB215" s="185"/>
      <c r="BC215" s="189"/>
      <c r="BD215" s="185"/>
      <c r="BE215" s="185"/>
      <c r="BF215" s="189"/>
      <c r="BG215" s="189">
        <v>1964</v>
      </c>
      <c r="BH215" s="185">
        <v>1</v>
      </c>
      <c r="BI215" s="185">
        <v>1</v>
      </c>
      <c r="BJ215" s="189">
        <f t="shared" si="187"/>
        <v>1865.8</v>
      </c>
      <c r="BK215" s="189">
        <v>1964</v>
      </c>
      <c r="BL215" s="185">
        <f t="shared" si="168"/>
        <v>1</v>
      </c>
      <c r="BM215" s="185">
        <f>BK215/$D215</f>
        <v>1</v>
      </c>
      <c r="BN215" s="185">
        <f t="shared" ref="BN215" si="206">BM215/$D215</f>
        <v>5.0916496945010179E-4</v>
      </c>
      <c r="BO215" s="185"/>
      <c r="BP215" s="185">
        <f t="shared" ref="BP215" si="207">BN215/$D215</f>
        <v>2.5924896611512311E-7</v>
      </c>
      <c r="BQ215" s="185">
        <f t="shared" si="192"/>
        <v>1.3200049191197714E-10</v>
      </c>
      <c r="BR215" s="185">
        <f t="shared" si="192"/>
        <v>6.7210026431760253E-14</v>
      </c>
      <c r="BS215" s="185">
        <f t="shared" si="169"/>
        <v>3.4220991054867747E-17</v>
      </c>
      <c r="BT215" s="185">
        <f t="shared" si="169"/>
        <v>1.7424129865003943E-20</v>
      </c>
      <c r="BU215" s="185">
        <f t="shared" si="170"/>
        <v>8.871756550409339E-24</v>
      </c>
      <c r="BV215" s="185">
        <f t="shared" si="170"/>
        <v>4.5171876529579122E-27</v>
      </c>
      <c r="BW215" s="185">
        <f t="shared" si="171"/>
        <v>2.2999937133186926E-30</v>
      </c>
      <c r="BX215" s="185">
        <f t="shared" si="171"/>
        <v>1.1710762287773385E-33</v>
      </c>
      <c r="BY215" s="185">
        <f t="shared" si="172"/>
        <v>5.9627099224915398E-37</v>
      </c>
      <c r="BZ215" s="185">
        <f t="shared" si="172"/>
        <v>3.0360030155252239E-40</v>
      </c>
      <c r="CA215" s="185">
        <f t="shared" si="173"/>
        <v>1.5458263826503176E-43</v>
      </c>
      <c r="CB215" s="185">
        <f t="shared" si="173"/>
        <v>7.8708064289731037E-47</v>
      </c>
      <c r="CC215" s="185">
        <f t="shared" si="199"/>
        <v>4.0075389149557553E-50</v>
      </c>
      <c r="CD215" s="185">
        <f t="shared" si="199"/>
        <v>2.0404984292035414E-53</v>
      </c>
      <c r="CE215" s="185">
        <f t="shared" si="200"/>
        <v>1.0389503203684018E-56</v>
      </c>
      <c r="CF215" s="185">
        <f t="shared" si="200"/>
        <v>5.2899710813055086E-60</v>
      </c>
      <c r="CG215" s="185">
        <f t="shared" si="201"/>
        <v>2.6934679640048417E-63</v>
      </c>
      <c r="CH215" s="185">
        <f t="shared" si="201"/>
        <v>1.3714195336073532E-66</v>
      </c>
      <c r="CI215" s="185">
        <f t="shared" si="202"/>
        <v>6.9827878493246093E-70</v>
      </c>
      <c r="CJ215" s="185">
        <f t="shared" si="202"/>
        <v>3.5553909619779072E-73</v>
      </c>
      <c r="CK215" s="185">
        <f t="shared" si="176"/>
        <v>1.8102805305386492E-76</v>
      </c>
      <c r="CL215" s="185">
        <f t="shared" si="176"/>
        <v>9.2173143102782546E-80</v>
      </c>
      <c r="CM215" s="185">
        <f t="shared" si="177"/>
        <v>4.6931335592048143E-83</v>
      </c>
      <c r="CN215" s="185">
        <f t="shared" si="177"/>
        <v>2.3895792052977671E-86</v>
      </c>
      <c r="CO215" s="185">
        <f t="shared" si="178"/>
        <v>1.2166900230640362E-89</v>
      </c>
      <c r="CP215" s="213" t="str">
        <f t="shared" si="193"/>
        <v>Đạt</v>
      </c>
      <c r="CQ215" s="213" t="str">
        <f t="shared" si="194"/>
        <v>Đạt</v>
      </c>
      <c r="CR215" s="185"/>
      <c r="CS215" s="213"/>
      <c r="CT215" s="231"/>
      <c r="CU215" s="163"/>
      <c r="CV215" s="252"/>
      <c r="CW215" s="253"/>
      <c r="CX215" s="254"/>
      <c r="CY215" s="254"/>
      <c r="CZ215" s="198"/>
      <c r="DA215" s="254"/>
      <c r="DB215" s="254"/>
      <c r="DC215" s="254"/>
      <c r="DE215" s="199"/>
      <c r="DF215" s="200"/>
      <c r="DG215" s="181"/>
    </row>
    <row r="216" spans="1:111" s="255" customFormat="1" hidden="1" outlineLevel="1" x14ac:dyDescent="0.25">
      <c r="A216" s="256" t="s">
        <v>34</v>
      </c>
      <c r="B216" s="210" t="s">
        <v>335</v>
      </c>
      <c r="C216" s="210"/>
      <c r="D216" s="188">
        <f t="shared" ref="D216:I216" si="208">D217</f>
        <v>118574</v>
      </c>
      <c r="E216" s="188">
        <f t="shared" si="208"/>
        <v>0</v>
      </c>
      <c r="F216" s="188">
        <f t="shared" si="208"/>
        <v>118574</v>
      </c>
      <c r="G216" s="188">
        <f t="shared" si="208"/>
        <v>68574</v>
      </c>
      <c r="H216" s="188">
        <f t="shared" si="208"/>
        <v>0</v>
      </c>
      <c r="I216" s="188">
        <f t="shared" si="208"/>
        <v>0</v>
      </c>
      <c r="J216" s="188"/>
      <c r="K216" s="188">
        <f>K217</f>
        <v>50000</v>
      </c>
      <c r="L216" s="188">
        <f>L217</f>
        <v>0</v>
      </c>
      <c r="M216" s="231"/>
      <c r="N216" s="231"/>
      <c r="O216" s="188">
        <f t="shared" si="190"/>
        <v>68574</v>
      </c>
      <c r="P216" s="188">
        <v>10584.202748</v>
      </c>
      <c r="Q216" s="186">
        <f t="shared" si="186"/>
        <v>8.9262424713680899E-2</v>
      </c>
      <c r="R216" s="188">
        <v>10619.907956999999</v>
      </c>
      <c r="S216" s="185">
        <v>0.21239815913999999</v>
      </c>
      <c r="T216" s="185">
        <v>0.22357700962105262</v>
      </c>
      <c r="U216" s="188">
        <v>10695.719956999999</v>
      </c>
      <c r="V216" s="185">
        <v>0.21391439913999999</v>
      </c>
      <c r="W216" s="185">
        <v>0.22517305172631577</v>
      </c>
      <c r="X216" s="188">
        <v>10695.719956999999</v>
      </c>
      <c r="Y216" s="185">
        <v>0.21391439913999999</v>
      </c>
      <c r="Z216" s="185">
        <v>0.22517305172631577</v>
      </c>
      <c r="AA216" s="188">
        <v>10695.719956999999</v>
      </c>
      <c r="AB216" s="185">
        <v>0.21391439913999999</v>
      </c>
      <c r="AC216" s="185">
        <v>0.22517305172631577</v>
      </c>
      <c r="AD216" s="188">
        <v>10695.719956999999</v>
      </c>
      <c r="AE216" s="185">
        <v>0.21391439913999999</v>
      </c>
      <c r="AF216" s="185">
        <v>0.22517305172631577</v>
      </c>
      <c r="AG216" s="188">
        <v>16216.696532</v>
      </c>
      <c r="AH216" s="185">
        <v>0.32433393063999999</v>
      </c>
      <c r="AI216" s="185">
        <v>0.34140413751578946</v>
      </c>
      <c r="AJ216" s="257">
        <v>16216.696532</v>
      </c>
      <c r="AK216" s="185">
        <v>0.32433393063999999</v>
      </c>
      <c r="AL216" s="185">
        <v>0.34140413751578946</v>
      </c>
      <c r="AM216" s="188">
        <v>16216.696532</v>
      </c>
      <c r="AN216" s="185">
        <v>0.32433393063999999</v>
      </c>
      <c r="AO216" s="185">
        <v>0.34140413751578946</v>
      </c>
      <c r="AP216" s="185"/>
      <c r="AQ216" s="188">
        <v>16216.696532</v>
      </c>
      <c r="AR216" s="185">
        <v>0.32433393063999999</v>
      </c>
      <c r="AS216" s="185">
        <v>0.34140413751578946</v>
      </c>
      <c r="AT216" s="188">
        <v>16216.696532</v>
      </c>
      <c r="AU216" s="185">
        <v>0.32433393063999999</v>
      </c>
      <c r="AV216" s="185">
        <v>0.34140413751578946</v>
      </c>
      <c r="AW216" s="185"/>
      <c r="AX216" s="185"/>
      <c r="AY216" s="185"/>
      <c r="AZ216" s="185"/>
      <c r="BA216" s="185"/>
      <c r="BB216" s="185"/>
      <c r="BC216" s="188">
        <v>16216.696532</v>
      </c>
      <c r="BD216" s="185">
        <v>0.32433393063999999</v>
      </c>
      <c r="BE216" s="185">
        <v>0.34140413751578946</v>
      </c>
      <c r="BF216" s="188"/>
      <c r="BG216" s="188">
        <v>20425</v>
      </c>
      <c r="BH216" s="185">
        <v>0.1722553004874593</v>
      </c>
      <c r="BI216" s="185">
        <v>0.1813213689341677</v>
      </c>
      <c r="BJ216" s="188">
        <f t="shared" si="187"/>
        <v>112645.29999999999</v>
      </c>
      <c r="BK216" s="188">
        <v>20501.08207</v>
      </c>
      <c r="BL216" s="185">
        <f t="shared" si="168"/>
        <v>0.17289694258437768</v>
      </c>
      <c r="BM216" s="185">
        <f t="shared" si="191"/>
        <v>0.18199678166776601</v>
      </c>
      <c r="BN216" s="205">
        <f t="shared" si="180"/>
        <v>9805.362113000001</v>
      </c>
      <c r="BO216" s="205"/>
      <c r="BP216" s="189">
        <f>BP217</f>
        <v>10000</v>
      </c>
      <c r="BQ216" s="186">
        <f t="shared" si="192"/>
        <v>8.4335520434496603E-2</v>
      </c>
      <c r="BR216" s="189">
        <f>BR217</f>
        <v>12000</v>
      </c>
      <c r="BS216" s="186">
        <f t="shared" si="169"/>
        <v>0.10120262452139592</v>
      </c>
      <c r="BT216" s="189">
        <f>BT217</f>
        <v>15000</v>
      </c>
      <c r="BU216" s="186">
        <f t="shared" si="170"/>
        <v>0.1265032806517449</v>
      </c>
      <c r="BV216" s="189">
        <f t="shared" ref="BV216:CJ216" si="209">BV217</f>
        <v>18000</v>
      </c>
      <c r="BW216" s="186">
        <f t="shared" si="171"/>
        <v>0.15180393678209389</v>
      </c>
      <c r="BX216" s="189">
        <f t="shared" si="209"/>
        <v>21000</v>
      </c>
      <c r="BY216" s="186">
        <f t="shared" si="172"/>
        <v>0.17710459291244288</v>
      </c>
      <c r="BZ216" s="189">
        <f t="shared" si="209"/>
        <v>24000</v>
      </c>
      <c r="CA216" s="186">
        <f t="shared" si="173"/>
        <v>0.20240524904279183</v>
      </c>
      <c r="CB216" s="189">
        <f t="shared" si="209"/>
        <v>26500</v>
      </c>
      <c r="CC216" s="186">
        <f t="shared" si="199"/>
        <v>0.223489129151416</v>
      </c>
      <c r="CD216" s="189">
        <f t="shared" si="209"/>
        <v>29500</v>
      </c>
      <c r="CE216" s="186">
        <f t="shared" si="200"/>
        <v>0.24878978528176499</v>
      </c>
      <c r="CF216" s="189">
        <f t="shared" si="209"/>
        <v>32500</v>
      </c>
      <c r="CG216" s="186">
        <f t="shared" si="201"/>
        <v>0.27409044141211397</v>
      </c>
      <c r="CH216" s="189">
        <f t="shared" si="209"/>
        <v>35500</v>
      </c>
      <c r="CI216" s="186">
        <f t="shared" si="202"/>
        <v>0.29939109754246296</v>
      </c>
      <c r="CJ216" s="189">
        <f t="shared" si="209"/>
        <v>38500</v>
      </c>
      <c r="CK216" s="186">
        <f t="shared" si="176"/>
        <v>0.32469175367281189</v>
      </c>
      <c r="CL216" s="189">
        <f t="shared" ref="CL216:CN216" si="210">CL217</f>
        <v>42500</v>
      </c>
      <c r="CM216" s="186">
        <f t="shared" si="177"/>
        <v>0.35842596184661057</v>
      </c>
      <c r="CN216" s="189">
        <f t="shared" si="210"/>
        <v>47500</v>
      </c>
      <c r="CO216" s="186">
        <f t="shared" si="178"/>
        <v>0.40059372206385885</v>
      </c>
      <c r="CP216" s="213" t="str">
        <f t="shared" si="193"/>
        <v>Không đạt</v>
      </c>
      <c r="CQ216" s="213" t="str">
        <f t="shared" si="194"/>
        <v>Không đạt</v>
      </c>
      <c r="CR216" s="213"/>
      <c r="CS216" s="213"/>
      <c r="CT216" s="231"/>
      <c r="CU216" s="163"/>
      <c r="CV216" s="252"/>
      <c r="CW216" s="253"/>
      <c r="CX216" s="254"/>
      <c r="CY216" s="254"/>
      <c r="CZ216" s="198"/>
      <c r="DA216" s="254"/>
      <c r="DB216" s="254"/>
      <c r="DC216" s="254"/>
      <c r="DE216" s="199"/>
      <c r="DF216" s="200"/>
      <c r="DG216" s="181"/>
    </row>
    <row r="217" spans="1:111" ht="38.25" hidden="1" outlineLevel="1" x14ac:dyDescent="0.25">
      <c r="A217" s="192">
        <v>1</v>
      </c>
      <c r="B217" s="269" t="s">
        <v>357</v>
      </c>
      <c r="C217" s="269">
        <v>7925428</v>
      </c>
      <c r="D217" s="214">
        <f>E217+F217</f>
        <v>118574</v>
      </c>
      <c r="E217" s="205"/>
      <c r="F217" s="214">
        <f>G217+H217+K217+M217</f>
        <v>118574</v>
      </c>
      <c r="G217" s="223">
        <v>68574</v>
      </c>
      <c r="H217" s="223"/>
      <c r="I217" s="235"/>
      <c r="J217" s="235"/>
      <c r="K217" s="257">
        <v>50000</v>
      </c>
      <c r="L217" s="235"/>
      <c r="M217" s="223"/>
      <c r="N217" s="223"/>
      <c r="O217" s="223">
        <f t="shared" si="190"/>
        <v>68574</v>
      </c>
      <c r="P217" s="223">
        <v>5192</v>
      </c>
      <c r="Q217" s="224">
        <f t="shared" si="186"/>
        <v>4.3787002209590635E-2</v>
      </c>
      <c r="R217" s="257">
        <v>10619.907956999999</v>
      </c>
      <c r="S217" s="225">
        <v>0.21239815913999999</v>
      </c>
      <c r="T217" s="225">
        <v>0.22357700962105262</v>
      </c>
      <c r="U217" s="257">
        <v>10695.719956999999</v>
      </c>
      <c r="V217" s="225">
        <v>0.21391439913999999</v>
      </c>
      <c r="W217" s="225">
        <v>0.22517305172631577</v>
      </c>
      <c r="X217" s="257">
        <v>10695.719956999999</v>
      </c>
      <c r="Y217" s="225">
        <v>0.21391439913999999</v>
      </c>
      <c r="Z217" s="225">
        <v>0.22517305172631577</v>
      </c>
      <c r="AA217" s="257">
        <v>10695.719956999999</v>
      </c>
      <c r="AB217" s="225">
        <v>0.21391439913999999</v>
      </c>
      <c r="AC217" s="225">
        <v>0.22517305172631577</v>
      </c>
      <c r="AD217" s="257">
        <v>10695.719956999999</v>
      </c>
      <c r="AE217" s="225">
        <v>0.21391439913999999</v>
      </c>
      <c r="AF217" s="225">
        <v>0.22517305172631577</v>
      </c>
      <c r="AG217" s="257">
        <v>16216.696532</v>
      </c>
      <c r="AH217" s="225">
        <v>0.32433393063999999</v>
      </c>
      <c r="AI217" s="225">
        <v>0.34140413751578946</v>
      </c>
      <c r="AJ217" s="214">
        <v>16216.696532</v>
      </c>
      <c r="AK217" s="225">
        <v>0.32433393063999999</v>
      </c>
      <c r="AL217" s="225">
        <v>0.34140413751578946</v>
      </c>
      <c r="AM217" s="257">
        <v>16216.696532</v>
      </c>
      <c r="AN217" s="225">
        <v>0.32433393063999999</v>
      </c>
      <c r="AO217" s="225">
        <v>0.34140413751578946</v>
      </c>
      <c r="AP217" s="225"/>
      <c r="AQ217" s="257">
        <v>16216.696532</v>
      </c>
      <c r="AR217" s="225">
        <v>0.32433393063999999</v>
      </c>
      <c r="AS217" s="225">
        <v>0.34140413751578946</v>
      </c>
      <c r="AT217" s="257">
        <v>16216.696532</v>
      </c>
      <c r="AU217" s="225">
        <v>0.32433393063999999</v>
      </c>
      <c r="AV217" s="225">
        <v>0.34140413751578946</v>
      </c>
      <c r="AW217" s="225"/>
      <c r="AX217" s="225"/>
      <c r="AY217" s="225"/>
      <c r="AZ217" s="225"/>
      <c r="BA217" s="225"/>
      <c r="BB217" s="225"/>
      <c r="BC217" s="257">
        <v>16216.696532</v>
      </c>
      <c r="BD217" s="225">
        <v>0.32433393063999999</v>
      </c>
      <c r="BE217" s="225">
        <v>0.34140413751578946</v>
      </c>
      <c r="BF217" s="257"/>
      <c r="BG217" s="257">
        <v>20425</v>
      </c>
      <c r="BH217" s="225">
        <v>0.1722553004874593</v>
      </c>
      <c r="BI217" s="225">
        <v>0.1813213689341677</v>
      </c>
      <c r="BJ217" s="257">
        <f t="shared" si="187"/>
        <v>112645.29999999999</v>
      </c>
      <c r="BK217" s="257">
        <v>20501.08207</v>
      </c>
      <c r="BL217" s="225">
        <f t="shared" si="168"/>
        <v>0.17289694258437768</v>
      </c>
      <c r="BM217" s="225">
        <f t="shared" si="191"/>
        <v>0.18199678166776601</v>
      </c>
      <c r="BN217" s="205">
        <f t="shared" si="180"/>
        <v>9805.362113000001</v>
      </c>
      <c r="BO217" s="205"/>
      <c r="BP217" s="227">
        <v>10000</v>
      </c>
      <c r="BQ217" s="224">
        <f t="shared" si="192"/>
        <v>8.4335520434496603E-2</v>
      </c>
      <c r="BR217" s="227">
        <f>BP217+2000</f>
        <v>12000</v>
      </c>
      <c r="BS217" s="224">
        <f t="shared" si="169"/>
        <v>0.10120262452139592</v>
      </c>
      <c r="BT217" s="227">
        <f>BR217+3000</f>
        <v>15000</v>
      </c>
      <c r="BU217" s="224">
        <f t="shared" si="170"/>
        <v>0.1265032806517449</v>
      </c>
      <c r="BV217" s="227">
        <f>BT217+3000</f>
        <v>18000</v>
      </c>
      <c r="BW217" s="224">
        <f t="shared" si="171"/>
        <v>0.15180393678209389</v>
      </c>
      <c r="BX217" s="227">
        <f>BV217+3000</f>
        <v>21000</v>
      </c>
      <c r="BY217" s="224">
        <f t="shared" si="172"/>
        <v>0.17710459291244288</v>
      </c>
      <c r="BZ217" s="227">
        <f>BX217+3000</f>
        <v>24000</v>
      </c>
      <c r="CA217" s="224">
        <f t="shared" si="173"/>
        <v>0.20240524904279183</v>
      </c>
      <c r="CB217" s="227">
        <f>BZ217+2500</f>
        <v>26500</v>
      </c>
      <c r="CC217" s="224">
        <f t="shared" si="199"/>
        <v>0.223489129151416</v>
      </c>
      <c r="CD217" s="227">
        <f>CB217+3000</f>
        <v>29500</v>
      </c>
      <c r="CE217" s="224">
        <f t="shared" si="200"/>
        <v>0.24878978528176499</v>
      </c>
      <c r="CF217" s="227">
        <f>CD217+3000</f>
        <v>32500</v>
      </c>
      <c r="CG217" s="224">
        <f t="shared" si="201"/>
        <v>0.27409044141211397</v>
      </c>
      <c r="CH217" s="227">
        <f>CF217+3000</f>
        <v>35500</v>
      </c>
      <c r="CI217" s="224">
        <f t="shared" si="202"/>
        <v>0.29939109754246296</v>
      </c>
      <c r="CJ217" s="227">
        <f>CH217+3000</f>
        <v>38500</v>
      </c>
      <c r="CK217" s="224">
        <f t="shared" si="176"/>
        <v>0.32469175367281189</v>
      </c>
      <c r="CL217" s="227">
        <f>CJ217+4000</f>
        <v>42500</v>
      </c>
      <c r="CM217" s="224">
        <f t="shared" si="177"/>
        <v>0.35842596184661057</v>
      </c>
      <c r="CN217" s="227">
        <f>CL217+5000</f>
        <v>47500</v>
      </c>
      <c r="CO217" s="224">
        <f t="shared" si="178"/>
        <v>0.40059372206385885</v>
      </c>
      <c r="CP217" s="213" t="str">
        <f t="shared" si="193"/>
        <v>Không đạt</v>
      </c>
      <c r="CQ217" s="213" t="str">
        <f t="shared" si="194"/>
        <v>Không đạt</v>
      </c>
      <c r="CR217" s="192"/>
      <c r="CS217" s="192"/>
      <c r="CT217" s="223"/>
      <c r="CU217" s="163"/>
      <c r="CW217" s="195"/>
      <c r="CX217" s="196"/>
      <c r="CY217" s="196"/>
      <c r="CZ217" s="197"/>
      <c r="DA217" s="196"/>
      <c r="DB217" s="196"/>
      <c r="DC217" s="196"/>
      <c r="DE217" s="199"/>
      <c r="DF217" s="200"/>
      <c r="DG217" s="181"/>
    </row>
    <row r="218" spans="1:111" hidden="1" outlineLevel="1" x14ac:dyDescent="0.25">
      <c r="A218" s="191" t="s">
        <v>29</v>
      </c>
      <c r="B218" s="210" t="s">
        <v>358</v>
      </c>
      <c r="C218" s="210"/>
      <c r="D218" s="245">
        <f>D219</f>
        <v>0</v>
      </c>
      <c r="E218" s="245">
        <f t="shared" ref="E218:L219" si="211">E219</f>
        <v>0</v>
      </c>
      <c r="F218" s="245">
        <f t="shared" si="211"/>
        <v>0</v>
      </c>
      <c r="G218" s="245">
        <f t="shared" si="211"/>
        <v>0</v>
      </c>
      <c r="H218" s="245">
        <f t="shared" si="211"/>
        <v>0</v>
      </c>
      <c r="I218" s="214">
        <f t="shared" si="211"/>
        <v>0</v>
      </c>
      <c r="J218" s="214"/>
      <c r="K218" s="245">
        <f t="shared" si="211"/>
        <v>0</v>
      </c>
      <c r="L218" s="214">
        <f t="shared" si="211"/>
        <v>0</v>
      </c>
      <c r="M218" s="223"/>
      <c r="N218" s="223"/>
      <c r="O218" s="214">
        <f t="shared" si="190"/>
        <v>0</v>
      </c>
      <c r="P218" s="214">
        <v>0</v>
      </c>
      <c r="Q218" s="258" t="e">
        <f t="shared" si="186"/>
        <v>#DIV/0!</v>
      </c>
      <c r="R218" s="214"/>
      <c r="S218" s="268"/>
      <c r="T218" s="268" t="e">
        <v>#DIV/0!</v>
      </c>
      <c r="U218" s="214"/>
      <c r="V218" s="268"/>
      <c r="W218" s="268" t="e">
        <v>#DIV/0!</v>
      </c>
      <c r="X218" s="214"/>
      <c r="Y218" s="268"/>
      <c r="Z218" s="268" t="e">
        <v>#DIV/0!</v>
      </c>
      <c r="AA218" s="214"/>
      <c r="AB218" s="268"/>
      <c r="AC218" s="268" t="e">
        <v>#DIV/0!</v>
      </c>
      <c r="AD218" s="214"/>
      <c r="AE218" s="268"/>
      <c r="AF218" s="268" t="e">
        <v>#DIV/0!</v>
      </c>
      <c r="AG218" s="214"/>
      <c r="AH218" s="268"/>
      <c r="AI218" s="268" t="e">
        <v>#DIV/0!</v>
      </c>
      <c r="AJ218" s="214"/>
      <c r="AK218" s="268"/>
      <c r="AL218" s="268" t="e">
        <v>#DIV/0!</v>
      </c>
      <c r="AM218" s="214"/>
      <c r="AN218" s="268"/>
      <c r="AO218" s="268" t="e">
        <v>#DIV/0!</v>
      </c>
      <c r="AP218" s="268"/>
      <c r="AQ218" s="214"/>
      <c r="AR218" s="268"/>
      <c r="AS218" s="268" t="e">
        <v>#DIV/0!</v>
      </c>
      <c r="AT218" s="214"/>
      <c r="AU218" s="268"/>
      <c r="AV218" s="268" t="e">
        <v>#DIV/0!</v>
      </c>
      <c r="AW218" s="268"/>
      <c r="AX218" s="268"/>
      <c r="AY218" s="268"/>
      <c r="AZ218" s="268"/>
      <c r="BA218" s="268"/>
      <c r="BB218" s="268"/>
      <c r="BC218" s="214"/>
      <c r="BD218" s="268"/>
      <c r="BE218" s="268" t="e">
        <v>#DIV/0!</v>
      </c>
      <c r="BF218" s="214"/>
      <c r="BG218" s="214"/>
      <c r="BH218" s="268"/>
      <c r="BI218" s="268" t="e">
        <v>#DIV/0!</v>
      </c>
      <c r="BJ218" s="214">
        <f t="shared" si="187"/>
        <v>0</v>
      </c>
      <c r="BK218" s="214"/>
      <c r="BL218" s="268"/>
      <c r="BM218" s="268" t="e">
        <f t="shared" si="191"/>
        <v>#DIV/0!</v>
      </c>
      <c r="BN218" s="205">
        <f t="shared" si="180"/>
        <v>0</v>
      </c>
      <c r="BO218" s="205"/>
      <c r="BP218" s="245"/>
      <c r="BQ218" s="258"/>
      <c r="BR218" s="245"/>
      <c r="BS218" s="258"/>
      <c r="BT218" s="245"/>
      <c r="BU218" s="258"/>
      <c r="BV218" s="245"/>
      <c r="BW218" s="258"/>
      <c r="BX218" s="245"/>
      <c r="BY218" s="258"/>
      <c r="BZ218" s="245"/>
      <c r="CA218" s="258"/>
      <c r="CB218" s="245"/>
      <c r="CC218" s="258"/>
      <c r="CD218" s="245"/>
      <c r="CE218" s="258"/>
      <c r="CF218" s="245"/>
      <c r="CG218" s="258"/>
      <c r="CH218" s="245"/>
      <c r="CI218" s="258"/>
      <c r="CJ218" s="245"/>
      <c r="CK218" s="258"/>
      <c r="CL218" s="245"/>
      <c r="CM218" s="258"/>
      <c r="CN218" s="245"/>
      <c r="CO218" s="258"/>
      <c r="CP218" s="213" t="e">
        <f t="shared" si="193"/>
        <v>#DIV/0!</v>
      </c>
      <c r="CQ218" s="213" t="e">
        <f t="shared" si="194"/>
        <v>#DIV/0!</v>
      </c>
      <c r="CR218" s="192"/>
      <c r="CS218" s="192"/>
      <c r="CT218" s="223"/>
      <c r="CU218" s="163"/>
      <c r="CW218" s="195"/>
      <c r="CX218" s="196"/>
      <c r="CY218" s="196"/>
      <c r="CZ218" s="197"/>
      <c r="DA218" s="196"/>
      <c r="DB218" s="196"/>
      <c r="DC218" s="196"/>
      <c r="DE218" s="199"/>
      <c r="DF218" s="200"/>
      <c r="DG218" s="181"/>
    </row>
    <row r="219" spans="1:111" hidden="1" outlineLevel="1" x14ac:dyDescent="0.25">
      <c r="A219" s="256" t="s">
        <v>34</v>
      </c>
      <c r="B219" s="210" t="s">
        <v>359</v>
      </c>
      <c r="C219" s="210"/>
      <c r="D219" s="214">
        <f>D220</f>
        <v>0</v>
      </c>
      <c r="E219" s="214">
        <f t="shared" si="211"/>
        <v>0</v>
      </c>
      <c r="F219" s="214">
        <f t="shared" si="211"/>
        <v>0</v>
      </c>
      <c r="G219" s="214">
        <f t="shared" si="211"/>
        <v>0</v>
      </c>
      <c r="H219" s="214">
        <f t="shared" si="211"/>
        <v>0</v>
      </c>
      <c r="I219" s="214">
        <f t="shared" si="211"/>
        <v>0</v>
      </c>
      <c r="J219" s="214"/>
      <c r="K219" s="214">
        <f t="shared" si="211"/>
        <v>0</v>
      </c>
      <c r="L219" s="214">
        <f t="shared" si="211"/>
        <v>0</v>
      </c>
      <c r="M219" s="223"/>
      <c r="N219" s="223"/>
      <c r="O219" s="214">
        <f t="shared" si="190"/>
        <v>0</v>
      </c>
      <c r="P219" s="214">
        <v>0</v>
      </c>
      <c r="Q219" s="258" t="e">
        <f t="shared" si="186"/>
        <v>#DIV/0!</v>
      </c>
      <c r="R219" s="214"/>
      <c r="S219" s="268"/>
      <c r="T219" s="268" t="e">
        <v>#DIV/0!</v>
      </c>
      <c r="U219" s="214"/>
      <c r="V219" s="268"/>
      <c r="W219" s="268" t="e">
        <v>#DIV/0!</v>
      </c>
      <c r="X219" s="214"/>
      <c r="Y219" s="268"/>
      <c r="Z219" s="268" t="e">
        <v>#DIV/0!</v>
      </c>
      <c r="AA219" s="214"/>
      <c r="AB219" s="268"/>
      <c r="AC219" s="268" t="e">
        <v>#DIV/0!</v>
      </c>
      <c r="AD219" s="214"/>
      <c r="AE219" s="268"/>
      <c r="AF219" s="268" t="e">
        <v>#DIV/0!</v>
      </c>
      <c r="AG219" s="214"/>
      <c r="AH219" s="268"/>
      <c r="AI219" s="268" t="e">
        <v>#DIV/0!</v>
      </c>
      <c r="AJ219" s="223"/>
      <c r="AK219" s="268"/>
      <c r="AL219" s="268" t="e">
        <v>#DIV/0!</v>
      </c>
      <c r="AM219" s="214"/>
      <c r="AN219" s="268"/>
      <c r="AO219" s="268" t="e">
        <v>#DIV/0!</v>
      </c>
      <c r="AP219" s="268"/>
      <c r="AQ219" s="214"/>
      <c r="AR219" s="268"/>
      <c r="AS219" s="268" t="e">
        <v>#DIV/0!</v>
      </c>
      <c r="AT219" s="214"/>
      <c r="AU219" s="268"/>
      <c r="AV219" s="268" t="e">
        <v>#DIV/0!</v>
      </c>
      <c r="AW219" s="268"/>
      <c r="AX219" s="268"/>
      <c r="AY219" s="268"/>
      <c r="AZ219" s="268"/>
      <c r="BA219" s="268"/>
      <c r="BB219" s="268"/>
      <c r="BC219" s="214"/>
      <c r="BD219" s="268"/>
      <c r="BE219" s="268" t="e">
        <v>#DIV/0!</v>
      </c>
      <c r="BF219" s="214"/>
      <c r="BG219" s="214"/>
      <c r="BH219" s="268"/>
      <c r="BI219" s="268" t="e">
        <v>#DIV/0!</v>
      </c>
      <c r="BJ219" s="214">
        <f t="shared" si="187"/>
        <v>0</v>
      </c>
      <c r="BK219" s="214"/>
      <c r="BL219" s="268"/>
      <c r="BM219" s="268" t="e">
        <f t="shared" si="191"/>
        <v>#DIV/0!</v>
      </c>
      <c r="BN219" s="205">
        <f t="shared" si="180"/>
        <v>0</v>
      </c>
      <c r="BO219" s="205"/>
      <c r="BP219" s="245"/>
      <c r="BQ219" s="258"/>
      <c r="BR219" s="245"/>
      <c r="BS219" s="258"/>
      <c r="BT219" s="245"/>
      <c r="BU219" s="258"/>
      <c r="BV219" s="245"/>
      <c r="BW219" s="258"/>
      <c r="BX219" s="245"/>
      <c r="BY219" s="258"/>
      <c r="BZ219" s="245"/>
      <c r="CA219" s="258"/>
      <c r="CB219" s="245"/>
      <c r="CC219" s="258"/>
      <c r="CD219" s="245"/>
      <c r="CE219" s="258"/>
      <c r="CF219" s="245"/>
      <c r="CG219" s="258"/>
      <c r="CH219" s="245"/>
      <c r="CI219" s="258"/>
      <c r="CJ219" s="245"/>
      <c r="CK219" s="258"/>
      <c r="CL219" s="245"/>
      <c r="CM219" s="258"/>
      <c r="CN219" s="245"/>
      <c r="CO219" s="258"/>
      <c r="CP219" s="213" t="e">
        <f t="shared" si="193"/>
        <v>#DIV/0!</v>
      </c>
      <c r="CQ219" s="213" t="e">
        <f t="shared" si="194"/>
        <v>#DIV/0!</v>
      </c>
      <c r="CR219" s="192"/>
      <c r="CS219" s="192"/>
      <c r="CT219" s="223"/>
      <c r="CU219" s="163"/>
      <c r="CW219" s="195"/>
      <c r="CX219" s="196"/>
      <c r="CY219" s="196"/>
      <c r="CZ219" s="197"/>
      <c r="DA219" s="196"/>
      <c r="DB219" s="196"/>
      <c r="DC219" s="196"/>
      <c r="DE219" s="199"/>
      <c r="DF219" s="200"/>
      <c r="DG219" s="181"/>
    </row>
    <row r="220" spans="1:111" ht="33.6" hidden="1" customHeight="1" outlineLevel="1" x14ac:dyDescent="0.25">
      <c r="A220" s="192">
        <f>MAX(A$216:$B219)+1</f>
        <v>2</v>
      </c>
      <c r="B220" s="247" t="s">
        <v>360</v>
      </c>
      <c r="C220" s="248"/>
      <c r="D220" s="214">
        <f>E220+F220</f>
        <v>0</v>
      </c>
      <c r="E220" s="205"/>
      <c r="F220" s="214">
        <f>G220+H220+K220+M220</f>
        <v>0</v>
      </c>
      <c r="G220" s="223"/>
      <c r="H220" s="223"/>
      <c r="I220" s="235"/>
      <c r="J220" s="235"/>
      <c r="K220" s="257"/>
      <c r="L220" s="235"/>
      <c r="M220" s="223"/>
      <c r="N220" s="223"/>
      <c r="O220" s="223">
        <f t="shared" si="190"/>
        <v>0</v>
      </c>
      <c r="P220" s="223">
        <v>0</v>
      </c>
      <c r="Q220" s="224" t="e">
        <f t="shared" si="186"/>
        <v>#DIV/0!</v>
      </c>
      <c r="R220" s="223"/>
      <c r="S220" s="225"/>
      <c r="T220" s="225" t="e">
        <v>#DIV/0!</v>
      </c>
      <c r="U220" s="223"/>
      <c r="V220" s="225"/>
      <c r="W220" s="225" t="e">
        <v>#DIV/0!</v>
      </c>
      <c r="X220" s="223"/>
      <c r="Y220" s="225"/>
      <c r="Z220" s="225" t="e">
        <v>#DIV/0!</v>
      </c>
      <c r="AA220" s="223"/>
      <c r="AB220" s="225"/>
      <c r="AC220" s="225" t="e">
        <v>#DIV/0!</v>
      </c>
      <c r="AD220" s="223"/>
      <c r="AE220" s="225"/>
      <c r="AF220" s="225" t="e">
        <v>#DIV/0!</v>
      </c>
      <c r="AG220" s="223"/>
      <c r="AH220" s="225"/>
      <c r="AI220" s="225" t="e">
        <v>#DIV/0!</v>
      </c>
      <c r="AJ220" s="205"/>
      <c r="AK220" s="225"/>
      <c r="AL220" s="225" t="e">
        <v>#DIV/0!</v>
      </c>
      <c r="AM220" s="223"/>
      <c r="AN220" s="225"/>
      <c r="AO220" s="225" t="e">
        <v>#DIV/0!</v>
      </c>
      <c r="AP220" s="225"/>
      <c r="AQ220" s="223"/>
      <c r="AR220" s="225"/>
      <c r="AS220" s="225" t="e">
        <v>#DIV/0!</v>
      </c>
      <c r="AT220" s="223"/>
      <c r="AU220" s="225"/>
      <c r="AV220" s="225" t="e">
        <v>#DIV/0!</v>
      </c>
      <c r="AW220" s="225"/>
      <c r="AX220" s="225"/>
      <c r="AY220" s="225"/>
      <c r="AZ220" s="225"/>
      <c r="BA220" s="225"/>
      <c r="BB220" s="225"/>
      <c r="BC220" s="223"/>
      <c r="BD220" s="225"/>
      <c r="BE220" s="225" t="e">
        <v>#DIV/0!</v>
      </c>
      <c r="BF220" s="223"/>
      <c r="BG220" s="223"/>
      <c r="BH220" s="225"/>
      <c r="BI220" s="225" t="e">
        <v>#DIV/0!</v>
      </c>
      <c r="BJ220" s="223">
        <f t="shared" si="187"/>
        <v>0</v>
      </c>
      <c r="BK220" s="223"/>
      <c r="BL220" s="225"/>
      <c r="BM220" s="225" t="e">
        <f t="shared" si="191"/>
        <v>#DIV/0!</v>
      </c>
      <c r="BN220" s="205">
        <f t="shared" si="180"/>
        <v>0</v>
      </c>
      <c r="BO220" s="205"/>
      <c r="BP220" s="227"/>
      <c r="BQ220" s="224"/>
      <c r="BR220" s="227"/>
      <c r="BS220" s="224"/>
      <c r="BT220" s="227"/>
      <c r="BU220" s="224"/>
      <c r="BV220" s="227"/>
      <c r="BW220" s="224"/>
      <c r="BX220" s="227"/>
      <c r="BY220" s="224"/>
      <c r="BZ220" s="227"/>
      <c r="CA220" s="224"/>
      <c r="CB220" s="227"/>
      <c r="CC220" s="224"/>
      <c r="CD220" s="227"/>
      <c r="CE220" s="224"/>
      <c r="CF220" s="227"/>
      <c r="CG220" s="224"/>
      <c r="CH220" s="227"/>
      <c r="CI220" s="224"/>
      <c r="CJ220" s="227"/>
      <c r="CK220" s="224"/>
      <c r="CL220" s="227"/>
      <c r="CM220" s="224"/>
      <c r="CN220" s="227"/>
      <c r="CO220" s="224"/>
      <c r="CP220" s="213" t="e">
        <f t="shared" si="193"/>
        <v>#DIV/0!</v>
      </c>
      <c r="CQ220" s="213" t="e">
        <f t="shared" si="194"/>
        <v>#DIV/0!</v>
      </c>
      <c r="CR220" s="192"/>
      <c r="CS220" s="192"/>
      <c r="CT220" s="223"/>
      <c r="CU220" s="163"/>
      <c r="CW220" s="195"/>
      <c r="CX220" s="196"/>
      <c r="CY220" s="196"/>
      <c r="CZ220" s="197"/>
      <c r="DA220" s="196"/>
      <c r="DB220" s="196"/>
      <c r="DC220" s="196"/>
      <c r="DE220" s="199"/>
      <c r="DF220" s="200"/>
      <c r="DG220" s="181"/>
    </row>
    <row r="221" spans="1:111" s="233" customFormat="1" ht="18" customHeight="1" collapsed="1" x14ac:dyDescent="0.25">
      <c r="A221" s="191">
        <v>12</v>
      </c>
      <c r="B221" s="210" t="s">
        <v>361</v>
      </c>
      <c r="C221" s="210"/>
      <c r="D221" s="205">
        <f t="shared" ref="D221:I221" si="212">D224+D228+D222</f>
        <v>105673.814</v>
      </c>
      <c r="E221" s="205">
        <f t="shared" si="212"/>
        <v>81153.813999999998</v>
      </c>
      <c r="F221" s="205">
        <f t="shared" si="212"/>
        <v>24520</v>
      </c>
      <c r="G221" s="205">
        <f t="shared" si="212"/>
        <v>24520</v>
      </c>
      <c r="H221" s="205">
        <f t="shared" si="212"/>
        <v>0</v>
      </c>
      <c r="I221" s="205">
        <f t="shared" si="212"/>
        <v>0</v>
      </c>
      <c r="J221" s="205"/>
      <c r="K221" s="205">
        <f>K224+K228+K222</f>
        <v>0</v>
      </c>
      <c r="L221" s="205">
        <f>L224+L228+L222</f>
        <v>0</v>
      </c>
      <c r="M221" s="205">
        <f>M224+M228+M222</f>
        <v>0</v>
      </c>
      <c r="N221" s="205">
        <f>N224+N228+N222</f>
        <v>0</v>
      </c>
      <c r="O221" s="205">
        <f>O224+O228+O222</f>
        <v>24520</v>
      </c>
      <c r="P221" s="205">
        <v>2805</v>
      </c>
      <c r="Q221" s="186">
        <f t="shared" si="186"/>
        <v>2.6543945882373472E-2</v>
      </c>
      <c r="R221" s="205">
        <v>3745.926066</v>
      </c>
      <c r="S221" s="185">
        <v>3.6426633357843193E-2</v>
      </c>
      <c r="T221" s="185">
        <v>3.681472176464444E-2</v>
      </c>
      <c r="U221" s="205">
        <v>3745.926066</v>
      </c>
      <c r="V221" s="185">
        <v>3.6426633357843193E-2</v>
      </c>
      <c r="W221" s="185">
        <v>3.681472176464444E-2</v>
      </c>
      <c r="X221" s="205">
        <v>3745.926066</v>
      </c>
      <c r="Y221" s="185">
        <v>3.6426633357843193E-2</v>
      </c>
      <c r="Z221" s="185">
        <v>3.681472176464444E-2</v>
      </c>
      <c r="AA221" s="205">
        <v>3745.926066</v>
      </c>
      <c r="AB221" s="185">
        <v>3.6426633357843193E-2</v>
      </c>
      <c r="AC221" s="185">
        <v>3.681472176464444E-2</v>
      </c>
      <c r="AD221" s="205">
        <v>3745.926066</v>
      </c>
      <c r="AE221" s="185">
        <v>3.6426633357843193E-2</v>
      </c>
      <c r="AF221" s="185">
        <v>3.681472176464444E-2</v>
      </c>
      <c r="AG221" s="205">
        <v>3745.926066</v>
      </c>
      <c r="AH221" s="185">
        <v>3.6426633357843193E-2</v>
      </c>
      <c r="AI221" s="185">
        <v>3.681472176464444E-2</v>
      </c>
      <c r="AJ221" s="205">
        <v>3745.926066</v>
      </c>
      <c r="AK221" s="185">
        <v>3.6426633357843193E-2</v>
      </c>
      <c r="AL221" s="185">
        <v>3.681472176464444E-2</v>
      </c>
      <c r="AM221" s="205">
        <v>3745.926066</v>
      </c>
      <c r="AN221" s="185">
        <v>3.6426633357843193E-2</v>
      </c>
      <c r="AO221" s="185">
        <v>3.681472176464444E-2</v>
      </c>
      <c r="AP221" s="185"/>
      <c r="AQ221" s="205">
        <v>4496.1298120000001</v>
      </c>
      <c r="AR221" s="185">
        <v>4.3721864581774808E-2</v>
      </c>
      <c r="AS221" s="185">
        <v>4.4187676192780238E-2</v>
      </c>
      <c r="AT221" s="205">
        <v>4496.1298120000001</v>
      </c>
      <c r="AU221" s="185">
        <v>4.3721864581774808E-2</v>
      </c>
      <c r="AV221" s="185">
        <v>4.4187676192780238E-2</v>
      </c>
      <c r="AW221" s="185"/>
      <c r="AX221" s="185"/>
      <c r="AY221" s="185"/>
      <c r="AZ221" s="185"/>
      <c r="BA221" s="185"/>
      <c r="BB221" s="185"/>
      <c r="BC221" s="205">
        <v>4496.1298120000001</v>
      </c>
      <c r="BD221" s="185">
        <v>4.3721864581774808E-2</v>
      </c>
      <c r="BE221" s="185">
        <v>4.4187676192780238E-2</v>
      </c>
      <c r="BF221" s="205"/>
      <c r="BG221" s="205">
        <v>9330.2816659999989</v>
      </c>
      <c r="BH221" s="185">
        <v>8.8293223390233641E-2</v>
      </c>
      <c r="BI221" s="185">
        <v>8.9329602111155718E-2</v>
      </c>
      <c r="BJ221" s="205">
        <f t="shared" si="187"/>
        <v>104447.814</v>
      </c>
      <c r="BK221" s="205">
        <v>9338.7216660000013</v>
      </c>
      <c r="BL221" s="185">
        <f>BK221/$D221</f>
        <v>8.8373091804938561E-2</v>
      </c>
      <c r="BM221" s="185">
        <f t="shared" si="191"/>
        <v>8.9410408014858042E-2</v>
      </c>
      <c r="BN221" s="205">
        <f t="shared" si="180"/>
        <v>5592.7956000000013</v>
      </c>
      <c r="BO221" s="205"/>
      <c r="BP221" s="189">
        <f>BP224+BP228+BP222</f>
        <v>2173.2478449999999</v>
      </c>
      <c r="BQ221" s="186">
        <f t="shared" si="192"/>
        <v>2.0565623239452678E-2</v>
      </c>
      <c r="BR221" s="189">
        <f>BR224+BR228+BR222</f>
        <v>4733.307468</v>
      </c>
      <c r="BS221" s="186">
        <f>BR221/$D221</f>
        <v>4.4791678172986168E-2</v>
      </c>
      <c r="BT221" s="189">
        <f>BT224+BT228+BT222</f>
        <v>5962.1007730000001</v>
      </c>
      <c r="BU221" s="186">
        <f>BT221/$D221</f>
        <v>5.6419850361414989E-2</v>
      </c>
      <c r="BV221" s="189">
        <f>BV224+BV228+BV222</f>
        <v>7000.3850000000002</v>
      </c>
      <c r="BW221" s="186">
        <f>BV221/$D221</f>
        <v>6.6245219463735835E-2</v>
      </c>
      <c r="BX221" s="189">
        <f>BX224+BX228+BX222</f>
        <v>9305.7849999999999</v>
      </c>
      <c r="BY221" s="186">
        <f>BX221/$D221</f>
        <v>8.8061409423530412E-2</v>
      </c>
      <c r="BZ221" s="189">
        <f>BZ224+BZ228+BZ222</f>
        <v>13720.045</v>
      </c>
      <c r="CA221" s="186">
        <f>BZ221/$D221</f>
        <v>0.12983391514571435</v>
      </c>
      <c r="CB221" s="189">
        <f>CB224+CB228+CB222</f>
        <v>18210.044999999998</v>
      </c>
      <c r="CC221" s="186">
        <f>CB221/$D221</f>
        <v>0.17232315472213389</v>
      </c>
      <c r="CD221" s="189">
        <f>CD224+CD228+CD222</f>
        <v>24125.044999999998</v>
      </c>
      <c r="CE221" s="186">
        <f>CD221/$D221</f>
        <v>0.22829728659173784</v>
      </c>
      <c r="CF221" s="189">
        <f>CF224+CF228+CF222</f>
        <v>34393.044999999998</v>
      </c>
      <c r="CG221" s="186">
        <f>CF221/$D221</f>
        <v>0.32546421576115347</v>
      </c>
      <c r="CH221" s="189">
        <f>CH224+CH228+CH222</f>
        <v>38883.044999999998</v>
      </c>
      <c r="CI221" s="186">
        <f>CH221/$D221</f>
        <v>0.36795345533757301</v>
      </c>
      <c r="CJ221" s="189">
        <f>CJ224+CJ228+CJ222</f>
        <v>43943.044999999998</v>
      </c>
      <c r="CK221" s="186">
        <f>CJ221/$D221</f>
        <v>0.41583665183126634</v>
      </c>
      <c r="CL221" s="189">
        <f>CL224+CL228+CL222</f>
        <v>77644.600000000006</v>
      </c>
      <c r="CM221" s="186">
        <f>CL221/$D221</f>
        <v>0.7347572408051819</v>
      </c>
      <c r="CN221" s="189">
        <f>CN224+CN228+CN222</f>
        <v>101750.764</v>
      </c>
      <c r="CO221" s="186">
        <f>CN221/$D221</f>
        <v>0.96287585493980554</v>
      </c>
      <c r="CP221" s="213" t="str">
        <f t="shared" si="193"/>
        <v>Không đạt</v>
      </c>
      <c r="CQ221" s="213" t="str">
        <f t="shared" si="194"/>
        <v>Không đạt</v>
      </c>
      <c r="CR221" s="213"/>
      <c r="CS221" s="213"/>
      <c r="CT221" s="213"/>
      <c r="CU221" s="163"/>
      <c r="CV221" s="232"/>
      <c r="CW221" s="195"/>
      <c r="CX221" s="196"/>
      <c r="CY221" s="196"/>
      <c r="CZ221" s="197"/>
      <c r="DA221" s="196"/>
      <c r="DB221" s="196"/>
      <c r="DC221" s="196"/>
      <c r="DE221" s="199"/>
      <c r="DF221" s="200"/>
      <c r="DG221" s="181"/>
    </row>
    <row r="222" spans="1:111" s="219" customFormat="1" ht="30" hidden="1" customHeight="1" outlineLevel="1" x14ac:dyDescent="0.25">
      <c r="A222" s="191" t="s">
        <v>29</v>
      </c>
      <c r="B222" s="210" t="s">
        <v>155</v>
      </c>
      <c r="C222" s="210"/>
      <c r="D222" s="205">
        <f t="shared" ref="D222:I222" si="213">D223</f>
        <v>39985.813999999998</v>
      </c>
      <c r="E222" s="205">
        <f t="shared" si="213"/>
        <v>39985.813999999998</v>
      </c>
      <c r="F222" s="205">
        <f t="shared" si="213"/>
        <v>0</v>
      </c>
      <c r="G222" s="205">
        <f t="shared" si="213"/>
        <v>0</v>
      </c>
      <c r="H222" s="205">
        <f t="shared" si="213"/>
        <v>0</v>
      </c>
      <c r="I222" s="205">
        <f t="shared" si="213"/>
        <v>0</v>
      </c>
      <c r="J222" s="205"/>
      <c r="K222" s="205">
        <f t="shared" ref="K222:P222" si="214">K223</f>
        <v>0</v>
      </c>
      <c r="L222" s="205">
        <f t="shared" si="214"/>
        <v>0</v>
      </c>
      <c r="M222" s="205">
        <f t="shared" si="214"/>
        <v>0</v>
      </c>
      <c r="N222" s="205">
        <f t="shared" si="214"/>
        <v>0</v>
      </c>
      <c r="O222" s="205">
        <f t="shared" si="214"/>
        <v>0</v>
      </c>
      <c r="P222" s="205">
        <f t="shared" si="214"/>
        <v>0</v>
      </c>
      <c r="Q222" s="186">
        <f t="shared" si="186"/>
        <v>0</v>
      </c>
      <c r="R222" s="205">
        <v>0</v>
      </c>
      <c r="S222" s="185">
        <v>0</v>
      </c>
      <c r="T222" s="185">
        <v>0</v>
      </c>
      <c r="U222" s="205">
        <v>0</v>
      </c>
      <c r="V222" s="185">
        <v>0</v>
      </c>
      <c r="W222" s="185">
        <v>0</v>
      </c>
      <c r="X222" s="205">
        <v>0</v>
      </c>
      <c r="Y222" s="185">
        <v>0</v>
      </c>
      <c r="Z222" s="185">
        <v>0</v>
      </c>
      <c r="AA222" s="205">
        <v>0</v>
      </c>
      <c r="AB222" s="185">
        <v>0</v>
      </c>
      <c r="AC222" s="185">
        <v>0</v>
      </c>
      <c r="AD222" s="205">
        <v>0</v>
      </c>
      <c r="AE222" s="185">
        <v>0</v>
      </c>
      <c r="AF222" s="185">
        <v>0</v>
      </c>
      <c r="AG222" s="205">
        <v>0</v>
      </c>
      <c r="AH222" s="185">
        <v>0</v>
      </c>
      <c r="AI222" s="185">
        <v>0</v>
      </c>
      <c r="AJ222" s="215">
        <v>0</v>
      </c>
      <c r="AK222" s="185">
        <v>0</v>
      </c>
      <c r="AL222" s="185">
        <v>0</v>
      </c>
      <c r="AM222" s="205">
        <v>0</v>
      </c>
      <c r="AN222" s="185">
        <v>0</v>
      </c>
      <c r="AO222" s="185">
        <v>0</v>
      </c>
      <c r="AP222" s="185"/>
      <c r="AQ222" s="205">
        <v>570</v>
      </c>
      <c r="AR222" s="185">
        <v>1.4255055555452742E-2</v>
      </c>
      <c r="AS222" s="185">
        <v>1.4255055555452742E-2</v>
      </c>
      <c r="AT222" s="205">
        <v>570</v>
      </c>
      <c r="AU222" s="185">
        <v>1.4255055555452742E-2</v>
      </c>
      <c r="AV222" s="185">
        <v>1.4255055555452742E-2</v>
      </c>
      <c r="AW222" s="185"/>
      <c r="AX222" s="185"/>
      <c r="AY222" s="185"/>
      <c r="AZ222" s="185"/>
      <c r="BA222" s="185"/>
      <c r="BB222" s="185"/>
      <c r="BC222" s="205">
        <v>570</v>
      </c>
      <c r="BD222" s="185">
        <v>1.4255055555452742E-2</v>
      </c>
      <c r="BE222" s="185">
        <v>1.4255055555452742E-2</v>
      </c>
      <c r="BF222" s="205"/>
      <c r="BG222" s="205">
        <v>570</v>
      </c>
      <c r="BH222" s="185">
        <v>1.4255055555452742E-2</v>
      </c>
      <c r="BI222" s="185">
        <v>1.4255055555452742E-2</v>
      </c>
      <c r="BJ222" s="205">
        <f t="shared" si="187"/>
        <v>39985.813999999998</v>
      </c>
      <c r="BK222" s="205">
        <f>BK223</f>
        <v>570</v>
      </c>
      <c r="BL222" s="185">
        <f>BK222/$D222</f>
        <v>1.4255055555452742E-2</v>
      </c>
      <c r="BM222" s="185">
        <f t="shared" si="191"/>
        <v>1.4255055555452742E-2</v>
      </c>
      <c r="BN222" s="205">
        <f t="shared" si="180"/>
        <v>570</v>
      </c>
      <c r="BO222" s="205"/>
      <c r="BP222" s="189">
        <f>BP223</f>
        <v>0</v>
      </c>
      <c r="BQ222" s="186">
        <f t="shared" si="192"/>
        <v>0</v>
      </c>
      <c r="BR222" s="189">
        <f>BR223</f>
        <v>0</v>
      </c>
      <c r="BS222" s="186">
        <f>BR222/$D222</f>
        <v>0</v>
      </c>
      <c r="BT222" s="189">
        <f>BT223</f>
        <v>0</v>
      </c>
      <c r="BU222" s="186">
        <f>BT222/$D222</f>
        <v>0</v>
      </c>
      <c r="BV222" s="189">
        <f>BV223</f>
        <v>0</v>
      </c>
      <c r="BW222" s="186">
        <f>BV222/$D222</f>
        <v>0</v>
      </c>
      <c r="BX222" s="189">
        <f>BX223</f>
        <v>1000</v>
      </c>
      <c r="BY222" s="186">
        <f>BX222/$D222</f>
        <v>2.5008869395531125E-2</v>
      </c>
      <c r="BZ222" s="189">
        <f>BZ223</f>
        <v>4400</v>
      </c>
      <c r="CA222" s="186">
        <f>BZ222/$D222</f>
        <v>0.11003902534033695</v>
      </c>
      <c r="CB222" s="189">
        <f>CB223</f>
        <v>8800</v>
      </c>
      <c r="CC222" s="186">
        <f>CB222/$D222</f>
        <v>0.2200780506806739</v>
      </c>
      <c r="CD222" s="189">
        <f>CD223</f>
        <v>13200</v>
      </c>
      <c r="CE222" s="186">
        <f>CD222/$D222</f>
        <v>0.33011707602101087</v>
      </c>
      <c r="CF222" s="189">
        <f>CF223</f>
        <v>17600</v>
      </c>
      <c r="CG222" s="186">
        <f>CF222/$D222</f>
        <v>0.44015610136134781</v>
      </c>
      <c r="CH222" s="189">
        <f>CH223</f>
        <v>22000</v>
      </c>
      <c r="CI222" s="186">
        <f>CH222/$D222</f>
        <v>0.5501951267016848</v>
      </c>
      <c r="CJ222" s="189">
        <f>CJ223</f>
        <v>26400</v>
      </c>
      <c r="CK222" s="186">
        <f>CJ222/$D222</f>
        <v>0.66023415204202174</v>
      </c>
      <c r="CL222" s="189">
        <f>CL223</f>
        <v>33400</v>
      </c>
      <c r="CM222" s="186">
        <f>CL222/$D222</f>
        <v>0.83529623781073958</v>
      </c>
      <c r="CN222" s="189">
        <f>CN223</f>
        <v>39985.813999999998</v>
      </c>
      <c r="CO222" s="186">
        <f>CN222/$D222</f>
        <v>1</v>
      </c>
      <c r="CP222" s="213" t="str">
        <f t="shared" si="193"/>
        <v>Không đạt</v>
      </c>
      <c r="CQ222" s="213" t="str">
        <f t="shared" si="194"/>
        <v>Không đạt</v>
      </c>
      <c r="CR222" s="213"/>
      <c r="CS222" s="213"/>
      <c r="CT222" s="213"/>
      <c r="CU222" s="163"/>
      <c r="CV222" s="217"/>
      <c r="CW222" s="218"/>
      <c r="CX222" s="196"/>
      <c r="CY222" s="196"/>
      <c r="CZ222" s="197"/>
      <c r="DA222" s="196"/>
      <c r="DB222" s="196"/>
      <c r="DC222" s="196"/>
      <c r="DE222" s="199"/>
      <c r="DF222" s="200"/>
      <c r="DG222" s="181"/>
    </row>
    <row r="223" spans="1:111" s="233" customFormat="1" ht="38.25" hidden="1" outlineLevel="1" x14ac:dyDescent="0.25">
      <c r="A223" s="221">
        <v>1</v>
      </c>
      <c r="B223" s="222" t="s">
        <v>362</v>
      </c>
      <c r="C223" s="222" t="s">
        <v>363</v>
      </c>
      <c r="D223" s="214">
        <f>E223+F223</f>
        <v>39985.813999999998</v>
      </c>
      <c r="E223" s="215">
        <v>39985.813999999998</v>
      </c>
      <c r="F223" s="215"/>
      <c r="G223" s="215"/>
      <c r="H223" s="215"/>
      <c r="I223" s="215"/>
      <c r="J223" s="215"/>
      <c r="K223" s="215"/>
      <c r="L223" s="215"/>
      <c r="M223" s="223"/>
      <c r="N223" s="223"/>
      <c r="O223" s="215"/>
      <c r="P223" s="215">
        <v>0</v>
      </c>
      <c r="Q223" s="258">
        <f t="shared" si="186"/>
        <v>0</v>
      </c>
      <c r="R223" s="215">
        <v>0</v>
      </c>
      <c r="S223" s="268">
        <v>0</v>
      </c>
      <c r="T223" s="268">
        <v>0</v>
      </c>
      <c r="U223" s="215">
        <v>0</v>
      </c>
      <c r="V223" s="268">
        <v>0</v>
      </c>
      <c r="W223" s="268">
        <v>0</v>
      </c>
      <c r="X223" s="215">
        <v>0</v>
      </c>
      <c r="Y223" s="268">
        <v>0</v>
      </c>
      <c r="Z223" s="268">
        <v>0</v>
      </c>
      <c r="AA223" s="215">
        <v>0</v>
      </c>
      <c r="AB223" s="268">
        <v>0</v>
      </c>
      <c r="AC223" s="268">
        <v>0</v>
      </c>
      <c r="AD223" s="215">
        <v>0</v>
      </c>
      <c r="AE223" s="268">
        <v>0</v>
      </c>
      <c r="AF223" s="268">
        <v>0</v>
      </c>
      <c r="AG223" s="215">
        <v>0</v>
      </c>
      <c r="AH223" s="268">
        <v>0</v>
      </c>
      <c r="AI223" s="268">
        <v>0</v>
      </c>
      <c r="AJ223" s="245">
        <v>0</v>
      </c>
      <c r="AK223" s="268">
        <v>0</v>
      </c>
      <c r="AL223" s="268">
        <v>0</v>
      </c>
      <c r="AM223" s="215">
        <v>0</v>
      </c>
      <c r="AN223" s="268">
        <v>0</v>
      </c>
      <c r="AO223" s="268">
        <v>0</v>
      </c>
      <c r="AP223" s="268"/>
      <c r="AQ223" s="215">
        <v>570</v>
      </c>
      <c r="AR223" s="268">
        <v>1.4255055555452742E-2</v>
      </c>
      <c r="AS223" s="268">
        <v>1.4255055555452742E-2</v>
      </c>
      <c r="AT223" s="215">
        <v>570</v>
      </c>
      <c r="AU223" s="268">
        <v>1.4255055555452742E-2</v>
      </c>
      <c r="AV223" s="268">
        <v>1.4255055555452742E-2</v>
      </c>
      <c r="AW223" s="268"/>
      <c r="AX223" s="268"/>
      <c r="AY223" s="268"/>
      <c r="AZ223" s="268"/>
      <c r="BA223" s="268"/>
      <c r="BB223" s="268"/>
      <c r="BC223" s="215">
        <v>570</v>
      </c>
      <c r="BD223" s="268">
        <v>1.4255055555452742E-2</v>
      </c>
      <c r="BE223" s="268">
        <v>1.4255055555452742E-2</v>
      </c>
      <c r="BF223" s="215"/>
      <c r="BG223" s="215">
        <v>570</v>
      </c>
      <c r="BH223" s="268">
        <v>1.4255055555452742E-2</v>
      </c>
      <c r="BI223" s="268">
        <v>1.4255055555452742E-2</v>
      </c>
      <c r="BJ223" s="215">
        <f t="shared" si="187"/>
        <v>39985.813999999998</v>
      </c>
      <c r="BK223" s="215">
        <v>570</v>
      </c>
      <c r="BL223" s="268">
        <f>BK223/$D223</f>
        <v>1.4255055555452742E-2</v>
      </c>
      <c r="BM223" s="268">
        <f t="shared" si="191"/>
        <v>1.4255055555452742E-2</v>
      </c>
      <c r="BN223" s="205">
        <f t="shared" si="180"/>
        <v>570</v>
      </c>
      <c r="BO223" s="205"/>
      <c r="BP223" s="245">
        <v>0</v>
      </c>
      <c r="BQ223" s="258">
        <f t="shared" si="192"/>
        <v>0</v>
      </c>
      <c r="BR223" s="245">
        <v>0</v>
      </c>
      <c r="BS223" s="258">
        <f>BR223/$D223</f>
        <v>0</v>
      </c>
      <c r="BT223" s="245">
        <v>0</v>
      </c>
      <c r="BU223" s="258">
        <f>BT223/$D223</f>
        <v>0</v>
      </c>
      <c r="BV223" s="245">
        <v>0</v>
      </c>
      <c r="BW223" s="258">
        <f>BV223/$D223</f>
        <v>0</v>
      </c>
      <c r="BX223" s="245">
        <v>1000</v>
      </c>
      <c r="BY223" s="258">
        <f>BX223/$D223</f>
        <v>2.5008869395531125E-2</v>
      </c>
      <c r="BZ223" s="245">
        <f>BX223+3400</f>
        <v>4400</v>
      </c>
      <c r="CA223" s="258">
        <f>BZ223/$D223</f>
        <v>0.11003902534033695</v>
      </c>
      <c r="CB223" s="245">
        <f>BZ223+4400</f>
        <v>8800</v>
      </c>
      <c r="CC223" s="258">
        <f>CB223/$D223</f>
        <v>0.2200780506806739</v>
      </c>
      <c r="CD223" s="245">
        <f>CB223+4400</f>
        <v>13200</v>
      </c>
      <c r="CE223" s="258">
        <f>CD223/$D223</f>
        <v>0.33011707602101087</v>
      </c>
      <c r="CF223" s="245">
        <f>CD223+4400</f>
        <v>17600</v>
      </c>
      <c r="CG223" s="258">
        <f>CF223/$D223</f>
        <v>0.44015610136134781</v>
      </c>
      <c r="CH223" s="245">
        <f>CF223+4400</f>
        <v>22000</v>
      </c>
      <c r="CI223" s="258">
        <f>CH223/$D223</f>
        <v>0.5501951267016848</v>
      </c>
      <c r="CJ223" s="245">
        <f>CH223+4400</f>
        <v>26400</v>
      </c>
      <c r="CK223" s="258">
        <f>CJ223/$D223</f>
        <v>0.66023415204202174</v>
      </c>
      <c r="CL223" s="245">
        <f>CJ223+7000</f>
        <v>33400</v>
      </c>
      <c r="CM223" s="258">
        <f>CL223/$D223</f>
        <v>0.83529623781073958</v>
      </c>
      <c r="CN223" s="245">
        <f>E223</f>
        <v>39985.813999999998</v>
      </c>
      <c r="CO223" s="258">
        <f>CN223/$D223</f>
        <v>1</v>
      </c>
      <c r="CP223" s="213" t="str">
        <f t="shared" si="193"/>
        <v>Không đạt</v>
      </c>
      <c r="CQ223" s="213" t="str">
        <f t="shared" si="194"/>
        <v>Không đạt</v>
      </c>
      <c r="CR223" s="192"/>
      <c r="CS223" s="192"/>
      <c r="CT223" s="192"/>
      <c r="CU223" s="163"/>
      <c r="CV223" s="232"/>
      <c r="CW223" s="195"/>
      <c r="CX223" s="196"/>
      <c r="CY223" s="196"/>
      <c r="CZ223" s="197"/>
      <c r="DA223" s="196"/>
      <c r="DB223" s="196"/>
      <c r="DC223" s="196"/>
      <c r="DE223" s="199"/>
      <c r="DF223" s="200"/>
      <c r="DG223" s="181"/>
    </row>
    <row r="224" spans="1:111" s="255" customFormat="1" hidden="1" outlineLevel="1" x14ac:dyDescent="0.25">
      <c r="A224" s="191" t="s">
        <v>29</v>
      </c>
      <c r="B224" s="210" t="s">
        <v>157</v>
      </c>
      <c r="C224" s="210"/>
      <c r="D224" s="189">
        <f>D226+D225</f>
        <v>2839</v>
      </c>
      <c r="E224" s="189">
        <f t="shared" ref="E224:M224" si="215">E226+E225</f>
        <v>0</v>
      </c>
      <c r="F224" s="189">
        <f t="shared" si="215"/>
        <v>2839</v>
      </c>
      <c r="G224" s="189">
        <f t="shared" si="215"/>
        <v>2839</v>
      </c>
      <c r="H224" s="189">
        <f t="shared" si="215"/>
        <v>0</v>
      </c>
      <c r="I224" s="189">
        <f t="shared" si="215"/>
        <v>0</v>
      </c>
      <c r="J224" s="189">
        <f t="shared" si="215"/>
        <v>0</v>
      </c>
      <c r="K224" s="189">
        <f t="shared" si="215"/>
        <v>0</v>
      </c>
      <c r="L224" s="189">
        <f t="shared" si="215"/>
        <v>0</v>
      </c>
      <c r="M224" s="189">
        <f t="shared" si="215"/>
        <v>0</v>
      </c>
      <c r="N224" s="231"/>
      <c r="O224" s="188">
        <f t="shared" si="190"/>
        <v>2839</v>
      </c>
      <c r="P224" s="188">
        <v>27078.295252</v>
      </c>
      <c r="Q224" s="186">
        <f t="shared" si="186"/>
        <v>9.5379694441704821</v>
      </c>
      <c r="R224" s="189">
        <v>0</v>
      </c>
      <c r="S224" s="185"/>
      <c r="T224" s="185" t="e">
        <v>#DIV/0!</v>
      </c>
      <c r="U224" s="189">
        <v>0</v>
      </c>
      <c r="V224" s="185"/>
      <c r="W224" s="185" t="e">
        <v>#DIV/0!</v>
      </c>
      <c r="X224" s="189">
        <v>0</v>
      </c>
      <c r="Y224" s="185"/>
      <c r="Z224" s="185" t="e">
        <v>#DIV/0!</v>
      </c>
      <c r="AA224" s="189">
        <v>0</v>
      </c>
      <c r="AB224" s="185"/>
      <c r="AC224" s="185" t="e">
        <v>#DIV/0!</v>
      </c>
      <c r="AD224" s="189">
        <v>0</v>
      </c>
      <c r="AE224" s="185"/>
      <c r="AF224" s="185" t="e">
        <v>#DIV/0!</v>
      </c>
      <c r="AG224" s="189">
        <v>0</v>
      </c>
      <c r="AH224" s="185"/>
      <c r="AI224" s="185" t="e">
        <v>#DIV/0!</v>
      </c>
      <c r="AJ224" s="188">
        <v>0</v>
      </c>
      <c r="AK224" s="185"/>
      <c r="AL224" s="185" t="e">
        <v>#DIV/0!</v>
      </c>
      <c r="AM224" s="189">
        <v>0</v>
      </c>
      <c r="AN224" s="185"/>
      <c r="AO224" s="185" t="e">
        <v>#DIV/0!</v>
      </c>
      <c r="AP224" s="185"/>
      <c r="AQ224" s="189">
        <v>0</v>
      </c>
      <c r="AR224" s="185"/>
      <c r="AS224" s="185" t="e">
        <v>#DIV/0!</v>
      </c>
      <c r="AT224" s="189">
        <v>0</v>
      </c>
      <c r="AU224" s="185"/>
      <c r="AV224" s="185" t="e">
        <v>#DIV/0!</v>
      </c>
      <c r="AW224" s="185"/>
      <c r="AX224" s="185"/>
      <c r="AY224" s="185"/>
      <c r="AZ224" s="185"/>
      <c r="BA224" s="185"/>
      <c r="BB224" s="185"/>
      <c r="BC224" s="189">
        <f t="shared" ref="BC224" si="216">BC226+BC225</f>
        <v>0</v>
      </c>
      <c r="BD224" s="185"/>
      <c r="BE224" s="185" t="e">
        <v>#DIV/0!</v>
      </c>
      <c r="BF224" s="189"/>
      <c r="BG224" s="189">
        <v>2839</v>
      </c>
      <c r="BH224" s="185">
        <v>1</v>
      </c>
      <c r="BI224" s="185">
        <v>1</v>
      </c>
      <c r="BJ224" s="189">
        <f t="shared" si="187"/>
        <v>2697.0499999999997</v>
      </c>
      <c r="BK224" s="189">
        <f t="shared" ref="BK224" si="217">BK226+BK225</f>
        <v>2839</v>
      </c>
      <c r="BL224" s="185">
        <f t="shared" ref="BL224:BL225" si="218">BK224/$D224</f>
        <v>1</v>
      </c>
      <c r="BM224" s="185">
        <f>BK224/$D224</f>
        <v>1</v>
      </c>
      <c r="BN224" s="205">
        <f t="shared" si="180"/>
        <v>2839</v>
      </c>
      <c r="BO224" s="205"/>
      <c r="BP224" s="189">
        <f>BP226</f>
        <v>0</v>
      </c>
      <c r="BQ224" s="186"/>
      <c r="BR224" s="189"/>
      <c r="BS224" s="186"/>
      <c r="BT224" s="189"/>
      <c r="BU224" s="186"/>
      <c r="BV224" s="189"/>
      <c r="BW224" s="186"/>
      <c r="BX224" s="189"/>
      <c r="BY224" s="186"/>
      <c r="BZ224" s="189"/>
      <c r="CA224" s="186"/>
      <c r="CB224" s="189"/>
      <c r="CC224" s="186"/>
      <c r="CD224" s="189"/>
      <c r="CE224" s="186"/>
      <c r="CF224" s="189"/>
      <c r="CG224" s="186"/>
      <c r="CH224" s="189"/>
      <c r="CI224" s="186"/>
      <c r="CJ224" s="189"/>
      <c r="CK224" s="186"/>
      <c r="CL224" s="189"/>
      <c r="CM224" s="186"/>
      <c r="CN224" s="189"/>
      <c r="CO224" s="186"/>
      <c r="CP224" s="213" t="str">
        <f t="shared" si="193"/>
        <v>Đạt</v>
      </c>
      <c r="CQ224" s="213" t="str">
        <f t="shared" si="194"/>
        <v>Đạt</v>
      </c>
      <c r="CR224" s="213"/>
      <c r="CS224" s="213"/>
      <c r="CT224" s="231"/>
      <c r="CU224" s="163"/>
      <c r="CV224" s="252"/>
      <c r="CW224" s="253"/>
      <c r="CX224" s="254"/>
      <c r="CY224" s="254"/>
      <c r="CZ224" s="198"/>
      <c r="DA224" s="254"/>
      <c r="DB224" s="254"/>
      <c r="DC224" s="254"/>
      <c r="DE224" s="199"/>
      <c r="DF224" s="200"/>
      <c r="DG224" s="181"/>
    </row>
    <row r="225" spans="1:111" s="255" customFormat="1" hidden="1" outlineLevel="1" x14ac:dyDescent="0.25">
      <c r="A225" s="191" t="s">
        <v>34</v>
      </c>
      <c r="B225" s="210" t="s">
        <v>154</v>
      </c>
      <c r="C225" s="210"/>
      <c r="D225" s="188">
        <f>E225+F225</f>
        <v>2839</v>
      </c>
      <c r="E225" s="189"/>
      <c r="F225" s="188">
        <f>G225+H225+K225+M225</f>
        <v>2839</v>
      </c>
      <c r="G225" s="189">
        <v>2839</v>
      </c>
      <c r="H225" s="189"/>
      <c r="I225" s="188"/>
      <c r="J225" s="188"/>
      <c r="K225" s="189"/>
      <c r="L225" s="188"/>
      <c r="M225" s="231"/>
      <c r="N225" s="231"/>
      <c r="O225" s="188"/>
      <c r="P225" s="188"/>
      <c r="Q225" s="186"/>
      <c r="R225" s="189"/>
      <c r="S225" s="185"/>
      <c r="T225" s="185"/>
      <c r="U225" s="189"/>
      <c r="V225" s="185"/>
      <c r="W225" s="185"/>
      <c r="X225" s="189"/>
      <c r="Y225" s="185"/>
      <c r="Z225" s="185"/>
      <c r="AA225" s="189"/>
      <c r="AB225" s="185"/>
      <c r="AC225" s="185"/>
      <c r="AD225" s="189"/>
      <c r="AE225" s="185"/>
      <c r="AF225" s="185"/>
      <c r="AG225" s="189"/>
      <c r="AH225" s="185"/>
      <c r="AI225" s="185"/>
      <c r="AJ225" s="188"/>
      <c r="AK225" s="185"/>
      <c r="AL225" s="185"/>
      <c r="AM225" s="189"/>
      <c r="AN225" s="185"/>
      <c r="AO225" s="185"/>
      <c r="AP225" s="185"/>
      <c r="AQ225" s="189"/>
      <c r="AR225" s="185"/>
      <c r="AS225" s="185"/>
      <c r="AT225" s="189"/>
      <c r="AU225" s="185"/>
      <c r="AV225" s="185"/>
      <c r="AW225" s="185"/>
      <c r="AX225" s="185"/>
      <c r="AY225" s="185"/>
      <c r="AZ225" s="185"/>
      <c r="BA225" s="185"/>
      <c r="BB225" s="185"/>
      <c r="BC225" s="189"/>
      <c r="BD225" s="185"/>
      <c r="BE225" s="185"/>
      <c r="BF225" s="189"/>
      <c r="BG225" s="189">
        <v>2839</v>
      </c>
      <c r="BH225" s="185">
        <v>1</v>
      </c>
      <c r="BI225" s="185">
        <v>1</v>
      </c>
      <c r="BJ225" s="189">
        <f t="shared" si="187"/>
        <v>2697.0499999999997</v>
      </c>
      <c r="BK225" s="189">
        <v>2839</v>
      </c>
      <c r="BL225" s="185">
        <f t="shared" si="218"/>
        <v>1</v>
      </c>
      <c r="BM225" s="185">
        <f>BK225/$D225</f>
        <v>1</v>
      </c>
      <c r="BN225" s="185">
        <f t="shared" ref="BN225" si="219">BM225/$D225</f>
        <v>3.5223670306445932E-4</v>
      </c>
      <c r="BO225" s="185"/>
      <c r="BP225" s="185">
        <f t="shared" ref="BP225" si="220">BN225/$D225</f>
        <v>1.2407069498572009E-7</v>
      </c>
      <c r="BQ225" s="185">
        <f t="shared" ref="BQ225:CO225" si="221">BP225/$D225</f>
        <v>4.370225254868619E-11</v>
      </c>
      <c r="BR225" s="185">
        <f t="shared" si="221"/>
        <v>1.5393537354239588E-14</v>
      </c>
      <c r="BS225" s="185">
        <f t="shared" si="221"/>
        <v>5.4221688461569526E-18</v>
      </c>
      <c r="BT225" s="185">
        <f t="shared" si="221"/>
        <v>1.9098868778291485E-21</v>
      </c>
      <c r="BU225" s="185">
        <f t="shared" si="221"/>
        <v>6.727322570726131E-25</v>
      </c>
      <c r="BV225" s="185">
        <f t="shared" si="221"/>
        <v>2.3696099227636954E-28</v>
      </c>
      <c r="BW225" s="185">
        <f t="shared" si="221"/>
        <v>8.3466358674311218E-32</v>
      </c>
      <c r="BX225" s="185">
        <f t="shared" si="221"/>
        <v>2.9399914996235017E-35</v>
      </c>
      <c r="BY225" s="185">
        <f t="shared" si="221"/>
        <v>1.0355729128649178E-38</v>
      </c>
      <c r="BZ225" s="185">
        <f t="shared" si="221"/>
        <v>3.6476678861039726E-42</v>
      </c>
      <c r="CA225" s="185">
        <f t="shared" si="221"/>
        <v>1.284842510075369E-45</v>
      </c>
      <c r="CB225" s="185">
        <f t="shared" si="221"/>
        <v>4.5256868970601236E-49</v>
      </c>
      <c r="CC225" s="185">
        <f t="shared" si="221"/>
        <v>1.594113031722481E-52</v>
      </c>
      <c r="CD225" s="185">
        <f t="shared" si="221"/>
        <v>5.6150511860601654E-56</v>
      </c>
      <c r="CE225" s="185">
        <f t="shared" si="221"/>
        <v>1.9778271173160145E-59</v>
      </c>
      <c r="CF225" s="185">
        <f t="shared" si="221"/>
        <v>6.9666330303487651E-63</v>
      </c>
      <c r="CG225" s="185">
        <f t="shared" si="221"/>
        <v>2.4539038500700123E-66</v>
      </c>
      <c r="CH225" s="185">
        <f t="shared" si="221"/>
        <v>8.6435500178584444E-70</v>
      </c>
      <c r="CI225" s="185">
        <f t="shared" si="221"/>
        <v>3.0445755610632067E-73</v>
      </c>
      <c r="CJ225" s="185">
        <f t="shared" si="221"/>
        <v>1.0724112578595304E-76</v>
      </c>
      <c r="CK225" s="185">
        <f t="shared" si="221"/>
        <v>3.7774260579765075E-80</v>
      </c>
      <c r="CL225" s="185">
        <f t="shared" si="221"/>
        <v>1.3305481007314222E-83</v>
      </c>
      <c r="CM225" s="185">
        <f t="shared" si="221"/>
        <v>4.6866787627031423E-87</v>
      </c>
      <c r="CN225" s="185">
        <f t="shared" si="221"/>
        <v>1.6508202756967742E-90</v>
      </c>
      <c r="CO225" s="185">
        <f t="shared" si="221"/>
        <v>5.8147949126339349E-94</v>
      </c>
      <c r="CP225" s="213" t="str">
        <f t="shared" si="193"/>
        <v>Đạt</v>
      </c>
      <c r="CQ225" s="213" t="str">
        <f t="shared" si="194"/>
        <v>Đạt</v>
      </c>
      <c r="CR225" s="185"/>
      <c r="CS225" s="213"/>
      <c r="CT225" s="231"/>
      <c r="CU225" s="163"/>
      <c r="CV225" s="252"/>
      <c r="CW225" s="253"/>
      <c r="CX225" s="254"/>
      <c r="CY225" s="254"/>
      <c r="CZ225" s="198"/>
      <c r="DA225" s="254"/>
      <c r="DB225" s="254"/>
      <c r="DC225" s="254"/>
      <c r="DE225" s="199"/>
      <c r="DF225" s="200"/>
      <c r="DG225" s="181"/>
    </row>
    <row r="226" spans="1:111" hidden="1" outlineLevel="1" x14ac:dyDescent="0.25">
      <c r="A226" s="256" t="s">
        <v>34</v>
      </c>
      <c r="B226" s="210" t="s">
        <v>335</v>
      </c>
      <c r="C226" s="210"/>
      <c r="D226" s="214">
        <f t="shared" ref="D226:I226" si="222">D227</f>
        <v>0</v>
      </c>
      <c r="E226" s="214">
        <f t="shared" si="222"/>
        <v>0</v>
      </c>
      <c r="F226" s="214">
        <f t="shared" si="222"/>
        <v>0</v>
      </c>
      <c r="G226" s="214">
        <f t="shared" si="222"/>
        <v>0</v>
      </c>
      <c r="H226" s="214">
        <f t="shared" si="222"/>
        <v>0</v>
      </c>
      <c r="I226" s="214">
        <f t="shared" si="222"/>
        <v>0</v>
      </c>
      <c r="J226" s="214"/>
      <c r="K226" s="214">
        <f>K227</f>
        <v>0</v>
      </c>
      <c r="L226" s="214">
        <f>L227</f>
        <v>0</v>
      </c>
      <c r="M226" s="223"/>
      <c r="N226" s="223"/>
      <c r="O226" s="214">
        <f t="shared" si="190"/>
        <v>0</v>
      </c>
      <c r="P226" s="214">
        <v>10584.202748</v>
      </c>
      <c r="Q226" s="258" t="e">
        <f t="shared" si="186"/>
        <v>#DIV/0!</v>
      </c>
      <c r="R226" s="214">
        <v>0</v>
      </c>
      <c r="S226" s="268"/>
      <c r="T226" s="268" t="e">
        <v>#DIV/0!</v>
      </c>
      <c r="U226" s="214">
        <v>0</v>
      </c>
      <c r="V226" s="268"/>
      <c r="W226" s="268" t="e">
        <v>#DIV/0!</v>
      </c>
      <c r="X226" s="214">
        <v>0</v>
      </c>
      <c r="Y226" s="268"/>
      <c r="Z226" s="268" t="e">
        <v>#DIV/0!</v>
      </c>
      <c r="AA226" s="214">
        <v>0</v>
      </c>
      <c r="AB226" s="268"/>
      <c r="AC226" s="268" t="e">
        <v>#DIV/0!</v>
      </c>
      <c r="AD226" s="214">
        <v>0</v>
      </c>
      <c r="AE226" s="268"/>
      <c r="AF226" s="268" t="e">
        <v>#DIV/0!</v>
      </c>
      <c r="AG226" s="214">
        <v>0</v>
      </c>
      <c r="AH226" s="268"/>
      <c r="AI226" s="268" t="e">
        <v>#DIV/0!</v>
      </c>
      <c r="AJ226" s="272">
        <v>0</v>
      </c>
      <c r="AK226" s="268"/>
      <c r="AL226" s="268" t="e">
        <v>#DIV/0!</v>
      </c>
      <c r="AM226" s="214">
        <v>0</v>
      </c>
      <c r="AN226" s="268"/>
      <c r="AO226" s="268" t="e">
        <v>#DIV/0!</v>
      </c>
      <c r="AP226" s="268"/>
      <c r="AQ226" s="214">
        <v>0</v>
      </c>
      <c r="AR226" s="268"/>
      <c r="AS226" s="268" t="e">
        <v>#DIV/0!</v>
      </c>
      <c r="AT226" s="214">
        <v>0</v>
      </c>
      <c r="AU226" s="268"/>
      <c r="AV226" s="268" t="e">
        <v>#DIV/0!</v>
      </c>
      <c r="AW226" s="268"/>
      <c r="AX226" s="268"/>
      <c r="AY226" s="268"/>
      <c r="AZ226" s="268"/>
      <c r="BA226" s="268"/>
      <c r="BB226" s="268"/>
      <c r="BC226" s="214">
        <v>0</v>
      </c>
      <c r="BD226" s="268"/>
      <c r="BE226" s="268" t="e">
        <v>#DIV/0!</v>
      </c>
      <c r="BF226" s="214"/>
      <c r="BG226" s="214">
        <v>0</v>
      </c>
      <c r="BH226" s="268"/>
      <c r="BI226" s="268" t="e">
        <v>#DIV/0!</v>
      </c>
      <c r="BJ226" s="214">
        <f t="shared" si="187"/>
        <v>0</v>
      </c>
      <c r="BK226" s="214">
        <f>BK227</f>
        <v>0</v>
      </c>
      <c r="BL226" s="268"/>
      <c r="BM226" s="268" t="e">
        <f t="shared" si="191"/>
        <v>#DIV/0!</v>
      </c>
      <c r="BN226" s="205">
        <f t="shared" si="180"/>
        <v>0</v>
      </c>
      <c r="BO226" s="205"/>
      <c r="BP226" s="245">
        <f>BP227</f>
        <v>0</v>
      </c>
      <c r="BQ226" s="258"/>
      <c r="BR226" s="245"/>
      <c r="BS226" s="258"/>
      <c r="BT226" s="245"/>
      <c r="BU226" s="258"/>
      <c r="BV226" s="245"/>
      <c r="BW226" s="258"/>
      <c r="BX226" s="245"/>
      <c r="BY226" s="258"/>
      <c r="BZ226" s="245"/>
      <c r="CA226" s="258"/>
      <c r="CB226" s="245"/>
      <c r="CC226" s="258"/>
      <c r="CD226" s="245"/>
      <c r="CE226" s="258"/>
      <c r="CF226" s="245"/>
      <c r="CG226" s="258"/>
      <c r="CH226" s="245"/>
      <c r="CI226" s="258"/>
      <c r="CJ226" s="245"/>
      <c r="CK226" s="258"/>
      <c r="CL226" s="245"/>
      <c r="CM226" s="258"/>
      <c r="CN226" s="245"/>
      <c r="CO226" s="258"/>
      <c r="CP226" s="213" t="e">
        <f t="shared" si="193"/>
        <v>#DIV/0!</v>
      </c>
      <c r="CQ226" s="213" t="e">
        <f t="shared" si="194"/>
        <v>#DIV/0!</v>
      </c>
      <c r="CR226" s="192"/>
      <c r="CS226" s="192"/>
      <c r="CT226" s="223"/>
      <c r="CU226" s="163"/>
      <c r="CW226" s="195"/>
      <c r="CX226" s="196"/>
      <c r="CY226" s="196"/>
      <c r="CZ226" s="197"/>
      <c r="DA226" s="196"/>
      <c r="DB226" s="196"/>
      <c r="DC226" s="196"/>
      <c r="DE226" s="199"/>
      <c r="DF226" s="200"/>
      <c r="DG226" s="181"/>
    </row>
    <row r="227" spans="1:111" s="285" customFormat="1" ht="38.25" hidden="1" outlineLevel="1" x14ac:dyDescent="0.25">
      <c r="A227" s="273">
        <f>MAX(A223:B226)+1</f>
        <v>2</v>
      </c>
      <c r="B227" s="274" t="s">
        <v>364</v>
      </c>
      <c r="C227" s="274"/>
      <c r="D227" s="275">
        <f>E227+F227</f>
        <v>0</v>
      </c>
      <c r="E227" s="267"/>
      <c r="F227" s="275">
        <f>G227+H227+K227+M227</f>
        <v>0</v>
      </c>
      <c r="G227" s="276"/>
      <c r="H227" s="272"/>
      <c r="I227" s="277"/>
      <c r="J227" s="277"/>
      <c r="K227" s="272"/>
      <c r="L227" s="277"/>
      <c r="M227" s="272"/>
      <c r="N227" s="272"/>
      <c r="O227" s="272">
        <f t="shared" si="190"/>
        <v>0</v>
      </c>
      <c r="P227" s="272">
        <v>0</v>
      </c>
      <c r="Q227" s="278" t="e">
        <f t="shared" si="186"/>
        <v>#DIV/0!</v>
      </c>
      <c r="R227" s="272"/>
      <c r="S227" s="279"/>
      <c r="T227" s="279" t="e">
        <v>#DIV/0!</v>
      </c>
      <c r="U227" s="272"/>
      <c r="V227" s="279"/>
      <c r="W227" s="279" t="e">
        <v>#DIV/0!</v>
      </c>
      <c r="X227" s="272"/>
      <c r="Y227" s="279"/>
      <c r="Z227" s="279" t="e">
        <v>#DIV/0!</v>
      </c>
      <c r="AA227" s="272"/>
      <c r="AB227" s="279"/>
      <c r="AC227" s="279" t="e">
        <v>#DIV/0!</v>
      </c>
      <c r="AD227" s="272"/>
      <c r="AE227" s="279"/>
      <c r="AF227" s="279" t="e">
        <v>#DIV/0!</v>
      </c>
      <c r="AG227" s="272"/>
      <c r="AH227" s="279"/>
      <c r="AI227" s="279" t="e">
        <v>#DIV/0!</v>
      </c>
      <c r="AJ227" s="189"/>
      <c r="AK227" s="279"/>
      <c r="AL227" s="279" t="e">
        <v>#DIV/0!</v>
      </c>
      <c r="AM227" s="272"/>
      <c r="AN227" s="279"/>
      <c r="AO227" s="279" t="e">
        <v>#DIV/0!</v>
      </c>
      <c r="AP227" s="279"/>
      <c r="AQ227" s="272"/>
      <c r="AR227" s="279"/>
      <c r="AS227" s="279" t="e">
        <v>#DIV/0!</v>
      </c>
      <c r="AT227" s="272"/>
      <c r="AU227" s="279"/>
      <c r="AV227" s="279" t="e">
        <v>#DIV/0!</v>
      </c>
      <c r="AW227" s="279"/>
      <c r="AX227" s="279"/>
      <c r="AY227" s="279"/>
      <c r="AZ227" s="279"/>
      <c r="BA227" s="279"/>
      <c r="BB227" s="279"/>
      <c r="BC227" s="272"/>
      <c r="BD227" s="279"/>
      <c r="BE227" s="279" t="e">
        <v>#DIV/0!</v>
      </c>
      <c r="BF227" s="272"/>
      <c r="BG227" s="272"/>
      <c r="BH227" s="279"/>
      <c r="BI227" s="279" t="e">
        <v>#DIV/0!</v>
      </c>
      <c r="BJ227" s="272">
        <f t="shared" si="187"/>
        <v>0</v>
      </c>
      <c r="BK227" s="272"/>
      <c r="BL227" s="279"/>
      <c r="BM227" s="279" t="e">
        <f t="shared" si="191"/>
        <v>#DIV/0!</v>
      </c>
      <c r="BN227" s="205">
        <f t="shared" si="180"/>
        <v>0</v>
      </c>
      <c r="BO227" s="205"/>
      <c r="BP227" s="280"/>
      <c r="BQ227" s="278"/>
      <c r="BR227" s="280"/>
      <c r="BS227" s="278"/>
      <c r="BT227" s="280"/>
      <c r="BU227" s="278"/>
      <c r="BV227" s="280"/>
      <c r="BW227" s="278"/>
      <c r="BX227" s="280"/>
      <c r="BY227" s="278"/>
      <c r="BZ227" s="280"/>
      <c r="CA227" s="278"/>
      <c r="CB227" s="280"/>
      <c r="CC227" s="278"/>
      <c r="CD227" s="280"/>
      <c r="CE227" s="278"/>
      <c r="CF227" s="280"/>
      <c r="CG227" s="278"/>
      <c r="CH227" s="280"/>
      <c r="CI227" s="278"/>
      <c r="CJ227" s="280"/>
      <c r="CK227" s="278"/>
      <c r="CL227" s="280"/>
      <c r="CM227" s="278"/>
      <c r="CN227" s="280"/>
      <c r="CO227" s="278"/>
      <c r="CP227" s="213" t="e">
        <f t="shared" si="193"/>
        <v>#DIV/0!</v>
      </c>
      <c r="CQ227" s="213" t="e">
        <f t="shared" si="194"/>
        <v>#DIV/0!</v>
      </c>
      <c r="CR227" s="273"/>
      <c r="CS227" s="273"/>
      <c r="CT227" s="272"/>
      <c r="CU227" s="163"/>
      <c r="CV227" s="281"/>
      <c r="CW227" s="282"/>
      <c r="CX227" s="283"/>
      <c r="CY227" s="283"/>
      <c r="CZ227" s="284"/>
      <c r="DA227" s="283"/>
      <c r="DB227" s="283"/>
      <c r="DC227" s="283"/>
      <c r="DE227" s="286"/>
      <c r="DF227" s="287"/>
      <c r="DG227" s="181"/>
    </row>
    <row r="228" spans="1:111" ht="26.45" hidden="1" customHeight="1" outlineLevel="1" x14ac:dyDescent="0.25">
      <c r="A228" s="191" t="s">
        <v>29</v>
      </c>
      <c r="B228" s="210" t="s">
        <v>358</v>
      </c>
      <c r="C228" s="210"/>
      <c r="D228" s="189">
        <f t="shared" ref="D228:I228" si="223">+D229+D231</f>
        <v>62849</v>
      </c>
      <c r="E228" s="189">
        <f t="shared" si="223"/>
        <v>41168</v>
      </c>
      <c r="F228" s="189">
        <f t="shared" si="223"/>
        <v>21681</v>
      </c>
      <c r="G228" s="189">
        <f t="shared" si="223"/>
        <v>21681</v>
      </c>
      <c r="H228" s="189">
        <f t="shared" si="223"/>
        <v>0</v>
      </c>
      <c r="I228" s="239">
        <f t="shared" si="223"/>
        <v>0</v>
      </c>
      <c r="J228" s="239"/>
      <c r="K228" s="189">
        <f>+K229+K231</f>
        <v>0</v>
      </c>
      <c r="L228" s="239">
        <f>+L229+L231</f>
        <v>0</v>
      </c>
      <c r="M228" s="223"/>
      <c r="N228" s="223"/>
      <c r="O228" s="239">
        <f t="shared" si="190"/>
        <v>21681</v>
      </c>
      <c r="P228" s="239">
        <v>0</v>
      </c>
      <c r="Q228" s="186">
        <f t="shared" si="186"/>
        <v>0</v>
      </c>
      <c r="R228" s="189">
        <v>3745.926066</v>
      </c>
      <c r="S228" s="185">
        <v>5.9601999490843133E-2</v>
      </c>
      <c r="T228" s="185">
        <v>6.0648087078512977E-2</v>
      </c>
      <c r="U228" s="189">
        <v>3745.926066</v>
      </c>
      <c r="V228" s="185">
        <v>5.9601999490843133E-2</v>
      </c>
      <c r="W228" s="185">
        <v>6.0648087078512977E-2</v>
      </c>
      <c r="X228" s="189">
        <v>3745.926066</v>
      </c>
      <c r="Y228" s="185">
        <v>5.9601999490843133E-2</v>
      </c>
      <c r="Z228" s="185">
        <v>6.0648087078512977E-2</v>
      </c>
      <c r="AA228" s="189">
        <v>3745.926066</v>
      </c>
      <c r="AB228" s="185">
        <v>5.9601999490843133E-2</v>
      </c>
      <c r="AC228" s="185">
        <v>6.0648087078512977E-2</v>
      </c>
      <c r="AD228" s="189">
        <v>3745.926066</v>
      </c>
      <c r="AE228" s="185">
        <v>5.9601999490843133E-2</v>
      </c>
      <c r="AF228" s="185">
        <v>6.0648087078512977E-2</v>
      </c>
      <c r="AG228" s="189">
        <v>3745.926066</v>
      </c>
      <c r="AH228" s="185">
        <v>5.9601999490843133E-2</v>
      </c>
      <c r="AI228" s="185">
        <v>6.0648087078512977E-2</v>
      </c>
      <c r="AJ228" s="189">
        <v>3745.926066</v>
      </c>
      <c r="AK228" s="185">
        <v>5.9601999490843133E-2</v>
      </c>
      <c r="AL228" s="185">
        <v>6.0648087078512977E-2</v>
      </c>
      <c r="AM228" s="189">
        <v>3745.926066</v>
      </c>
      <c r="AN228" s="185">
        <v>5.9601999490843133E-2</v>
      </c>
      <c r="AO228" s="185">
        <v>6.0648087078512977E-2</v>
      </c>
      <c r="AP228" s="185"/>
      <c r="AQ228" s="189">
        <v>3926.1298120000001</v>
      </c>
      <c r="AR228" s="185">
        <v>6.2469248707218893E-2</v>
      </c>
      <c r="AS228" s="185">
        <v>6.3565660006200939E-2</v>
      </c>
      <c r="AT228" s="189">
        <v>3926.1298120000001</v>
      </c>
      <c r="AU228" s="185">
        <v>6.2469248707218893E-2</v>
      </c>
      <c r="AV228" s="185">
        <v>6.3565660006200939E-2</v>
      </c>
      <c r="AW228" s="185"/>
      <c r="AX228" s="185"/>
      <c r="AY228" s="185"/>
      <c r="AZ228" s="185"/>
      <c r="BA228" s="185"/>
      <c r="BB228" s="185"/>
      <c r="BC228" s="189">
        <v>3926.1298120000001</v>
      </c>
      <c r="BD228" s="185">
        <v>6.2469248707218893E-2</v>
      </c>
      <c r="BE228" s="185">
        <v>6.3565660006200939E-2</v>
      </c>
      <c r="BF228" s="189"/>
      <c r="BG228" s="189">
        <v>5921.2816659999999</v>
      </c>
      <c r="BH228" s="185">
        <v>9.4214413371732239E-2</v>
      </c>
      <c r="BI228" s="185">
        <v>9.5867990923654917E-2</v>
      </c>
      <c r="BJ228" s="189">
        <f t="shared" si="187"/>
        <v>61764.95</v>
      </c>
      <c r="BK228" s="189">
        <f>+BK229+BK231</f>
        <v>5921.2816659999999</v>
      </c>
      <c r="BL228" s="185">
        <f t="shared" ref="BL228:BL260" si="224">BK228/$D228</f>
        <v>9.4214413371732239E-2</v>
      </c>
      <c r="BM228" s="185">
        <f t="shared" si="191"/>
        <v>9.5867990923654917E-2</v>
      </c>
      <c r="BN228" s="205">
        <f t="shared" si="180"/>
        <v>2175.3555999999999</v>
      </c>
      <c r="BO228" s="205"/>
      <c r="BP228" s="189">
        <f>+BP229+BP231</f>
        <v>2173.2478449999999</v>
      </c>
      <c r="BQ228" s="186">
        <f t="shared" si="192"/>
        <v>3.457887707043867E-2</v>
      </c>
      <c r="BR228" s="189">
        <f>+BR229+BR231</f>
        <v>4733.307468</v>
      </c>
      <c r="BS228" s="186">
        <f t="shared" ref="BS228:BS259" si="225">BR228/$D228</f>
        <v>7.531237518496714E-2</v>
      </c>
      <c r="BT228" s="189">
        <f>+BT229+BT231</f>
        <v>5962.1007730000001</v>
      </c>
      <c r="BU228" s="186">
        <f t="shared" ref="BU228:BW242" si="226">BT228/$D228</f>
        <v>9.4863892392878166E-2</v>
      </c>
      <c r="BV228" s="189">
        <f>+BV229+BV231</f>
        <v>7000.3850000000002</v>
      </c>
      <c r="BW228" s="186">
        <f t="shared" ref="BW228:BW239" si="227">BV228/$D228</f>
        <v>0.11138419067924708</v>
      </c>
      <c r="BX228" s="189">
        <f>+BX229+BX231</f>
        <v>8305.7849999999999</v>
      </c>
      <c r="BY228" s="186">
        <f t="shared" ref="BY228:BY259" si="228">BX228/$D228</f>
        <v>0.13215460866521345</v>
      </c>
      <c r="BZ228" s="189">
        <f>+BZ229+BZ231</f>
        <v>9320.0450000000001</v>
      </c>
      <c r="CA228" s="186">
        <f t="shared" ref="CA228:CA259" si="229">BZ228/$D228</f>
        <v>0.14829265382106319</v>
      </c>
      <c r="CB228" s="189">
        <f>+CB229+CB231</f>
        <v>9410.0450000000001</v>
      </c>
      <c r="CC228" s="186">
        <f t="shared" ref="CC228:CC259" si="230">CB228/$D228</f>
        <v>0.14972465751245048</v>
      </c>
      <c r="CD228" s="189">
        <f>+CD229+CD231</f>
        <v>10925.045</v>
      </c>
      <c r="CE228" s="186">
        <f t="shared" ref="CE228:CE259" si="231">CD228/$D228</f>
        <v>0.17383005298413659</v>
      </c>
      <c r="CF228" s="189">
        <f>+CF229+CF231</f>
        <v>16793.044999999998</v>
      </c>
      <c r="CG228" s="186">
        <f t="shared" ref="CG228:CG259" si="232">CF228/$D228</f>
        <v>0.26719669366258808</v>
      </c>
      <c r="CH228" s="189">
        <f>+CH229+CH231</f>
        <v>16883.044999999998</v>
      </c>
      <c r="CI228" s="186">
        <f t="shared" ref="CI228:CI259" si="233">CH228/$D228</f>
        <v>0.26862869735397538</v>
      </c>
      <c r="CJ228" s="189">
        <f>+CJ229+CJ231</f>
        <v>17543.044999999998</v>
      </c>
      <c r="CK228" s="186">
        <f t="shared" ref="CK228:CK259" si="234">CJ228/$D228</f>
        <v>0.27913005775748218</v>
      </c>
      <c r="CL228" s="189">
        <f>+CL229+CL231</f>
        <v>44244.6</v>
      </c>
      <c r="CM228" s="186">
        <f t="shared" ref="CM228:CM259" si="235">CL228/$D228</f>
        <v>0.70398256137726933</v>
      </c>
      <c r="CN228" s="189">
        <f>+CN229+CN231</f>
        <v>61764.95</v>
      </c>
      <c r="CO228" s="186">
        <f t="shared" ref="CO228:CO259" si="236">CN228/$D228</f>
        <v>0.98275151553724005</v>
      </c>
      <c r="CP228" s="213" t="str">
        <f t="shared" si="193"/>
        <v>Không đạt</v>
      </c>
      <c r="CQ228" s="213" t="str">
        <f t="shared" si="194"/>
        <v>Không đạt</v>
      </c>
      <c r="CR228" s="192"/>
      <c r="CS228" s="192"/>
      <c r="CT228" s="223"/>
      <c r="CU228" s="163"/>
      <c r="CW228" s="195"/>
      <c r="CX228" s="196"/>
      <c r="CY228" s="196"/>
      <c r="CZ228" s="197"/>
      <c r="DA228" s="196"/>
      <c r="DB228" s="196"/>
      <c r="DC228" s="196"/>
      <c r="DE228" s="199"/>
      <c r="DF228" s="200"/>
      <c r="DG228" s="181"/>
    </row>
    <row r="229" spans="1:111" hidden="1" outlineLevel="1" x14ac:dyDescent="0.25">
      <c r="A229" s="256" t="s">
        <v>34</v>
      </c>
      <c r="B229" s="210" t="s">
        <v>359</v>
      </c>
      <c r="C229" s="210"/>
      <c r="D229" s="189">
        <f t="shared" ref="D229:I229" si="237">+D230</f>
        <v>57349</v>
      </c>
      <c r="E229" s="189">
        <f t="shared" si="237"/>
        <v>41168</v>
      </c>
      <c r="F229" s="189">
        <f t="shared" si="237"/>
        <v>16181</v>
      </c>
      <c r="G229" s="189">
        <f t="shared" si="237"/>
        <v>16181</v>
      </c>
      <c r="H229" s="189">
        <f t="shared" si="237"/>
        <v>0</v>
      </c>
      <c r="I229" s="189">
        <f t="shared" si="237"/>
        <v>0</v>
      </c>
      <c r="J229" s="189"/>
      <c r="K229" s="189">
        <f>+K230</f>
        <v>0</v>
      </c>
      <c r="L229" s="189">
        <f>+L230</f>
        <v>0</v>
      </c>
      <c r="M229" s="223"/>
      <c r="N229" s="223"/>
      <c r="O229" s="189">
        <f t="shared" si="190"/>
        <v>16181</v>
      </c>
      <c r="P229" s="189">
        <v>0</v>
      </c>
      <c r="Q229" s="186">
        <f t="shared" si="186"/>
        <v>0</v>
      </c>
      <c r="R229" s="189">
        <v>2805.7962539999999</v>
      </c>
      <c r="S229" s="185">
        <v>4.8924937732131336E-2</v>
      </c>
      <c r="T229" s="185">
        <v>4.9625021847384015E-2</v>
      </c>
      <c r="U229" s="189">
        <v>2805.7962539999999</v>
      </c>
      <c r="V229" s="185">
        <v>4.8924937732131336E-2</v>
      </c>
      <c r="W229" s="185">
        <v>4.9625021847384015E-2</v>
      </c>
      <c r="X229" s="189">
        <v>2805.7962539999999</v>
      </c>
      <c r="Y229" s="185">
        <v>4.8924937732131336E-2</v>
      </c>
      <c r="Z229" s="185">
        <v>4.9625021847384015E-2</v>
      </c>
      <c r="AA229" s="189">
        <v>2805.7962539999999</v>
      </c>
      <c r="AB229" s="185">
        <v>4.8924937732131336E-2</v>
      </c>
      <c r="AC229" s="185">
        <v>4.9625021847384015E-2</v>
      </c>
      <c r="AD229" s="189">
        <v>2805.7962539999999</v>
      </c>
      <c r="AE229" s="185">
        <v>4.8924937732131336E-2</v>
      </c>
      <c r="AF229" s="185">
        <v>4.9625021847384015E-2</v>
      </c>
      <c r="AG229" s="189">
        <v>2805.7962539999999</v>
      </c>
      <c r="AH229" s="185">
        <v>4.8924937732131336E-2</v>
      </c>
      <c r="AI229" s="185">
        <v>4.9625021847384015E-2</v>
      </c>
      <c r="AJ229" s="288">
        <v>2805.7962539999999</v>
      </c>
      <c r="AK229" s="185">
        <v>4.8924937732131336E-2</v>
      </c>
      <c r="AL229" s="185">
        <v>4.9625021847384015E-2</v>
      </c>
      <c r="AM229" s="189">
        <v>2805.7962539999999</v>
      </c>
      <c r="AN229" s="185">
        <v>4.8924937732131336E-2</v>
      </c>
      <c r="AO229" s="185">
        <v>4.9625021847384015E-2</v>
      </c>
      <c r="AP229" s="185"/>
      <c r="AQ229" s="189">
        <v>2986</v>
      </c>
      <c r="AR229" s="185">
        <v>5.2067167692549127E-2</v>
      </c>
      <c r="AS229" s="185">
        <v>5.2812215079779873E-2</v>
      </c>
      <c r="AT229" s="189">
        <v>2986</v>
      </c>
      <c r="AU229" s="185">
        <v>5.2067167692549127E-2</v>
      </c>
      <c r="AV229" s="185">
        <v>5.2812215079779873E-2</v>
      </c>
      <c r="AW229" s="185"/>
      <c r="AX229" s="185"/>
      <c r="AY229" s="185"/>
      <c r="AZ229" s="185"/>
      <c r="BA229" s="185"/>
      <c r="BB229" s="185"/>
      <c r="BC229" s="189">
        <v>2986</v>
      </c>
      <c r="BD229" s="185">
        <v>5.2067167692549127E-2</v>
      </c>
      <c r="BE229" s="185">
        <v>5.2812215079779873E-2</v>
      </c>
      <c r="BF229" s="189"/>
      <c r="BG229" s="189">
        <v>4981.1518539999997</v>
      </c>
      <c r="BH229" s="185">
        <v>8.685682146157736E-2</v>
      </c>
      <c r="BI229" s="185">
        <v>8.8099686221866133E-2</v>
      </c>
      <c r="BJ229" s="189">
        <f t="shared" si="187"/>
        <v>56539.95</v>
      </c>
      <c r="BK229" s="189">
        <f>+BK230</f>
        <v>4981.1518539999997</v>
      </c>
      <c r="BL229" s="185">
        <f t="shared" si="224"/>
        <v>8.685682146157736E-2</v>
      </c>
      <c r="BM229" s="185">
        <f t="shared" si="191"/>
        <v>8.8099686221866133E-2</v>
      </c>
      <c r="BN229" s="205">
        <f t="shared" si="180"/>
        <v>2175.3555999999999</v>
      </c>
      <c r="BO229" s="205"/>
      <c r="BP229" s="189">
        <f>+BP230</f>
        <v>2173.2478449999999</v>
      </c>
      <c r="BQ229" s="186">
        <f t="shared" si="192"/>
        <v>3.7895130603846618E-2</v>
      </c>
      <c r="BR229" s="189">
        <f>+BR230</f>
        <v>4258.307468</v>
      </c>
      <c r="BS229" s="186">
        <f t="shared" si="225"/>
        <v>7.4252514743064393E-2</v>
      </c>
      <c r="BT229" s="189">
        <f>+BT230</f>
        <v>5487.1007730000001</v>
      </c>
      <c r="BU229" s="186">
        <f t="shared" si="226"/>
        <v>9.5679101170029118E-2</v>
      </c>
      <c r="BV229" s="189">
        <f>+BV230</f>
        <v>6525.3850000000002</v>
      </c>
      <c r="BW229" s="186">
        <f t="shared" si="227"/>
        <v>0.11378376257650526</v>
      </c>
      <c r="BX229" s="189">
        <f>+BX230</f>
        <v>7830.7849999999999</v>
      </c>
      <c r="BY229" s="186">
        <f t="shared" si="228"/>
        <v>0.13654614727371009</v>
      </c>
      <c r="BZ229" s="189">
        <f>+BZ230</f>
        <v>8245.0450000000001</v>
      </c>
      <c r="CA229" s="186">
        <f t="shared" si="229"/>
        <v>0.14376963852900662</v>
      </c>
      <c r="CB229" s="189">
        <f>+CB230</f>
        <v>8335.0450000000001</v>
      </c>
      <c r="CC229" s="186">
        <f t="shared" si="230"/>
        <v>0.14533897713996757</v>
      </c>
      <c r="CD229" s="189">
        <f>+CD230</f>
        <v>8425.0450000000001</v>
      </c>
      <c r="CE229" s="186">
        <f t="shared" si="231"/>
        <v>0.14690831575092853</v>
      </c>
      <c r="CF229" s="189">
        <f>+CF230</f>
        <v>12918.045</v>
      </c>
      <c r="CG229" s="186">
        <f t="shared" si="232"/>
        <v>0.22525318662923505</v>
      </c>
      <c r="CH229" s="189">
        <f>+CH230</f>
        <v>13008.045</v>
      </c>
      <c r="CI229" s="186">
        <f t="shared" si="233"/>
        <v>0.226822525240196</v>
      </c>
      <c r="CJ229" s="189">
        <f>+CJ230</f>
        <v>13098.045</v>
      </c>
      <c r="CK229" s="186">
        <f t="shared" si="234"/>
        <v>0.22839186385115695</v>
      </c>
      <c r="CL229" s="189">
        <f>+CL230</f>
        <v>39199.599999999999</v>
      </c>
      <c r="CM229" s="186">
        <f t="shared" si="235"/>
        <v>0.6835271757136131</v>
      </c>
      <c r="CN229" s="189">
        <f>+CN230</f>
        <v>56539.95</v>
      </c>
      <c r="CO229" s="186">
        <f t="shared" si="236"/>
        <v>0.98589251774224484</v>
      </c>
      <c r="CP229" s="213" t="str">
        <f t="shared" si="193"/>
        <v>Không đạt</v>
      </c>
      <c r="CQ229" s="213" t="str">
        <f t="shared" si="194"/>
        <v>Không đạt</v>
      </c>
      <c r="CR229" s="192"/>
      <c r="CS229" s="192"/>
      <c r="CT229" s="223"/>
      <c r="CU229" s="163"/>
      <c r="CW229" s="195"/>
      <c r="CX229" s="196"/>
      <c r="CY229" s="196"/>
      <c r="CZ229" s="197"/>
      <c r="DA229" s="196"/>
      <c r="DB229" s="196"/>
      <c r="DC229" s="196"/>
      <c r="DE229" s="199"/>
      <c r="DF229" s="200"/>
      <c r="DG229" s="181"/>
    </row>
    <row r="230" spans="1:111" ht="25.5" hidden="1" outlineLevel="1" x14ac:dyDescent="0.25">
      <c r="A230" s="192">
        <f>MAX(A$227:$B229)+1</f>
        <v>3</v>
      </c>
      <c r="B230" s="289" t="s">
        <v>365</v>
      </c>
      <c r="C230" s="289">
        <v>7948810</v>
      </c>
      <c r="D230" s="214">
        <f>E230+F230</f>
        <v>57349</v>
      </c>
      <c r="E230" s="215">
        <v>41168</v>
      </c>
      <c r="F230" s="214">
        <f>G230+H230+K230+M230</f>
        <v>16181</v>
      </c>
      <c r="G230" s="257">
        <v>16181</v>
      </c>
      <c r="H230" s="223"/>
      <c r="I230" s="235"/>
      <c r="J230" s="235"/>
      <c r="K230" s="223"/>
      <c r="L230" s="235"/>
      <c r="M230" s="223"/>
      <c r="N230" s="223"/>
      <c r="O230" s="223">
        <f t="shared" si="190"/>
        <v>16181</v>
      </c>
      <c r="P230" s="223">
        <v>2805</v>
      </c>
      <c r="Q230" s="258">
        <f t="shared" si="186"/>
        <v>4.8911053374949866E-2</v>
      </c>
      <c r="R230" s="223">
        <v>2805.7962539999999</v>
      </c>
      <c r="S230" s="268">
        <v>4.8924937732131336E-2</v>
      </c>
      <c r="T230" s="268">
        <v>4.9625021847384015E-2</v>
      </c>
      <c r="U230" s="223">
        <v>2805.7962539999999</v>
      </c>
      <c r="V230" s="268">
        <v>4.8924937732131336E-2</v>
      </c>
      <c r="W230" s="268">
        <v>4.9625021847384015E-2</v>
      </c>
      <c r="X230" s="223">
        <v>2805.7962539999999</v>
      </c>
      <c r="Y230" s="268">
        <v>4.8924937732131336E-2</v>
      </c>
      <c r="Z230" s="268">
        <v>4.9625021847384015E-2</v>
      </c>
      <c r="AA230" s="223">
        <v>2805.7962539999999</v>
      </c>
      <c r="AB230" s="268">
        <v>4.8924937732131336E-2</v>
      </c>
      <c r="AC230" s="268">
        <v>4.9625021847384015E-2</v>
      </c>
      <c r="AD230" s="223">
        <v>2805.7962539999999</v>
      </c>
      <c r="AE230" s="268">
        <v>4.8924937732131336E-2</v>
      </c>
      <c r="AF230" s="268">
        <v>4.9625021847384015E-2</v>
      </c>
      <c r="AG230" s="288">
        <v>2805.7962539999999</v>
      </c>
      <c r="AH230" s="268">
        <v>4.8924937732131336E-2</v>
      </c>
      <c r="AI230" s="268">
        <v>4.9625021847384015E-2</v>
      </c>
      <c r="AJ230" s="188">
        <v>2805.7962539999999</v>
      </c>
      <c r="AK230" s="268">
        <v>4.8924937732131336E-2</v>
      </c>
      <c r="AL230" s="268">
        <v>4.9625021847384015E-2</v>
      </c>
      <c r="AM230" s="288">
        <v>2805.7962539999999</v>
      </c>
      <c r="AN230" s="268">
        <v>4.8924937732131336E-2</v>
      </c>
      <c r="AO230" s="268">
        <v>4.9625021847384015E-2</v>
      </c>
      <c r="AP230" s="268"/>
      <c r="AQ230" s="271">
        <v>2986</v>
      </c>
      <c r="AR230" s="268">
        <v>5.2067167692549127E-2</v>
      </c>
      <c r="AS230" s="268">
        <v>5.2812215079779873E-2</v>
      </c>
      <c r="AT230" s="271">
        <v>2986</v>
      </c>
      <c r="AU230" s="268">
        <v>5.2067167692549127E-2</v>
      </c>
      <c r="AV230" s="268">
        <v>5.2812215079779873E-2</v>
      </c>
      <c r="AW230" s="268"/>
      <c r="AX230" s="268"/>
      <c r="AY230" s="268"/>
      <c r="AZ230" s="268"/>
      <c r="BA230" s="268"/>
      <c r="BB230" s="268"/>
      <c r="BC230" s="271">
        <v>2986</v>
      </c>
      <c r="BD230" s="268">
        <v>5.2067167692549127E-2</v>
      </c>
      <c r="BE230" s="268">
        <v>5.2812215079779873E-2</v>
      </c>
      <c r="BF230" s="271"/>
      <c r="BG230" s="271">
        <v>4981.1518539999997</v>
      </c>
      <c r="BH230" s="268">
        <v>8.685682146157736E-2</v>
      </c>
      <c r="BI230" s="268">
        <v>8.8099686221866133E-2</v>
      </c>
      <c r="BJ230" s="271">
        <f t="shared" si="187"/>
        <v>56539.95</v>
      </c>
      <c r="BK230" s="271">
        <v>4981.1518539999997</v>
      </c>
      <c r="BL230" s="268">
        <f t="shared" si="224"/>
        <v>8.685682146157736E-2</v>
      </c>
      <c r="BM230" s="268">
        <f t="shared" si="191"/>
        <v>8.8099686221866133E-2</v>
      </c>
      <c r="BN230" s="205">
        <f t="shared" si="180"/>
        <v>2175.3555999999999</v>
      </c>
      <c r="BO230" s="205"/>
      <c r="BP230" s="245">
        <v>2173.2478449999999</v>
      </c>
      <c r="BQ230" s="258">
        <f t="shared" si="192"/>
        <v>3.7895130603846618E-2</v>
      </c>
      <c r="BR230" s="245">
        <v>4258.307468</v>
      </c>
      <c r="BS230" s="258">
        <f t="shared" si="225"/>
        <v>7.4252514743064393E-2</v>
      </c>
      <c r="BT230" s="245">
        <f>4258.307468+1228.793305</f>
        <v>5487.1007730000001</v>
      </c>
      <c r="BU230" s="258">
        <f t="shared" si="226"/>
        <v>9.5679101170029118E-2</v>
      </c>
      <c r="BV230" s="245">
        <f>5478+1047.385</f>
        <v>6525.3850000000002</v>
      </c>
      <c r="BW230" s="258">
        <f t="shared" si="227"/>
        <v>0.11378376257650526</v>
      </c>
      <c r="BX230" s="245">
        <f>BV230+1305.4</f>
        <v>7830.7849999999999</v>
      </c>
      <c r="BY230" s="258">
        <f t="shared" si="228"/>
        <v>0.13654614727371009</v>
      </c>
      <c r="BZ230" s="245">
        <f>BX230+414.26</f>
        <v>8245.0450000000001</v>
      </c>
      <c r="CA230" s="258">
        <f t="shared" si="229"/>
        <v>0.14376963852900662</v>
      </c>
      <c r="CB230" s="245">
        <f>BZ230+90</f>
        <v>8335.0450000000001</v>
      </c>
      <c r="CC230" s="258">
        <f t="shared" si="230"/>
        <v>0.14533897713996757</v>
      </c>
      <c r="CD230" s="245">
        <f>CB230+90</f>
        <v>8425.0450000000001</v>
      </c>
      <c r="CE230" s="258">
        <f t="shared" si="231"/>
        <v>0.14690831575092853</v>
      </c>
      <c r="CF230" s="245">
        <f>CD230+4493</f>
        <v>12918.045</v>
      </c>
      <c r="CG230" s="258">
        <f t="shared" si="232"/>
        <v>0.22525318662923505</v>
      </c>
      <c r="CH230" s="245">
        <f>CF230+90</f>
        <v>13008.045</v>
      </c>
      <c r="CI230" s="258">
        <f t="shared" si="233"/>
        <v>0.226822525240196</v>
      </c>
      <c r="CJ230" s="245">
        <f>CH230+90</f>
        <v>13098.045</v>
      </c>
      <c r="CK230" s="258">
        <f t="shared" si="234"/>
        <v>0.22839186385115695</v>
      </c>
      <c r="CL230" s="245">
        <v>39199.599999999999</v>
      </c>
      <c r="CM230" s="258">
        <f t="shared" si="235"/>
        <v>0.6835271757136131</v>
      </c>
      <c r="CN230" s="245">
        <f>41168+(F230*0.95)</f>
        <v>56539.95</v>
      </c>
      <c r="CO230" s="258">
        <f t="shared" si="236"/>
        <v>0.98589251774224484</v>
      </c>
      <c r="CP230" s="213" t="str">
        <f t="shared" si="193"/>
        <v>Không đạt</v>
      </c>
      <c r="CQ230" s="213" t="str">
        <f t="shared" si="194"/>
        <v>Không đạt</v>
      </c>
      <c r="CR230" s="192"/>
      <c r="CS230" s="192"/>
      <c r="CT230" s="223"/>
      <c r="CU230" s="163"/>
      <c r="CV230" s="290"/>
      <c r="CW230" s="195"/>
      <c r="CX230" s="196"/>
      <c r="CY230" s="196"/>
      <c r="CZ230" s="197"/>
      <c r="DA230" s="196"/>
      <c r="DB230" s="196"/>
      <c r="DC230" s="196"/>
      <c r="DE230" s="199"/>
      <c r="DF230" s="200"/>
      <c r="DG230" s="181"/>
    </row>
    <row r="231" spans="1:111" hidden="1" outlineLevel="1" x14ac:dyDescent="0.25">
      <c r="A231" s="256" t="s">
        <v>34</v>
      </c>
      <c r="B231" s="210" t="s">
        <v>366</v>
      </c>
      <c r="C231" s="210"/>
      <c r="D231" s="188">
        <f t="shared" ref="D231:I231" si="238">SUM(D232:D233)</f>
        <v>5500</v>
      </c>
      <c r="E231" s="188">
        <f t="shared" si="238"/>
        <v>0</v>
      </c>
      <c r="F231" s="188">
        <f t="shared" si="238"/>
        <v>5500</v>
      </c>
      <c r="G231" s="188">
        <f t="shared" si="238"/>
        <v>5500</v>
      </c>
      <c r="H231" s="188">
        <f t="shared" si="238"/>
        <v>0</v>
      </c>
      <c r="I231" s="188">
        <f t="shared" si="238"/>
        <v>0</v>
      </c>
      <c r="J231" s="188"/>
      <c r="K231" s="188">
        <f>SUM(K232:K233)</f>
        <v>0</v>
      </c>
      <c r="L231" s="188">
        <f>SUM(L232:L233)</f>
        <v>0</v>
      </c>
      <c r="M231" s="223"/>
      <c r="N231" s="223"/>
      <c r="O231" s="188">
        <f t="shared" si="190"/>
        <v>5500</v>
      </c>
      <c r="P231" s="188">
        <v>0</v>
      </c>
      <c r="Q231" s="186">
        <f t="shared" si="186"/>
        <v>0</v>
      </c>
      <c r="R231" s="188">
        <v>940.12981200000002</v>
      </c>
      <c r="S231" s="185">
        <v>0.17093269309090908</v>
      </c>
      <c r="T231" s="185">
        <v>0.17992915062200956</v>
      </c>
      <c r="U231" s="188">
        <v>940.12981200000002</v>
      </c>
      <c r="V231" s="185">
        <v>0.17093269309090908</v>
      </c>
      <c r="W231" s="185">
        <v>0.17992915062200956</v>
      </c>
      <c r="X231" s="188">
        <v>940.12981200000002</v>
      </c>
      <c r="Y231" s="185">
        <v>0.17093269309090908</v>
      </c>
      <c r="Z231" s="185">
        <v>0.17992915062200956</v>
      </c>
      <c r="AA231" s="188">
        <v>940.12981200000002</v>
      </c>
      <c r="AB231" s="185">
        <v>0.17093269309090908</v>
      </c>
      <c r="AC231" s="185">
        <v>0.17992915062200956</v>
      </c>
      <c r="AD231" s="188">
        <v>940.12981200000002</v>
      </c>
      <c r="AE231" s="185">
        <v>0.17093269309090908</v>
      </c>
      <c r="AF231" s="185">
        <v>0.17992915062200956</v>
      </c>
      <c r="AG231" s="188">
        <v>940.12981200000002</v>
      </c>
      <c r="AH231" s="185">
        <v>0.17093269309090908</v>
      </c>
      <c r="AI231" s="185">
        <v>0.17992915062200956</v>
      </c>
      <c r="AJ231" s="223">
        <v>940.12981200000002</v>
      </c>
      <c r="AK231" s="185">
        <v>0.17093269309090908</v>
      </c>
      <c r="AL231" s="185">
        <v>0.17992915062200956</v>
      </c>
      <c r="AM231" s="188">
        <v>940.12981200000002</v>
      </c>
      <c r="AN231" s="185">
        <v>0.17093269309090908</v>
      </c>
      <c r="AO231" s="185">
        <v>0.17992915062200956</v>
      </c>
      <c r="AP231" s="185"/>
      <c r="AQ231" s="188">
        <v>940.12981200000002</v>
      </c>
      <c r="AR231" s="185">
        <v>0.17093269309090908</v>
      </c>
      <c r="AS231" s="185">
        <v>0.17992915062200956</v>
      </c>
      <c r="AT231" s="188">
        <v>940.12981200000002</v>
      </c>
      <c r="AU231" s="185">
        <v>0.17093269309090908</v>
      </c>
      <c r="AV231" s="185">
        <v>0.17992915062200956</v>
      </c>
      <c r="AW231" s="185"/>
      <c r="AX231" s="185"/>
      <c r="AY231" s="185"/>
      <c r="AZ231" s="185"/>
      <c r="BA231" s="185"/>
      <c r="BB231" s="185"/>
      <c r="BC231" s="188">
        <v>940.12981200000002</v>
      </c>
      <c r="BD231" s="185">
        <v>0.17093269309090908</v>
      </c>
      <c r="BE231" s="185">
        <v>0.17992915062200956</v>
      </c>
      <c r="BF231" s="188"/>
      <c r="BG231" s="188">
        <v>940.12981200000002</v>
      </c>
      <c r="BH231" s="185">
        <v>0.17093269309090908</v>
      </c>
      <c r="BI231" s="185">
        <v>0.17992915062200956</v>
      </c>
      <c r="BJ231" s="188">
        <f t="shared" si="187"/>
        <v>5225</v>
      </c>
      <c r="BK231" s="188">
        <f>SUM(BK232:BK233)</f>
        <v>940.12981200000002</v>
      </c>
      <c r="BL231" s="185">
        <f t="shared" si="224"/>
        <v>0.17093269309090908</v>
      </c>
      <c r="BM231" s="185">
        <f t="shared" si="191"/>
        <v>0.17992915062200956</v>
      </c>
      <c r="BN231" s="205">
        <f t="shared" si="180"/>
        <v>0</v>
      </c>
      <c r="BO231" s="205"/>
      <c r="BP231" s="189">
        <f>SUM(BP232:BP233)</f>
        <v>0</v>
      </c>
      <c r="BQ231" s="186">
        <f t="shared" si="192"/>
        <v>0</v>
      </c>
      <c r="BR231" s="189">
        <f>SUM(BR232:BR233)</f>
        <v>475</v>
      </c>
      <c r="BS231" s="186">
        <f t="shared" si="225"/>
        <v>8.6363636363636365E-2</v>
      </c>
      <c r="BT231" s="189">
        <f>SUM(BT232:BT233)</f>
        <v>475</v>
      </c>
      <c r="BU231" s="186">
        <f t="shared" si="226"/>
        <v>8.6363636363636365E-2</v>
      </c>
      <c r="BV231" s="189">
        <f>SUM(BV232:BV233)</f>
        <v>475</v>
      </c>
      <c r="BW231" s="186">
        <f t="shared" si="227"/>
        <v>8.6363636363636365E-2</v>
      </c>
      <c r="BX231" s="189">
        <f>SUM(BX232:BX233)</f>
        <v>475</v>
      </c>
      <c r="BY231" s="186">
        <f t="shared" si="228"/>
        <v>8.6363636363636365E-2</v>
      </c>
      <c r="BZ231" s="189">
        <f>SUM(BZ232:BZ233)</f>
        <v>1075</v>
      </c>
      <c r="CA231" s="186">
        <f t="shared" si="229"/>
        <v>0.19545454545454546</v>
      </c>
      <c r="CB231" s="189">
        <f>SUM(CB232:CB233)</f>
        <v>1075</v>
      </c>
      <c r="CC231" s="186">
        <f t="shared" si="230"/>
        <v>0.19545454545454546</v>
      </c>
      <c r="CD231" s="189">
        <f>SUM(CD232:CD233)</f>
        <v>2500</v>
      </c>
      <c r="CE231" s="186">
        <f t="shared" si="231"/>
        <v>0.45454545454545453</v>
      </c>
      <c r="CF231" s="189">
        <f>SUM(CF232:CF233)</f>
        <v>3875</v>
      </c>
      <c r="CG231" s="186">
        <f t="shared" si="232"/>
        <v>0.70454545454545459</v>
      </c>
      <c r="CH231" s="189">
        <f>SUM(CH232:CH233)</f>
        <v>3875</v>
      </c>
      <c r="CI231" s="186">
        <f t="shared" si="233"/>
        <v>0.70454545454545459</v>
      </c>
      <c r="CJ231" s="189">
        <f>SUM(CJ232:CJ233)</f>
        <v>4445</v>
      </c>
      <c r="CK231" s="186">
        <f t="shared" si="234"/>
        <v>0.80818181818181822</v>
      </c>
      <c r="CL231" s="189">
        <f>SUM(CL232:CL233)</f>
        <v>5045</v>
      </c>
      <c r="CM231" s="186">
        <f t="shared" si="235"/>
        <v>0.91727272727272724</v>
      </c>
      <c r="CN231" s="189">
        <f>SUM(CN232:CN233)</f>
        <v>5225</v>
      </c>
      <c r="CO231" s="186">
        <f t="shared" si="236"/>
        <v>0.95</v>
      </c>
      <c r="CP231" s="213" t="str">
        <f t="shared" si="193"/>
        <v>Không đạt</v>
      </c>
      <c r="CQ231" s="213" t="str">
        <f t="shared" si="194"/>
        <v>Không đạt</v>
      </c>
      <c r="CR231" s="192"/>
      <c r="CS231" s="192"/>
      <c r="CT231" s="223"/>
      <c r="CU231" s="163"/>
      <c r="CW231" s="195"/>
      <c r="CX231" s="196"/>
      <c r="CY231" s="196"/>
      <c r="CZ231" s="197"/>
      <c r="DA231" s="196"/>
      <c r="DB231" s="196"/>
      <c r="DC231" s="196"/>
      <c r="DE231" s="199"/>
      <c r="DF231" s="200"/>
      <c r="DG231" s="181"/>
    </row>
    <row r="232" spans="1:111" ht="38.25" hidden="1" outlineLevel="1" x14ac:dyDescent="0.25">
      <c r="A232" s="192">
        <f>MAX(A$227:$B231)+1</f>
        <v>4</v>
      </c>
      <c r="B232" s="289" t="s">
        <v>367</v>
      </c>
      <c r="C232" s="289">
        <v>8159551</v>
      </c>
      <c r="D232" s="214">
        <f>E232+F232</f>
        <v>3000</v>
      </c>
      <c r="E232" s="205"/>
      <c r="F232" s="214">
        <f>G232+H232+K232+M232</f>
        <v>3000</v>
      </c>
      <c r="G232" s="257">
        <v>3000</v>
      </c>
      <c r="H232" s="223"/>
      <c r="I232" s="235"/>
      <c r="J232" s="235"/>
      <c r="K232" s="223"/>
      <c r="L232" s="235"/>
      <c r="M232" s="223"/>
      <c r="N232" s="223"/>
      <c r="O232" s="223">
        <f t="shared" si="190"/>
        <v>3000</v>
      </c>
      <c r="P232" s="223">
        <v>0</v>
      </c>
      <c r="Q232" s="224">
        <f t="shared" si="186"/>
        <v>0</v>
      </c>
      <c r="R232" s="223">
        <v>0</v>
      </c>
      <c r="S232" s="225">
        <v>0</v>
      </c>
      <c r="T232" s="225">
        <v>0</v>
      </c>
      <c r="U232" s="223">
        <v>0</v>
      </c>
      <c r="V232" s="225">
        <v>0</v>
      </c>
      <c r="W232" s="225">
        <v>0</v>
      </c>
      <c r="X232" s="223">
        <v>0</v>
      </c>
      <c r="Y232" s="225">
        <v>0</v>
      </c>
      <c r="Z232" s="225">
        <v>0</v>
      </c>
      <c r="AA232" s="223">
        <v>0</v>
      </c>
      <c r="AB232" s="225">
        <v>0</v>
      </c>
      <c r="AC232" s="225">
        <v>0</v>
      </c>
      <c r="AD232" s="223">
        <v>0</v>
      </c>
      <c r="AE232" s="225">
        <v>0</v>
      </c>
      <c r="AF232" s="225">
        <v>0</v>
      </c>
      <c r="AG232" s="223">
        <v>0</v>
      </c>
      <c r="AH232" s="225">
        <v>0</v>
      </c>
      <c r="AI232" s="225">
        <v>0</v>
      </c>
      <c r="AJ232" s="288">
        <v>0</v>
      </c>
      <c r="AK232" s="225">
        <v>0</v>
      </c>
      <c r="AL232" s="225">
        <v>0</v>
      </c>
      <c r="AM232" s="223">
        <v>0</v>
      </c>
      <c r="AN232" s="225">
        <v>0</v>
      </c>
      <c r="AO232" s="225">
        <v>0</v>
      </c>
      <c r="AP232" s="225"/>
      <c r="AQ232" s="223">
        <v>0</v>
      </c>
      <c r="AR232" s="225">
        <v>0</v>
      </c>
      <c r="AS232" s="225">
        <v>0</v>
      </c>
      <c r="AT232" s="223">
        <v>0</v>
      </c>
      <c r="AU232" s="225">
        <v>0</v>
      </c>
      <c r="AV232" s="225">
        <v>0</v>
      </c>
      <c r="AW232" s="225"/>
      <c r="AX232" s="225"/>
      <c r="AY232" s="225"/>
      <c r="AZ232" s="225"/>
      <c r="BA232" s="225"/>
      <c r="BB232" s="225"/>
      <c r="BC232" s="223">
        <v>0</v>
      </c>
      <c r="BD232" s="225">
        <v>0</v>
      </c>
      <c r="BE232" s="225">
        <v>0</v>
      </c>
      <c r="BF232" s="223"/>
      <c r="BG232" s="223">
        <v>0</v>
      </c>
      <c r="BH232" s="225">
        <v>0</v>
      </c>
      <c r="BI232" s="225">
        <v>0</v>
      </c>
      <c r="BJ232" s="223">
        <f t="shared" si="187"/>
        <v>2850</v>
      </c>
      <c r="BK232" s="223">
        <v>0</v>
      </c>
      <c r="BL232" s="225">
        <f t="shared" si="224"/>
        <v>0</v>
      </c>
      <c r="BM232" s="225">
        <f t="shared" si="191"/>
        <v>0</v>
      </c>
      <c r="BN232" s="205">
        <f t="shared" si="180"/>
        <v>0</v>
      </c>
      <c r="BO232" s="205"/>
      <c r="BP232" s="227">
        <v>0</v>
      </c>
      <c r="BQ232" s="224">
        <f t="shared" si="192"/>
        <v>0</v>
      </c>
      <c r="BR232" s="227">
        <v>0</v>
      </c>
      <c r="BS232" s="224">
        <f t="shared" si="225"/>
        <v>0</v>
      </c>
      <c r="BT232" s="227">
        <v>0</v>
      </c>
      <c r="BU232" s="224">
        <f t="shared" si="226"/>
        <v>0</v>
      </c>
      <c r="BV232" s="227">
        <v>0</v>
      </c>
      <c r="BW232" s="224">
        <f t="shared" si="227"/>
        <v>0</v>
      </c>
      <c r="BX232" s="227">
        <f>BV232</f>
        <v>0</v>
      </c>
      <c r="BY232" s="224">
        <f t="shared" si="228"/>
        <v>0</v>
      </c>
      <c r="BZ232" s="227">
        <f>20%*G232</f>
        <v>600</v>
      </c>
      <c r="CA232" s="224">
        <f t="shared" si="229"/>
        <v>0.2</v>
      </c>
      <c r="CB232" s="227">
        <f>BZ232</f>
        <v>600</v>
      </c>
      <c r="CC232" s="224">
        <f t="shared" si="230"/>
        <v>0.2</v>
      </c>
      <c r="CD232" s="227">
        <v>600</v>
      </c>
      <c r="CE232" s="224">
        <f t="shared" si="231"/>
        <v>0.2</v>
      </c>
      <c r="CF232" s="227">
        <f>50%*F232</f>
        <v>1500</v>
      </c>
      <c r="CG232" s="224">
        <f t="shared" si="232"/>
        <v>0.5</v>
      </c>
      <c r="CH232" s="227">
        <f>CF232</f>
        <v>1500</v>
      </c>
      <c r="CI232" s="224">
        <f t="shared" si="233"/>
        <v>0.5</v>
      </c>
      <c r="CJ232" s="227">
        <f>CH232+570</f>
        <v>2070</v>
      </c>
      <c r="CK232" s="224">
        <f t="shared" si="234"/>
        <v>0.69</v>
      </c>
      <c r="CL232" s="227">
        <f>CJ232+20%*D232</f>
        <v>2670</v>
      </c>
      <c r="CM232" s="224">
        <f t="shared" si="235"/>
        <v>0.89</v>
      </c>
      <c r="CN232" s="227">
        <v>2850</v>
      </c>
      <c r="CO232" s="224">
        <f t="shared" si="236"/>
        <v>0.95</v>
      </c>
      <c r="CP232" s="213" t="str">
        <f t="shared" si="193"/>
        <v>Không đạt</v>
      </c>
      <c r="CQ232" s="213" t="str">
        <f t="shared" si="194"/>
        <v>Không đạt</v>
      </c>
      <c r="CR232" s="192"/>
      <c r="CS232" s="192"/>
      <c r="CT232" s="223"/>
      <c r="CU232" s="163"/>
      <c r="CW232" s="195"/>
      <c r="CX232" s="196"/>
      <c r="CY232" s="196"/>
      <c r="CZ232" s="197"/>
      <c r="DA232" s="196"/>
      <c r="DB232" s="196"/>
      <c r="DC232" s="196"/>
      <c r="DE232" s="199"/>
      <c r="DF232" s="200"/>
      <c r="DG232" s="181"/>
    </row>
    <row r="233" spans="1:111" ht="38.25" hidden="1" outlineLevel="1" x14ac:dyDescent="0.25">
      <c r="A233" s="192">
        <f>MAX(A$227:$B232)+1</f>
        <v>5</v>
      </c>
      <c r="B233" s="289" t="s">
        <v>368</v>
      </c>
      <c r="C233" s="289">
        <v>8159552</v>
      </c>
      <c r="D233" s="214">
        <f>E233+F233</f>
        <v>2500</v>
      </c>
      <c r="E233" s="205"/>
      <c r="F233" s="214">
        <f>G233+H233+K233+M233</f>
        <v>2500</v>
      </c>
      <c r="G233" s="257">
        <v>2500</v>
      </c>
      <c r="H233" s="223"/>
      <c r="I233" s="235"/>
      <c r="J233" s="235"/>
      <c r="K233" s="223"/>
      <c r="L233" s="235"/>
      <c r="M233" s="223"/>
      <c r="N233" s="223"/>
      <c r="O233" s="223">
        <f t="shared" si="190"/>
        <v>2500</v>
      </c>
      <c r="P233" s="223">
        <v>0</v>
      </c>
      <c r="Q233" s="224">
        <f t="shared" si="186"/>
        <v>0</v>
      </c>
      <c r="R233" s="223">
        <v>940.12981200000002</v>
      </c>
      <c r="S233" s="225">
        <v>0.37605192479999999</v>
      </c>
      <c r="T233" s="225">
        <v>0.39584413136842106</v>
      </c>
      <c r="U233" s="223">
        <v>940.12981200000002</v>
      </c>
      <c r="V233" s="225">
        <v>0.37605192479999999</v>
      </c>
      <c r="W233" s="225">
        <v>0.39584413136842106</v>
      </c>
      <c r="X233" s="223">
        <v>940.12981200000002</v>
      </c>
      <c r="Y233" s="225">
        <v>0.37605192479999999</v>
      </c>
      <c r="Z233" s="225">
        <v>0.39584413136842106</v>
      </c>
      <c r="AA233" s="223">
        <v>940.12981200000002</v>
      </c>
      <c r="AB233" s="225">
        <v>0.37605192479999999</v>
      </c>
      <c r="AC233" s="225">
        <v>0.39584413136842106</v>
      </c>
      <c r="AD233" s="223">
        <v>940.12981200000002</v>
      </c>
      <c r="AE233" s="225">
        <v>0.37605192479999999</v>
      </c>
      <c r="AF233" s="225">
        <v>0.39584413136842106</v>
      </c>
      <c r="AG233" s="288">
        <v>940.12981200000002</v>
      </c>
      <c r="AH233" s="225">
        <v>0.37605192479999999</v>
      </c>
      <c r="AI233" s="225">
        <v>0.39584413136842106</v>
      </c>
      <c r="AJ233" s="205">
        <v>940.12981200000002</v>
      </c>
      <c r="AK233" s="225">
        <v>0.37605192479999999</v>
      </c>
      <c r="AL233" s="225">
        <v>0.39584413136842106</v>
      </c>
      <c r="AM233" s="288">
        <v>940.12981200000002</v>
      </c>
      <c r="AN233" s="225">
        <v>0.37605192479999999</v>
      </c>
      <c r="AO233" s="225">
        <v>0.39584413136842106</v>
      </c>
      <c r="AP233" s="225"/>
      <c r="AQ233" s="288">
        <v>940.12981200000002</v>
      </c>
      <c r="AR233" s="225">
        <v>0.37605192479999999</v>
      </c>
      <c r="AS233" s="225">
        <v>0.39584413136842106</v>
      </c>
      <c r="AT233" s="288">
        <v>940.12981200000002</v>
      </c>
      <c r="AU233" s="225">
        <v>0.37605192479999999</v>
      </c>
      <c r="AV233" s="225">
        <v>0.39584413136842106</v>
      </c>
      <c r="AW233" s="225"/>
      <c r="AX233" s="225"/>
      <c r="AY233" s="225"/>
      <c r="AZ233" s="225"/>
      <c r="BA233" s="225"/>
      <c r="BB233" s="225"/>
      <c r="BC233" s="288">
        <v>940.12981200000002</v>
      </c>
      <c r="BD233" s="225">
        <v>0.37605192479999999</v>
      </c>
      <c r="BE233" s="225">
        <v>0.39584413136842106</v>
      </c>
      <c r="BF233" s="288"/>
      <c r="BG233" s="288">
        <v>940.12981200000002</v>
      </c>
      <c r="BH233" s="225">
        <v>0.37605192479999999</v>
      </c>
      <c r="BI233" s="225">
        <v>0.39584413136842106</v>
      </c>
      <c r="BJ233" s="288">
        <f t="shared" si="187"/>
        <v>2375</v>
      </c>
      <c r="BK233" s="288">
        <v>940.12981200000002</v>
      </c>
      <c r="BL233" s="225">
        <f t="shared" si="224"/>
        <v>0.37605192479999999</v>
      </c>
      <c r="BM233" s="225">
        <f t="shared" si="191"/>
        <v>0.39584413136842106</v>
      </c>
      <c r="BN233" s="205">
        <f t="shared" si="180"/>
        <v>0</v>
      </c>
      <c r="BO233" s="205"/>
      <c r="BP233" s="227">
        <v>0</v>
      </c>
      <c r="BQ233" s="224">
        <f t="shared" si="192"/>
        <v>0</v>
      </c>
      <c r="BR233" s="227">
        <v>475</v>
      </c>
      <c r="BS233" s="224">
        <f t="shared" si="225"/>
        <v>0.19</v>
      </c>
      <c r="BT233" s="227">
        <v>475</v>
      </c>
      <c r="BU233" s="224">
        <f t="shared" si="226"/>
        <v>0.19</v>
      </c>
      <c r="BV233" s="227">
        <v>475</v>
      </c>
      <c r="BW233" s="224">
        <f t="shared" si="227"/>
        <v>0.19</v>
      </c>
      <c r="BX233" s="227">
        <v>475</v>
      </c>
      <c r="BY233" s="224">
        <f t="shared" si="228"/>
        <v>0.19</v>
      </c>
      <c r="BZ233" s="227">
        <v>475</v>
      </c>
      <c r="CA233" s="224">
        <f t="shared" si="229"/>
        <v>0.19</v>
      </c>
      <c r="CB233" s="227">
        <v>475</v>
      </c>
      <c r="CC233" s="224">
        <f t="shared" si="230"/>
        <v>0.19</v>
      </c>
      <c r="CD233" s="227">
        <v>1900</v>
      </c>
      <c r="CE233" s="224">
        <f t="shared" si="231"/>
        <v>0.76</v>
      </c>
      <c r="CF233" s="227">
        <f>CD233+CB233</f>
        <v>2375</v>
      </c>
      <c r="CG233" s="224">
        <f t="shared" si="232"/>
        <v>0.95</v>
      </c>
      <c r="CH233" s="227">
        <f>CF233</f>
        <v>2375</v>
      </c>
      <c r="CI233" s="224">
        <f t="shared" si="233"/>
        <v>0.95</v>
      </c>
      <c r="CJ233" s="227">
        <f>CF233</f>
        <v>2375</v>
      </c>
      <c r="CK233" s="224">
        <f t="shared" si="234"/>
        <v>0.95</v>
      </c>
      <c r="CL233" s="227">
        <f>CJ233</f>
        <v>2375</v>
      </c>
      <c r="CM233" s="224">
        <f t="shared" si="235"/>
        <v>0.95</v>
      </c>
      <c r="CN233" s="227">
        <f>CL233</f>
        <v>2375</v>
      </c>
      <c r="CO233" s="224">
        <f t="shared" si="236"/>
        <v>0.95</v>
      </c>
      <c r="CP233" s="213" t="str">
        <f t="shared" si="193"/>
        <v>Đạt</v>
      </c>
      <c r="CQ233" s="213" t="str">
        <f t="shared" si="194"/>
        <v>Không đạt</v>
      </c>
      <c r="CR233" s="192"/>
      <c r="CS233" s="192"/>
      <c r="CT233" s="223"/>
      <c r="CU233" s="163"/>
      <c r="CW233" s="195"/>
      <c r="CX233" s="196"/>
      <c r="CY233" s="196"/>
      <c r="CZ233" s="197"/>
      <c r="DA233" s="196"/>
      <c r="DB233" s="196"/>
      <c r="DC233" s="196"/>
      <c r="DE233" s="199"/>
      <c r="DF233" s="200"/>
      <c r="DG233" s="181"/>
    </row>
    <row r="234" spans="1:111" s="255" customFormat="1" ht="18" hidden="1" customHeight="1" outlineLevel="1" x14ac:dyDescent="0.25">
      <c r="A234" s="191">
        <v>14</v>
      </c>
      <c r="B234" s="210" t="s">
        <v>369</v>
      </c>
      <c r="C234" s="210"/>
      <c r="D234" s="188">
        <f t="shared" ref="D234:I235" si="239">D235</f>
        <v>37182.199999999997</v>
      </c>
      <c r="E234" s="188">
        <f t="shared" si="239"/>
        <v>37182.199999999997</v>
      </c>
      <c r="F234" s="188">
        <f t="shared" si="239"/>
        <v>0</v>
      </c>
      <c r="G234" s="188">
        <f t="shared" si="239"/>
        <v>0</v>
      </c>
      <c r="H234" s="188">
        <f t="shared" si="239"/>
        <v>0</v>
      </c>
      <c r="I234" s="188">
        <f t="shared" si="239"/>
        <v>0</v>
      </c>
      <c r="J234" s="188"/>
      <c r="K234" s="188">
        <f t="shared" ref="K234:O235" si="240">K235</f>
        <v>0</v>
      </c>
      <c r="L234" s="188">
        <f t="shared" si="240"/>
        <v>0</v>
      </c>
      <c r="M234" s="188">
        <f t="shared" si="240"/>
        <v>0</v>
      </c>
      <c r="N234" s="188">
        <f t="shared" si="240"/>
        <v>0</v>
      </c>
      <c r="O234" s="188">
        <f t="shared" si="240"/>
        <v>0</v>
      </c>
      <c r="P234" s="188">
        <v>0</v>
      </c>
      <c r="Q234" s="186">
        <f t="shared" si="186"/>
        <v>0</v>
      </c>
      <c r="R234" s="188">
        <v>0</v>
      </c>
      <c r="S234" s="185">
        <v>0</v>
      </c>
      <c r="T234" s="185">
        <v>0</v>
      </c>
      <c r="U234" s="188">
        <v>0</v>
      </c>
      <c r="V234" s="185">
        <v>0</v>
      </c>
      <c r="W234" s="185">
        <v>0</v>
      </c>
      <c r="X234" s="188">
        <v>0</v>
      </c>
      <c r="Y234" s="185">
        <v>0</v>
      </c>
      <c r="Z234" s="185">
        <v>0</v>
      </c>
      <c r="AA234" s="188">
        <v>0</v>
      </c>
      <c r="AB234" s="185">
        <v>0</v>
      </c>
      <c r="AC234" s="185">
        <v>0</v>
      </c>
      <c r="AD234" s="188">
        <v>0</v>
      </c>
      <c r="AE234" s="185">
        <v>0</v>
      </c>
      <c r="AF234" s="185">
        <v>0</v>
      </c>
      <c r="AG234" s="188">
        <v>0</v>
      </c>
      <c r="AH234" s="185">
        <v>0</v>
      </c>
      <c r="AI234" s="185">
        <v>0</v>
      </c>
      <c r="AJ234" s="188">
        <v>0</v>
      </c>
      <c r="AK234" s="185">
        <v>0</v>
      </c>
      <c r="AL234" s="185">
        <v>0</v>
      </c>
      <c r="AM234" s="188">
        <v>0</v>
      </c>
      <c r="AN234" s="185">
        <v>0</v>
      </c>
      <c r="AO234" s="185">
        <v>0</v>
      </c>
      <c r="AP234" s="185"/>
      <c r="AQ234" s="188">
        <v>0</v>
      </c>
      <c r="AR234" s="185">
        <v>0</v>
      </c>
      <c r="AS234" s="185">
        <v>0</v>
      </c>
      <c r="AT234" s="188">
        <v>0</v>
      </c>
      <c r="AU234" s="185">
        <v>0</v>
      </c>
      <c r="AV234" s="185">
        <v>0</v>
      </c>
      <c r="AW234" s="185"/>
      <c r="AX234" s="185"/>
      <c r="AY234" s="185"/>
      <c r="AZ234" s="185"/>
      <c r="BA234" s="185"/>
      <c r="BB234" s="185"/>
      <c r="BC234" s="188">
        <v>0</v>
      </c>
      <c r="BD234" s="185">
        <v>0</v>
      </c>
      <c r="BE234" s="185">
        <v>0</v>
      </c>
      <c r="BF234" s="188"/>
      <c r="BG234" s="188">
        <v>0</v>
      </c>
      <c r="BH234" s="185">
        <v>0</v>
      </c>
      <c r="BI234" s="185">
        <v>0</v>
      </c>
      <c r="BJ234" s="188">
        <f t="shared" si="187"/>
        <v>37182.199999999997</v>
      </c>
      <c r="BK234" s="188">
        <f>BK235</f>
        <v>0</v>
      </c>
      <c r="BL234" s="185">
        <f t="shared" si="224"/>
        <v>0</v>
      </c>
      <c r="BM234" s="185">
        <f t="shared" si="191"/>
        <v>0</v>
      </c>
      <c r="BN234" s="205">
        <f t="shared" si="180"/>
        <v>0</v>
      </c>
      <c r="BO234" s="205"/>
      <c r="BP234" s="189">
        <f>BP235</f>
        <v>0</v>
      </c>
      <c r="BQ234" s="186">
        <f t="shared" si="192"/>
        <v>0</v>
      </c>
      <c r="BR234" s="189">
        <f>BR235</f>
        <v>0</v>
      </c>
      <c r="BS234" s="186">
        <f t="shared" si="225"/>
        <v>0</v>
      </c>
      <c r="BT234" s="189">
        <f>BT235</f>
        <v>0</v>
      </c>
      <c r="BU234" s="186">
        <f t="shared" si="226"/>
        <v>0</v>
      </c>
      <c r="BV234" s="189">
        <f>BV235</f>
        <v>0</v>
      </c>
      <c r="BW234" s="186">
        <f t="shared" si="227"/>
        <v>0</v>
      </c>
      <c r="BX234" s="189">
        <f>BX235</f>
        <v>0</v>
      </c>
      <c r="BY234" s="186">
        <f t="shared" si="228"/>
        <v>0</v>
      </c>
      <c r="BZ234" s="189">
        <f>BZ235</f>
        <v>0</v>
      </c>
      <c r="CA234" s="186">
        <f t="shared" si="229"/>
        <v>0</v>
      </c>
      <c r="CB234" s="189">
        <f>CB235</f>
        <v>5900</v>
      </c>
      <c r="CC234" s="186">
        <f t="shared" si="230"/>
        <v>0.1586780771444401</v>
      </c>
      <c r="CD234" s="189">
        <f>CD235</f>
        <v>11800</v>
      </c>
      <c r="CE234" s="186">
        <f t="shared" si="231"/>
        <v>0.3173561542888802</v>
      </c>
      <c r="CF234" s="189">
        <f>CF235</f>
        <v>17700</v>
      </c>
      <c r="CG234" s="186">
        <f t="shared" si="232"/>
        <v>0.4760342314333203</v>
      </c>
      <c r="CH234" s="189">
        <f>CH235</f>
        <v>23600</v>
      </c>
      <c r="CI234" s="186">
        <f t="shared" si="233"/>
        <v>0.6347123085777604</v>
      </c>
      <c r="CJ234" s="189">
        <f>CJ235</f>
        <v>29500</v>
      </c>
      <c r="CK234" s="186">
        <f t="shared" si="234"/>
        <v>0.79339038572220044</v>
      </c>
      <c r="CL234" s="189">
        <f>CL235</f>
        <v>35323</v>
      </c>
      <c r="CM234" s="186">
        <f t="shared" si="235"/>
        <v>0.94999757948695884</v>
      </c>
      <c r="CN234" s="189">
        <f>CN235</f>
        <v>37182.199999999997</v>
      </c>
      <c r="CO234" s="186">
        <f t="shared" si="236"/>
        <v>1</v>
      </c>
      <c r="CP234" s="213" t="str">
        <f t="shared" si="193"/>
        <v>Không đạt</v>
      </c>
      <c r="CQ234" s="213" t="str">
        <f t="shared" si="194"/>
        <v>Không đạt</v>
      </c>
      <c r="CR234" s="213"/>
      <c r="CS234" s="213"/>
      <c r="CT234" s="231"/>
      <c r="CU234" s="163"/>
      <c r="CV234" s="252"/>
      <c r="CW234" s="195"/>
      <c r="CX234" s="196"/>
      <c r="CY234" s="196"/>
      <c r="CZ234" s="197"/>
      <c r="DA234" s="196"/>
      <c r="DB234" s="196"/>
      <c r="DC234" s="196"/>
      <c r="DE234" s="199"/>
      <c r="DF234" s="200"/>
      <c r="DG234" s="181"/>
    </row>
    <row r="235" spans="1:111" s="160" customFormat="1" ht="12.75" hidden="1" outlineLevel="1" x14ac:dyDescent="0.25">
      <c r="A235" s="191" t="s">
        <v>29</v>
      </c>
      <c r="B235" s="210" t="s">
        <v>155</v>
      </c>
      <c r="C235" s="210"/>
      <c r="D235" s="188">
        <f t="shared" si="239"/>
        <v>37182.199999999997</v>
      </c>
      <c r="E235" s="188">
        <f t="shared" si="239"/>
        <v>37182.199999999997</v>
      </c>
      <c r="F235" s="188">
        <f t="shared" si="239"/>
        <v>0</v>
      </c>
      <c r="G235" s="188">
        <f t="shared" si="239"/>
        <v>0</v>
      </c>
      <c r="H235" s="188">
        <f t="shared" si="239"/>
        <v>0</v>
      </c>
      <c r="I235" s="188">
        <f t="shared" si="239"/>
        <v>0</v>
      </c>
      <c r="J235" s="188"/>
      <c r="K235" s="188">
        <f t="shared" si="240"/>
        <v>0</v>
      </c>
      <c r="L235" s="188">
        <f t="shared" si="240"/>
        <v>0</v>
      </c>
      <c r="M235" s="188">
        <f t="shared" si="240"/>
        <v>0</v>
      </c>
      <c r="N235" s="188">
        <f t="shared" si="240"/>
        <v>0</v>
      </c>
      <c r="O235" s="188">
        <f t="shared" si="240"/>
        <v>0</v>
      </c>
      <c r="P235" s="188">
        <f>P236</f>
        <v>0</v>
      </c>
      <c r="Q235" s="186">
        <f t="shared" si="186"/>
        <v>0</v>
      </c>
      <c r="R235" s="188">
        <v>0</v>
      </c>
      <c r="S235" s="185">
        <v>0</v>
      </c>
      <c r="T235" s="185">
        <v>0</v>
      </c>
      <c r="U235" s="188">
        <v>0</v>
      </c>
      <c r="V235" s="185">
        <v>0</v>
      </c>
      <c r="W235" s="185">
        <v>0</v>
      </c>
      <c r="X235" s="188">
        <v>0</v>
      </c>
      <c r="Y235" s="185">
        <v>0</v>
      </c>
      <c r="Z235" s="185">
        <v>0</v>
      </c>
      <c r="AA235" s="188">
        <v>0</v>
      </c>
      <c r="AB235" s="185">
        <v>0</v>
      </c>
      <c r="AC235" s="185">
        <v>0</v>
      </c>
      <c r="AD235" s="188">
        <v>0</v>
      </c>
      <c r="AE235" s="185">
        <v>0</v>
      </c>
      <c r="AF235" s="185">
        <v>0</v>
      </c>
      <c r="AG235" s="188">
        <v>0</v>
      </c>
      <c r="AH235" s="185">
        <v>0</v>
      </c>
      <c r="AI235" s="185">
        <v>0</v>
      </c>
      <c r="AJ235" s="223">
        <v>0</v>
      </c>
      <c r="AK235" s="185">
        <v>0</v>
      </c>
      <c r="AL235" s="185">
        <v>0</v>
      </c>
      <c r="AM235" s="188">
        <v>0</v>
      </c>
      <c r="AN235" s="185">
        <v>0</v>
      </c>
      <c r="AO235" s="185">
        <v>0</v>
      </c>
      <c r="AP235" s="185"/>
      <c r="AQ235" s="188">
        <v>0</v>
      </c>
      <c r="AR235" s="185">
        <v>0</v>
      </c>
      <c r="AS235" s="185">
        <v>0</v>
      </c>
      <c r="AT235" s="188">
        <v>0</v>
      </c>
      <c r="AU235" s="185">
        <v>0</v>
      </c>
      <c r="AV235" s="185">
        <v>0</v>
      </c>
      <c r="AW235" s="185"/>
      <c r="AX235" s="185"/>
      <c r="AY235" s="185"/>
      <c r="AZ235" s="185"/>
      <c r="BA235" s="185"/>
      <c r="BB235" s="185"/>
      <c r="BC235" s="188">
        <v>0</v>
      </c>
      <c r="BD235" s="185">
        <v>0</v>
      </c>
      <c r="BE235" s="185">
        <v>0</v>
      </c>
      <c r="BF235" s="188"/>
      <c r="BG235" s="188">
        <v>0</v>
      </c>
      <c r="BH235" s="185">
        <v>0</v>
      </c>
      <c r="BI235" s="185">
        <v>0</v>
      </c>
      <c r="BJ235" s="188">
        <f t="shared" si="187"/>
        <v>37182.199999999997</v>
      </c>
      <c r="BK235" s="188">
        <f>BK236</f>
        <v>0</v>
      </c>
      <c r="BL235" s="185">
        <f t="shared" si="224"/>
        <v>0</v>
      </c>
      <c r="BM235" s="185">
        <f t="shared" si="191"/>
        <v>0</v>
      </c>
      <c r="BN235" s="205">
        <f t="shared" si="180"/>
        <v>0</v>
      </c>
      <c r="BO235" s="205"/>
      <c r="BP235" s="189">
        <f>BP236</f>
        <v>0</v>
      </c>
      <c r="BQ235" s="186">
        <f t="shared" si="192"/>
        <v>0</v>
      </c>
      <c r="BR235" s="189">
        <f>BR236</f>
        <v>0</v>
      </c>
      <c r="BS235" s="186">
        <f t="shared" si="225"/>
        <v>0</v>
      </c>
      <c r="BT235" s="189">
        <f>BT236</f>
        <v>0</v>
      </c>
      <c r="BU235" s="186">
        <f t="shared" si="226"/>
        <v>0</v>
      </c>
      <c r="BV235" s="189">
        <f>BV236</f>
        <v>0</v>
      </c>
      <c r="BW235" s="186">
        <f t="shared" si="227"/>
        <v>0</v>
      </c>
      <c r="BX235" s="189">
        <f>BX236</f>
        <v>0</v>
      </c>
      <c r="BY235" s="186">
        <f t="shared" si="228"/>
        <v>0</v>
      </c>
      <c r="BZ235" s="189">
        <f>BZ236</f>
        <v>0</v>
      </c>
      <c r="CA235" s="186">
        <f t="shared" si="229"/>
        <v>0</v>
      </c>
      <c r="CB235" s="189">
        <f>CB236</f>
        <v>5900</v>
      </c>
      <c r="CC235" s="186">
        <f t="shared" si="230"/>
        <v>0.1586780771444401</v>
      </c>
      <c r="CD235" s="189">
        <f>CD236</f>
        <v>11800</v>
      </c>
      <c r="CE235" s="186">
        <f t="shared" si="231"/>
        <v>0.3173561542888802</v>
      </c>
      <c r="CF235" s="189">
        <f>CF236</f>
        <v>17700</v>
      </c>
      <c r="CG235" s="186">
        <f t="shared" si="232"/>
        <v>0.4760342314333203</v>
      </c>
      <c r="CH235" s="189">
        <f>CH236</f>
        <v>23600</v>
      </c>
      <c r="CI235" s="186">
        <f t="shared" si="233"/>
        <v>0.6347123085777604</v>
      </c>
      <c r="CJ235" s="189">
        <f>CJ236</f>
        <v>29500</v>
      </c>
      <c r="CK235" s="186">
        <f t="shared" si="234"/>
        <v>0.79339038572220044</v>
      </c>
      <c r="CL235" s="189">
        <f>CL236</f>
        <v>35323</v>
      </c>
      <c r="CM235" s="186">
        <f t="shared" si="235"/>
        <v>0.94999757948695884</v>
      </c>
      <c r="CN235" s="189">
        <f>CN236</f>
        <v>37182.199999999997</v>
      </c>
      <c r="CO235" s="186">
        <f t="shared" si="236"/>
        <v>1</v>
      </c>
      <c r="CP235" s="213" t="str">
        <f t="shared" si="193"/>
        <v>Không đạt</v>
      </c>
      <c r="CQ235" s="213" t="str">
        <f t="shared" si="194"/>
        <v>Không đạt</v>
      </c>
      <c r="CR235" s="213"/>
      <c r="CS235" s="213"/>
      <c r="CT235" s="231"/>
      <c r="CU235" s="163"/>
      <c r="CV235" s="291"/>
      <c r="CW235" s="218"/>
      <c r="CX235" s="196"/>
      <c r="CY235" s="196"/>
      <c r="CZ235" s="197"/>
      <c r="DA235" s="196"/>
      <c r="DB235" s="196"/>
      <c r="DC235" s="196"/>
      <c r="DE235" s="199"/>
      <c r="DF235" s="200"/>
      <c r="DG235" s="181"/>
    </row>
    <row r="236" spans="1:111" ht="25.5" hidden="1" outlineLevel="1" x14ac:dyDescent="0.25">
      <c r="A236" s="192">
        <v>1</v>
      </c>
      <c r="B236" s="269" t="s">
        <v>370</v>
      </c>
      <c r="C236" s="269" t="s">
        <v>371</v>
      </c>
      <c r="D236" s="214">
        <f>E236+F236</f>
        <v>37182.199999999997</v>
      </c>
      <c r="E236" s="215">
        <v>37182.199999999997</v>
      </c>
      <c r="F236" s="214"/>
      <c r="G236" s="257"/>
      <c r="H236" s="223"/>
      <c r="I236" s="235"/>
      <c r="J236" s="235"/>
      <c r="K236" s="223"/>
      <c r="L236" s="235"/>
      <c r="M236" s="223"/>
      <c r="N236" s="223"/>
      <c r="O236" s="223"/>
      <c r="P236" s="223">
        <v>0</v>
      </c>
      <c r="Q236" s="292">
        <f t="shared" si="186"/>
        <v>0</v>
      </c>
      <c r="R236" s="223"/>
      <c r="S236" s="293">
        <v>0</v>
      </c>
      <c r="T236" s="293">
        <v>0</v>
      </c>
      <c r="U236" s="223"/>
      <c r="V236" s="293">
        <v>0</v>
      </c>
      <c r="W236" s="293">
        <v>0</v>
      </c>
      <c r="X236" s="223"/>
      <c r="Y236" s="293">
        <v>0</v>
      </c>
      <c r="Z236" s="293">
        <v>0</v>
      </c>
      <c r="AA236" s="223"/>
      <c r="AB236" s="293">
        <v>0</v>
      </c>
      <c r="AC236" s="293">
        <v>0</v>
      </c>
      <c r="AD236" s="223"/>
      <c r="AE236" s="293">
        <v>0</v>
      </c>
      <c r="AF236" s="293">
        <v>0</v>
      </c>
      <c r="AG236" s="223"/>
      <c r="AH236" s="293">
        <v>0</v>
      </c>
      <c r="AI236" s="293">
        <v>0</v>
      </c>
      <c r="AJ236" s="294"/>
      <c r="AK236" s="293">
        <v>0</v>
      </c>
      <c r="AL236" s="293">
        <v>0</v>
      </c>
      <c r="AM236" s="223"/>
      <c r="AN236" s="293">
        <v>0</v>
      </c>
      <c r="AO236" s="293">
        <v>0</v>
      </c>
      <c r="AP236" s="293"/>
      <c r="AQ236" s="223"/>
      <c r="AR236" s="293">
        <v>0</v>
      </c>
      <c r="AS236" s="293">
        <v>0</v>
      </c>
      <c r="AT236" s="223"/>
      <c r="AU236" s="293">
        <v>0</v>
      </c>
      <c r="AV236" s="293">
        <v>0</v>
      </c>
      <c r="AW236" s="293"/>
      <c r="AX236" s="293"/>
      <c r="AY236" s="293"/>
      <c r="AZ236" s="293"/>
      <c r="BA236" s="293"/>
      <c r="BB236" s="293"/>
      <c r="BC236" s="223"/>
      <c r="BD236" s="293">
        <v>0</v>
      </c>
      <c r="BE236" s="293">
        <v>0</v>
      </c>
      <c r="BF236" s="223"/>
      <c r="BG236" s="223"/>
      <c r="BH236" s="293">
        <v>0</v>
      </c>
      <c r="BI236" s="293">
        <v>0</v>
      </c>
      <c r="BJ236" s="223">
        <f t="shared" si="187"/>
        <v>37182.199999999997</v>
      </c>
      <c r="BK236" s="223"/>
      <c r="BL236" s="293">
        <f t="shared" si="224"/>
        <v>0</v>
      </c>
      <c r="BM236" s="293">
        <f t="shared" si="191"/>
        <v>0</v>
      </c>
      <c r="BN236" s="205">
        <f t="shared" si="180"/>
        <v>0</v>
      </c>
      <c r="BO236" s="205"/>
      <c r="BP236" s="295"/>
      <c r="BQ236" s="292">
        <f t="shared" si="192"/>
        <v>0</v>
      </c>
      <c r="BR236" s="295"/>
      <c r="BS236" s="292">
        <f t="shared" si="225"/>
        <v>0</v>
      </c>
      <c r="BT236" s="295"/>
      <c r="BU236" s="292">
        <f t="shared" si="226"/>
        <v>0</v>
      </c>
      <c r="BV236" s="295"/>
      <c r="BW236" s="292">
        <f t="shared" si="227"/>
        <v>0</v>
      </c>
      <c r="BX236" s="295"/>
      <c r="BY236" s="292">
        <f t="shared" si="228"/>
        <v>0</v>
      </c>
      <c r="BZ236" s="295"/>
      <c r="CA236" s="292">
        <f t="shared" si="229"/>
        <v>0</v>
      </c>
      <c r="CB236" s="295">
        <v>5900</v>
      </c>
      <c r="CC236" s="292">
        <f t="shared" si="230"/>
        <v>0.1586780771444401</v>
      </c>
      <c r="CD236" s="295">
        <v>11800</v>
      </c>
      <c r="CE236" s="292">
        <f t="shared" si="231"/>
        <v>0.3173561542888802</v>
      </c>
      <c r="CF236" s="295">
        <v>17700</v>
      </c>
      <c r="CG236" s="292">
        <f t="shared" si="232"/>
        <v>0.4760342314333203</v>
      </c>
      <c r="CH236" s="295">
        <v>23600</v>
      </c>
      <c r="CI236" s="292">
        <f t="shared" si="233"/>
        <v>0.6347123085777604</v>
      </c>
      <c r="CJ236" s="295">
        <v>29500</v>
      </c>
      <c r="CK236" s="292">
        <f t="shared" si="234"/>
        <v>0.79339038572220044</v>
      </c>
      <c r="CL236" s="295">
        <v>35323</v>
      </c>
      <c r="CM236" s="292">
        <f t="shared" si="235"/>
        <v>0.94999757948695884</v>
      </c>
      <c r="CN236" s="295">
        <v>37182.199999999997</v>
      </c>
      <c r="CO236" s="292">
        <f t="shared" si="236"/>
        <v>1</v>
      </c>
      <c r="CP236" s="213" t="str">
        <f t="shared" si="193"/>
        <v>Không đạt</v>
      </c>
      <c r="CQ236" s="213" t="str">
        <f t="shared" si="194"/>
        <v>Không đạt</v>
      </c>
      <c r="CR236" s="192"/>
      <c r="CS236" s="192"/>
      <c r="CT236" s="223"/>
      <c r="CU236" s="163"/>
      <c r="CW236" s="195"/>
      <c r="CX236" s="196"/>
      <c r="CY236" s="196"/>
      <c r="CZ236" s="197"/>
      <c r="DA236" s="196"/>
      <c r="DB236" s="196"/>
      <c r="DC236" s="196"/>
      <c r="DE236" s="199"/>
      <c r="DF236" s="200"/>
      <c r="DG236" s="181"/>
    </row>
    <row r="237" spans="1:111" s="255" customFormat="1" collapsed="1" x14ac:dyDescent="0.25">
      <c r="A237" s="213">
        <v>15</v>
      </c>
      <c r="B237" s="240" t="s">
        <v>372</v>
      </c>
      <c r="C237" s="240"/>
      <c r="D237" s="188">
        <f>D238</f>
        <v>8600</v>
      </c>
      <c r="E237" s="188">
        <f t="shared" ref="E237:BB237" si="241">E238</f>
        <v>8600</v>
      </c>
      <c r="F237" s="188">
        <f t="shared" si="241"/>
        <v>0</v>
      </c>
      <c r="G237" s="188">
        <f t="shared" si="241"/>
        <v>0</v>
      </c>
      <c r="H237" s="188">
        <f t="shared" si="241"/>
        <v>0</v>
      </c>
      <c r="I237" s="188">
        <f t="shared" si="241"/>
        <v>0</v>
      </c>
      <c r="J237" s="188">
        <f t="shared" si="241"/>
        <v>0</v>
      </c>
      <c r="K237" s="188">
        <f t="shared" si="241"/>
        <v>0</v>
      </c>
      <c r="L237" s="188">
        <f t="shared" si="241"/>
        <v>0</v>
      </c>
      <c r="M237" s="188">
        <f t="shared" si="241"/>
        <v>0</v>
      </c>
      <c r="N237" s="188">
        <f t="shared" si="241"/>
        <v>0</v>
      </c>
      <c r="O237" s="188">
        <f t="shared" si="241"/>
        <v>0</v>
      </c>
      <c r="P237" s="188">
        <f t="shared" si="241"/>
        <v>0</v>
      </c>
      <c r="Q237" s="188">
        <f t="shared" si="241"/>
        <v>0</v>
      </c>
      <c r="R237" s="188">
        <f t="shared" si="241"/>
        <v>0</v>
      </c>
      <c r="S237" s="188">
        <f t="shared" si="241"/>
        <v>0</v>
      </c>
      <c r="T237" s="188">
        <f t="shared" si="241"/>
        <v>0</v>
      </c>
      <c r="U237" s="188">
        <f t="shared" si="241"/>
        <v>0</v>
      </c>
      <c r="V237" s="188">
        <f t="shared" si="241"/>
        <v>0</v>
      </c>
      <c r="W237" s="188">
        <f t="shared" si="241"/>
        <v>0</v>
      </c>
      <c r="X237" s="188">
        <f t="shared" si="241"/>
        <v>0</v>
      </c>
      <c r="Y237" s="188">
        <f t="shared" si="241"/>
        <v>0</v>
      </c>
      <c r="Z237" s="188">
        <f t="shared" si="241"/>
        <v>0</v>
      </c>
      <c r="AA237" s="188">
        <f t="shared" si="241"/>
        <v>0</v>
      </c>
      <c r="AB237" s="188">
        <f t="shared" si="241"/>
        <v>0</v>
      </c>
      <c r="AC237" s="188">
        <f t="shared" si="241"/>
        <v>0</v>
      </c>
      <c r="AD237" s="188">
        <f t="shared" si="241"/>
        <v>0</v>
      </c>
      <c r="AE237" s="188">
        <f t="shared" si="241"/>
        <v>0</v>
      </c>
      <c r="AF237" s="188">
        <f t="shared" si="241"/>
        <v>0</v>
      </c>
      <c r="AG237" s="188">
        <f t="shared" si="241"/>
        <v>0</v>
      </c>
      <c r="AH237" s="188">
        <f t="shared" si="241"/>
        <v>0</v>
      </c>
      <c r="AI237" s="188">
        <f t="shared" si="241"/>
        <v>0</v>
      </c>
      <c r="AJ237" s="188">
        <f t="shared" si="241"/>
        <v>0</v>
      </c>
      <c r="AK237" s="188">
        <f t="shared" si="241"/>
        <v>0</v>
      </c>
      <c r="AL237" s="188">
        <f t="shared" si="241"/>
        <v>0</v>
      </c>
      <c r="AM237" s="188">
        <f t="shared" si="241"/>
        <v>0</v>
      </c>
      <c r="AN237" s="188">
        <f t="shared" si="241"/>
        <v>0</v>
      </c>
      <c r="AO237" s="188">
        <f t="shared" si="241"/>
        <v>0</v>
      </c>
      <c r="AP237" s="188">
        <f t="shared" si="241"/>
        <v>0</v>
      </c>
      <c r="AQ237" s="188">
        <f t="shared" si="241"/>
        <v>0</v>
      </c>
      <c r="AR237" s="188">
        <f t="shared" si="241"/>
        <v>0</v>
      </c>
      <c r="AS237" s="188">
        <f t="shared" si="241"/>
        <v>0</v>
      </c>
      <c r="AT237" s="188">
        <f t="shared" si="241"/>
        <v>0</v>
      </c>
      <c r="AU237" s="188">
        <f t="shared" si="241"/>
        <v>0</v>
      </c>
      <c r="AV237" s="188">
        <f t="shared" si="241"/>
        <v>0</v>
      </c>
      <c r="AW237" s="188">
        <f t="shared" si="241"/>
        <v>0</v>
      </c>
      <c r="AX237" s="188">
        <f t="shared" si="241"/>
        <v>0</v>
      </c>
      <c r="AY237" s="188">
        <f t="shared" si="241"/>
        <v>0</v>
      </c>
      <c r="AZ237" s="188">
        <f t="shared" si="241"/>
        <v>0</v>
      </c>
      <c r="BA237" s="188">
        <f t="shared" si="241"/>
        <v>0</v>
      </c>
      <c r="BB237" s="188">
        <f t="shared" si="241"/>
        <v>0</v>
      </c>
      <c r="BC237" s="231"/>
      <c r="BD237" s="296"/>
      <c r="BE237" s="296"/>
      <c r="BF237" s="231"/>
      <c r="BG237" s="231"/>
      <c r="BH237" s="296">
        <v>0</v>
      </c>
      <c r="BI237" s="296">
        <v>0</v>
      </c>
      <c r="BJ237" s="403">
        <f t="shared" si="187"/>
        <v>8600</v>
      </c>
      <c r="BK237" s="403">
        <v>0</v>
      </c>
      <c r="BL237" s="296">
        <f t="shared" si="224"/>
        <v>0</v>
      </c>
      <c r="BM237" s="296">
        <f t="shared" si="191"/>
        <v>0</v>
      </c>
      <c r="BN237" s="205"/>
      <c r="BO237" s="205"/>
      <c r="BP237" s="297"/>
      <c r="BQ237" s="298"/>
      <c r="BR237" s="297"/>
      <c r="BS237" s="298"/>
      <c r="BT237" s="297"/>
      <c r="BU237" s="298"/>
      <c r="BV237" s="297"/>
      <c r="BW237" s="298"/>
      <c r="BX237" s="297"/>
      <c r="BY237" s="298"/>
      <c r="BZ237" s="297"/>
      <c r="CA237" s="298"/>
      <c r="CB237" s="297"/>
      <c r="CC237" s="298"/>
      <c r="CD237" s="297"/>
      <c r="CE237" s="298"/>
      <c r="CF237" s="297"/>
      <c r="CG237" s="298"/>
      <c r="CH237" s="297"/>
      <c r="CI237" s="298"/>
      <c r="CJ237" s="297"/>
      <c r="CK237" s="298"/>
      <c r="CL237" s="297"/>
      <c r="CM237" s="298"/>
      <c r="CN237" s="297"/>
      <c r="CO237" s="298"/>
      <c r="CP237" s="213" t="str">
        <f t="shared" si="193"/>
        <v>Không đạt</v>
      </c>
      <c r="CQ237" s="213" t="str">
        <f t="shared" si="194"/>
        <v>Không đạt</v>
      </c>
      <c r="CR237" s="213"/>
      <c r="CS237" s="213"/>
      <c r="CT237" s="231"/>
      <c r="CU237" s="163"/>
      <c r="CV237" s="252"/>
      <c r="CW237" s="253"/>
      <c r="CX237" s="254"/>
      <c r="CY237" s="254"/>
      <c r="CZ237" s="198"/>
      <c r="DA237" s="254"/>
      <c r="DB237" s="254"/>
      <c r="DC237" s="254"/>
      <c r="DE237" s="199"/>
      <c r="DF237" s="200"/>
      <c r="DG237" s="181"/>
    </row>
    <row r="238" spans="1:111" ht="63.75" hidden="1" outlineLevel="1" x14ac:dyDescent="0.25">
      <c r="A238" s="192">
        <v>1</v>
      </c>
      <c r="B238" s="269" t="s">
        <v>373</v>
      </c>
      <c r="C238" s="269"/>
      <c r="D238" s="214">
        <f>E238+F238</f>
        <v>8600</v>
      </c>
      <c r="E238" s="215">
        <v>8600</v>
      </c>
      <c r="F238" s="214"/>
      <c r="G238" s="257"/>
      <c r="H238" s="223"/>
      <c r="I238" s="235"/>
      <c r="J238" s="235"/>
      <c r="K238" s="223"/>
      <c r="L238" s="235"/>
      <c r="M238" s="223"/>
      <c r="N238" s="223"/>
      <c r="O238" s="223"/>
      <c r="P238" s="223"/>
      <c r="Q238" s="292"/>
      <c r="R238" s="223"/>
      <c r="S238" s="293"/>
      <c r="T238" s="293"/>
      <c r="U238" s="223"/>
      <c r="V238" s="293"/>
      <c r="W238" s="293"/>
      <c r="X238" s="223"/>
      <c r="Y238" s="293"/>
      <c r="Z238" s="293"/>
      <c r="AA238" s="223"/>
      <c r="AB238" s="293"/>
      <c r="AC238" s="293"/>
      <c r="AD238" s="223"/>
      <c r="AE238" s="293"/>
      <c r="AF238" s="293"/>
      <c r="AG238" s="223"/>
      <c r="AH238" s="293"/>
      <c r="AI238" s="293"/>
      <c r="AJ238" s="294"/>
      <c r="AK238" s="293"/>
      <c r="AL238" s="293"/>
      <c r="AM238" s="223"/>
      <c r="AN238" s="293"/>
      <c r="AO238" s="293"/>
      <c r="AP238" s="293"/>
      <c r="AQ238" s="223"/>
      <c r="AR238" s="293"/>
      <c r="AS238" s="293"/>
      <c r="AT238" s="223"/>
      <c r="AU238" s="293"/>
      <c r="AV238" s="293"/>
      <c r="AW238" s="293"/>
      <c r="AX238" s="293"/>
      <c r="AY238" s="293"/>
      <c r="AZ238" s="293"/>
      <c r="BA238" s="293"/>
      <c r="BB238" s="293"/>
      <c r="BC238" s="223"/>
      <c r="BD238" s="293"/>
      <c r="BE238" s="293"/>
      <c r="BF238" s="223"/>
      <c r="BG238" s="223"/>
      <c r="BH238" s="293">
        <v>0</v>
      </c>
      <c r="BI238" s="293">
        <v>0</v>
      </c>
      <c r="BJ238" s="223">
        <f t="shared" si="187"/>
        <v>8600</v>
      </c>
      <c r="BK238" s="223"/>
      <c r="BL238" s="293">
        <f t="shared" si="224"/>
        <v>0</v>
      </c>
      <c r="BM238" s="293">
        <f t="shared" si="191"/>
        <v>0</v>
      </c>
      <c r="BN238" s="205"/>
      <c r="BO238" s="205"/>
      <c r="BP238" s="295"/>
      <c r="BQ238" s="292"/>
      <c r="BR238" s="295"/>
      <c r="BS238" s="292"/>
      <c r="BT238" s="295"/>
      <c r="BU238" s="292"/>
      <c r="BV238" s="295"/>
      <c r="BW238" s="292"/>
      <c r="BX238" s="295"/>
      <c r="BY238" s="292"/>
      <c r="BZ238" s="295"/>
      <c r="CA238" s="292"/>
      <c r="CB238" s="295"/>
      <c r="CC238" s="292"/>
      <c r="CD238" s="295"/>
      <c r="CE238" s="292"/>
      <c r="CF238" s="295"/>
      <c r="CG238" s="292"/>
      <c r="CH238" s="295"/>
      <c r="CI238" s="292"/>
      <c r="CJ238" s="295"/>
      <c r="CK238" s="292"/>
      <c r="CL238" s="295"/>
      <c r="CM238" s="292"/>
      <c r="CN238" s="295"/>
      <c r="CO238" s="292"/>
      <c r="CP238" s="213" t="str">
        <f t="shared" si="193"/>
        <v>Không đạt</v>
      </c>
      <c r="CQ238" s="213" t="str">
        <f t="shared" si="194"/>
        <v>Không đạt</v>
      </c>
      <c r="CR238" s="192"/>
      <c r="CS238" s="192"/>
      <c r="CT238" s="269"/>
      <c r="CU238" s="163"/>
      <c r="CW238" s="195"/>
      <c r="CX238" s="196"/>
      <c r="CY238" s="196"/>
      <c r="CZ238" s="197"/>
      <c r="DA238" s="196"/>
      <c r="DB238" s="196"/>
      <c r="DC238" s="196"/>
      <c r="DE238" s="199"/>
      <c r="DF238" s="200"/>
      <c r="DG238" s="181"/>
    </row>
    <row r="239" spans="1:111" ht="18" customHeight="1" collapsed="1" x14ac:dyDescent="0.25">
      <c r="A239" s="213">
        <v>1</v>
      </c>
      <c r="B239" s="240" t="s">
        <v>375</v>
      </c>
      <c r="C239" s="240"/>
      <c r="D239" s="188">
        <f>D240+D241</f>
        <v>5600</v>
      </c>
      <c r="E239" s="188">
        <f t="shared" ref="E239:K239" si="242">E240+E241</f>
        <v>0</v>
      </c>
      <c r="F239" s="188">
        <f t="shared" si="242"/>
        <v>5600</v>
      </c>
      <c r="G239" s="188">
        <f t="shared" si="242"/>
        <v>3000</v>
      </c>
      <c r="H239" s="188">
        <f t="shared" si="242"/>
        <v>2600</v>
      </c>
      <c r="I239" s="188">
        <f t="shared" si="242"/>
        <v>0</v>
      </c>
      <c r="J239" s="188"/>
      <c r="K239" s="188">
        <f t="shared" si="242"/>
        <v>0</v>
      </c>
      <c r="L239" s="188">
        <f>L240</f>
        <v>0</v>
      </c>
      <c r="M239" s="231"/>
      <c r="N239" s="231"/>
      <c r="O239" s="188">
        <f t="shared" si="190"/>
        <v>3000</v>
      </c>
      <c r="P239" s="188">
        <v>0</v>
      </c>
      <c r="Q239" s="186">
        <f t="shared" si="186"/>
        <v>0</v>
      </c>
      <c r="R239" s="189">
        <v>1892.2939999999999</v>
      </c>
      <c r="S239" s="185">
        <v>0.33790964285714281</v>
      </c>
      <c r="T239" s="185">
        <v>0.35569436090225559</v>
      </c>
      <c r="U239" s="189">
        <v>2162</v>
      </c>
      <c r="V239" s="185">
        <v>0.38607142857142857</v>
      </c>
      <c r="W239" s="185">
        <v>0.40639097744360902</v>
      </c>
      <c r="X239" s="189">
        <v>2162</v>
      </c>
      <c r="Y239" s="185">
        <v>0.38607142857142857</v>
      </c>
      <c r="Z239" s="185">
        <v>0.40639097744360902</v>
      </c>
      <c r="AA239" s="189">
        <v>2162</v>
      </c>
      <c r="AB239" s="185">
        <v>0.38607142857142857</v>
      </c>
      <c r="AC239" s="185">
        <v>0.40639097744360902</v>
      </c>
      <c r="AD239" s="189">
        <v>2771</v>
      </c>
      <c r="AE239" s="185">
        <v>0.59303571428571433</v>
      </c>
      <c r="AF239" s="185">
        <v>0.62424812030075183</v>
      </c>
      <c r="AG239" s="189">
        <v>2771</v>
      </c>
      <c r="AH239" s="185">
        <v>0.59303571428571433</v>
      </c>
      <c r="AI239" s="185">
        <v>0.62424812030075183</v>
      </c>
      <c r="AJ239" s="303">
        <v>2771</v>
      </c>
      <c r="AK239" s="185">
        <v>0.59303571428571433</v>
      </c>
      <c r="AL239" s="185">
        <v>0.62424812030075183</v>
      </c>
      <c r="AM239" s="189">
        <v>2771</v>
      </c>
      <c r="AN239" s="185">
        <v>0.50834750000000006</v>
      </c>
      <c r="AO239" s="185">
        <v>0.53510263157894744</v>
      </c>
      <c r="AP239" s="185"/>
      <c r="AQ239" s="189">
        <v>2850</v>
      </c>
      <c r="AR239" s="185">
        <v>0.5089285714285714</v>
      </c>
      <c r="AS239" s="185">
        <v>0.5357142857142857</v>
      </c>
      <c r="AT239" s="189">
        <v>2850</v>
      </c>
      <c r="AU239" s="185">
        <v>0.5089285714285714</v>
      </c>
      <c r="AV239" s="185">
        <v>0.5357142857142857</v>
      </c>
      <c r="AW239" s="185"/>
      <c r="AX239" s="185"/>
      <c r="AY239" s="185"/>
      <c r="AZ239" s="185"/>
      <c r="BA239" s="185"/>
      <c r="BB239" s="185"/>
      <c r="BC239" s="189">
        <v>2850</v>
      </c>
      <c r="BD239" s="185">
        <v>0.5089285714285714</v>
      </c>
      <c r="BE239" s="185">
        <v>0.5357142857142857</v>
      </c>
      <c r="BF239" s="189"/>
      <c r="BG239" s="189">
        <v>4450</v>
      </c>
      <c r="BH239" s="185">
        <v>0.7946428571428571</v>
      </c>
      <c r="BI239" s="185">
        <v>0.8364661654135338</v>
      </c>
      <c r="BJ239" s="189">
        <f t="shared" si="187"/>
        <v>5320</v>
      </c>
      <c r="BK239" s="189">
        <v>5250</v>
      </c>
      <c r="BL239" s="185">
        <f t="shared" si="224"/>
        <v>0.9375</v>
      </c>
      <c r="BM239" s="185">
        <f t="shared" si="191"/>
        <v>0.98684210526315785</v>
      </c>
      <c r="BN239" s="205">
        <f t="shared" si="180"/>
        <v>2479</v>
      </c>
      <c r="BO239" s="205"/>
      <c r="BP239" s="189">
        <f>BP240+BP241</f>
        <v>0</v>
      </c>
      <c r="BQ239" s="186">
        <f t="shared" si="192"/>
        <v>0</v>
      </c>
      <c r="BR239" s="189">
        <f>BR240+BR241</f>
        <v>0</v>
      </c>
      <c r="BS239" s="186">
        <f t="shared" si="225"/>
        <v>0</v>
      </c>
      <c r="BT239" s="189">
        <f>BT240+BT241</f>
        <v>0</v>
      </c>
      <c r="BU239" s="186">
        <f t="shared" si="226"/>
        <v>0</v>
      </c>
      <c r="BV239" s="189">
        <f>BV240+BV241</f>
        <v>0</v>
      </c>
      <c r="BW239" s="186">
        <f t="shared" si="227"/>
        <v>0</v>
      </c>
      <c r="BX239" s="189">
        <f>BX240+BX241</f>
        <v>300</v>
      </c>
      <c r="BY239" s="186">
        <f t="shared" si="228"/>
        <v>5.3571428571428568E-2</v>
      </c>
      <c r="BZ239" s="189">
        <f>BZ240+BZ241</f>
        <v>450</v>
      </c>
      <c r="CA239" s="186">
        <f t="shared" si="229"/>
        <v>8.0357142857142863E-2</v>
      </c>
      <c r="CB239" s="189">
        <f>CB240+CB241</f>
        <v>750</v>
      </c>
      <c r="CC239" s="186">
        <f t="shared" si="230"/>
        <v>0.13392857142857142</v>
      </c>
      <c r="CD239" s="189">
        <f>CD240+CD241</f>
        <v>1940</v>
      </c>
      <c r="CE239" s="186">
        <f t="shared" si="231"/>
        <v>0.34642857142857142</v>
      </c>
      <c r="CF239" s="189">
        <f>CF240+CF241</f>
        <v>2780</v>
      </c>
      <c r="CG239" s="186">
        <f t="shared" si="232"/>
        <v>0.49642857142857144</v>
      </c>
      <c r="CH239" s="189">
        <f>CH240+CH241</f>
        <v>3672</v>
      </c>
      <c r="CI239" s="186">
        <f t="shared" si="233"/>
        <v>0.65571428571428569</v>
      </c>
      <c r="CJ239" s="189">
        <f>CJ240+CJ241</f>
        <v>4408</v>
      </c>
      <c r="CK239" s="186">
        <f t="shared" si="234"/>
        <v>0.78714285714285714</v>
      </c>
      <c r="CL239" s="189">
        <f>CL240+CL241</f>
        <v>5040</v>
      </c>
      <c r="CM239" s="186">
        <f t="shared" si="235"/>
        <v>0.9</v>
      </c>
      <c r="CN239" s="189">
        <f>CN240+CN241</f>
        <v>5320</v>
      </c>
      <c r="CO239" s="186">
        <f t="shared" si="236"/>
        <v>0.95</v>
      </c>
      <c r="CP239" s="213" t="str">
        <f t="shared" si="193"/>
        <v>Đạt</v>
      </c>
      <c r="CQ239" s="213" t="str">
        <f t="shared" si="194"/>
        <v>Đạt</v>
      </c>
      <c r="CR239" s="213"/>
      <c r="CS239" s="213"/>
      <c r="CT239" s="231"/>
      <c r="CU239" s="163"/>
      <c r="CW239" s="195"/>
      <c r="CX239" s="196"/>
      <c r="CY239" s="196"/>
      <c r="CZ239" s="197"/>
      <c r="DA239" s="196"/>
      <c r="DB239" s="196"/>
      <c r="DC239" s="196"/>
      <c r="DE239" s="199"/>
      <c r="DF239" s="200"/>
      <c r="DG239" s="181"/>
    </row>
    <row r="240" spans="1:111" hidden="1" outlineLevel="1" x14ac:dyDescent="0.25">
      <c r="A240" s="305" t="s">
        <v>34</v>
      </c>
      <c r="B240" s="306" t="s">
        <v>376</v>
      </c>
      <c r="C240" s="306"/>
      <c r="D240" s="307">
        <f t="shared" ref="D240:D317" si="243">E240+F240</f>
        <v>3000</v>
      </c>
      <c r="E240" s="307"/>
      <c r="F240" s="307">
        <f>G240+H240+K240+M240</f>
        <v>3000</v>
      </c>
      <c r="G240" s="307">
        <v>3000</v>
      </c>
      <c r="H240" s="303"/>
      <c r="I240" s="235"/>
      <c r="J240" s="235"/>
      <c r="K240" s="303"/>
      <c r="L240" s="235"/>
      <c r="M240" s="223"/>
      <c r="N240" s="223"/>
      <c r="O240" s="303">
        <f t="shared" si="190"/>
        <v>3000</v>
      </c>
      <c r="P240" s="303">
        <v>0</v>
      </c>
      <c r="Q240" s="308">
        <f t="shared" si="186"/>
        <v>0</v>
      </c>
      <c r="R240" s="303">
        <v>1892.2939999999999</v>
      </c>
      <c r="S240" s="309">
        <v>0.63076466666666664</v>
      </c>
      <c r="T240" s="309">
        <v>0.66396280701754384</v>
      </c>
      <c r="U240" s="303">
        <v>2266.1790000000001</v>
      </c>
      <c r="V240" s="309">
        <v>0.75539299999999998</v>
      </c>
      <c r="W240" s="309">
        <v>0.79515052631578953</v>
      </c>
      <c r="X240" s="303">
        <v>2266.1790000000001</v>
      </c>
      <c r="Y240" s="309">
        <v>0.75539299999999998</v>
      </c>
      <c r="Z240" s="309">
        <v>0.79515052631578953</v>
      </c>
      <c r="AA240" s="303">
        <v>2266.1790000000001</v>
      </c>
      <c r="AB240" s="309">
        <v>0.75539299999999998</v>
      </c>
      <c r="AC240" s="309">
        <v>0.79515052631578953</v>
      </c>
      <c r="AD240" s="303">
        <v>2771</v>
      </c>
      <c r="AE240" s="309">
        <v>1.107</v>
      </c>
      <c r="AF240" s="309">
        <v>1.1652631578947368</v>
      </c>
      <c r="AG240" s="303">
        <v>2771</v>
      </c>
      <c r="AH240" s="309">
        <v>1.107</v>
      </c>
      <c r="AI240" s="309">
        <v>1.1652631578947368</v>
      </c>
      <c r="AJ240" s="303">
        <v>2771</v>
      </c>
      <c r="AK240" s="309">
        <v>1.107</v>
      </c>
      <c r="AL240" s="309">
        <v>1.1652631578947368</v>
      </c>
      <c r="AM240" s="271">
        <v>2771</v>
      </c>
      <c r="AN240" s="309">
        <v>0.94891533333333333</v>
      </c>
      <c r="AO240" s="309">
        <v>0.99885824561403513</v>
      </c>
      <c r="AP240" s="309"/>
      <c r="AQ240" s="271">
        <v>2850</v>
      </c>
      <c r="AR240" s="309">
        <v>0.95</v>
      </c>
      <c r="AS240" s="309">
        <v>1</v>
      </c>
      <c r="AT240" s="271">
        <v>2850</v>
      </c>
      <c r="AU240" s="309">
        <v>0.95</v>
      </c>
      <c r="AV240" s="309">
        <v>1</v>
      </c>
      <c r="AW240" s="309"/>
      <c r="AX240" s="309"/>
      <c r="AY240" s="309"/>
      <c r="AZ240" s="309"/>
      <c r="BA240" s="309"/>
      <c r="BB240" s="309"/>
      <c r="BC240" s="271">
        <v>2850</v>
      </c>
      <c r="BD240" s="309">
        <v>0.95</v>
      </c>
      <c r="BE240" s="309">
        <v>1</v>
      </c>
      <c r="BF240" s="271"/>
      <c r="BG240" s="271">
        <v>2850</v>
      </c>
      <c r="BH240" s="309">
        <v>0.95</v>
      </c>
      <c r="BI240" s="309">
        <v>1</v>
      </c>
      <c r="BJ240" s="401">
        <f t="shared" si="187"/>
        <v>2850</v>
      </c>
      <c r="BK240" s="401">
        <v>2850</v>
      </c>
      <c r="BL240" s="309">
        <f t="shared" si="224"/>
        <v>0.95</v>
      </c>
      <c r="BM240" s="309">
        <f t="shared" si="191"/>
        <v>1</v>
      </c>
      <c r="BN240" s="205">
        <f t="shared" si="180"/>
        <v>79</v>
      </c>
      <c r="BO240" s="205"/>
      <c r="BP240" s="310"/>
      <c r="BQ240" s="308">
        <f t="shared" si="192"/>
        <v>0</v>
      </c>
      <c r="BR240" s="310"/>
      <c r="BS240" s="308">
        <f t="shared" si="225"/>
        <v>0</v>
      </c>
      <c r="BT240" s="310"/>
      <c r="BU240" s="308">
        <f t="shared" si="226"/>
        <v>0</v>
      </c>
      <c r="BV240" s="310"/>
      <c r="BW240" s="311">
        <f>BV240/$D240</f>
        <v>0</v>
      </c>
      <c r="BX240" s="310">
        <v>300</v>
      </c>
      <c r="BY240" s="311">
        <f t="shared" si="228"/>
        <v>0.1</v>
      </c>
      <c r="BZ240" s="310">
        <v>450</v>
      </c>
      <c r="CA240" s="311">
        <f t="shared" si="229"/>
        <v>0.15</v>
      </c>
      <c r="CB240" s="310">
        <v>750</v>
      </c>
      <c r="CC240" s="311">
        <f t="shared" si="230"/>
        <v>0.25</v>
      </c>
      <c r="CD240" s="310">
        <v>900</v>
      </c>
      <c r="CE240" s="311">
        <f t="shared" si="231"/>
        <v>0.3</v>
      </c>
      <c r="CF240" s="310">
        <v>1350</v>
      </c>
      <c r="CG240" s="311">
        <f t="shared" si="232"/>
        <v>0.45</v>
      </c>
      <c r="CH240" s="310">
        <v>1800</v>
      </c>
      <c r="CI240" s="311">
        <f t="shared" si="233"/>
        <v>0.6</v>
      </c>
      <c r="CJ240" s="310">
        <v>2250</v>
      </c>
      <c r="CK240" s="311">
        <f t="shared" si="234"/>
        <v>0.75</v>
      </c>
      <c r="CL240" s="310">
        <v>2700</v>
      </c>
      <c r="CM240" s="311">
        <f t="shared" si="235"/>
        <v>0.9</v>
      </c>
      <c r="CN240" s="310">
        <v>2850</v>
      </c>
      <c r="CO240" s="311">
        <f t="shared" si="236"/>
        <v>0.95</v>
      </c>
      <c r="CP240" s="213" t="str">
        <f t="shared" si="193"/>
        <v>Đạt</v>
      </c>
      <c r="CQ240" s="213" t="str">
        <f t="shared" si="194"/>
        <v>Đạt</v>
      </c>
      <c r="CR240" s="312"/>
      <c r="CS240" s="312"/>
      <c r="CT240" s="235"/>
      <c r="CU240" s="163"/>
      <c r="CW240" s="195"/>
      <c r="CX240" s="196"/>
      <c r="CY240" s="196"/>
      <c r="CZ240" s="197"/>
      <c r="DA240" s="196"/>
      <c r="DB240" s="196"/>
      <c r="DC240" s="196"/>
      <c r="DE240" s="199"/>
      <c r="DF240" s="200"/>
      <c r="DG240" s="181"/>
    </row>
    <row r="241" spans="1:111" ht="25.5" hidden="1" outlineLevel="1" x14ac:dyDescent="0.25">
      <c r="A241" s="305" t="s">
        <v>34</v>
      </c>
      <c r="B241" s="306" t="s">
        <v>377</v>
      </c>
      <c r="C241" s="306"/>
      <c r="D241" s="307">
        <f t="shared" si="243"/>
        <v>2600</v>
      </c>
      <c r="E241" s="307"/>
      <c r="F241" s="307">
        <f>G241+H241+K241+M241</f>
        <v>2600</v>
      </c>
      <c r="G241" s="307"/>
      <c r="H241" s="307">
        <v>2600</v>
      </c>
      <c r="I241" s="235"/>
      <c r="J241" s="235"/>
      <c r="K241" s="303"/>
      <c r="L241" s="235"/>
      <c r="M241" s="223"/>
      <c r="N241" s="223"/>
      <c r="O241" s="303"/>
      <c r="P241" s="303">
        <v>0</v>
      </c>
      <c r="Q241" s="308">
        <f t="shared" si="186"/>
        <v>0</v>
      </c>
      <c r="R241" s="303"/>
      <c r="S241" s="225">
        <v>0</v>
      </c>
      <c r="T241" s="225">
        <v>0</v>
      </c>
      <c r="U241" s="303"/>
      <c r="V241" s="225">
        <v>0</v>
      </c>
      <c r="W241" s="225">
        <v>0</v>
      </c>
      <c r="X241" s="303"/>
      <c r="Y241" s="225">
        <v>0</v>
      </c>
      <c r="Z241" s="225">
        <v>0</v>
      </c>
      <c r="AA241" s="303"/>
      <c r="AB241" s="225">
        <v>0</v>
      </c>
      <c r="AC241" s="225">
        <v>0</v>
      </c>
      <c r="AD241" s="303"/>
      <c r="AE241" s="225">
        <v>0</v>
      </c>
      <c r="AF241" s="225">
        <v>0</v>
      </c>
      <c r="AG241" s="303"/>
      <c r="AH241" s="225">
        <v>0</v>
      </c>
      <c r="AI241" s="225">
        <v>0</v>
      </c>
      <c r="AJ241" s="189"/>
      <c r="AK241" s="225">
        <v>0</v>
      </c>
      <c r="AL241" s="225">
        <v>0</v>
      </c>
      <c r="AM241" s="303"/>
      <c r="AN241" s="225">
        <v>0</v>
      </c>
      <c r="AO241" s="225">
        <v>0</v>
      </c>
      <c r="AP241" s="225"/>
      <c r="AQ241" s="303"/>
      <c r="AR241" s="225">
        <v>0</v>
      </c>
      <c r="AS241" s="225">
        <v>0</v>
      </c>
      <c r="AT241" s="303"/>
      <c r="AU241" s="225">
        <v>0</v>
      </c>
      <c r="AV241" s="225">
        <v>0</v>
      </c>
      <c r="AW241" s="225"/>
      <c r="AX241" s="225"/>
      <c r="AY241" s="225"/>
      <c r="AZ241" s="225"/>
      <c r="BA241" s="225"/>
      <c r="BB241" s="225"/>
      <c r="BC241" s="303"/>
      <c r="BD241" s="225">
        <v>0</v>
      </c>
      <c r="BE241" s="225">
        <v>0</v>
      </c>
      <c r="BF241" s="303"/>
      <c r="BG241" s="303">
        <v>1600</v>
      </c>
      <c r="BH241" s="225">
        <v>0.61538461538461542</v>
      </c>
      <c r="BI241" s="225">
        <v>0.64777327935222673</v>
      </c>
      <c r="BJ241" s="303">
        <f t="shared" si="187"/>
        <v>2470</v>
      </c>
      <c r="BK241" s="303">
        <v>2295</v>
      </c>
      <c r="BL241" s="225">
        <f t="shared" si="224"/>
        <v>0.88269230769230766</v>
      </c>
      <c r="BM241" s="225">
        <f t="shared" si="191"/>
        <v>0.92914979757085026</v>
      </c>
      <c r="BN241" s="205">
        <f t="shared" si="180"/>
        <v>2295</v>
      </c>
      <c r="BO241" s="205"/>
      <c r="BP241" s="310"/>
      <c r="BQ241" s="224">
        <f t="shared" si="192"/>
        <v>0</v>
      </c>
      <c r="BR241" s="310"/>
      <c r="BS241" s="224">
        <f t="shared" si="225"/>
        <v>0</v>
      </c>
      <c r="BT241" s="310"/>
      <c r="BU241" s="308">
        <f t="shared" si="226"/>
        <v>0</v>
      </c>
      <c r="BV241" s="310"/>
      <c r="BW241" s="311">
        <f t="shared" si="226"/>
        <v>0</v>
      </c>
      <c r="BX241" s="310"/>
      <c r="BY241" s="311">
        <f t="shared" si="228"/>
        <v>0</v>
      </c>
      <c r="BZ241" s="310"/>
      <c r="CA241" s="311">
        <f t="shared" si="229"/>
        <v>0</v>
      </c>
      <c r="CB241" s="310"/>
      <c r="CC241" s="311">
        <f t="shared" si="230"/>
        <v>0</v>
      </c>
      <c r="CD241" s="310">
        <v>1040</v>
      </c>
      <c r="CE241" s="311">
        <f t="shared" si="231"/>
        <v>0.4</v>
      </c>
      <c r="CF241" s="310">
        <v>1430</v>
      </c>
      <c r="CG241" s="311">
        <f t="shared" si="232"/>
        <v>0.55000000000000004</v>
      </c>
      <c r="CH241" s="310">
        <v>1872</v>
      </c>
      <c r="CI241" s="311">
        <f t="shared" si="233"/>
        <v>0.72</v>
      </c>
      <c r="CJ241" s="310">
        <v>2158</v>
      </c>
      <c r="CK241" s="311">
        <f t="shared" si="234"/>
        <v>0.83</v>
      </c>
      <c r="CL241" s="310">
        <v>2340</v>
      </c>
      <c r="CM241" s="311">
        <f t="shared" si="235"/>
        <v>0.9</v>
      </c>
      <c r="CN241" s="310">
        <v>2470</v>
      </c>
      <c r="CO241" s="311">
        <f t="shared" si="236"/>
        <v>0.95</v>
      </c>
      <c r="CP241" s="213" t="str">
        <f t="shared" si="193"/>
        <v>Đạt</v>
      </c>
      <c r="CQ241" s="213" t="str">
        <f t="shared" si="194"/>
        <v>Đạt</v>
      </c>
      <c r="CR241" s="312"/>
      <c r="CS241" s="312"/>
      <c r="CT241" s="235"/>
      <c r="CU241" s="163"/>
      <c r="CW241" s="195"/>
      <c r="CX241" s="196"/>
      <c r="CY241" s="196"/>
      <c r="CZ241" s="197"/>
      <c r="DA241" s="196"/>
      <c r="DB241" s="196"/>
      <c r="DC241" s="196"/>
      <c r="DE241" s="199"/>
      <c r="DF241" s="200"/>
      <c r="DG241" s="181"/>
    </row>
    <row r="242" spans="1:111" ht="18" customHeight="1" collapsed="1" x14ac:dyDescent="0.25">
      <c r="A242" s="213">
        <f>MAX(A$239:A240)+1</f>
        <v>2</v>
      </c>
      <c r="B242" s="240" t="s">
        <v>378</v>
      </c>
      <c r="C242" s="240"/>
      <c r="D242" s="188">
        <f t="shared" ref="D242:I242" si="244">D243+D244</f>
        <v>8200</v>
      </c>
      <c r="E242" s="188">
        <f t="shared" si="244"/>
        <v>0</v>
      </c>
      <c r="F242" s="188">
        <f t="shared" si="244"/>
        <v>8200</v>
      </c>
      <c r="G242" s="188">
        <f t="shared" si="244"/>
        <v>3000</v>
      </c>
      <c r="H242" s="188">
        <f t="shared" si="244"/>
        <v>5200</v>
      </c>
      <c r="I242" s="188">
        <f t="shared" si="244"/>
        <v>0</v>
      </c>
      <c r="J242" s="188"/>
      <c r="K242" s="188">
        <f>K243+K244</f>
        <v>0</v>
      </c>
      <c r="L242" s="188">
        <f>L243+L244</f>
        <v>0</v>
      </c>
      <c r="M242" s="188">
        <f>M243+M244</f>
        <v>0</v>
      </c>
      <c r="N242" s="188">
        <f>N243+N244</f>
        <v>0</v>
      </c>
      <c r="O242" s="188">
        <f>O243+O244</f>
        <v>3000</v>
      </c>
      <c r="P242" s="188">
        <v>0</v>
      </c>
      <c r="Q242" s="186">
        <f t="shared" si="186"/>
        <v>0</v>
      </c>
      <c r="R242" s="189">
        <v>1175.9293540000001</v>
      </c>
      <c r="S242" s="185">
        <v>0.14340601878048781</v>
      </c>
      <c r="T242" s="185">
        <v>0.15095370397946087</v>
      </c>
      <c r="U242" s="189">
        <v>1175.9293540000001</v>
      </c>
      <c r="V242" s="185">
        <v>0.14340601878048781</v>
      </c>
      <c r="W242" s="185">
        <v>0.15095370397946087</v>
      </c>
      <c r="X242" s="189">
        <v>1175.9293540000001</v>
      </c>
      <c r="Y242" s="185">
        <v>0.14340601878048781</v>
      </c>
      <c r="Z242" s="185">
        <v>0.15095370397946087</v>
      </c>
      <c r="AA242" s="189">
        <v>1175.9293540000001</v>
      </c>
      <c r="AB242" s="185">
        <v>0.14340601878048781</v>
      </c>
      <c r="AC242" s="185">
        <v>0.15095370397946087</v>
      </c>
      <c r="AD242" s="189">
        <v>1175.9293540000001</v>
      </c>
      <c r="AE242" s="185">
        <v>0.14340601878048781</v>
      </c>
      <c r="AF242" s="185">
        <v>0.15095370397946087</v>
      </c>
      <c r="AG242" s="189">
        <v>1175.9293540000001</v>
      </c>
      <c r="AH242" s="185">
        <v>0.14340601878048781</v>
      </c>
      <c r="AI242" s="185">
        <v>0.15095370397946087</v>
      </c>
      <c r="AJ242" s="303">
        <v>1175.9293540000001</v>
      </c>
      <c r="AK242" s="185">
        <v>0.14340601878048781</v>
      </c>
      <c r="AL242" s="185">
        <v>0.15095370397946087</v>
      </c>
      <c r="AM242" s="189">
        <v>2347.4313540000003</v>
      </c>
      <c r="AN242" s="185">
        <v>0.28627211634146343</v>
      </c>
      <c r="AO242" s="185">
        <v>0.30133906983311942</v>
      </c>
      <c r="AP242" s="185"/>
      <c r="AQ242" s="189">
        <v>2347.4313540000003</v>
      </c>
      <c r="AR242" s="185">
        <v>0.28627211634146343</v>
      </c>
      <c r="AS242" s="185">
        <v>0.30133906983311942</v>
      </c>
      <c r="AT242" s="189">
        <v>2347.4313540000003</v>
      </c>
      <c r="AU242" s="185">
        <v>0.28627211634146343</v>
      </c>
      <c r="AV242" s="185">
        <v>0.30133906983311942</v>
      </c>
      <c r="AW242" s="185"/>
      <c r="AX242" s="185"/>
      <c r="AY242" s="185"/>
      <c r="AZ242" s="185"/>
      <c r="BA242" s="185"/>
      <c r="BB242" s="185"/>
      <c r="BC242" s="189">
        <v>2347.4313540000003</v>
      </c>
      <c r="BD242" s="185">
        <v>0.28627211634146343</v>
      </c>
      <c r="BE242" s="185">
        <v>0.30133906983311942</v>
      </c>
      <c r="BF242" s="189"/>
      <c r="BG242" s="189">
        <v>2347.4313540000003</v>
      </c>
      <c r="BH242" s="185">
        <v>0.28627211634146343</v>
      </c>
      <c r="BI242" s="185">
        <v>0.30133906983311942</v>
      </c>
      <c r="BJ242" s="189">
        <f t="shared" si="187"/>
        <v>7790</v>
      </c>
      <c r="BK242" s="189">
        <f>BK243+BK244</f>
        <v>2353</v>
      </c>
      <c r="BL242" s="185">
        <f t="shared" si="224"/>
        <v>0.2869512195121951</v>
      </c>
      <c r="BM242" s="185">
        <f t="shared" si="191"/>
        <v>0.30205391527599484</v>
      </c>
      <c r="BN242" s="205">
        <f t="shared" si="180"/>
        <v>1177.0706459999999</v>
      </c>
      <c r="BO242" s="205"/>
      <c r="BP242" s="189">
        <f>BP243+BP244</f>
        <v>0</v>
      </c>
      <c r="BQ242" s="186">
        <f t="shared" si="192"/>
        <v>0</v>
      </c>
      <c r="BR242" s="189">
        <f>BR243+BR244</f>
        <v>1500</v>
      </c>
      <c r="BS242" s="186">
        <f t="shared" si="225"/>
        <v>0.18292682926829268</v>
      </c>
      <c r="BT242" s="189">
        <f>BT243+BT244</f>
        <v>2000</v>
      </c>
      <c r="BU242" s="186">
        <f t="shared" si="226"/>
        <v>0.24390243902439024</v>
      </c>
      <c r="BV242" s="189">
        <f>BV243+BV244</f>
        <v>2850</v>
      </c>
      <c r="BW242" s="186">
        <f t="shared" si="226"/>
        <v>0.34756097560975607</v>
      </c>
      <c r="BX242" s="189">
        <f>BX243+BX244</f>
        <v>2850</v>
      </c>
      <c r="BY242" s="186">
        <f t="shared" si="228"/>
        <v>0.34756097560975607</v>
      </c>
      <c r="BZ242" s="189">
        <f>BZ243+BZ244</f>
        <v>3050</v>
      </c>
      <c r="CA242" s="186">
        <f t="shared" si="229"/>
        <v>0.37195121951219512</v>
      </c>
      <c r="CB242" s="189">
        <f>CB243+CB244</f>
        <v>3250</v>
      </c>
      <c r="CC242" s="186">
        <f t="shared" si="230"/>
        <v>0.39634146341463417</v>
      </c>
      <c r="CD242" s="189">
        <f>CD243+CD244</f>
        <v>3850</v>
      </c>
      <c r="CE242" s="186">
        <f t="shared" si="231"/>
        <v>0.46951219512195119</v>
      </c>
      <c r="CF242" s="189">
        <f>CF243+CF244</f>
        <v>4350</v>
      </c>
      <c r="CG242" s="186">
        <f t="shared" si="232"/>
        <v>0.53048780487804881</v>
      </c>
      <c r="CH242" s="189">
        <f>CH243+CH244</f>
        <v>5350</v>
      </c>
      <c r="CI242" s="186">
        <f t="shared" si="233"/>
        <v>0.65243902439024393</v>
      </c>
      <c r="CJ242" s="189">
        <f>CJ243+CJ244</f>
        <v>6350</v>
      </c>
      <c r="CK242" s="186">
        <f t="shared" si="234"/>
        <v>0.77439024390243905</v>
      </c>
      <c r="CL242" s="189">
        <f>CL243+CL244</f>
        <v>7350</v>
      </c>
      <c r="CM242" s="186">
        <f t="shared" si="235"/>
        <v>0.89634146341463417</v>
      </c>
      <c r="CN242" s="189">
        <f>CN243+CN244</f>
        <v>7790</v>
      </c>
      <c r="CO242" s="186">
        <f t="shared" si="236"/>
        <v>0.95</v>
      </c>
      <c r="CP242" s="213" t="str">
        <f t="shared" si="193"/>
        <v>Không đạt</v>
      </c>
      <c r="CQ242" s="213" t="str">
        <f t="shared" si="194"/>
        <v>Không đạt</v>
      </c>
      <c r="CR242" s="213"/>
      <c r="CS242" s="213"/>
      <c r="CT242" s="231"/>
      <c r="CU242" s="163"/>
      <c r="CW242" s="195"/>
      <c r="CX242" s="196"/>
      <c r="CY242" s="196"/>
      <c r="CZ242" s="197"/>
      <c r="DA242" s="196"/>
      <c r="DB242" s="196"/>
      <c r="DC242" s="196"/>
      <c r="DE242" s="199"/>
      <c r="DF242" s="200"/>
      <c r="DG242" s="181"/>
    </row>
    <row r="243" spans="1:111" hidden="1" outlineLevel="1" x14ac:dyDescent="0.25">
      <c r="A243" s="305" t="s">
        <v>34</v>
      </c>
      <c r="B243" s="306" t="s">
        <v>376</v>
      </c>
      <c r="C243" s="306"/>
      <c r="D243" s="307">
        <f t="shared" si="243"/>
        <v>3000</v>
      </c>
      <c r="E243" s="307"/>
      <c r="F243" s="307">
        <f>G243+H243+K243+M243</f>
        <v>3000</v>
      </c>
      <c r="G243" s="307">
        <v>3000</v>
      </c>
      <c r="H243" s="303"/>
      <c r="I243" s="303"/>
      <c r="J243" s="303"/>
      <c r="K243" s="303"/>
      <c r="L243" s="303"/>
      <c r="M243" s="223"/>
      <c r="N243" s="223"/>
      <c r="O243" s="303">
        <f t="shared" si="190"/>
        <v>3000</v>
      </c>
      <c r="P243" s="303">
        <v>0</v>
      </c>
      <c r="Q243" s="308">
        <f t="shared" si="186"/>
        <v>0</v>
      </c>
      <c r="R243" s="303">
        <v>1175.9293540000001</v>
      </c>
      <c r="S243" s="313">
        <v>0.39197645133333336</v>
      </c>
      <c r="T243" s="313">
        <v>0.41260679087719304</v>
      </c>
      <c r="U243" s="303">
        <v>1175.9293540000001</v>
      </c>
      <c r="V243" s="313">
        <v>0.39197645133333336</v>
      </c>
      <c r="W243" s="313">
        <v>0.41260679087719304</v>
      </c>
      <c r="X243" s="303">
        <v>1175.9293540000001</v>
      </c>
      <c r="Y243" s="313">
        <v>0.39197645133333336</v>
      </c>
      <c r="Z243" s="313">
        <v>0.41260679087719304</v>
      </c>
      <c r="AA243" s="303">
        <v>1175.9293540000001</v>
      </c>
      <c r="AB243" s="313">
        <v>0.39197645133333336</v>
      </c>
      <c r="AC243" s="313">
        <v>0.41260679087719304</v>
      </c>
      <c r="AD243" s="303">
        <v>1175.9293540000001</v>
      </c>
      <c r="AE243" s="313">
        <v>0.39197645133333336</v>
      </c>
      <c r="AF243" s="313">
        <v>0.41260679087719304</v>
      </c>
      <c r="AG243" s="303">
        <v>1175.9293540000001</v>
      </c>
      <c r="AH243" s="313">
        <v>0.39197645133333336</v>
      </c>
      <c r="AI243" s="313">
        <v>0.41260679087719304</v>
      </c>
      <c r="AJ243" s="303">
        <v>1175.9293540000001</v>
      </c>
      <c r="AK243" s="313">
        <v>0.39197645133333336</v>
      </c>
      <c r="AL243" s="313">
        <v>0.41260679087719304</v>
      </c>
      <c r="AM243" s="303">
        <v>2347.4313540000003</v>
      </c>
      <c r="AN243" s="313">
        <v>0.78247711800000008</v>
      </c>
      <c r="AO243" s="313">
        <v>0.82366012421052637</v>
      </c>
      <c r="AP243" s="313"/>
      <c r="AQ243" s="303">
        <v>2347.4313540000003</v>
      </c>
      <c r="AR243" s="313">
        <v>0.78247711800000008</v>
      </c>
      <c r="AS243" s="313">
        <v>0.82366012421052637</v>
      </c>
      <c r="AT243" s="303">
        <v>2347.4313540000003</v>
      </c>
      <c r="AU243" s="313">
        <v>0.78247711800000008</v>
      </c>
      <c r="AV243" s="313">
        <v>0.82366012421052637</v>
      </c>
      <c r="AW243" s="313"/>
      <c r="AX243" s="313"/>
      <c r="AY243" s="313"/>
      <c r="AZ243" s="313"/>
      <c r="BA243" s="313"/>
      <c r="BB243" s="313"/>
      <c r="BC243" s="303">
        <v>2347.4313540000003</v>
      </c>
      <c r="BD243" s="313">
        <v>0.78247711800000008</v>
      </c>
      <c r="BE243" s="313">
        <v>0.82366012421052637</v>
      </c>
      <c r="BF243" s="303"/>
      <c r="BG243" s="303">
        <v>2347.4313540000003</v>
      </c>
      <c r="BH243" s="313">
        <v>0.78247711800000008</v>
      </c>
      <c r="BI243" s="313">
        <v>0.82366012421052637</v>
      </c>
      <c r="BJ243" s="303">
        <f t="shared" si="187"/>
        <v>2850</v>
      </c>
      <c r="BK243" s="303">
        <v>2353</v>
      </c>
      <c r="BL243" s="313">
        <f t="shared" si="224"/>
        <v>0.78433333333333333</v>
      </c>
      <c r="BM243" s="313">
        <f t="shared" si="191"/>
        <v>0.82561403508771924</v>
      </c>
      <c r="BN243" s="205">
        <f t="shared" si="180"/>
        <v>1177.0706459999999</v>
      </c>
      <c r="BO243" s="205"/>
      <c r="BP243" s="310"/>
      <c r="BQ243" s="311">
        <f t="shared" si="192"/>
        <v>0</v>
      </c>
      <c r="BR243" s="310">
        <v>1500</v>
      </c>
      <c r="BS243" s="311">
        <f t="shared" si="225"/>
        <v>0.5</v>
      </c>
      <c r="BT243" s="310">
        <v>2000</v>
      </c>
      <c r="BU243" s="308">
        <f t="shared" ref="BU243:BW256" si="245">BT243/$D243</f>
        <v>0.66666666666666663</v>
      </c>
      <c r="BV243" s="310">
        <v>2850</v>
      </c>
      <c r="BW243" s="311">
        <f t="shared" si="245"/>
        <v>0.95</v>
      </c>
      <c r="BX243" s="310">
        <v>2850</v>
      </c>
      <c r="BY243" s="311">
        <f t="shared" si="228"/>
        <v>0.95</v>
      </c>
      <c r="BZ243" s="310">
        <v>2850</v>
      </c>
      <c r="CA243" s="311">
        <f t="shared" si="229"/>
        <v>0.95</v>
      </c>
      <c r="CB243" s="310">
        <v>2850</v>
      </c>
      <c r="CC243" s="311">
        <f t="shared" si="230"/>
        <v>0.95</v>
      </c>
      <c r="CD243" s="310">
        <v>2850</v>
      </c>
      <c r="CE243" s="311">
        <f t="shared" si="231"/>
        <v>0.95</v>
      </c>
      <c r="CF243" s="310">
        <v>2850</v>
      </c>
      <c r="CG243" s="311">
        <f t="shared" si="232"/>
        <v>0.95</v>
      </c>
      <c r="CH243" s="310">
        <v>2850</v>
      </c>
      <c r="CI243" s="311">
        <f t="shared" si="233"/>
        <v>0.95</v>
      </c>
      <c r="CJ243" s="310">
        <v>2850</v>
      </c>
      <c r="CK243" s="311">
        <f t="shared" si="234"/>
        <v>0.95</v>
      </c>
      <c r="CL243" s="310">
        <v>2850</v>
      </c>
      <c r="CM243" s="311">
        <f t="shared" si="235"/>
        <v>0.95</v>
      </c>
      <c r="CN243" s="310">
        <v>2850</v>
      </c>
      <c r="CO243" s="311">
        <f t="shared" si="236"/>
        <v>0.95</v>
      </c>
      <c r="CP243" s="213" t="str">
        <f t="shared" si="193"/>
        <v>Đạt</v>
      </c>
      <c r="CQ243" s="213" t="str">
        <f t="shared" si="194"/>
        <v>Đạt</v>
      </c>
      <c r="CR243" s="312"/>
      <c r="CS243" s="312"/>
      <c r="CT243" s="235"/>
      <c r="CU243" s="163"/>
      <c r="CW243" s="195"/>
      <c r="CX243" s="196"/>
      <c r="CY243" s="196"/>
      <c r="CZ243" s="197"/>
      <c r="DA243" s="196"/>
      <c r="DB243" s="196"/>
      <c r="DC243" s="196"/>
      <c r="DE243" s="199"/>
      <c r="DF243" s="200"/>
      <c r="DG243" s="181"/>
    </row>
    <row r="244" spans="1:111" ht="25.5" hidden="1" outlineLevel="1" x14ac:dyDescent="0.25">
      <c r="A244" s="305" t="s">
        <v>34</v>
      </c>
      <c r="B244" s="306" t="s">
        <v>377</v>
      </c>
      <c r="C244" s="306"/>
      <c r="D244" s="307">
        <f t="shared" si="243"/>
        <v>5200</v>
      </c>
      <c r="E244" s="307"/>
      <c r="F244" s="307">
        <f>G244+H244+K244+M244</f>
        <v>5200</v>
      </c>
      <c r="G244" s="307"/>
      <c r="H244" s="307">
        <v>5200</v>
      </c>
      <c r="I244" s="235"/>
      <c r="J244" s="235"/>
      <c r="K244" s="303"/>
      <c r="L244" s="235"/>
      <c r="M244" s="223"/>
      <c r="N244" s="223"/>
      <c r="O244" s="303"/>
      <c r="P244" s="303">
        <v>0</v>
      </c>
      <c r="Q244" s="308">
        <f t="shared" si="186"/>
        <v>0</v>
      </c>
      <c r="R244" s="303"/>
      <c r="S244" s="313">
        <v>0</v>
      </c>
      <c r="T244" s="313">
        <v>0</v>
      </c>
      <c r="U244" s="303"/>
      <c r="V244" s="313">
        <v>0</v>
      </c>
      <c r="W244" s="313">
        <v>0</v>
      </c>
      <c r="X244" s="303"/>
      <c r="Y244" s="313">
        <v>0</v>
      </c>
      <c r="Z244" s="313">
        <v>0</v>
      </c>
      <c r="AA244" s="303"/>
      <c r="AB244" s="313">
        <v>0</v>
      </c>
      <c r="AC244" s="313">
        <v>0</v>
      </c>
      <c r="AD244" s="303"/>
      <c r="AE244" s="313">
        <v>0</v>
      </c>
      <c r="AF244" s="313">
        <v>0</v>
      </c>
      <c r="AG244" s="303"/>
      <c r="AH244" s="313">
        <v>0</v>
      </c>
      <c r="AI244" s="313">
        <v>0</v>
      </c>
      <c r="AJ244" s="188"/>
      <c r="AK244" s="313">
        <v>0</v>
      </c>
      <c r="AL244" s="313">
        <v>0</v>
      </c>
      <c r="AM244" s="303"/>
      <c r="AN244" s="313">
        <v>0</v>
      </c>
      <c r="AO244" s="313">
        <v>0</v>
      </c>
      <c r="AP244" s="313"/>
      <c r="AQ244" s="303"/>
      <c r="AR244" s="313">
        <v>0</v>
      </c>
      <c r="AS244" s="313">
        <v>0</v>
      </c>
      <c r="AT244" s="303"/>
      <c r="AU244" s="313">
        <v>0</v>
      </c>
      <c r="AV244" s="313">
        <v>0</v>
      </c>
      <c r="AW244" s="313"/>
      <c r="AX244" s="313"/>
      <c r="AY244" s="313"/>
      <c r="AZ244" s="313"/>
      <c r="BA244" s="313"/>
      <c r="BB244" s="313"/>
      <c r="BC244" s="303"/>
      <c r="BD244" s="313">
        <v>0</v>
      </c>
      <c r="BE244" s="313">
        <v>0</v>
      </c>
      <c r="BF244" s="303"/>
      <c r="BG244" s="303"/>
      <c r="BH244" s="313">
        <v>0</v>
      </c>
      <c r="BI244" s="313">
        <v>0</v>
      </c>
      <c r="BJ244" s="303">
        <f t="shared" si="187"/>
        <v>4940</v>
      </c>
      <c r="BK244" s="303"/>
      <c r="BL244" s="313">
        <f t="shared" si="224"/>
        <v>0</v>
      </c>
      <c r="BM244" s="313">
        <f t="shared" si="191"/>
        <v>0</v>
      </c>
      <c r="BN244" s="205">
        <f t="shared" si="180"/>
        <v>0</v>
      </c>
      <c r="BO244" s="205"/>
      <c r="BP244" s="310"/>
      <c r="BQ244" s="311">
        <f t="shared" si="192"/>
        <v>0</v>
      </c>
      <c r="BR244" s="310"/>
      <c r="BS244" s="311">
        <f t="shared" si="225"/>
        <v>0</v>
      </c>
      <c r="BT244" s="310"/>
      <c r="BU244" s="308">
        <f t="shared" si="245"/>
        <v>0</v>
      </c>
      <c r="BV244" s="310"/>
      <c r="BW244" s="311">
        <f t="shared" si="245"/>
        <v>0</v>
      </c>
      <c r="BX244" s="310"/>
      <c r="BY244" s="311">
        <f t="shared" si="228"/>
        <v>0</v>
      </c>
      <c r="BZ244" s="310">
        <v>200</v>
      </c>
      <c r="CA244" s="311">
        <f t="shared" si="229"/>
        <v>3.8461538461538464E-2</v>
      </c>
      <c r="CB244" s="310">
        <v>400</v>
      </c>
      <c r="CC244" s="311">
        <f t="shared" si="230"/>
        <v>7.6923076923076927E-2</v>
      </c>
      <c r="CD244" s="310">
        <v>1000</v>
      </c>
      <c r="CE244" s="311">
        <f t="shared" si="231"/>
        <v>0.19230769230769232</v>
      </c>
      <c r="CF244" s="310">
        <v>1500</v>
      </c>
      <c r="CG244" s="311">
        <f t="shared" si="232"/>
        <v>0.28846153846153844</v>
      </c>
      <c r="CH244" s="310">
        <v>2500</v>
      </c>
      <c r="CI244" s="311">
        <f t="shared" si="233"/>
        <v>0.48076923076923078</v>
      </c>
      <c r="CJ244" s="310">
        <v>3500</v>
      </c>
      <c r="CK244" s="311">
        <f t="shared" si="234"/>
        <v>0.67307692307692313</v>
      </c>
      <c r="CL244" s="310">
        <v>4500</v>
      </c>
      <c r="CM244" s="311">
        <f t="shared" si="235"/>
        <v>0.86538461538461542</v>
      </c>
      <c r="CN244" s="310">
        <v>4940</v>
      </c>
      <c r="CO244" s="311">
        <f t="shared" si="236"/>
        <v>0.95</v>
      </c>
      <c r="CP244" s="213" t="str">
        <f t="shared" si="193"/>
        <v>Không đạt</v>
      </c>
      <c r="CQ244" s="213" t="str">
        <f t="shared" si="194"/>
        <v>Không đạt</v>
      </c>
      <c r="CR244" s="312"/>
      <c r="CS244" s="312"/>
      <c r="CT244" s="235"/>
      <c r="CU244" s="163"/>
      <c r="CW244" s="195"/>
      <c r="CX244" s="196"/>
      <c r="CY244" s="196"/>
      <c r="CZ244" s="197"/>
      <c r="DA244" s="196"/>
      <c r="DB244" s="196"/>
      <c r="DC244" s="196"/>
      <c r="DE244" s="199"/>
      <c r="DF244" s="200"/>
      <c r="DG244" s="181"/>
    </row>
    <row r="245" spans="1:111" ht="18" customHeight="1" collapsed="1" x14ac:dyDescent="0.25">
      <c r="A245" s="213">
        <f>MAX(A$239:A243)+1</f>
        <v>3</v>
      </c>
      <c r="B245" s="240" t="s">
        <v>379</v>
      </c>
      <c r="C245" s="240"/>
      <c r="D245" s="188">
        <f t="shared" ref="D245:I245" si="246">D246+D247</f>
        <v>21400</v>
      </c>
      <c r="E245" s="188">
        <f t="shared" si="246"/>
        <v>0</v>
      </c>
      <c r="F245" s="188">
        <f t="shared" si="246"/>
        <v>21400</v>
      </c>
      <c r="G245" s="188">
        <f t="shared" si="246"/>
        <v>3000</v>
      </c>
      <c r="H245" s="188">
        <f t="shared" si="246"/>
        <v>18400</v>
      </c>
      <c r="I245" s="188">
        <f t="shared" si="246"/>
        <v>0</v>
      </c>
      <c r="J245" s="188"/>
      <c r="K245" s="188">
        <f>K246+K247</f>
        <v>0</v>
      </c>
      <c r="L245" s="188">
        <f>L246+L247</f>
        <v>0</v>
      </c>
      <c r="M245" s="188">
        <f>M246+M247</f>
        <v>0</v>
      </c>
      <c r="N245" s="188">
        <f>N246+N247</f>
        <v>0</v>
      </c>
      <c r="O245" s="188">
        <f>O246+O247</f>
        <v>3000</v>
      </c>
      <c r="P245" s="188">
        <v>0</v>
      </c>
      <c r="Q245" s="186">
        <f t="shared" si="186"/>
        <v>0</v>
      </c>
      <c r="R245" s="188">
        <v>0</v>
      </c>
      <c r="S245" s="185">
        <v>0</v>
      </c>
      <c r="T245" s="185">
        <v>0</v>
      </c>
      <c r="U245" s="188">
        <v>0</v>
      </c>
      <c r="V245" s="185">
        <v>0</v>
      </c>
      <c r="W245" s="185">
        <v>0</v>
      </c>
      <c r="X245" s="188">
        <v>0</v>
      </c>
      <c r="Y245" s="185">
        <v>0</v>
      </c>
      <c r="Z245" s="185">
        <v>0</v>
      </c>
      <c r="AA245" s="188">
        <v>0</v>
      </c>
      <c r="AB245" s="185">
        <v>0</v>
      </c>
      <c r="AC245" s="185">
        <v>0</v>
      </c>
      <c r="AD245" s="188">
        <v>0</v>
      </c>
      <c r="AE245" s="185">
        <v>0</v>
      </c>
      <c r="AF245" s="185">
        <v>0</v>
      </c>
      <c r="AG245" s="188">
        <v>0</v>
      </c>
      <c r="AH245" s="185">
        <v>0</v>
      </c>
      <c r="AI245" s="185">
        <v>0</v>
      </c>
      <c r="AJ245" s="303">
        <v>0</v>
      </c>
      <c r="AK245" s="185">
        <v>0</v>
      </c>
      <c r="AL245" s="185">
        <v>0</v>
      </c>
      <c r="AM245" s="314">
        <v>0</v>
      </c>
      <c r="AN245" s="185">
        <v>0</v>
      </c>
      <c r="AO245" s="185">
        <v>0</v>
      </c>
      <c r="AP245" s="185"/>
      <c r="AQ245" s="188">
        <v>0</v>
      </c>
      <c r="AR245" s="185">
        <v>0</v>
      </c>
      <c r="AS245" s="185">
        <v>0</v>
      </c>
      <c r="AT245" s="188">
        <v>0</v>
      </c>
      <c r="AU245" s="185">
        <v>0</v>
      </c>
      <c r="AV245" s="185">
        <v>0</v>
      </c>
      <c r="AW245" s="185"/>
      <c r="AX245" s="185"/>
      <c r="AY245" s="185"/>
      <c r="AZ245" s="185"/>
      <c r="BA245" s="185"/>
      <c r="BB245" s="185"/>
      <c r="BC245" s="188">
        <v>0</v>
      </c>
      <c r="BD245" s="185">
        <v>0</v>
      </c>
      <c r="BE245" s="185">
        <v>0</v>
      </c>
      <c r="BF245" s="188"/>
      <c r="BG245" s="188">
        <v>1645.212</v>
      </c>
      <c r="BH245" s="185">
        <v>7.6879065420560749E-2</v>
      </c>
      <c r="BI245" s="185">
        <v>8.0925332021642898E-2</v>
      </c>
      <c r="BJ245" s="188">
        <f t="shared" si="187"/>
        <v>20330</v>
      </c>
      <c r="BK245" s="188">
        <f>BK246+BK247</f>
        <v>1714</v>
      </c>
      <c r="BL245" s="185">
        <f t="shared" si="224"/>
        <v>8.0093457943925236E-2</v>
      </c>
      <c r="BM245" s="185">
        <f t="shared" si="191"/>
        <v>8.4308903098868668E-2</v>
      </c>
      <c r="BN245" s="205">
        <f t="shared" si="180"/>
        <v>1714</v>
      </c>
      <c r="BO245" s="205"/>
      <c r="BP245" s="189">
        <f>BP246+BP247</f>
        <v>0</v>
      </c>
      <c r="BQ245" s="186">
        <f t="shared" si="192"/>
        <v>0</v>
      </c>
      <c r="BR245" s="189">
        <f>BR246+BR247</f>
        <v>0</v>
      </c>
      <c r="BS245" s="186">
        <f t="shared" si="225"/>
        <v>0</v>
      </c>
      <c r="BT245" s="189">
        <f>BT246+BT247</f>
        <v>0</v>
      </c>
      <c r="BU245" s="186">
        <f t="shared" si="245"/>
        <v>0</v>
      </c>
      <c r="BV245" s="189">
        <f>BV246+BV247</f>
        <v>300</v>
      </c>
      <c r="BW245" s="186">
        <f t="shared" si="245"/>
        <v>1.4018691588785047E-2</v>
      </c>
      <c r="BX245" s="189">
        <f>BX246+BX247</f>
        <v>400</v>
      </c>
      <c r="BY245" s="186">
        <f t="shared" si="228"/>
        <v>1.8691588785046728E-2</v>
      </c>
      <c r="BZ245" s="189">
        <f>BZ246+BZ247</f>
        <v>500</v>
      </c>
      <c r="CA245" s="186">
        <f t="shared" si="229"/>
        <v>2.336448598130841E-2</v>
      </c>
      <c r="CB245" s="189">
        <f>CB246+CB247</f>
        <v>700</v>
      </c>
      <c r="CC245" s="186">
        <f t="shared" si="230"/>
        <v>3.2710280373831772E-2</v>
      </c>
      <c r="CD245" s="189">
        <f>CD246+CD247</f>
        <v>800</v>
      </c>
      <c r="CE245" s="186">
        <f t="shared" si="231"/>
        <v>3.7383177570093455E-2</v>
      </c>
      <c r="CF245" s="189">
        <f>CF246+CF247</f>
        <v>4400</v>
      </c>
      <c r="CG245" s="186">
        <f t="shared" si="232"/>
        <v>0.20560747663551401</v>
      </c>
      <c r="CH245" s="189">
        <f>CH246+CH247</f>
        <v>11200</v>
      </c>
      <c r="CI245" s="186">
        <f t="shared" si="233"/>
        <v>0.52336448598130836</v>
      </c>
      <c r="CJ245" s="189">
        <f>CJ246+CJ247</f>
        <v>16800</v>
      </c>
      <c r="CK245" s="186">
        <f t="shared" si="234"/>
        <v>0.78504672897196259</v>
      </c>
      <c r="CL245" s="189">
        <f>CL246+CL247</f>
        <v>19350</v>
      </c>
      <c r="CM245" s="186">
        <f t="shared" si="235"/>
        <v>0.90420560747663548</v>
      </c>
      <c r="CN245" s="189">
        <f>CN246+CN247</f>
        <v>20330</v>
      </c>
      <c r="CO245" s="186">
        <f t="shared" si="236"/>
        <v>0.95</v>
      </c>
      <c r="CP245" s="213" t="str">
        <f t="shared" si="193"/>
        <v>Không đạt</v>
      </c>
      <c r="CQ245" s="213" t="str">
        <f t="shared" si="194"/>
        <v>Không đạt</v>
      </c>
      <c r="CR245" s="213"/>
      <c r="CS245" s="213"/>
      <c r="CT245" s="231"/>
      <c r="CU245" s="163"/>
      <c r="CW245" s="195"/>
      <c r="CX245" s="196"/>
      <c r="CY245" s="196"/>
      <c r="CZ245" s="197"/>
      <c r="DA245" s="196"/>
      <c r="DB245" s="196"/>
      <c r="DC245" s="196"/>
      <c r="DE245" s="199"/>
      <c r="DF245" s="200"/>
      <c r="DG245" s="181"/>
    </row>
    <row r="246" spans="1:111" hidden="1" outlineLevel="1" x14ac:dyDescent="0.25">
      <c r="A246" s="305" t="s">
        <v>34</v>
      </c>
      <c r="B246" s="306" t="s">
        <v>376</v>
      </c>
      <c r="C246" s="306"/>
      <c r="D246" s="307">
        <f t="shared" si="243"/>
        <v>3000</v>
      </c>
      <c r="E246" s="307"/>
      <c r="F246" s="307">
        <f>G246+H246+K246+M246</f>
        <v>3000</v>
      </c>
      <c r="G246" s="307">
        <v>3000</v>
      </c>
      <c r="H246" s="303"/>
      <c r="I246" s="303"/>
      <c r="J246" s="303"/>
      <c r="K246" s="303"/>
      <c r="L246" s="303"/>
      <c r="M246" s="223"/>
      <c r="N246" s="223"/>
      <c r="O246" s="303">
        <f t="shared" ref="O246:O288" si="247">G246+I246+L246+N246</f>
        <v>3000</v>
      </c>
      <c r="P246" s="303">
        <v>0</v>
      </c>
      <c r="Q246" s="308">
        <f t="shared" si="186"/>
        <v>0</v>
      </c>
      <c r="R246" s="303">
        <v>0</v>
      </c>
      <c r="S246" s="313">
        <v>0</v>
      </c>
      <c r="T246" s="313">
        <v>0</v>
      </c>
      <c r="U246" s="303">
        <v>0</v>
      </c>
      <c r="V246" s="313">
        <v>0</v>
      </c>
      <c r="W246" s="313">
        <v>0</v>
      </c>
      <c r="X246" s="303">
        <v>0</v>
      </c>
      <c r="Y246" s="313">
        <v>0</v>
      </c>
      <c r="Z246" s="313">
        <v>0</v>
      </c>
      <c r="AA246" s="303">
        <v>0</v>
      </c>
      <c r="AB246" s="313">
        <v>0</v>
      </c>
      <c r="AC246" s="313">
        <v>0</v>
      </c>
      <c r="AD246" s="303">
        <v>0</v>
      </c>
      <c r="AE246" s="313">
        <v>0</v>
      </c>
      <c r="AF246" s="313">
        <v>0</v>
      </c>
      <c r="AG246" s="303">
        <v>0</v>
      </c>
      <c r="AH246" s="313">
        <v>0</v>
      </c>
      <c r="AI246" s="313">
        <v>0</v>
      </c>
      <c r="AJ246" s="303">
        <v>0</v>
      </c>
      <c r="AK246" s="313">
        <v>0</v>
      </c>
      <c r="AL246" s="313">
        <v>0</v>
      </c>
      <c r="AM246" s="303">
        <v>0</v>
      </c>
      <c r="AN246" s="313">
        <v>0</v>
      </c>
      <c r="AO246" s="313">
        <v>0</v>
      </c>
      <c r="AP246" s="313"/>
      <c r="AQ246" s="303">
        <v>0</v>
      </c>
      <c r="AR246" s="313">
        <v>0</v>
      </c>
      <c r="AS246" s="313">
        <v>0</v>
      </c>
      <c r="AT246" s="303">
        <v>0</v>
      </c>
      <c r="AU246" s="313">
        <v>0</v>
      </c>
      <c r="AV246" s="313">
        <v>0</v>
      </c>
      <c r="AW246" s="313"/>
      <c r="AX246" s="313"/>
      <c r="AY246" s="313"/>
      <c r="AZ246" s="313"/>
      <c r="BA246" s="313"/>
      <c r="BB246" s="313"/>
      <c r="BC246" s="303">
        <v>0</v>
      </c>
      <c r="BD246" s="313">
        <v>0</v>
      </c>
      <c r="BE246" s="313">
        <v>0</v>
      </c>
      <c r="BF246" s="303"/>
      <c r="BG246" s="303">
        <v>1645.212</v>
      </c>
      <c r="BH246" s="313">
        <v>0.548404</v>
      </c>
      <c r="BI246" s="313">
        <v>0.57726736842105264</v>
      </c>
      <c r="BJ246" s="303">
        <f t="shared" si="187"/>
        <v>2850</v>
      </c>
      <c r="BK246" s="303">
        <v>1714</v>
      </c>
      <c r="BL246" s="313">
        <f t="shared" si="224"/>
        <v>0.57133333333333336</v>
      </c>
      <c r="BM246" s="313">
        <f t="shared" si="191"/>
        <v>0.60140350877192983</v>
      </c>
      <c r="BN246" s="205">
        <f t="shared" si="180"/>
        <v>1714</v>
      </c>
      <c r="BO246" s="205"/>
      <c r="BP246" s="310">
        <v>0</v>
      </c>
      <c r="BQ246" s="311">
        <f t="shared" si="192"/>
        <v>0</v>
      </c>
      <c r="BR246" s="310">
        <v>0</v>
      </c>
      <c r="BS246" s="311">
        <f t="shared" si="225"/>
        <v>0</v>
      </c>
      <c r="BT246" s="310">
        <v>0</v>
      </c>
      <c r="BU246" s="308">
        <f t="shared" si="245"/>
        <v>0</v>
      </c>
      <c r="BV246" s="310">
        <v>300</v>
      </c>
      <c r="BW246" s="311">
        <f t="shared" si="245"/>
        <v>0.1</v>
      </c>
      <c r="BX246" s="310">
        <v>400</v>
      </c>
      <c r="BY246" s="311">
        <f t="shared" si="228"/>
        <v>0.13333333333333333</v>
      </c>
      <c r="BZ246" s="310">
        <v>500</v>
      </c>
      <c r="CA246" s="311">
        <f t="shared" si="229"/>
        <v>0.16666666666666666</v>
      </c>
      <c r="CB246" s="310">
        <v>700</v>
      </c>
      <c r="CC246" s="311">
        <f t="shared" si="230"/>
        <v>0.23333333333333334</v>
      </c>
      <c r="CD246" s="310">
        <v>800</v>
      </c>
      <c r="CE246" s="311">
        <f t="shared" si="231"/>
        <v>0.26666666666666666</v>
      </c>
      <c r="CF246" s="310">
        <v>1000</v>
      </c>
      <c r="CG246" s="311">
        <f t="shared" si="232"/>
        <v>0.33333333333333331</v>
      </c>
      <c r="CH246" s="310">
        <v>1200</v>
      </c>
      <c r="CI246" s="311">
        <f t="shared" si="233"/>
        <v>0.4</v>
      </c>
      <c r="CJ246" s="310">
        <v>1800</v>
      </c>
      <c r="CK246" s="311">
        <f t="shared" si="234"/>
        <v>0.6</v>
      </c>
      <c r="CL246" s="310">
        <v>2850</v>
      </c>
      <c r="CM246" s="311">
        <f t="shared" si="235"/>
        <v>0.95</v>
      </c>
      <c r="CN246" s="310">
        <v>2850</v>
      </c>
      <c r="CO246" s="311">
        <f t="shared" si="236"/>
        <v>0.95</v>
      </c>
      <c r="CP246" s="213" t="str">
        <f t="shared" si="193"/>
        <v>Đạt</v>
      </c>
      <c r="CQ246" s="213" t="str">
        <f t="shared" si="194"/>
        <v>Đạt</v>
      </c>
      <c r="CR246" s="312"/>
      <c r="CS246" s="312"/>
      <c r="CT246" s="235"/>
      <c r="CU246" s="163"/>
      <c r="CW246" s="195"/>
      <c r="CX246" s="196"/>
      <c r="CY246" s="196"/>
      <c r="CZ246" s="197"/>
      <c r="DA246" s="196"/>
      <c r="DB246" s="196"/>
      <c r="DC246" s="196"/>
      <c r="DE246" s="199"/>
      <c r="DF246" s="200"/>
      <c r="DG246" s="181"/>
    </row>
    <row r="247" spans="1:111" ht="25.5" hidden="1" outlineLevel="1" x14ac:dyDescent="0.25">
      <c r="A247" s="305" t="s">
        <v>34</v>
      </c>
      <c r="B247" s="306" t="s">
        <v>377</v>
      </c>
      <c r="C247" s="306"/>
      <c r="D247" s="307">
        <f t="shared" si="243"/>
        <v>18400</v>
      </c>
      <c r="E247" s="307"/>
      <c r="F247" s="307">
        <f>G247+H247+K247+M247</f>
        <v>18400</v>
      </c>
      <c r="G247" s="307"/>
      <c r="H247" s="307">
        <v>18400</v>
      </c>
      <c r="I247" s="235"/>
      <c r="J247" s="235"/>
      <c r="K247" s="303"/>
      <c r="L247" s="235"/>
      <c r="M247" s="223"/>
      <c r="N247" s="223"/>
      <c r="O247" s="303"/>
      <c r="P247" s="303">
        <v>0</v>
      </c>
      <c r="Q247" s="308">
        <f t="shared" si="186"/>
        <v>0</v>
      </c>
      <c r="R247" s="303">
        <v>0</v>
      </c>
      <c r="S247" s="313">
        <v>0</v>
      </c>
      <c r="T247" s="313">
        <v>0</v>
      </c>
      <c r="U247" s="303">
        <v>0</v>
      </c>
      <c r="V247" s="313">
        <v>0</v>
      </c>
      <c r="W247" s="313">
        <v>0</v>
      </c>
      <c r="X247" s="303">
        <v>0</v>
      </c>
      <c r="Y247" s="313">
        <v>0</v>
      </c>
      <c r="Z247" s="313">
        <v>0</v>
      </c>
      <c r="AA247" s="303">
        <v>0</v>
      </c>
      <c r="AB247" s="313">
        <v>0</v>
      </c>
      <c r="AC247" s="313">
        <v>0</v>
      </c>
      <c r="AD247" s="303">
        <v>0</v>
      </c>
      <c r="AE247" s="313">
        <v>0</v>
      </c>
      <c r="AF247" s="313">
        <v>0</v>
      </c>
      <c r="AG247" s="303">
        <v>0</v>
      </c>
      <c r="AH247" s="313">
        <v>0</v>
      </c>
      <c r="AI247" s="313">
        <v>0</v>
      </c>
      <c r="AJ247" s="188">
        <v>0</v>
      </c>
      <c r="AK247" s="313">
        <v>0</v>
      </c>
      <c r="AL247" s="313">
        <v>0</v>
      </c>
      <c r="AM247" s="303">
        <v>0</v>
      </c>
      <c r="AN247" s="313">
        <v>0</v>
      </c>
      <c r="AO247" s="313">
        <v>0</v>
      </c>
      <c r="AP247" s="313"/>
      <c r="AQ247" s="303">
        <v>0</v>
      </c>
      <c r="AR247" s="313">
        <v>0</v>
      </c>
      <c r="AS247" s="313">
        <v>0</v>
      </c>
      <c r="AT247" s="303">
        <v>0</v>
      </c>
      <c r="AU247" s="313">
        <v>0</v>
      </c>
      <c r="AV247" s="313">
        <v>0</v>
      </c>
      <c r="AW247" s="313"/>
      <c r="AX247" s="313"/>
      <c r="AY247" s="313"/>
      <c r="AZ247" s="313"/>
      <c r="BA247" s="313"/>
      <c r="BB247" s="313"/>
      <c r="BC247" s="303">
        <v>0</v>
      </c>
      <c r="BD247" s="313">
        <v>0</v>
      </c>
      <c r="BE247" s="313">
        <v>0</v>
      </c>
      <c r="BF247" s="303"/>
      <c r="BG247" s="303">
        <v>0</v>
      </c>
      <c r="BH247" s="313">
        <v>0</v>
      </c>
      <c r="BI247" s="313">
        <v>0</v>
      </c>
      <c r="BJ247" s="303">
        <f t="shared" si="187"/>
        <v>17480</v>
      </c>
      <c r="BK247" s="303">
        <v>0</v>
      </c>
      <c r="BL247" s="313">
        <f t="shared" si="224"/>
        <v>0</v>
      </c>
      <c r="BM247" s="313">
        <f t="shared" si="191"/>
        <v>0</v>
      </c>
      <c r="BN247" s="205">
        <f t="shared" si="180"/>
        <v>0</v>
      </c>
      <c r="BO247" s="205"/>
      <c r="BP247" s="310">
        <v>0</v>
      </c>
      <c r="BQ247" s="311">
        <f t="shared" si="192"/>
        <v>0</v>
      </c>
      <c r="BR247" s="310">
        <v>0</v>
      </c>
      <c r="BS247" s="311">
        <f t="shared" si="225"/>
        <v>0</v>
      </c>
      <c r="BT247" s="310">
        <v>0</v>
      </c>
      <c r="BU247" s="308">
        <f t="shared" si="245"/>
        <v>0</v>
      </c>
      <c r="BV247" s="310">
        <v>0</v>
      </c>
      <c r="BW247" s="311">
        <f t="shared" si="245"/>
        <v>0</v>
      </c>
      <c r="BX247" s="310">
        <v>0</v>
      </c>
      <c r="BY247" s="311">
        <f t="shared" si="228"/>
        <v>0</v>
      </c>
      <c r="BZ247" s="310">
        <v>0</v>
      </c>
      <c r="CA247" s="311">
        <f t="shared" si="229"/>
        <v>0</v>
      </c>
      <c r="CB247" s="310">
        <v>0</v>
      </c>
      <c r="CC247" s="311">
        <f t="shared" si="230"/>
        <v>0</v>
      </c>
      <c r="CD247" s="310">
        <v>0</v>
      </c>
      <c r="CE247" s="311">
        <f t="shared" si="231"/>
        <v>0</v>
      </c>
      <c r="CF247" s="310">
        <v>3400</v>
      </c>
      <c r="CG247" s="311">
        <f t="shared" si="232"/>
        <v>0.18478260869565216</v>
      </c>
      <c r="CH247" s="310">
        <v>10000</v>
      </c>
      <c r="CI247" s="311">
        <f t="shared" si="233"/>
        <v>0.54347826086956519</v>
      </c>
      <c r="CJ247" s="310">
        <v>15000</v>
      </c>
      <c r="CK247" s="311">
        <f t="shared" si="234"/>
        <v>0.81521739130434778</v>
      </c>
      <c r="CL247" s="310">
        <v>16500</v>
      </c>
      <c r="CM247" s="311">
        <f t="shared" si="235"/>
        <v>0.89673913043478259</v>
      </c>
      <c r="CN247" s="310">
        <v>17480</v>
      </c>
      <c r="CO247" s="311">
        <f t="shared" si="236"/>
        <v>0.95</v>
      </c>
      <c r="CP247" s="213" t="str">
        <f t="shared" si="193"/>
        <v>Không đạt</v>
      </c>
      <c r="CQ247" s="213" t="str">
        <f t="shared" si="194"/>
        <v>Không đạt</v>
      </c>
      <c r="CR247" s="312"/>
      <c r="CS247" s="312"/>
      <c r="CT247" s="235"/>
      <c r="CU247" s="163"/>
      <c r="CW247" s="195"/>
      <c r="CX247" s="196"/>
      <c r="CY247" s="196"/>
      <c r="CZ247" s="197"/>
      <c r="DA247" s="196"/>
      <c r="DB247" s="196"/>
      <c r="DC247" s="196"/>
      <c r="DE247" s="199"/>
      <c r="DF247" s="200"/>
      <c r="DG247" s="181"/>
    </row>
    <row r="248" spans="1:111" ht="18" customHeight="1" collapsed="1" x14ac:dyDescent="0.25">
      <c r="A248" s="316">
        <f>MAX(A$239:A246)+1</f>
        <v>4</v>
      </c>
      <c r="B248" s="240" t="s">
        <v>380</v>
      </c>
      <c r="C248" s="240"/>
      <c r="D248" s="188">
        <f t="shared" ref="D248:I248" si="248">D249+D251+D252</f>
        <v>20400</v>
      </c>
      <c r="E248" s="188">
        <f t="shared" si="248"/>
        <v>0</v>
      </c>
      <c r="F248" s="188">
        <f t="shared" si="248"/>
        <v>20400</v>
      </c>
      <c r="G248" s="188">
        <f t="shared" si="248"/>
        <v>3000</v>
      </c>
      <c r="H248" s="188">
        <f t="shared" si="248"/>
        <v>17400</v>
      </c>
      <c r="I248" s="188">
        <f t="shared" si="248"/>
        <v>0</v>
      </c>
      <c r="J248" s="188"/>
      <c r="K248" s="188">
        <f>K249+K251+K252</f>
        <v>0</v>
      </c>
      <c r="L248" s="188">
        <f>L249+L251+L252</f>
        <v>0</v>
      </c>
      <c r="M248" s="188">
        <f>M249+M251+M252</f>
        <v>0</v>
      </c>
      <c r="N248" s="188">
        <f>N249+N251+N252</f>
        <v>0</v>
      </c>
      <c r="O248" s="188">
        <f>O249+O251+O252</f>
        <v>3000</v>
      </c>
      <c r="P248" s="188">
        <v>0</v>
      </c>
      <c r="Q248" s="186">
        <f t="shared" si="186"/>
        <v>0</v>
      </c>
      <c r="R248" s="188">
        <v>0</v>
      </c>
      <c r="S248" s="185">
        <v>0</v>
      </c>
      <c r="T248" s="185">
        <v>0</v>
      </c>
      <c r="U248" s="188">
        <v>279.101</v>
      </c>
      <c r="V248" s="185">
        <v>1.3681421568627452E-2</v>
      </c>
      <c r="W248" s="185">
        <v>1.4401496388028895E-2</v>
      </c>
      <c r="X248" s="188">
        <v>279.101</v>
      </c>
      <c r="Y248" s="185">
        <v>1.3681421568627452E-2</v>
      </c>
      <c r="Z248" s="185">
        <v>1.4401496388028895E-2</v>
      </c>
      <c r="AA248" s="188">
        <v>279.101</v>
      </c>
      <c r="AB248" s="185">
        <v>1.3681421568627452E-2</v>
      </c>
      <c r="AC248" s="185">
        <v>1.4401496388028895E-2</v>
      </c>
      <c r="AD248" s="188">
        <v>279.101</v>
      </c>
      <c r="AE248" s="185">
        <v>1.3681421568627452E-2</v>
      </c>
      <c r="AF248" s="185">
        <v>1.4401496388028895E-2</v>
      </c>
      <c r="AG248" s="188">
        <v>279.101</v>
      </c>
      <c r="AH248" s="185">
        <v>1.3681421568627452E-2</v>
      </c>
      <c r="AI248" s="185">
        <v>1.4401496388028895E-2</v>
      </c>
      <c r="AJ248" s="317">
        <v>279.101</v>
      </c>
      <c r="AK248" s="185">
        <v>1.3681421568627452E-2</v>
      </c>
      <c r="AL248" s="185">
        <v>1.4401496388028895E-2</v>
      </c>
      <c r="AM248" s="188">
        <v>1167.6844000000001</v>
      </c>
      <c r="AN248" s="185">
        <v>5.7239431372549027E-2</v>
      </c>
      <c r="AO248" s="185">
        <v>6.0252033023735815E-2</v>
      </c>
      <c r="AP248" s="185"/>
      <c r="AQ248" s="188">
        <v>1167.6844000000001</v>
      </c>
      <c r="AR248" s="185">
        <v>5.7239431372549027E-2</v>
      </c>
      <c r="AS248" s="185">
        <v>6.0252033023735815E-2</v>
      </c>
      <c r="AT248" s="188">
        <v>1922</v>
      </c>
      <c r="AU248" s="185">
        <v>9.4215686274509811E-2</v>
      </c>
      <c r="AV248" s="185">
        <v>9.9174406604747162E-2</v>
      </c>
      <c r="AW248" s="185"/>
      <c r="AX248" s="185"/>
      <c r="AY248" s="185"/>
      <c r="AZ248" s="185"/>
      <c r="BA248" s="185"/>
      <c r="BB248" s="185"/>
      <c r="BC248" s="188">
        <v>1922</v>
      </c>
      <c r="BD248" s="185">
        <v>9.4215686274509811E-2</v>
      </c>
      <c r="BE248" s="185">
        <v>9.9174406604747162E-2</v>
      </c>
      <c r="BF248" s="188"/>
      <c r="BG248" s="188">
        <v>12020.463</v>
      </c>
      <c r="BH248" s="185">
        <v>0.58923838235294113</v>
      </c>
      <c r="BI248" s="185">
        <v>0.6202509287925696</v>
      </c>
      <c r="BJ248" s="188">
        <f t="shared" si="187"/>
        <v>19380</v>
      </c>
      <c r="BK248" s="188">
        <v>12531.463</v>
      </c>
      <c r="BL248" s="185">
        <f t="shared" si="224"/>
        <v>0.61428740196078435</v>
      </c>
      <c r="BM248" s="185">
        <f t="shared" si="191"/>
        <v>0.64661831785345714</v>
      </c>
      <c r="BN248" s="205">
        <f t="shared" si="180"/>
        <v>12252.361999999999</v>
      </c>
      <c r="BO248" s="205"/>
      <c r="BP248" s="189">
        <f>BP249+BP251+BP252</f>
        <v>0</v>
      </c>
      <c r="BQ248" s="186">
        <f t="shared" si="192"/>
        <v>0</v>
      </c>
      <c r="BR248" s="189">
        <f>BR249+BR251+BR252</f>
        <v>370</v>
      </c>
      <c r="BS248" s="186">
        <f t="shared" si="225"/>
        <v>1.8137254901960786E-2</v>
      </c>
      <c r="BT248" s="189">
        <f>BT249+BT251+BT252</f>
        <v>655</v>
      </c>
      <c r="BU248" s="186">
        <f t="shared" si="245"/>
        <v>3.2107843137254899E-2</v>
      </c>
      <c r="BV248" s="189">
        <f>BV249+BV251+BV252</f>
        <v>655</v>
      </c>
      <c r="BW248" s="186">
        <f t="shared" si="245"/>
        <v>3.2107843137254899E-2</v>
      </c>
      <c r="BX248" s="189">
        <f>BX249+BX251+BX252</f>
        <v>655</v>
      </c>
      <c r="BY248" s="186">
        <f t="shared" si="228"/>
        <v>3.2107843137254899E-2</v>
      </c>
      <c r="BZ248" s="189">
        <f>BZ249+BZ251+BZ252</f>
        <v>4285</v>
      </c>
      <c r="CA248" s="186">
        <f t="shared" si="229"/>
        <v>0.21004901960784314</v>
      </c>
      <c r="CB248" s="189">
        <f>CB249+CB251+CB252</f>
        <v>4285</v>
      </c>
      <c r="CC248" s="186">
        <f t="shared" si="230"/>
        <v>0.21004901960784314</v>
      </c>
      <c r="CD248" s="189">
        <f>CD249+CD251+CD252</f>
        <v>4285</v>
      </c>
      <c r="CE248" s="186">
        <f t="shared" si="231"/>
        <v>0.21004901960784314</v>
      </c>
      <c r="CF248" s="189">
        <f>CF249+CF251+CF252</f>
        <v>4535</v>
      </c>
      <c r="CG248" s="186">
        <f t="shared" si="232"/>
        <v>0.22230392156862744</v>
      </c>
      <c r="CH248" s="189">
        <f>CH249+CH251+CH252</f>
        <v>4535</v>
      </c>
      <c r="CI248" s="186">
        <f t="shared" si="233"/>
        <v>0.22230392156862744</v>
      </c>
      <c r="CJ248" s="189">
        <f>CJ249+CJ251+CJ252</f>
        <v>6765</v>
      </c>
      <c r="CK248" s="186">
        <f t="shared" si="234"/>
        <v>0.33161764705882352</v>
      </c>
      <c r="CL248" s="189">
        <f>CL249+CL251+CL252</f>
        <v>7010</v>
      </c>
      <c r="CM248" s="186">
        <f t="shared" si="235"/>
        <v>0.34362745098039216</v>
      </c>
      <c r="CN248" s="189">
        <f>CN249+CN251+CN252</f>
        <v>19380</v>
      </c>
      <c r="CO248" s="186">
        <f t="shared" si="236"/>
        <v>0.95</v>
      </c>
      <c r="CP248" s="213" t="str">
        <f t="shared" si="193"/>
        <v>Đạt</v>
      </c>
      <c r="CQ248" s="213" t="str">
        <f t="shared" si="194"/>
        <v>Đạt</v>
      </c>
      <c r="CR248" s="213"/>
      <c r="CS248" s="213"/>
      <c r="CT248" s="231"/>
      <c r="CU248" s="163"/>
      <c r="CW248" s="195"/>
      <c r="CX248" s="196"/>
      <c r="CY248" s="196"/>
      <c r="CZ248" s="197"/>
      <c r="DA248" s="196"/>
      <c r="DB248" s="196"/>
      <c r="DC248" s="196"/>
      <c r="DE248" s="199"/>
      <c r="DF248" s="200"/>
      <c r="DG248" s="181"/>
    </row>
    <row r="249" spans="1:111" s="324" customFormat="1" hidden="1" outlineLevel="1" x14ac:dyDescent="0.25">
      <c r="A249" s="305" t="s">
        <v>34</v>
      </c>
      <c r="B249" s="318" t="s">
        <v>381</v>
      </c>
      <c r="C249" s="306"/>
      <c r="D249" s="317">
        <f>D250</f>
        <v>300</v>
      </c>
      <c r="E249" s="317">
        <f t="shared" ref="E249:L249" si="249">E250</f>
        <v>0</v>
      </c>
      <c r="F249" s="317">
        <f t="shared" si="249"/>
        <v>300</v>
      </c>
      <c r="G249" s="317">
        <f t="shared" si="249"/>
        <v>0</v>
      </c>
      <c r="H249" s="317">
        <f t="shared" si="249"/>
        <v>300</v>
      </c>
      <c r="I249" s="214">
        <f t="shared" si="249"/>
        <v>0</v>
      </c>
      <c r="J249" s="214"/>
      <c r="K249" s="317">
        <f t="shared" si="249"/>
        <v>0</v>
      </c>
      <c r="L249" s="214">
        <f t="shared" si="249"/>
        <v>0</v>
      </c>
      <c r="M249" s="223"/>
      <c r="N249" s="223"/>
      <c r="O249" s="317">
        <f t="shared" si="247"/>
        <v>0</v>
      </c>
      <c r="P249" s="317">
        <v>0</v>
      </c>
      <c r="Q249" s="319">
        <f t="shared" si="186"/>
        <v>0</v>
      </c>
      <c r="R249" s="317">
        <v>0</v>
      </c>
      <c r="S249" s="320">
        <v>0</v>
      </c>
      <c r="T249" s="320">
        <v>0</v>
      </c>
      <c r="U249" s="317">
        <v>279.101</v>
      </c>
      <c r="V249" s="320">
        <v>0.9303366666666667</v>
      </c>
      <c r="W249" s="320">
        <v>0.9793017543859649</v>
      </c>
      <c r="X249" s="317">
        <v>279.101</v>
      </c>
      <c r="Y249" s="320">
        <v>0.9303366666666667</v>
      </c>
      <c r="Z249" s="320">
        <v>0.9793017543859649</v>
      </c>
      <c r="AA249" s="317">
        <v>279.101</v>
      </c>
      <c r="AB249" s="320">
        <v>0.9303366666666667</v>
      </c>
      <c r="AC249" s="320">
        <v>0.9793017543859649</v>
      </c>
      <c r="AD249" s="317">
        <v>279.101</v>
      </c>
      <c r="AE249" s="320">
        <v>0.9303366666666667</v>
      </c>
      <c r="AF249" s="320">
        <v>0.9793017543859649</v>
      </c>
      <c r="AG249" s="317">
        <v>279.101</v>
      </c>
      <c r="AH249" s="320">
        <v>0.9303366666666667</v>
      </c>
      <c r="AI249" s="320">
        <v>0.9793017543859649</v>
      </c>
      <c r="AJ249" s="321">
        <v>279.101</v>
      </c>
      <c r="AK249" s="320">
        <v>0.9303366666666667</v>
      </c>
      <c r="AL249" s="320">
        <v>0.9793017543859649</v>
      </c>
      <c r="AM249" s="317">
        <v>279</v>
      </c>
      <c r="AN249" s="320">
        <v>0.93</v>
      </c>
      <c r="AO249" s="320">
        <v>0.97894736842105268</v>
      </c>
      <c r="AP249" s="320"/>
      <c r="AQ249" s="317">
        <v>279</v>
      </c>
      <c r="AR249" s="320">
        <v>0.93</v>
      </c>
      <c r="AS249" s="320">
        <v>0.97894736842105268</v>
      </c>
      <c r="AT249" s="317">
        <v>279</v>
      </c>
      <c r="AU249" s="320">
        <v>0.93</v>
      </c>
      <c r="AV249" s="320">
        <v>0.97894736842105268</v>
      </c>
      <c r="AW249" s="320"/>
      <c r="AX249" s="320"/>
      <c r="AY249" s="320"/>
      <c r="AZ249" s="320"/>
      <c r="BA249" s="320"/>
      <c r="BB249" s="320"/>
      <c r="BC249" s="317">
        <v>279</v>
      </c>
      <c r="BD249" s="320">
        <v>0.93</v>
      </c>
      <c r="BE249" s="320">
        <v>0.97894736842105268</v>
      </c>
      <c r="BF249" s="317"/>
      <c r="BG249" s="317">
        <v>279</v>
      </c>
      <c r="BH249" s="320">
        <v>0.93</v>
      </c>
      <c r="BI249" s="320">
        <v>0.97894736842105268</v>
      </c>
      <c r="BJ249" s="317">
        <f t="shared" si="187"/>
        <v>285</v>
      </c>
      <c r="BK249" s="317">
        <f>BK250</f>
        <v>279</v>
      </c>
      <c r="BL249" s="320">
        <f t="shared" si="224"/>
        <v>0.93</v>
      </c>
      <c r="BM249" s="320">
        <f t="shared" si="191"/>
        <v>0.97894736842105268</v>
      </c>
      <c r="BN249" s="205">
        <f t="shared" si="180"/>
        <v>-0.10099999999999909</v>
      </c>
      <c r="BO249" s="205"/>
      <c r="BP249" s="307">
        <f>BP250</f>
        <v>0</v>
      </c>
      <c r="BQ249" s="322">
        <f t="shared" si="192"/>
        <v>0</v>
      </c>
      <c r="BR249" s="307">
        <f>BR250</f>
        <v>0</v>
      </c>
      <c r="BS249" s="322">
        <f t="shared" si="225"/>
        <v>0</v>
      </c>
      <c r="BT249" s="307">
        <f>BT250</f>
        <v>285</v>
      </c>
      <c r="BU249" s="319">
        <f t="shared" si="245"/>
        <v>0.95</v>
      </c>
      <c r="BV249" s="307">
        <f>BV250</f>
        <v>285</v>
      </c>
      <c r="BW249" s="322">
        <f t="shared" si="245"/>
        <v>0.95</v>
      </c>
      <c r="BX249" s="307">
        <f>BX250</f>
        <v>285</v>
      </c>
      <c r="BY249" s="322">
        <f t="shared" si="228"/>
        <v>0.95</v>
      </c>
      <c r="BZ249" s="307">
        <f>BZ250</f>
        <v>285</v>
      </c>
      <c r="CA249" s="322">
        <f t="shared" si="229"/>
        <v>0.95</v>
      </c>
      <c r="CB249" s="307">
        <f>CB250</f>
        <v>285</v>
      </c>
      <c r="CC249" s="322">
        <f t="shared" si="230"/>
        <v>0.95</v>
      </c>
      <c r="CD249" s="307">
        <f>CD250</f>
        <v>285</v>
      </c>
      <c r="CE249" s="322">
        <f t="shared" si="231"/>
        <v>0.95</v>
      </c>
      <c r="CF249" s="307">
        <f>CF250</f>
        <v>285</v>
      </c>
      <c r="CG249" s="322">
        <f t="shared" si="232"/>
        <v>0.95</v>
      </c>
      <c r="CH249" s="307">
        <f>CH250</f>
        <v>285</v>
      </c>
      <c r="CI249" s="322">
        <f t="shared" si="233"/>
        <v>0.95</v>
      </c>
      <c r="CJ249" s="307">
        <f>CJ250</f>
        <v>285</v>
      </c>
      <c r="CK249" s="322">
        <f t="shared" si="234"/>
        <v>0.95</v>
      </c>
      <c r="CL249" s="307">
        <f>CL250</f>
        <v>285</v>
      </c>
      <c r="CM249" s="322">
        <f t="shared" si="235"/>
        <v>0.95</v>
      </c>
      <c r="CN249" s="307">
        <f>CN250</f>
        <v>285</v>
      </c>
      <c r="CO249" s="322">
        <f t="shared" si="236"/>
        <v>0.95</v>
      </c>
      <c r="CP249" s="213" t="str">
        <f t="shared" si="193"/>
        <v>Đạt</v>
      </c>
      <c r="CQ249" s="213" t="str">
        <f t="shared" si="194"/>
        <v>Đạt</v>
      </c>
      <c r="CR249" s="312"/>
      <c r="CS249" s="312"/>
      <c r="CT249" s="235"/>
      <c r="CU249" s="163"/>
      <c r="CV249" s="323"/>
      <c r="CW249" s="195"/>
      <c r="CX249" s="196"/>
      <c r="CY249" s="196"/>
      <c r="CZ249" s="197"/>
      <c r="DA249" s="196"/>
      <c r="DB249" s="196"/>
      <c r="DC249" s="196"/>
      <c r="DE249" s="199"/>
      <c r="DF249" s="200"/>
      <c r="DG249" s="181"/>
    </row>
    <row r="250" spans="1:111" ht="25.5" hidden="1" outlineLevel="1" x14ac:dyDescent="0.25">
      <c r="A250" s="192"/>
      <c r="B250" s="325" t="s">
        <v>382</v>
      </c>
      <c r="C250" s="325">
        <v>8095985</v>
      </c>
      <c r="D250" s="214">
        <f t="shared" si="243"/>
        <v>300</v>
      </c>
      <c r="E250" s="215"/>
      <c r="F250" s="214">
        <f>G250+H250+K250+M250</f>
        <v>300</v>
      </c>
      <c r="G250" s="223"/>
      <c r="H250" s="223">
        <v>300</v>
      </c>
      <c r="I250" s="235"/>
      <c r="J250" s="235"/>
      <c r="K250" s="223"/>
      <c r="L250" s="235"/>
      <c r="M250" s="223"/>
      <c r="N250" s="223"/>
      <c r="O250" s="223">
        <f t="shared" si="247"/>
        <v>0</v>
      </c>
      <c r="P250" s="223">
        <v>0</v>
      </c>
      <c r="Q250" s="224">
        <f t="shared" si="186"/>
        <v>0</v>
      </c>
      <c r="R250" s="223"/>
      <c r="S250" s="326">
        <v>0</v>
      </c>
      <c r="T250" s="326">
        <v>0</v>
      </c>
      <c r="U250" s="321">
        <v>279.101</v>
      </c>
      <c r="V250" s="326">
        <v>0.9303366666666667</v>
      </c>
      <c r="W250" s="326">
        <v>0.9793017543859649</v>
      </c>
      <c r="X250" s="321">
        <v>279.101</v>
      </c>
      <c r="Y250" s="326">
        <v>0.9303366666666667</v>
      </c>
      <c r="Z250" s="326">
        <v>0.9793017543859649</v>
      </c>
      <c r="AA250" s="321">
        <v>279.101</v>
      </c>
      <c r="AB250" s="326">
        <v>0.9303366666666667</v>
      </c>
      <c r="AC250" s="326">
        <v>0.9793017543859649</v>
      </c>
      <c r="AD250" s="321">
        <v>279.101</v>
      </c>
      <c r="AE250" s="326">
        <v>0.9303366666666667</v>
      </c>
      <c r="AF250" s="326">
        <v>0.9793017543859649</v>
      </c>
      <c r="AG250" s="321">
        <v>279.101</v>
      </c>
      <c r="AH250" s="326">
        <v>0.9303366666666667</v>
      </c>
      <c r="AI250" s="326">
        <v>0.9793017543859649</v>
      </c>
      <c r="AJ250" s="303">
        <v>279.101</v>
      </c>
      <c r="AK250" s="326">
        <v>0.9303366666666667</v>
      </c>
      <c r="AL250" s="326">
        <v>0.9793017543859649</v>
      </c>
      <c r="AM250" s="321">
        <v>279</v>
      </c>
      <c r="AN250" s="326">
        <v>0.93</v>
      </c>
      <c r="AO250" s="326">
        <v>0.97894736842105268</v>
      </c>
      <c r="AP250" s="326"/>
      <c r="AQ250" s="321">
        <v>279</v>
      </c>
      <c r="AR250" s="326">
        <v>0.93</v>
      </c>
      <c r="AS250" s="326">
        <v>0.97894736842105268</v>
      </c>
      <c r="AT250" s="321">
        <v>279</v>
      </c>
      <c r="AU250" s="326">
        <v>0.93</v>
      </c>
      <c r="AV250" s="326">
        <v>0.97894736842105268</v>
      </c>
      <c r="AW250" s="326"/>
      <c r="AX250" s="326"/>
      <c r="AY250" s="326"/>
      <c r="AZ250" s="326"/>
      <c r="BA250" s="326"/>
      <c r="BB250" s="326"/>
      <c r="BC250" s="321">
        <v>279</v>
      </c>
      <c r="BD250" s="326">
        <v>0.93</v>
      </c>
      <c r="BE250" s="326">
        <v>0.97894736842105268</v>
      </c>
      <c r="BF250" s="321">
        <v>279</v>
      </c>
      <c r="BG250" s="321">
        <v>279</v>
      </c>
      <c r="BH250" s="326">
        <v>0.93</v>
      </c>
      <c r="BI250" s="326">
        <v>0.97894736842105268</v>
      </c>
      <c r="BJ250" s="321">
        <f t="shared" si="187"/>
        <v>285</v>
      </c>
      <c r="BK250" s="321">
        <v>279</v>
      </c>
      <c r="BL250" s="326">
        <f t="shared" si="224"/>
        <v>0.93</v>
      </c>
      <c r="BM250" s="326">
        <f t="shared" si="191"/>
        <v>0.97894736842105268</v>
      </c>
      <c r="BN250" s="205">
        <f t="shared" si="180"/>
        <v>-0.10099999999999909</v>
      </c>
      <c r="BO250" s="205"/>
      <c r="BP250" s="227"/>
      <c r="BQ250" s="327">
        <f t="shared" si="192"/>
        <v>0</v>
      </c>
      <c r="BR250" s="227"/>
      <c r="BS250" s="327">
        <f t="shared" si="225"/>
        <v>0</v>
      </c>
      <c r="BT250" s="227">
        <v>285</v>
      </c>
      <c r="BU250" s="224">
        <f t="shared" si="245"/>
        <v>0.95</v>
      </c>
      <c r="BV250" s="227">
        <v>285</v>
      </c>
      <c r="BW250" s="327">
        <f t="shared" si="245"/>
        <v>0.95</v>
      </c>
      <c r="BX250" s="227">
        <v>285</v>
      </c>
      <c r="BY250" s="327">
        <f t="shared" si="228"/>
        <v>0.95</v>
      </c>
      <c r="BZ250" s="227">
        <v>285</v>
      </c>
      <c r="CA250" s="327">
        <f t="shared" si="229"/>
        <v>0.95</v>
      </c>
      <c r="CB250" s="227">
        <v>285</v>
      </c>
      <c r="CC250" s="327">
        <f t="shared" si="230"/>
        <v>0.95</v>
      </c>
      <c r="CD250" s="227">
        <v>285</v>
      </c>
      <c r="CE250" s="327">
        <f t="shared" si="231"/>
        <v>0.95</v>
      </c>
      <c r="CF250" s="227">
        <v>285</v>
      </c>
      <c r="CG250" s="327">
        <f t="shared" si="232"/>
        <v>0.95</v>
      </c>
      <c r="CH250" s="227">
        <v>285</v>
      </c>
      <c r="CI250" s="327">
        <f t="shared" si="233"/>
        <v>0.95</v>
      </c>
      <c r="CJ250" s="227">
        <v>285</v>
      </c>
      <c r="CK250" s="327">
        <f t="shared" si="234"/>
        <v>0.95</v>
      </c>
      <c r="CL250" s="227">
        <v>285</v>
      </c>
      <c r="CM250" s="327">
        <f t="shared" si="235"/>
        <v>0.95</v>
      </c>
      <c r="CN250" s="227">
        <f>BT250</f>
        <v>285</v>
      </c>
      <c r="CO250" s="327">
        <f t="shared" si="236"/>
        <v>0.95</v>
      </c>
      <c r="CP250" s="213" t="str">
        <f t="shared" si="193"/>
        <v>Đạt</v>
      </c>
      <c r="CQ250" s="213" t="str">
        <f t="shared" si="194"/>
        <v>Đạt</v>
      </c>
      <c r="CR250" s="192"/>
      <c r="CS250" s="192"/>
      <c r="CT250" s="223"/>
      <c r="CU250" s="163"/>
      <c r="CW250" s="195"/>
      <c r="CX250" s="196"/>
      <c r="CY250" s="196"/>
      <c r="CZ250" s="197"/>
      <c r="DA250" s="196"/>
      <c r="DB250" s="196"/>
      <c r="DC250" s="196"/>
      <c r="DE250" s="199"/>
      <c r="DF250" s="200"/>
      <c r="DG250" s="181"/>
    </row>
    <row r="251" spans="1:111" hidden="1" outlineLevel="1" x14ac:dyDescent="0.25">
      <c r="A251" s="305" t="s">
        <v>34</v>
      </c>
      <c r="B251" s="306" t="s">
        <v>376</v>
      </c>
      <c r="C251" s="306"/>
      <c r="D251" s="307">
        <f t="shared" si="243"/>
        <v>3000</v>
      </c>
      <c r="E251" s="307"/>
      <c r="F251" s="307">
        <f>G251+H251+K251+M251</f>
        <v>3000</v>
      </c>
      <c r="G251" s="307">
        <v>3000</v>
      </c>
      <c r="H251" s="303"/>
      <c r="I251" s="303"/>
      <c r="J251" s="303"/>
      <c r="K251" s="303"/>
      <c r="L251" s="223"/>
      <c r="M251" s="223"/>
      <c r="N251" s="223"/>
      <c r="O251" s="303">
        <f t="shared" si="247"/>
        <v>3000</v>
      </c>
      <c r="P251" s="303">
        <v>0</v>
      </c>
      <c r="Q251" s="308">
        <f t="shared" si="186"/>
        <v>0</v>
      </c>
      <c r="R251" s="303"/>
      <c r="S251" s="313">
        <v>0</v>
      </c>
      <c r="T251" s="313">
        <v>0</v>
      </c>
      <c r="U251" s="303"/>
      <c r="V251" s="313">
        <v>0</v>
      </c>
      <c r="W251" s="313">
        <v>0</v>
      </c>
      <c r="X251" s="303"/>
      <c r="Y251" s="313">
        <v>0</v>
      </c>
      <c r="Z251" s="313">
        <v>0</v>
      </c>
      <c r="AA251" s="303"/>
      <c r="AB251" s="313">
        <v>0</v>
      </c>
      <c r="AC251" s="313">
        <v>0</v>
      </c>
      <c r="AD251" s="303"/>
      <c r="AE251" s="313">
        <v>0</v>
      </c>
      <c r="AF251" s="313">
        <v>0</v>
      </c>
      <c r="AG251" s="303"/>
      <c r="AH251" s="313">
        <v>0</v>
      </c>
      <c r="AI251" s="313">
        <v>0</v>
      </c>
      <c r="AJ251" s="303"/>
      <c r="AK251" s="313">
        <v>0</v>
      </c>
      <c r="AL251" s="313">
        <v>0</v>
      </c>
      <c r="AM251" s="303">
        <v>320</v>
      </c>
      <c r="AN251" s="313">
        <v>0.10666666666666667</v>
      </c>
      <c r="AO251" s="313">
        <v>0.11228070175438597</v>
      </c>
      <c r="AP251" s="313"/>
      <c r="AQ251" s="303">
        <v>320</v>
      </c>
      <c r="AR251" s="313">
        <v>0.10666666666666667</v>
      </c>
      <c r="AS251" s="313">
        <v>0.11228070175438597</v>
      </c>
      <c r="AT251" s="303">
        <v>795</v>
      </c>
      <c r="AU251" s="313">
        <v>0.26500000000000001</v>
      </c>
      <c r="AV251" s="313">
        <v>0.27894736842105261</v>
      </c>
      <c r="AW251" s="313"/>
      <c r="AX251" s="313"/>
      <c r="AY251" s="313"/>
      <c r="AZ251" s="313"/>
      <c r="BA251" s="313"/>
      <c r="BB251" s="313"/>
      <c r="BC251" s="303">
        <v>795</v>
      </c>
      <c r="BD251" s="313">
        <v>0.26500000000000001</v>
      </c>
      <c r="BE251" s="313">
        <v>0.27894736842105261</v>
      </c>
      <c r="BF251" s="303"/>
      <c r="BG251" s="303">
        <v>1344.6000000000001</v>
      </c>
      <c r="BH251" s="313">
        <v>0.44820000000000004</v>
      </c>
      <c r="BI251" s="313">
        <v>0.47178947368421059</v>
      </c>
      <c r="BJ251" s="303">
        <f t="shared" si="187"/>
        <v>2850</v>
      </c>
      <c r="BK251" s="303">
        <v>1344.6000000000001</v>
      </c>
      <c r="BL251" s="313">
        <f t="shared" si="224"/>
        <v>0.44820000000000004</v>
      </c>
      <c r="BM251" s="313">
        <f t="shared" si="191"/>
        <v>0.47178947368421059</v>
      </c>
      <c r="BN251" s="205">
        <f t="shared" si="180"/>
        <v>1344.6000000000001</v>
      </c>
      <c r="BO251" s="205"/>
      <c r="BP251" s="310"/>
      <c r="BQ251" s="311">
        <f t="shared" si="192"/>
        <v>0</v>
      </c>
      <c r="BR251" s="310">
        <v>370</v>
      </c>
      <c r="BS251" s="311">
        <f t="shared" si="225"/>
        <v>0.12333333333333334</v>
      </c>
      <c r="BT251" s="310">
        <v>370</v>
      </c>
      <c r="BU251" s="308">
        <f t="shared" si="245"/>
        <v>0.12333333333333334</v>
      </c>
      <c r="BV251" s="310">
        <v>370</v>
      </c>
      <c r="BW251" s="311">
        <f t="shared" si="245"/>
        <v>0.12333333333333334</v>
      </c>
      <c r="BX251" s="310">
        <v>370</v>
      </c>
      <c r="BY251" s="311">
        <f t="shared" si="228"/>
        <v>0.12333333333333334</v>
      </c>
      <c r="BZ251" s="310">
        <v>1000</v>
      </c>
      <c r="CA251" s="311">
        <f t="shared" si="229"/>
        <v>0.33333333333333331</v>
      </c>
      <c r="CB251" s="310">
        <v>1000</v>
      </c>
      <c r="CC251" s="311">
        <f t="shared" si="230"/>
        <v>0.33333333333333331</v>
      </c>
      <c r="CD251" s="310">
        <v>1000</v>
      </c>
      <c r="CE251" s="311">
        <f t="shared" si="231"/>
        <v>0.33333333333333331</v>
      </c>
      <c r="CF251" s="310">
        <v>1250</v>
      </c>
      <c r="CG251" s="311">
        <f t="shared" si="232"/>
        <v>0.41666666666666669</v>
      </c>
      <c r="CH251" s="310">
        <v>1250</v>
      </c>
      <c r="CI251" s="311">
        <f t="shared" si="233"/>
        <v>0.41666666666666669</v>
      </c>
      <c r="CJ251" s="310">
        <f>1250+230</f>
        <v>1480</v>
      </c>
      <c r="CK251" s="311">
        <f t="shared" si="234"/>
        <v>0.49333333333333335</v>
      </c>
      <c r="CL251" s="310">
        <v>1480</v>
      </c>
      <c r="CM251" s="311">
        <f t="shared" si="235"/>
        <v>0.49333333333333335</v>
      </c>
      <c r="CN251" s="310">
        <v>2850</v>
      </c>
      <c r="CO251" s="311">
        <f t="shared" si="236"/>
        <v>0.95</v>
      </c>
      <c r="CP251" s="213" t="str">
        <f t="shared" si="193"/>
        <v>Đạt</v>
      </c>
      <c r="CQ251" s="213" t="str">
        <f t="shared" si="194"/>
        <v>Đạt</v>
      </c>
      <c r="CR251" s="312"/>
      <c r="CS251" s="312"/>
      <c r="CT251" s="235"/>
      <c r="CU251" s="163"/>
      <c r="CW251" s="195"/>
      <c r="CX251" s="196"/>
      <c r="CY251" s="196"/>
      <c r="CZ251" s="197"/>
      <c r="DA251" s="196"/>
      <c r="DB251" s="196"/>
      <c r="DC251" s="196"/>
      <c r="DE251" s="199"/>
      <c r="DF251" s="200"/>
      <c r="DG251" s="181"/>
    </row>
    <row r="252" spans="1:111" ht="25.5" hidden="1" outlineLevel="1" x14ac:dyDescent="0.25">
      <c r="A252" s="305" t="s">
        <v>34</v>
      </c>
      <c r="B252" s="306" t="s">
        <v>377</v>
      </c>
      <c r="C252" s="306"/>
      <c r="D252" s="307">
        <f t="shared" si="243"/>
        <v>17100</v>
      </c>
      <c r="E252" s="307"/>
      <c r="F252" s="307">
        <f>G252+H252+K252+M252</f>
        <v>17100</v>
      </c>
      <c r="G252" s="307"/>
      <c r="H252" s="307">
        <v>17100</v>
      </c>
      <c r="I252" s="235"/>
      <c r="J252" s="235"/>
      <c r="K252" s="303"/>
      <c r="L252" s="235"/>
      <c r="M252" s="223"/>
      <c r="N252" s="223"/>
      <c r="O252" s="303"/>
      <c r="P252" s="303">
        <v>0</v>
      </c>
      <c r="Q252" s="308">
        <f t="shared" si="186"/>
        <v>0</v>
      </c>
      <c r="R252" s="303"/>
      <c r="S252" s="313">
        <v>0</v>
      </c>
      <c r="T252" s="313">
        <v>0</v>
      </c>
      <c r="U252" s="303"/>
      <c r="V252" s="313">
        <v>0</v>
      </c>
      <c r="W252" s="313">
        <v>0</v>
      </c>
      <c r="X252" s="303"/>
      <c r="Y252" s="313">
        <v>0</v>
      </c>
      <c r="Z252" s="313">
        <v>0</v>
      </c>
      <c r="AA252" s="303"/>
      <c r="AB252" s="313">
        <v>0</v>
      </c>
      <c r="AC252" s="313">
        <v>0</v>
      </c>
      <c r="AD252" s="303"/>
      <c r="AE252" s="313">
        <v>0</v>
      </c>
      <c r="AF252" s="313">
        <v>0</v>
      </c>
      <c r="AG252" s="303"/>
      <c r="AH252" s="313">
        <v>0</v>
      </c>
      <c r="AI252" s="313">
        <v>0</v>
      </c>
      <c r="AJ252" s="188"/>
      <c r="AK252" s="313">
        <v>0</v>
      </c>
      <c r="AL252" s="313">
        <v>0</v>
      </c>
      <c r="AM252" s="303">
        <v>568.68439999999998</v>
      </c>
      <c r="AN252" s="313">
        <v>3.3256397660818712E-2</v>
      </c>
      <c r="AO252" s="313">
        <v>3.5006734379809168E-2</v>
      </c>
      <c r="AP252" s="313"/>
      <c r="AQ252" s="303">
        <v>568.68439999999998</v>
      </c>
      <c r="AR252" s="313">
        <v>3.3256397660818712E-2</v>
      </c>
      <c r="AS252" s="313">
        <v>3.5006734379809168E-2</v>
      </c>
      <c r="AT252" s="303">
        <v>848</v>
      </c>
      <c r="AU252" s="313">
        <v>4.9590643274853803E-2</v>
      </c>
      <c r="AV252" s="313">
        <v>5.2200677131425052E-2</v>
      </c>
      <c r="AW252" s="313"/>
      <c r="AX252" s="313"/>
      <c r="AY252" s="313"/>
      <c r="AZ252" s="313"/>
      <c r="BA252" s="313"/>
      <c r="BB252" s="313"/>
      <c r="BC252" s="303">
        <v>848</v>
      </c>
      <c r="BD252" s="313">
        <v>4.9590643274853803E-2</v>
      </c>
      <c r="BE252" s="313">
        <v>5.2200677131425052E-2</v>
      </c>
      <c r="BF252" s="303"/>
      <c r="BG252" s="303">
        <v>10396.862999999999</v>
      </c>
      <c r="BH252" s="313">
        <v>0.60800368421052631</v>
      </c>
      <c r="BI252" s="313">
        <v>0.64000387811634341</v>
      </c>
      <c r="BJ252" s="303">
        <f t="shared" si="187"/>
        <v>16245</v>
      </c>
      <c r="BK252" s="303">
        <v>10396.862999999999</v>
      </c>
      <c r="BL252" s="313">
        <f t="shared" si="224"/>
        <v>0.60800368421052631</v>
      </c>
      <c r="BM252" s="313">
        <f t="shared" si="191"/>
        <v>0.64000387811634341</v>
      </c>
      <c r="BN252" s="205">
        <f t="shared" si="180"/>
        <v>10396.862999999999</v>
      </c>
      <c r="BO252" s="205"/>
      <c r="BP252" s="310"/>
      <c r="BQ252" s="311">
        <f t="shared" si="192"/>
        <v>0</v>
      </c>
      <c r="BR252" s="310"/>
      <c r="BS252" s="311">
        <f t="shared" si="225"/>
        <v>0</v>
      </c>
      <c r="BT252" s="310"/>
      <c r="BU252" s="308">
        <f t="shared" si="245"/>
        <v>0</v>
      </c>
      <c r="BV252" s="310"/>
      <c r="BW252" s="311">
        <f t="shared" si="245"/>
        <v>0</v>
      </c>
      <c r="BX252" s="310"/>
      <c r="BY252" s="311">
        <f t="shared" si="228"/>
        <v>0</v>
      </c>
      <c r="BZ252" s="310">
        <v>3000</v>
      </c>
      <c r="CA252" s="311">
        <f t="shared" si="229"/>
        <v>0.17543859649122806</v>
      </c>
      <c r="CB252" s="310">
        <v>3000</v>
      </c>
      <c r="CC252" s="311">
        <f t="shared" si="230"/>
        <v>0.17543859649122806</v>
      </c>
      <c r="CD252" s="310">
        <v>3000</v>
      </c>
      <c r="CE252" s="311">
        <f t="shared" si="231"/>
        <v>0.17543859649122806</v>
      </c>
      <c r="CF252" s="310">
        <v>3000</v>
      </c>
      <c r="CG252" s="311">
        <f t="shared" si="232"/>
        <v>0.17543859649122806</v>
      </c>
      <c r="CH252" s="310">
        <v>3000</v>
      </c>
      <c r="CI252" s="311">
        <f t="shared" si="233"/>
        <v>0.17543859649122806</v>
      </c>
      <c r="CJ252" s="310">
        <v>5000</v>
      </c>
      <c r="CK252" s="311">
        <f t="shared" si="234"/>
        <v>0.29239766081871343</v>
      </c>
      <c r="CL252" s="310">
        <v>5245</v>
      </c>
      <c r="CM252" s="311">
        <f t="shared" si="235"/>
        <v>0.3067251461988304</v>
      </c>
      <c r="CN252" s="310">
        <v>16245</v>
      </c>
      <c r="CO252" s="311">
        <f t="shared" si="236"/>
        <v>0.95</v>
      </c>
      <c r="CP252" s="213" t="str">
        <f t="shared" si="193"/>
        <v>Đạt</v>
      </c>
      <c r="CQ252" s="213" t="str">
        <f t="shared" si="194"/>
        <v>Đạt</v>
      </c>
      <c r="CR252" s="312"/>
      <c r="CS252" s="312"/>
      <c r="CT252" s="235"/>
      <c r="CU252" s="163"/>
      <c r="CW252" s="195"/>
      <c r="CX252" s="196"/>
      <c r="CY252" s="196"/>
      <c r="CZ252" s="197"/>
      <c r="DA252" s="196"/>
      <c r="DB252" s="196"/>
      <c r="DC252" s="196"/>
      <c r="DE252" s="199"/>
      <c r="DF252" s="200"/>
      <c r="DG252" s="181"/>
    </row>
    <row r="253" spans="1:111" ht="18" customHeight="1" collapsed="1" x14ac:dyDescent="0.25">
      <c r="A253" s="213">
        <f>MAX(A$239:A251)+1</f>
        <v>5</v>
      </c>
      <c r="B253" s="240" t="s">
        <v>383</v>
      </c>
      <c r="C253" s="240"/>
      <c r="D253" s="188">
        <f t="shared" ref="D253:I253" si="250">D254+D256+D257</f>
        <v>105740</v>
      </c>
      <c r="E253" s="188">
        <f t="shared" si="250"/>
        <v>0</v>
      </c>
      <c r="F253" s="188">
        <f t="shared" si="250"/>
        <v>105740</v>
      </c>
      <c r="G253" s="188">
        <f t="shared" si="250"/>
        <v>3000</v>
      </c>
      <c r="H253" s="188">
        <f t="shared" si="250"/>
        <v>102740</v>
      </c>
      <c r="I253" s="188">
        <f t="shared" si="250"/>
        <v>0</v>
      </c>
      <c r="J253" s="188"/>
      <c r="K253" s="188">
        <f>K254+K256+K257</f>
        <v>0</v>
      </c>
      <c r="L253" s="188">
        <f>L254+L256+L257</f>
        <v>0</v>
      </c>
      <c r="M253" s="188">
        <f>M254+M256+M257</f>
        <v>0</v>
      </c>
      <c r="N253" s="188">
        <f>N254+N256+N257</f>
        <v>0</v>
      </c>
      <c r="O253" s="188">
        <f>O254+O256+O257</f>
        <v>3000</v>
      </c>
      <c r="P253" s="188">
        <v>0</v>
      </c>
      <c r="Q253" s="186">
        <f t="shared" si="186"/>
        <v>0</v>
      </c>
      <c r="R253" s="188">
        <v>0</v>
      </c>
      <c r="S253" s="185">
        <v>0</v>
      </c>
      <c r="T253" s="185">
        <v>0</v>
      </c>
      <c r="U253" s="188">
        <v>0</v>
      </c>
      <c r="V253" s="185">
        <v>0</v>
      </c>
      <c r="W253" s="185">
        <v>0</v>
      </c>
      <c r="X253" s="188">
        <v>0</v>
      </c>
      <c r="Y253" s="185">
        <v>0</v>
      </c>
      <c r="Z253" s="185">
        <v>0</v>
      </c>
      <c r="AA253" s="188">
        <v>0</v>
      </c>
      <c r="AB253" s="185">
        <v>0</v>
      </c>
      <c r="AC253" s="185">
        <v>0</v>
      </c>
      <c r="AD253" s="188">
        <v>0</v>
      </c>
      <c r="AE253" s="185">
        <v>0</v>
      </c>
      <c r="AF253" s="185">
        <v>0</v>
      </c>
      <c r="AG253" s="188">
        <v>0</v>
      </c>
      <c r="AH253" s="185">
        <v>0</v>
      </c>
      <c r="AI253" s="185">
        <v>0</v>
      </c>
      <c r="AJ253" s="317">
        <v>0</v>
      </c>
      <c r="AK253" s="185">
        <v>0</v>
      </c>
      <c r="AL253" s="185">
        <v>0</v>
      </c>
      <c r="AM253" s="314">
        <v>0</v>
      </c>
      <c r="AN253" s="185">
        <v>0</v>
      </c>
      <c r="AO253" s="185">
        <v>0</v>
      </c>
      <c r="AP253" s="185"/>
      <c r="AQ253" s="188">
        <v>0</v>
      </c>
      <c r="AR253" s="185">
        <v>0</v>
      </c>
      <c r="AS253" s="185">
        <v>0</v>
      </c>
      <c r="AT253" s="188">
        <v>0</v>
      </c>
      <c r="AU253" s="185">
        <v>0</v>
      </c>
      <c r="AV253" s="185">
        <v>0</v>
      </c>
      <c r="AW253" s="185"/>
      <c r="AX253" s="185"/>
      <c r="AY253" s="185"/>
      <c r="AZ253" s="185"/>
      <c r="BA253" s="185"/>
      <c r="BB253" s="185"/>
      <c r="BC253" s="188">
        <v>0</v>
      </c>
      <c r="BD253" s="185">
        <v>0</v>
      </c>
      <c r="BE253" s="185">
        <v>0</v>
      </c>
      <c r="BF253" s="188"/>
      <c r="BG253" s="188">
        <v>1435</v>
      </c>
      <c r="BH253" s="185">
        <v>1.357102326461131E-2</v>
      </c>
      <c r="BI253" s="185">
        <v>1.4285287646959275E-2</v>
      </c>
      <c r="BJ253" s="188">
        <f t="shared" si="187"/>
        <v>100453</v>
      </c>
      <c r="BK253" s="188">
        <v>1471</v>
      </c>
      <c r="BL253" s="185">
        <f t="shared" si="224"/>
        <v>1.3911480991110271E-2</v>
      </c>
      <c r="BM253" s="185">
        <f t="shared" si="191"/>
        <v>1.4643664201168706E-2</v>
      </c>
      <c r="BN253" s="205">
        <f t="shared" si="180"/>
        <v>1471</v>
      </c>
      <c r="BO253" s="205"/>
      <c r="BP253" s="189">
        <f>BP254+BP256+BP257</f>
        <v>0</v>
      </c>
      <c r="BQ253" s="186">
        <f t="shared" si="192"/>
        <v>0</v>
      </c>
      <c r="BR253" s="189">
        <f>BR254+BR256+BR257</f>
        <v>0</v>
      </c>
      <c r="BS253" s="186">
        <f t="shared" si="225"/>
        <v>0</v>
      </c>
      <c r="BT253" s="189">
        <f>BT254+BT256+BT257</f>
        <v>10574</v>
      </c>
      <c r="BU253" s="186">
        <f t="shared" si="245"/>
        <v>0.1</v>
      </c>
      <c r="BV253" s="189">
        <f>BV254+BV256+BV257</f>
        <v>21148</v>
      </c>
      <c r="BW253" s="186">
        <f t="shared" si="245"/>
        <v>0.2</v>
      </c>
      <c r="BX253" s="189">
        <f>BX254+BX256+BX257</f>
        <v>31722</v>
      </c>
      <c r="BY253" s="186">
        <f t="shared" si="228"/>
        <v>0.3</v>
      </c>
      <c r="BZ253" s="189">
        <f>BZ254+BZ256+BZ257</f>
        <v>42296</v>
      </c>
      <c r="CA253" s="186">
        <f t="shared" si="229"/>
        <v>0.4</v>
      </c>
      <c r="CB253" s="189">
        <f>CB254+CB256+CB257</f>
        <v>52870</v>
      </c>
      <c r="CC253" s="186">
        <f t="shared" si="230"/>
        <v>0.5</v>
      </c>
      <c r="CD253" s="189">
        <f>CD254+CD256+CD257</f>
        <v>58157.000000000007</v>
      </c>
      <c r="CE253" s="186">
        <f t="shared" si="231"/>
        <v>0.55000000000000004</v>
      </c>
      <c r="CF253" s="189">
        <f>CF254+CF256+CF257</f>
        <v>63514</v>
      </c>
      <c r="CG253" s="186">
        <f t="shared" si="232"/>
        <v>0.60066200113485912</v>
      </c>
      <c r="CH253" s="189">
        <f>CH254+CH256+CH257</f>
        <v>74018</v>
      </c>
      <c r="CI253" s="186">
        <f t="shared" si="233"/>
        <v>0.7</v>
      </c>
      <c r="CJ253" s="189">
        <f>CJ254+CJ256+CJ257</f>
        <v>79305</v>
      </c>
      <c r="CK253" s="186">
        <f t="shared" si="234"/>
        <v>0.75</v>
      </c>
      <c r="CL253" s="189">
        <f>CL254+CL256+CL257</f>
        <v>79305</v>
      </c>
      <c r="CM253" s="186">
        <f t="shared" si="235"/>
        <v>0.75</v>
      </c>
      <c r="CN253" s="189">
        <f>CN254+CN256+CN257</f>
        <v>100453</v>
      </c>
      <c r="CO253" s="186">
        <f t="shared" si="236"/>
        <v>0.95</v>
      </c>
      <c r="CP253" s="213" t="str">
        <f t="shared" si="193"/>
        <v>Không đạt</v>
      </c>
      <c r="CQ253" s="213" t="str">
        <f t="shared" si="194"/>
        <v>Không đạt</v>
      </c>
      <c r="CR253" s="213"/>
      <c r="CS253" s="213"/>
      <c r="CT253" s="231"/>
      <c r="CU253" s="163"/>
      <c r="CW253" s="195"/>
      <c r="CX253" s="196"/>
      <c r="CY253" s="196"/>
      <c r="CZ253" s="197"/>
      <c r="DA253" s="196"/>
      <c r="DB253" s="196"/>
      <c r="DC253" s="196"/>
      <c r="DE253" s="199"/>
      <c r="DF253" s="200"/>
      <c r="DG253" s="181"/>
    </row>
    <row r="254" spans="1:111" s="324" customFormat="1" ht="30" hidden="1" customHeight="1" outlineLevel="1" x14ac:dyDescent="0.25">
      <c r="A254" s="305" t="s">
        <v>34</v>
      </c>
      <c r="B254" s="318" t="s">
        <v>381</v>
      </c>
      <c r="C254" s="306"/>
      <c r="D254" s="317">
        <f t="shared" ref="D254:I254" si="251">D255</f>
        <v>700</v>
      </c>
      <c r="E254" s="317">
        <f t="shared" si="251"/>
        <v>0</v>
      </c>
      <c r="F254" s="317">
        <f t="shared" si="251"/>
        <v>700</v>
      </c>
      <c r="G254" s="317">
        <f t="shared" si="251"/>
        <v>0</v>
      </c>
      <c r="H254" s="317">
        <f t="shared" si="251"/>
        <v>700</v>
      </c>
      <c r="I254" s="214">
        <f t="shared" si="251"/>
        <v>0</v>
      </c>
      <c r="J254" s="214"/>
      <c r="K254" s="317">
        <f>K255</f>
        <v>0</v>
      </c>
      <c r="L254" s="214">
        <f>L255</f>
        <v>0</v>
      </c>
      <c r="M254" s="223"/>
      <c r="N254" s="223"/>
      <c r="O254" s="317">
        <f t="shared" si="247"/>
        <v>0</v>
      </c>
      <c r="P254" s="317">
        <v>0</v>
      </c>
      <c r="Q254" s="319">
        <f t="shared" si="186"/>
        <v>0</v>
      </c>
      <c r="R254" s="317">
        <v>0</v>
      </c>
      <c r="S254" s="187">
        <v>0</v>
      </c>
      <c r="T254" s="187">
        <v>0</v>
      </c>
      <c r="U254" s="317">
        <v>0</v>
      </c>
      <c r="V254" s="187">
        <v>0</v>
      </c>
      <c r="W254" s="187">
        <v>0</v>
      </c>
      <c r="X254" s="317">
        <v>0</v>
      </c>
      <c r="Y254" s="187">
        <v>0</v>
      </c>
      <c r="Z254" s="187">
        <v>0</v>
      </c>
      <c r="AA254" s="317">
        <v>0</v>
      </c>
      <c r="AB254" s="187">
        <v>0</v>
      </c>
      <c r="AC254" s="187">
        <v>0</v>
      </c>
      <c r="AD254" s="317">
        <v>0</v>
      </c>
      <c r="AE254" s="187">
        <v>0</v>
      </c>
      <c r="AF254" s="187">
        <v>0</v>
      </c>
      <c r="AG254" s="317">
        <v>0</v>
      </c>
      <c r="AH254" s="187">
        <v>0</v>
      </c>
      <c r="AI254" s="187">
        <v>0</v>
      </c>
      <c r="AJ254" s="223">
        <v>0</v>
      </c>
      <c r="AK254" s="187">
        <v>0</v>
      </c>
      <c r="AL254" s="187">
        <v>0</v>
      </c>
      <c r="AM254" s="317">
        <v>0</v>
      </c>
      <c r="AN254" s="187">
        <v>0</v>
      </c>
      <c r="AO254" s="187">
        <v>0</v>
      </c>
      <c r="AP254" s="187"/>
      <c r="AQ254" s="317">
        <v>0</v>
      </c>
      <c r="AR254" s="187">
        <v>0</v>
      </c>
      <c r="AS254" s="187">
        <v>0</v>
      </c>
      <c r="AT254" s="317">
        <v>0</v>
      </c>
      <c r="AU254" s="187">
        <v>0</v>
      </c>
      <c r="AV254" s="187">
        <v>0</v>
      </c>
      <c r="AW254" s="187"/>
      <c r="AX254" s="187"/>
      <c r="AY254" s="187"/>
      <c r="AZ254" s="187"/>
      <c r="BA254" s="187"/>
      <c r="BB254" s="187"/>
      <c r="BC254" s="317">
        <v>0</v>
      </c>
      <c r="BD254" s="187">
        <v>0</v>
      </c>
      <c r="BE254" s="187">
        <v>0</v>
      </c>
      <c r="BF254" s="317"/>
      <c r="BG254" s="317">
        <v>335</v>
      </c>
      <c r="BH254" s="187">
        <v>0.47857142857142859</v>
      </c>
      <c r="BI254" s="187">
        <v>0.50375939849624063</v>
      </c>
      <c r="BJ254" s="317">
        <f t="shared" si="187"/>
        <v>665</v>
      </c>
      <c r="BK254" s="317">
        <f>BK255</f>
        <v>335</v>
      </c>
      <c r="BL254" s="187">
        <f t="shared" si="224"/>
        <v>0.47857142857142859</v>
      </c>
      <c r="BM254" s="187">
        <f t="shared" si="191"/>
        <v>0.50375939849624063</v>
      </c>
      <c r="BN254" s="205">
        <f t="shared" si="180"/>
        <v>335</v>
      </c>
      <c r="BO254" s="205"/>
      <c r="BP254" s="307">
        <f>BP255</f>
        <v>0</v>
      </c>
      <c r="BQ254" s="319">
        <f t="shared" si="192"/>
        <v>0</v>
      </c>
      <c r="BR254" s="307">
        <f>BR255</f>
        <v>0</v>
      </c>
      <c r="BS254" s="319">
        <f t="shared" si="225"/>
        <v>0</v>
      </c>
      <c r="BT254" s="307">
        <f>BT255</f>
        <v>70</v>
      </c>
      <c r="BU254" s="319">
        <f t="shared" si="245"/>
        <v>0.1</v>
      </c>
      <c r="BV254" s="307">
        <f>BV255</f>
        <v>140</v>
      </c>
      <c r="BW254" s="319">
        <f t="shared" si="245"/>
        <v>0.2</v>
      </c>
      <c r="BX254" s="307">
        <f>BX255</f>
        <v>210</v>
      </c>
      <c r="BY254" s="319">
        <f t="shared" si="228"/>
        <v>0.3</v>
      </c>
      <c r="BZ254" s="307">
        <f>BZ255</f>
        <v>280</v>
      </c>
      <c r="CA254" s="319">
        <f t="shared" si="229"/>
        <v>0.4</v>
      </c>
      <c r="CB254" s="307">
        <f>CB255</f>
        <v>350</v>
      </c>
      <c r="CC254" s="319">
        <f t="shared" si="230"/>
        <v>0.5</v>
      </c>
      <c r="CD254" s="307">
        <f>CD255</f>
        <v>385.00000000000006</v>
      </c>
      <c r="CE254" s="319">
        <f t="shared" si="231"/>
        <v>0.55000000000000004</v>
      </c>
      <c r="CF254" s="307">
        <v>489.99999999999994</v>
      </c>
      <c r="CG254" s="319">
        <f t="shared" si="232"/>
        <v>0.7</v>
      </c>
      <c r="CH254" s="307">
        <f>CH255</f>
        <v>489.99999999999994</v>
      </c>
      <c r="CI254" s="319">
        <f t="shared" si="233"/>
        <v>0.7</v>
      </c>
      <c r="CJ254" s="307">
        <f>CJ255</f>
        <v>525</v>
      </c>
      <c r="CK254" s="319">
        <f t="shared" si="234"/>
        <v>0.75</v>
      </c>
      <c r="CL254" s="307">
        <f>CL255</f>
        <v>525</v>
      </c>
      <c r="CM254" s="319">
        <f t="shared" si="235"/>
        <v>0.75</v>
      </c>
      <c r="CN254" s="307">
        <f>CN255</f>
        <v>665</v>
      </c>
      <c r="CO254" s="319">
        <f t="shared" si="236"/>
        <v>0.95</v>
      </c>
      <c r="CP254" s="213" t="str">
        <f t="shared" si="193"/>
        <v>Đạt</v>
      </c>
      <c r="CQ254" s="213" t="str">
        <f t="shared" si="194"/>
        <v>Đạt</v>
      </c>
      <c r="CR254" s="312"/>
      <c r="CS254" s="312"/>
      <c r="CT254" s="235"/>
      <c r="CU254" s="163"/>
      <c r="CV254" s="323"/>
      <c r="CW254" s="195"/>
      <c r="CX254" s="196"/>
      <c r="CY254" s="196"/>
      <c r="CZ254" s="197"/>
      <c r="DA254" s="196"/>
      <c r="DB254" s="196"/>
      <c r="DC254" s="196"/>
      <c r="DE254" s="199"/>
      <c r="DF254" s="200"/>
      <c r="DG254" s="181"/>
    </row>
    <row r="255" spans="1:111" ht="38.25" hidden="1" outlineLevel="1" x14ac:dyDescent="0.25">
      <c r="A255" s="192"/>
      <c r="B255" s="325" t="s">
        <v>384</v>
      </c>
      <c r="C255" s="325"/>
      <c r="D255" s="214">
        <f t="shared" si="243"/>
        <v>700</v>
      </c>
      <c r="E255" s="215"/>
      <c r="F255" s="214">
        <f>G255+H255+K255+M255</f>
        <v>700</v>
      </c>
      <c r="G255" s="223"/>
      <c r="H255" s="223">
        <v>700</v>
      </c>
      <c r="I255" s="235"/>
      <c r="J255" s="235"/>
      <c r="K255" s="223"/>
      <c r="L255" s="235"/>
      <c r="M255" s="223"/>
      <c r="N255" s="223"/>
      <c r="O255" s="223">
        <f t="shared" si="247"/>
        <v>0</v>
      </c>
      <c r="P255" s="223">
        <v>0</v>
      </c>
      <c r="Q255" s="224">
        <f t="shared" si="186"/>
        <v>0</v>
      </c>
      <c r="R255" s="223"/>
      <c r="S255" s="225">
        <v>0</v>
      </c>
      <c r="T255" s="225">
        <v>0</v>
      </c>
      <c r="U255" s="223"/>
      <c r="V255" s="225">
        <v>0</v>
      </c>
      <c r="W255" s="225">
        <v>0</v>
      </c>
      <c r="X255" s="223"/>
      <c r="Y255" s="225">
        <v>0</v>
      </c>
      <c r="Z255" s="225">
        <v>0</v>
      </c>
      <c r="AA255" s="223"/>
      <c r="AB255" s="225">
        <v>0</v>
      </c>
      <c r="AC255" s="225">
        <v>0</v>
      </c>
      <c r="AD255" s="223"/>
      <c r="AE255" s="225">
        <v>0</v>
      </c>
      <c r="AF255" s="225">
        <v>0</v>
      </c>
      <c r="AG255" s="223"/>
      <c r="AH255" s="225">
        <v>0</v>
      </c>
      <c r="AI255" s="225">
        <v>0</v>
      </c>
      <c r="AJ255" s="303"/>
      <c r="AK255" s="225">
        <v>0</v>
      </c>
      <c r="AL255" s="225">
        <v>0</v>
      </c>
      <c r="AM255" s="223"/>
      <c r="AN255" s="225">
        <v>0</v>
      </c>
      <c r="AO255" s="225">
        <v>0</v>
      </c>
      <c r="AP255" s="225"/>
      <c r="AQ255" s="223"/>
      <c r="AR255" s="225">
        <v>0</v>
      </c>
      <c r="AS255" s="225">
        <v>0</v>
      </c>
      <c r="AT255" s="223"/>
      <c r="AU255" s="225">
        <v>0</v>
      </c>
      <c r="AV255" s="225">
        <v>0</v>
      </c>
      <c r="AW255" s="225"/>
      <c r="AX255" s="225"/>
      <c r="AY255" s="225"/>
      <c r="AZ255" s="225"/>
      <c r="BA255" s="225"/>
      <c r="BB255" s="225"/>
      <c r="BC255" s="223"/>
      <c r="BD255" s="225">
        <v>0</v>
      </c>
      <c r="BE255" s="225">
        <v>0</v>
      </c>
      <c r="BF255" s="223">
        <v>335</v>
      </c>
      <c r="BG255" s="223">
        <v>335</v>
      </c>
      <c r="BH255" s="225">
        <v>0.47857142857142859</v>
      </c>
      <c r="BI255" s="225">
        <v>0.50375939849624063</v>
      </c>
      <c r="BJ255" s="223">
        <f t="shared" si="187"/>
        <v>665</v>
      </c>
      <c r="BK255" s="223">
        <v>335</v>
      </c>
      <c r="BL255" s="225">
        <f t="shared" si="224"/>
        <v>0.47857142857142859</v>
      </c>
      <c r="BM255" s="225">
        <f t="shared" si="191"/>
        <v>0.50375939849624063</v>
      </c>
      <c r="BN255" s="205">
        <f t="shared" si="180"/>
        <v>335</v>
      </c>
      <c r="BO255" s="205"/>
      <c r="BP255" s="227"/>
      <c r="BQ255" s="224">
        <f t="shared" si="192"/>
        <v>0</v>
      </c>
      <c r="BR255" s="227"/>
      <c r="BS255" s="224">
        <f t="shared" si="225"/>
        <v>0</v>
      </c>
      <c r="BT255" s="227">
        <f>$F255*0.1</f>
        <v>70</v>
      </c>
      <c r="BU255" s="224">
        <f t="shared" si="245"/>
        <v>0.1</v>
      </c>
      <c r="BV255" s="227">
        <f>$F255*0.2</f>
        <v>140</v>
      </c>
      <c r="BW255" s="308">
        <f t="shared" si="245"/>
        <v>0.2</v>
      </c>
      <c r="BX255" s="227">
        <f>$F255*0.3</f>
        <v>210</v>
      </c>
      <c r="BY255" s="308">
        <f t="shared" si="228"/>
        <v>0.3</v>
      </c>
      <c r="BZ255" s="227">
        <f>$F255*0.4</f>
        <v>280</v>
      </c>
      <c r="CA255" s="308">
        <f t="shared" si="229"/>
        <v>0.4</v>
      </c>
      <c r="CB255" s="227">
        <f>$F255*0.5</f>
        <v>350</v>
      </c>
      <c r="CC255" s="308">
        <f t="shared" si="230"/>
        <v>0.5</v>
      </c>
      <c r="CD255" s="227">
        <f>$F255*0.55</f>
        <v>385.00000000000006</v>
      </c>
      <c r="CE255" s="308">
        <f t="shared" si="231"/>
        <v>0.55000000000000004</v>
      </c>
      <c r="CF255" s="227">
        <v>489.99999999999994</v>
      </c>
      <c r="CG255" s="308">
        <f t="shared" si="232"/>
        <v>0.7</v>
      </c>
      <c r="CH255" s="227">
        <f>$F255*0.7</f>
        <v>489.99999999999994</v>
      </c>
      <c r="CI255" s="308">
        <f t="shared" si="233"/>
        <v>0.7</v>
      </c>
      <c r="CJ255" s="227">
        <f>$F255*0.75</f>
        <v>525</v>
      </c>
      <c r="CK255" s="308">
        <f t="shared" si="234"/>
        <v>0.75</v>
      </c>
      <c r="CL255" s="227">
        <f>$F255*0.75</f>
        <v>525</v>
      </c>
      <c r="CM255" s="308">
        <f t="shared" si="235"/>
        <v>0.75</v>
      </c>
      <c r="CN255" s="227">
        <f>$F255*0.95</f>
        <v>665</v>
      </c>
      <c r="CO255" s="308">
        <f t="shared" si="236"/>
        <v>0.95</v>
      </c>
      <c r="CP255" s="213" t="str">
        <f t="shared" si="193"/>
        <v>Đạt</v>
      </c>
      <c r="CQ255" s="213" t="str">
        <f t="shared" si="194"/>
        <v>Đạt</v>
      </c>
      <c r="CR255" s="312"/>
      <c r="CS255" s="312"/>
      <c r="CT255" s="235"/>
      <c r="CU255" s="163"/>
      <c r="CW255" s="195"/>
      <c r="CX255" s="196"/>
      <c r="CY255" s="196"/>
      <c r="CZ255" s="197"/>
      <c r="DA255" s="196"/>
      <c r="DB255" s="196"/>
      <c r="DC255" s="196"/>
      <c r="DE255" s="199"/>
      <c r="DF255" s="200"/>
      <c r="DG255" s="181"/>
    </row>
    <row r="256" spans="1:111" s="324" customFormat="1" hidden="1" outlineLevel="1" x14ac:dyDescent="0.25">
      <c r="A256" s="305" t="s">
        <v>34</v>
      </c>
      <c r="B256" s="318" t="s">
        <v>376</v>
      </c>
      <c r="C256" s="306"/>
      <c r="D256" s="307">
        <f t="shared" si="243"/>
        <v>3000</v>
      </c>
      <c r="E256" s="307"/>
      <c r="F256" s="307">
        <f>G256+H256+K256+M256</f>
        <v>3000</v>
      </c>
      <c r="G256" s="303">
        <v>3000</v>
      </c>
      <c r="H256" s="303"/>
      <c r="I256" s="235"/>
      <c r="J256" s="235"/>
      <c r="K256" s="303"/>
      <c r="L256" s="235"/>
      <c r="M256" s="223"/>
      <c r="N256" s="223"/>
      <c r="O256" s="303">
        <f t="shared" si="247"/>
        <v>3000</v>
      </c>
      <c r="P256" s="303">
        <v>0</v>
      </c>
      <c r="Q256" s="308">
        <f t="shared" si="186"/>
        <v>0</v>
      </c>
      <c r="R256" s="303"/>
      <c r="S256" s="309">
        <v>0</v>
      </c>
      <c r="T256" s="309">
        <v>0</v>
      </c>
      <c r="U256" s="303"/>
      <c r="V256" s="309">
        <v>0</v>
      </c>
      <c r="W256" s="309">
        <v>0</v>
      </c>
      <c r="X256" s="303"/>
      <c r="Y256" s="309">
        <v>0</v>
      </c>
      <c r="Z256" s="309">
        <v>0</v>
      </c>
      <c r="AA256" s="303"/>
      <c r="AB256" s="309">
        <v>0</v>
      </c>
      <c r="AC256" s="309">
        <v>0</v>
      </c>
      <c r="AD256" s="303"/>
      <c r="AE256" s="309">
        <v>0</v>
      </c>
      <c r="AF256" s="309">
        <v>0</v>
      </c>
      <c r="AG256" s="303"/>
      <c r="AH256" s="309">
        <v>0</v>
      </c>
      <c r="AI256" s="309">
        <v>0</v>
      </c>
      <c r="AJ256" s="303"/>
      <c r="AK256" s="309">
        <v>0</v>
      </c>
      <c r="AL256" s="309">
        <v>0</v>
      </c>
      <c r="AM256" s="303"/>
      <c r="AN256" s="309">
        <v>0</v>
      </c>
      <c r="AO256" s="309">
        <v>0</v>
      </c>
      <c r="AP256" s="309"/>
      <c r="AQ256" s="303"/>
      <c r="AR256" s="309">
        <v>0</v>
      </c>
      <c r="AS256" s="309">
        <v>0</v>
      </c>
      <c r="AT256" s="303"/>
      <c r="AU256" s="309">
        <v>0</v>
      </c>
      <c r="AV256" s="309">
        <v>0</v>
      </c>
      <c r="AW256" s="309"/>
      <c r="AX256" s="309"/>
      <c r="AY256" s="309"/>
      <c r="AZ256" s="309"/>
      <c r="BA256" s="309"/>
      <c r="BB256" s="309"/>
      <c r="BC256" s="303"/>
      <c r="BD256" s="309">
        <v>0</v>
      </c>
      <c r="BE256" s="309">
        <v>0</v>
      </c>
      <c r="BF256" s="303"/>
      <c r="BG256" s="303">
        <v>1100</v>
      </c>
      <c r="BH256" s="309">
        <v>0.36666666666666664</v>
      </c>
      <c r="BI256" s="309">
        <v>0.38596491228070173</v>
      </c>
      <c r="BJ256" s="303">
        <f t="shared" si="187"/>
        <v>2850</v>
      </c>
      <c r="BK256" s="303">
        <v>1100</v>
      </c>
      <c r="BL256" s="309">
        <f t="shared" si="224"/>
        <v>0.36666666666666664</v>
      </c>
      <c r="BM256" s="309">
        <f t="shared" si="191"/>
        <v>0.38596491228070173</v>
      </c>
      <c r="BN256" s="205">
        <f t="shared" si="180"/>
        <v>1100</v>
      </c>
      <c r="BO256" s="205"/>
      <c r="BP256" s="310"/>
      <c r="BQ256" s="308">
        <f t="shared" si="192"/>
        <v>0</v>
      </c>
      <c r="BR256" s="310"/>
      <c r="BS256" s="308">
        <f t="shared" si="225"/>
        <v>0</v>
      </c>
      <c r="BT256" s="310">
        <f>$F256*0.1</f>
        <v>300</v>
      </c>
      <c r="BU256" s="308">
        <f t="shared" si="245"/>
        <v>0.1</v>
      </c>
      <c r="BV256" s="310">
        <f>$F256*0.2</f>
        <v>600</v>
      </c>
      <c r="BW256" s="308">
        <f t="shared" si="245"/>
        <v>0.2</v>
      </c>
      <c r="BX256" s="310">
        <f>$F256*0.3</f>
        <v>900</v>
      </c>
      <c r="BY256" s="308">
        <f t="shared" si="228"/>
        <v>0.3</v>
      </c>
      <c r="BZ256" s="310">
        <f>$F256*0.4</f>
        <v>1200</v>
      </c>
      <c r="CA256" s="308">
        <f t="shared" si="229"/>
        <v>0.4</v>
      </c>
      <c r="CB256" s="310">
        <f>$F256*0.5</f>
        <v>1500</v>
      </c>
      <c r="CC256" s="308">
        <f t="shared" si="230"/>
        <v>0.5</v>
      </c>
      <c r="CD256" s="310">
        <f>$F256*0.55</f>
        <v>1650.0000000000002</v>
      </c>
      <c r="CE256" s="308">
        <f t="shared" si="231"/>
        <v>0.55000000000000004</v>
      </c>
      <c r="CF256" s="310">
        <f>$F256*0.6</f>
        <v>1800</v>
      </c>
      <c r="CG256" s="308">
        <f t="shared" si="232"/>
        <v>0.6</v>
      </c>
      <c r="CH256" s="310">
        <f>$F256*0.7</f>
        <v>2100</v>
      </c>
      <c r="CI256" s="308">
        <f t="shared" si="233"/>
        <v>0.7</v>
      </c>
      <c r="CJ256" s="310">
        <f>$F256*0.75</f>
        <v>2250</v>
      </c>
      <c r="CK256" s="308">
        <f t="shared" si="234"/>
        <v>0.75</v>
      </c>
      <c r="CL256" s="310">
        <f>$F256*0.75</f>
        <v>2250</v>
      </c>
      <c r="CM256" s="308">
        <f t="shared" si="235"/>
        <v>0.75</v>
      </c>
      <c r="CN256" s="310">
        <f>$F256*0.95</f>
        <v>2850</v>
      </c>
      <c r="CO256" s="308">
        <f t="shared" si="236"/>
        <v>0.95</v>
      </c>
      <c r="CP256" s="213" t="str">
        <f t="shared" si="193"/>
        <v>Đạt</v>
      </c>
      <c r="CQ256" s="213" t="str">
        <f t="shared" si="194"/>
        <v>Không đạt</v>
      </c>
      <c r="CR256" s="312"/>
      <c r="CS256" s="312"/>
      <c r="CT256" s="235"/>
      <c r="CU256" s="163"/>
      <c r="CV256" s="323"/>
      <c r="CW256" s="195"/>
      <c r="CX256" s="196"/>
      <c r="CY256" s="196"/>
      <c r="CZ256" s="197"/>
      <c r="DA256" s="196"/>
      <c r="DB256" s="196"/>
      <c r="DC256" s="196"/>
      <c r="DE256" s="199"/>
      <c r="DF256" s="200"/>
      <c r="DG256" s="181"/>
    </row>
    <row r="257" spans="1:111" ht="25.5" hidden="1" outlineLevel="1" x14ac:dyDescent="0.25">
      <c r="A257" s="305" t="s">
        <v>34</v>
      </c>
      <c r="B257" s="306" t="s">
        <v>377</v>
      </c>
      <c r="C257" s="306"/>
      <c r="D257" s="307">
        <f t="shared" si="243"/>
        <v>102040</v>
      </c>
      <c r="E257" s="307"/>
      <c r="F257" s="307">
        <f>G257+H257+K257+M257</f>
        <v>102040</v>
      </c>
      <c r="G257" s="307"/>
      <c r="H257" s="307">
        <v>102040</v>
      </c>
      <c r="I257" s="235"/>
      <c r="J257" s="235"/>
      <c r="K257" s="303"/>
      <c r="L257" s="235"/>
      <c r="M257" s="223"/>
      <c r="N257" s="223"/>
      <c r="O257" s="303"/>
      <c r="P257" s="303">
        <v>0</v>
      </c>
      <c r="Q257" s="308">
        <f t="shared" si="186"/>
        <v>0</v>
      </c>
      <c r="R257" s="303"/>
      <c r="S257" s="309">
        <v>0</v>
      </c>
      <c r="T257" s="309">
        <v>0</v>
      </c>
      <c r="U257" s="303"/>
      <c r="V257" s="309">
        <v>0</v>
      </c>
      <c r="W257" s="309">
        <v>0</v>
      </c>
      <c r="X257" s="303"/>
      <c r="Y257" s="309">
        <v>0</v>
      </c>
      <c r="Z257" s="309">
        <v>0</v>
      </c>
      <c r="AA257" s="303"/>
      <c r="AB257" s="309">
        <v>0</v>
      </c>
      <c r="AC257" s="309">
        <v>0</v>
      </c>
      <c r="AD257" s="303"/>
      <c r="AE257" s="309">
        <v>0</v>
      </c>
      <c r="AF257" s="309">
        <v>0</v>
      </c>
      <c r="AG257" s="303"/>
      <c r="AH257" s="309">
        <v>0</v>
      </c>
      <c r="AI257" s="309">
        <v>0</v>
      </c>
      <c r="AJ257" s="189"/>
      <c r="AK257" s="309">
        <v>0</v>
      </c>
      <c r="AL257" s="309">
        <v>0</v>
      </c>
      <c r="AM257" s="303"/>
      <c r="AN257" s="309">
        <v>0</v>
      </c>
      <c r="AO257" s="309">
        <v>0</v>
      </c>
      <c r="AP257" s="309"/>
      <c r="AQ257" s="303"/>
      <c r="AR257" s="309">
        <v>0</v>
      </c>
      <c r="AS257" s="309">
        <v>0</v>
      </c>
      <c r="AT257" s="303"/>
      <c r="AU257" s="309">
        <v>0</v>
      </c>
      <c r="AV257" s="309">
        <v>0</v>
      </c>
      <c r="AW257" s="309"/>
      <c r="AX257" s="309"/>
      <c r="AY257" s="309"/>
      <c r="AZ257" s="309"/>
      <c r="BA257" s="309"/>
      <c r="BB257" s="309"/>
      <c r="BC257" s="303"/>
      <c r="BD257" s="309">
        <v>0</v>
      </c>
      <c r="BE257" s="309">
        <v>0</v>
      </c>
      <c r="BF257" s="303"/>
      <c r="BG257" s="303"/>
      <c r="BH257" s="309">
        <v>0</v>
      </c>
      <c r="BI257" s="309">
        <v>0</v>
      </c>
      <c r="BJ257" s="303">
        <f t="shared" si="187"/>
        <v>96938</v>
      </c>
      <c r="BK257" s="303"/>
      <c r="BL257" s="309">
        <f t="shared" si="224"/>
        <v>0</v>
      </c>
      <c r="BM257" s="309">
        <f t="shared" si="191"/>
        <v>0</v>
      </c>
      <c r="BN257" s="205">
        <f t="shared" si="180"/>
        <v>0</v>
      </c>
      <c r="BO257" s="205"/>
      <c r="BP257" s="310"/>
      <c r="BQ257" s="308">
        <f t="shared" si="192"/>
        <v>0</v>
      </c>
      <c r="BR257" s="310"/>
      <c r="BS257" s="308">
        <f t="shared" si="225"/>
        <v>0</v>
      </c>
      <c r="BT257" s="310">
        <f>$F257*0.1</f>
        <v>10204</v>
      </c>
      <c r="BU257" s="308">
        <f>BT257/$D257</f>
        <v>0.1</v>
      </c>
      <c r="BV257" s="310">
        <f>$F257*0.2</f>
        <v>20408</v>
      </c>
      <c r="BW257" s="308">
        <f>BV257/$D257</f>
        <v>0.2</v>
      </c>
      <c r="BX257" s="310">
        <f>$F257*0.3</f>
        <v>30612</v>
      </c>
      <c r="BY257" s="308">
        <f t="shared" si="228"/>
        <v>0.3</v>
      </c>
      <c r="BZ257" s="310">
        <f>$F257*0.4</f>
        <v>40816</v>
      </c>
      <c r="CA257" s="308">
        <f t="shared" si="229"/>
        <v>0.4</v>
      </c>
      <c r="CB257" s="310">
        <f>$F257*0.5</f>
        <v>51020</v>
      </c>
      <c r="CC257" s="308">
        <f t="shared" si="230"/>
        <v>0.5</v>
      </c>
      <c r="CD257" s="310">
        <f>$F257*0.55</f>
        <v>56122.000000000007</v>
      </c>
      <c r="CE257" s="308">
        <f t="shared" si="231"/>
        <v>0.55000000000000004</v>
      </c>
      <c r="CF257" s="310">
        <f>$F257*0.6</f>
        <v>61224</v>
      </c>
      <c r="CG257" s="308">
        <f t="shared" si="232"/>
        <v>0.6</v>
      </c>
      <c r="CH257" s="310">
        <f>$F257*0.7</f>
        <v>71428</v>
      </c>
      <c r="CI257" s="308">
        <f t="shared" si="233"/>
        <v>0.7</v>
      </c>
      <c r="CJ257" s="310">
        <f>$F257*0.75</f>
        <v>76530</v>
      </c>
      <c r="CK257" s="308">
        <f t="shared" si="234"/>
        <v>0.75</v>
      </c>
      <c r="CL257" s="310">
        <f>$F257*0.75</f>
        <v>76530</v>
      </c>
      <c r="CM257" s="308">
        <f t="shared" si="235"/>
        <v>0.75</v>
      </c>
      <c r="CN257" s="310">
        <f>$F257*0.95</f>
        <v>96938</v>
      </c>
      <c r="CO257" s="308">
        <f t="shared" si="236"/>
        <v>0.95</v>
      </c>
      <c r="CP257" s="213" t="str">
        <f t="shared" si="193"/>
        <v>Không đạt</v>
      </c>
      <c r="CQ257" s="213" t="str">
        <f t="shared" si="194"/>
        <v>Không đạt</v>
      </c>
      <c r="CR257" s="312"/>
      <c r="CS257" s="312"/>
      <c r="CT257" s="235"/>
      <c r="CU257" s="163"/>
      <c r="CW257" s="195"/>
      <c r="CX257" s="196"/>
      <c r="CY257" s="196"/>
      <c r="CZ257" s="197"/>
      <c r="DA257" s="196"/>
      <c r="DB257" s="196"/>
      <c r="DC257" s="196"/>
      <c r="DE257" s="199"/>
      <c r="DF257" s="200"/>
      <c r="DG257" s="181"/>
    </row>
    <row r="258" spans="1:111" ht="18" customHeight="1" collapsed="1" x14ac:dyDescent="0.25">
      <c r="A258" s="213">
        <f>MAX(A$239:A256)+1</f>
        <v>6</v>
      </c>
      <c r="B258" s="240" t="s">
        <v>385</v>
      </c>
      <c r="C258" s="240"/>
      <c r="D258" s="188">
        <f t="shared" ref="D258:I258" si="252">D259+D261</f>
        <v>143400.110506</v>
      </c>
      <c r="E258" s="188">
        <f t="shared" si="252"/>
        <v>66500.110505999997</v>
      </c>
      <c r="F258" s="188">
        <f t="shared" si="252"/>
        <v>76900</v>
      </c>
      <c r="G258" s="188">
        <f t="shared" si="252"/>
        <v>33000</v>
      </c>
      <c r="H258" s="188">
        <f t="shared" si="252"/>
        <v>43900</v>
      </c>
      <c r="I258" s="188">
        <f t="shared" si="252"/>
        <v>0</v>
      </c>
      <c r="J258" s="188"/>
      <c r="K258" s="188">
        <f>K259+K261</f>
        <v>0</v>
      </c>
      <c r="L258" s="188">
        <f>L259+L261</f>
        <v>0</v>
      </c>
      <c r="M258" s="188">
        <f>M259+M261</f>
        <v>0</v>
      </c>
      <c r="N258" s="188">
        <f>N259+N261</f>
        <v>0</v>
      </c>
      <c r="O258" s="188">
        <f>O259+O261</f>
        <v>33000</v>
      </c>
      <c r="P258" s="188">
        <v>2461</v>
      </c>
      <c r="Q258" s="186">
        <f t="shared" si="186"/>
        <v>1.7161771991082458E-2</v>
      </c>
      <c r="R258" s="189">
        <v>2736.32</v>
      </c>
      <c r="S258" s="185">
        <v>1.9081714723542767E-2</v>
      </c>
      <c r="T258" s="185">
        <v>1.9607451064161174E-2</v>
      </c>
      <c r="U258" s="189">
        <v>5175.192035</v>
      </c>
      <c r="V258" s="185">
        <v>3.6089177454179611E-2</v>
      </c>
      <c r="W258" s="185">
        <v>3.7083500677515494E-2</v>
      </c>
      <c r="X258" s="189">
        <v>8106.4310349999996</v>
      </c>
      <c r="Y258" s="185">
        <v>5.653015891267963E-2</v>
      </c>
      <c r="Z258" s="185">
        <v>5.8087668775494067E-2</v>
      </c>
      <c r="AA258" s="189">
        <v>8106.4310349999996</v>
      </c>
      <c r="AB258" s="185">
        <v>5.653015891267963E-2</v>
      </c>
      <c r="AC258" s="185">
        <v>5.8087668775494067E-2</v>
      </c>
      <c r="AD258" s="189">
        <v>8657.8545350000004</v>
      </c>
      <c r="AE258" s="185">
        <v>6.03755081111862E-2</v>
      </c>
      <c r="AF258" s="185">
        <v>6.2038964417772194E-2</v>
      </c>
      <c r="AG258" s="189">
        <v>8657.8545350000004</v>
      </c>
      <c r="AH258" s="185">
        <v>6.03755081111862E-2</v>
      </c>
      <c r="AI258" s="185">
        <v>6.2038964417772194E-2</v>
      </c>
      <c r="AJ258" s="189">
        <v>8657.8545350000004</v>
      </c>
      <c r="AK258" s="185">
        <v>6.03755081111862E-2</v>
      </c>
      <c r="AL258" s="185">
        <v>6.2038964417772194E-2</v>
      </c>
      <c r="AM258" s="189">
        <v>8657.8545350000004</v>
      </c>
      <c r="AN258" s="185">
        <v>6.03755081111862E-2</v>
      </c>
      <c r="AO258" s="185">
        <v>6.2038964417772194E-2</v>
      </c>
      <c r="AP258" s="185"/>
      <c r="AQ258" s="189">
        <v>13702.339035000001</v>
      </c>
      <c r="AR258" s="185">
        <v>9.5553197181299815E-2</v>
      </c>
      <c r="AS258" s="185">
        <v>9.8185863529597406E-2</v>
      </c>
      <c r="AT258" s="189">
        <v>13702.339035000001</v>
      </c>
      <c r="AU258" s="185">
        <v>9.5553197181299815E-2</v>
      </c>
      <c r="AV258" s="185">
        <v>9.8185863529597406E-2</v>
      </c>
      <c r="AW258" s="185"/>
      <c r="AX258" s="185"/>
      <c r="AY258" s="185"/>
      <c r="AZ258" s="185"/>
      <c r="BA258" s="185"/>
      <c r="BB258" s="185"/>
      <c r="BC258" s="189">
        <v>13702.339035000001</v>
      </c>
      <c r="BD258" s="185">
        <v>9.5553197181299815E-2</v>
      </c>
      <c r="BE258" s="185">
        <v>9.8185863529597406E-2</v>
      </c>
      <c r="BF258" s="189"/>
      <c r="BG258" s="189">
        <v>13959.064034999999</v>
      </c>
      <c r="BH258" s="185">
        <v>9.7343467768220018E-2</v>
      </c>
      <c r="BI258" s="185">
        <v>0.10002545936431219</v>
      </c>
      <c r="BJ258" s="189">
        <f t="shared" si="187"/>
        <v>139555.110506</v>
      </c>
      <c r="BK258" s="189">
        <v>20704.191035</v>
      </c>
      <c r="BL258" s="185">
        <f t="shared" si="224"/>
        <v>0.1443805793589937</v>
      </c>
      <c r="BM258" s="185">
        <f t="shared" si="191"/>
        <v>0.14835852990213388</v>
      </c>
      <c r="BN258" s="205">
        <f t="shared" si="180"/>
        <v>12046.336499999999</v>
      </c>
      <c r="BO258" s="205"/>
      <c r="BP258" s="189">
        <f>BP259+BP261</f>
        <v>500</v>
      </c>
      <c r="BQ258" s="186">
        <f t="shared" si="192"/>
        <v>3.4867476617396298E-3</v>
      </c>
      <c r="BR258" s="189">
        <f>BR259+BR261</f>
        <v>2100</v>
      </c>
      <c r="BS258" s="186">
        <f t="shared" si="225"/>
        <v>1.4644340179306445E-2</v>
      </c>
      <c r="BT258" s="189">
        <f>BT259+BT261</f>
        <v>22585</v>
      </c>
      <c r="BU258" s="186">
        <f>BT258/$D258</f>
        <v>0.15749639188077907</v>
      </c>
      <c r="BV258" s="189">
        <f>BV259+BV261</f>
        <v>24585</v>
      </c>
      <c r="BW258" s="186">
        <f>BV258/$D258</f>
        <v>0.17144338252773758</v>
      </c>
      <c r="BX258" s="189">
        <f>BX259+BX261</f>
        <v>26585</v>
      </c>
      <c r="BY258" s="186">
        <f t="shared" si="228"/>
        <v>0.18539037317469612</v>
      </c>
      <c r="BZ258" s="189">
        <f>BZ259+BZ261</f>
        <v>67532</v>
      </c>
      <c r="CA258" s="186">
        <f t="shared" si="229"/>
        <v>0.47093408618520133</v>
      </c>
      <c r="CB258" s="189">
        <f>CB259+CB261</f>
        <v>67532</v>
      </c>
      <c r="CC258" s="186">
        <f t="shared" si="230"/>
        <v>0.47093408618520133</v>
      </c>
      <c r="CD258" s="189">
        <f>CD259+CD261</f>
        <v>67532</v>
      </c>
      <c r="CE258" s="186">
        <f t="shared" si="231"/>
        <v>0.47093408618520133</v>
      </c>
      <c r="CF258" s="189">
        <f>CF259+CF261</f>
        <v>95690</v>
      </c>
      <c r="CG258" s="186">
        <f t="shared" si="232"/>
        <v>0.66729376750373037</v>
      </c>
      <c r="CH258" s="189">
        <f>CH259+CH261</f>
        <v>95690</v>
      </c>
      <c r="CI258" s="186">
        <f t="shared" si="233"/>
        <v>0.66729376750373037</v>
      </c>
      <c r="CJ258" s="189">
        <f>CJ259+CJ261</f>
        <v>95690</v>
      </c>
      <c r="CK258" s="186">
        <f t="shared" si="234"/>
        <v>0.66729376750373037</v>
      </c>
      <c r="CL258" s="189">
        <f>CL259+CL261</f>
        <v>128860</v>
      </c>
      <c r="CM258" s="186">
        <f t="shared" si="235"/>
        <v>0.89860460738353742</v>
      </c>
      <c r="CN258" s="189">
        <f>CN259+CN261</f>
        <v>139555.110506</v>
      </c>
      <c r="CO258" s="186">
        <f t="shared" si="236"/>
        <v>0.9731869104812223</v>
      </c>
      <c r="CP258" s="213" t="str">
        <f t="shared" si="193"/>
        <v>Không đạt</v>
      </c>
      <c r="CQ258" s="213" t="str">
        <f t="shared" si="194"/>
        <v>Không đạt</v>
      </c>
      <c r="CR258" s="213"/>
      <c r="CS258" s="213"/>
      <c r="CT258" s="231"/>
      <c r="CU258" s="163"/>
      <c r="CW258" s="195"/>
      <c r="CX258" s="196"/>
      <c r="CY258" s="196"/>
      <c r="CZ258" s="197"/>
      <c r="DA258" s="196"/>
      <c r="DB258" s="196"/>
      <c r="DC258" s="196"/>
      <c r="DE258" s="199"/>
      <c r="DF258" s="200"/>
      <c r="DG258" s="181"/>
    </row>
    <row r="259" spans="1:111" s="160" customFormat="1" ht="12.75" hidden="1" outlineLevel="1" x14ac:dyDescent="0.25">
      <c r="A259" s="191" t="s">
        <v>29</v>
      </c>
      <c r="B259" s="210" t="s">
        <v>155</v>
      </c>
      <c r="C259" s="210"/>
      <c r="D259" s="188">
        <f t="shared" ref="D259:I259" si="253">D260</f>
        <v>66500.110505999997</v>
      </c>
      <c r="E259" s="188">
        <f t="shared" si="253"/>
        <v>66500.110505999997</v>
      </c>
      <c r="F259" s="188">
        <f t="shared" si="253"/>
        <v>0</v>
      </c>
      <c r="G259" s="188">
        <f t="shared" si="253"/>
        <v>0</v>
      </c>
      <c r="H259" s="188">
        <f t="shared" si="253"/>
        <v>0</v>
      </c>
      <c r="I259" s="188">
        <f t="shared" si="253"/>
        <v>0</v>
      </c>
      <c r="J259" s="188"/>
      <c r="K259" s="188">
        <f>K260</f>
        <v>0</v>
      </c>
      <c r="L259" s="188">
        <f>L260</f>
        <v>0</v>
      </c>
      <c r="M259" s="188">
        <f>M260</f>
        <v>0</v>
      </c>
      <c r="N259" s="188">
        <f>N260</f>
        <v>0</v>
      </c>
      <c r="O259" s="188">
        <f>O260</f>
        <v>0</v>
      </c>
      <c r="P259" s="188">
        <v>638.42499999999995</v>
      </c>
      <c r="Q259" s="186">
        <f t="shared" si="186"/>
        <v>9.6003599865055536E-3</v>
      </c>
      <c r="R259" s="189">
        <v>2232</v>
      </c>
      <c r="S259" s="328">
        <v>3.356385399989098E-2</v>
      </c>
      <c r="T259" s="328">
        <v>3.356385399989098E-2</v>
      </c>
      <c r="U259" s="189">
        <v>2231.7740349999999</v>
      </c>
      <c r="V259" s="328">
        <v>3.356045603561271E-2</v>
      </c>
      <c r="W259" s="328">
        <v>3.356045603561271E-2</v>
      </c>
      <c r="X259" s="189">
        <v>5163.0130349999999</v>
      </c>
      <c r="Y259" s="328">
        <v>7.7639164742954306E-2</v>
      </c>
      <c r="Z259" s="328">
        <v>7.7639164742954306E-2</v>
      </c>
      <c r="AA259" s="189">
        <v>5163.0130349999999</v>
      </c>
      <c r="AB259" s="328">
        <v>7.7639164742954306E-2</v>
      </c>
      <c r="AC259" s="328">
        <v>7.7639164742954306E-2</v>
      </c>
      <c r="AD259" s="189">
        <v>5163.0130349999999</v>
      </c>
      <c r="AE259" s="328">
        <v>7.7639164742954306E-2</v>
      </c>
      <c r="AF259" s="328">
        <v>7.7639164742954306E-2</v>
      </c>
      <c r="AG259" s="189">
        <v>5163.0130349999999</v>
      </c>
      <c r="AH259" s="328">
        <v>7.7639164742954306E-2</v>
      </c>
      <c r="AI259" s="328">
        <v>7.7639164742954306E-2</v>
      </c>
      <c r="AJ259" s="214">
        <v>5163.0130349999999</v>
      </c>
      <c r="AK259" s="328">
        <v>7.7639164742954306E-2</v>
      </c>
      <c r="AL259" s="328">
        <v>7.7639164742954306E-2</v>
      </c>
      <c r="AM259" s="189">
        <v>5163.0130349999999</v>
      </c>
      <c r="AN259" s="328">
        <v>7.7639164742954306E-2</v>
      </c>
      <c r="AO259" s="328">
        <v>7.7639164742954306E-2</v>
      </c>
      <c r="AP259" s="328"/>
      <c r="AQ259" s="189">
        <v>6326.2980349999998</v>
      </c>
      <c r="AR259" s="328">
        <v>9.5132143192892996E-2</v>
      </c>
      <c r="AS259" s="328">
        <v>9.5132143192892996E-2</v>
      </c>
      <c r="AT259" s="189">
        <v>6326.2980349999998</v>
      </c>
      <c r="AU259" s="328">
        <v>9.5132143192892996E-2</v>
      </c>
      <c r="AV259" s="328">
        <v>9.5132143192892996E-2</v>
      </c>
      <c r="AW259" s="328"/>
      <c r="AX259" s="328"/>
      <c r="AY259" s="328"/>
      <c r="AZ259" s="328"/>
      <c r="BA259" s="328"/>
      <c r="BB259" s="328"/>
      <c r="BC259" s="189">
        <v>6326.2980349999998</v>
      </c>
      <c r="BD259" s="328">
        <v>9.5132143192892996E-2</v>
      </c>
      <c r="BE259" s="328">
        <v>9.5132143192892996E-2</v>
      </c>
      <c r="BF259" s="189"/>
      <c r="BG259" s="189">
        <v>6583.0230350000002</v>
      </c>
      <c r="BH259" s="328">
        <v>9.8992663093485297E-2</v>
      </c>
      <c r="BI259" s="328">
        <v>9.8992663093485297E-2</v>
      </c>
      <c r="BJ259" s="189">
        <f t="shared" si="187"/>
        <v>66500.110505999997</v>
      </c>
      <c r="BK259" s="189">
        <v>11086.455034999999</v>
      </c>
      <c r="BL259" s="328">
        <f t="shared" si="224"/>
        <v>0.16671333251393197</v>
      </c>
      <c r="BM259" s="328">
        <f t="shared" si="191"/>
        <v>0.16671333251393197</v>
      </c>
      <c r="BN259" s="205">
        <f t="shared" si="180"/>
        <v>5923.4419999999991</v>
      </c>
      <c r="BO259" s="205"/>
      <c r="BP259" s="189">
        <f>BP260</f>
        <v>0</v>
      </c>
      <c r="BQ259" s="329">
        <f t="shared" si="192"/>
        <v>0</v>
      </c>
      <c r="BR259" s="189">
        <f>BR260</f>
        <v>0</v>
      </c>
      <c r="BS259" s="329">
        <f t="shared" si="225"/>
        <v>0</v>
      </c>
      <c r="BT259" s="189">
        <f>BT260</f>
        <v>10000</v>
      </c>
      <c r="BU259" s="186">
        <f>BT259/$D259</f>
        <v>0.15037568996366926</v>
      </c>
      <c r="BV259" s="189">
        <f>BV260</f>
        <v>10000</v>
      </c>
      <c r="BW259" s="329">
        <f>BV259/$D259</f>
        <v>0.15037568996366926</v>
      </c>
      <c r="BX259" s="189">
        <f>BX260</f>
        <v>10000</v>
      </c>
      <c r="BY259" s="329">
        <f t="shared" si="228"/>
        <v>0.15037568996366926</v>
      </c>
      <c r="BZ259" s="189">
        <f>BZ260</f>
        <v>25000</v>
      </c>
      <c r="CA259" s="329">
        <f t="shared" si="229"/>
        <v>0.37593922490917314</v>
      </c>
      <c r="CB259" s="189">
        <f>CB260</f>
        <v>25000</v>
      </c>
      <c r="CC259" s="329">
        <f t="shared" si="230"/>
        <v>0.37593922490917314</v>
      </c>
      <c r="CD259" s="189">
        <f>CD260</f>
        <v>25000</v>
      </c>
      <c r="CE259" s="329">
        <f t="shared" si="231"/>
        <v>0.37593922490917314</v>
      </c>
      <c r="CF259" s="189">
        <f>CF260</f>
        <v>40000</v>
      </c>
      <c r="CG259" s="329">
        <f t="shared" si="232"/>
        <v>0.60150275985467705</v>
      </c>
      <c r="CH259" s="189">
        <f>CH260</f>
        <v>40000</v>
      </c>
      <c r="CI259" s="329">
        <f t="shared" si="233"/>
        <v>0.60150275985467705</v>
      </c>
      <c r="CJ259" s="189">
        <f>CJ260</f>
        <v>40000</v>
      </c>
      <c r="CK259" s="329">
        <f t="shared" si="234"/>
        <v>0.60150275985467705</v>
      </c>
      <c r="CL259" s="189">
        <f>CL260</f>
        <v>60000</v>
      </c>
      <c r="CM259" s="329">
        <f t="shared" si="235"/>
        <v>0.90225413978201552</v>
      </c>
      <c r="CN259" s="189">
        <f>CN260</f>
        <v>66500.110505999997</v>
      </c>
      <c r="CO259" s="329">
        <f t="shared" si="236"/>
        <v>1</v>
      </c>
      <c r="CP259" s="213" t="str">
        <f t="shared" si="193"/>
        <v>Không đạt</v>
      </c>
      <c r="CQ259" s="213" t="str">
        <f t="shared" si="194"/>
        <v>Không đạt</v>
      </c>
      <c r="CR259" s="213"/>
      <c r="CS259" s="213"/>
      <c r="CT259" s="231"/>
      <c r="CU259" s="163"/>
      <c r="CV259" s="291"/>
      <c r="CW259" s="218"/>
      <c r="CX259" s="196"/>
      <c r="CY259" s="196"/>
      <c r="CZ259" s="197"/>
      <c r="DA259" s="196"/>
      <c r="DB259" s="196"/>
      <c r="DC259" s="196"/>
      <c r="DE259" s="199"/>
      <c r="DF259" s="200"/>
      <c r="DG259" s="181"/>
    </row>
    <row r="260" spans="1:111" ht="59.25" hidden="1" customHeight="1" outlineLevel="1" x14ac:dyDescent="0.25">
      <c r="A260" s="221">
        <v>1</v>
      </c>
      <c r="B260" s="222" t="s">
        <v>386</v>
      </c>
      <c r="C260" s="222">
        <v>7919705</v>
      </c>
      <c r="D260" s="214">
        <f t="shared" si="243"/>
        <v>66500.110505999997</v>
      </c>
      <c r="E260" s="214">
        <v>66500.110505999997</v>
      </c>
      <c r="F260" s="188"/>
      <c r="G260" s="188"/>
      <c r="H260" s="188"/>
      <c r="I260" s="188"/>
      <c r="J260" s="188"/>
      <c r="K260" s="188"/>
      <c r="L260" s="188"/>
      <c r="M260" s="231"/>
      <c r="N260" s="231"/>
      <c r="O260" s="188"/>
      <c r="P260" s="188">
        <v>2232</v>
      </c>
      <c r="Q260" s="212">
        <f t="shared" si="186"/>
        <v>3.356385399989098E-2</v>
      </c>
      <c r="R260" s="214">
        <v>2232</v>
      </c>
      <c r="S260" s="330">
        <v>0</v>
      </c>
      <c r="T260" s="330">
        <v>3.356385399989098E-2</v>
      </c>
      <c r="U260" s="214">
        <v>2231.7740349999999</v>
      </c>
      <c r="V260" s="330">
        <v>0</v>
      </c>
      <c r="W260" s="330">
        <v>3.356045603561271E-2</v>
      </c>
      <c r="X260" s="214">
        <v>5163.0130349999999</v>
      </c>
      <c r="Y260" s="330">
        <v>0</v>
      </c>
      <c r="Z260" s="330">
        <v>7.7639164742954306E-2</v>
      </c>
      <c r="AA260" s="214">
        <v>5163.0130349999999</v>
      </c>
      <c r="AB260" s="330">
        <v>0</v>
      </c>
      <c r="AC260" s="330">
        <v>7.7639164742954306E-2</v>
      </c>
      <c r="AD260" s="214">
        <v>5163.0130349999999</v>
      </c>
      <c r="AE260" s="330">
        <v>0</v>
      </c>
      <c r="AF260" s="330">
        <v>7.7639164742954306E-2</v>
      </c>
      <c r="AG260" s="214">
        <v>5163.0130349999999</v>
      </c>
      <c r="AH260" s="330">
        <v>0</v>
      </c>
      <c r="AI260" s="330">
        <v>7.7639164742954306E-2</v>
      </c>
      <c r="AJ260" s="226">
        <v>5163.0130349999999</v>
      </c>
      <c r="AK260" s="330">
        <v>0</v>
      </c>
      <c r="AL260" s="330">
        <v>7.7639164742954306E-2</v>
      </c>
      <c r="AM260" s="214">
        <v>5163.0130349999999</v>
      </c>
      <c r="AN260" s="330">
        <v>0</v>
      </c>
      <c r="AO260" s="330">
        <v>7.7639164742954306E-2</v>
      </c>
      <c r="AP260" s="330"/>
      <c r="AQ260" s="214">
        <v>6326.2980349999998</v>
      </c>
      <c r="AR260" s="330">
        <v>0</v>
      </c>
      <c r="AS260" s="330">
        <v>9.5132143192892996E-2</v>
      </c>
      <c r="AT260" s="214">
        <v>6326.2980349999998</v>
      </c>
      <c r="AU260" s="330">
        <v>0</v>
      </c>
      <c r="AV260" s="330">
        <v>9.5132143192892996E-2</v>
      </c>
      <c r="AW260" s="330"/>
      <c r="AX260" s="330"/>
      <c r="AY260" s="330"/>
      <c r="AZ260" s="330"/>
      <c r="BA260" s="330"/>
      <c r="BB260" s="330"/>
      <c r="BC260" s="214">
        <v>6326.2980349999998</v>
      </c>
      <c r="BD260" s="330">
        <v>0</v>
      </c>
      <c r="BE260" s="330">
        <v>9.5132143192892996E-2</v>
      </c>
      <c r="BF260" s="214"/>
      <c r="BG260" s="214">
        <v>6583.0230350000002</v>
      </c>
      <c r="BH260" s="309">
        <v>9.8992663093485297E-2</v>
      </c>
      <c r="BI260" s="326">
        <v>9.8992663093485297E-2</v>
      </c>
      <c r="BJ260" s="214">
        <f t="shared" si="187"/>
        <v>66500.110505999997</v>
      </c>
      <c r="BK260" s="214">
        <v>11086.455034999999</v>
      </c>
      <c r="BL260" s="309">
        <f t="shared" si="224"/>
        <v>0.16671333251393197</v>
      </c>
      <c r="BM260" s="326">
        <f t="shared" si="191"/>
        <v>0.16671333251393197</v>
      </c>
      <c r="BN260" s="205">
        <f t="shared" si="180"/>
        <v>5923.4419999999991</v>
      </c>
      <c r="BO260" s="205"/>
      <c r="BP260" s="230"/>
      <c r="BQ260" s="331">
        <v>0</v>
      </c>
      <c r="BR260" s="230"/>
      <c r="BS260" s="331">
        <v>0</v>
      </c>
      <c r="BT260" s="230">
        <v>10000</v>
      </c>
      <c r="BU260" s="212">
        <v>0.15</v>
      </c>
      <c r="BV260" s="230">
        <v>10000</v>
      </c>
      <c r="BW260" s="331">
        <v>0.15</v>
      </c>
      <c r="BX260" s="230">
        <v>10000</v>
      </c>
      <c r="BY260" s="331">
        <v>0.15</v>
      </c>
      <c r="BZ260" s="230">
        <v>25000</v>
      </c>
      <c r="CA260" s="327">
        <v>0.38</v>
      </c>
      <c r="CB260" s="230">
        <v>25000</v>
      </c>
      <c r="CC260" s="331">
        <v>0.38</v>
      </c>
      <c r="CD260" s="230">
        <v>25000</v>
      </c>
      <c r="CE260" s="331">
        <v>0.38</v>
      </c>
      <c r="CF260" s="230">
        <v>40000</v>
      </c>
      <c r="CG260" s="327">
        <v>0.6</v>
      </c>
      <c r="CH260" s="230">
        <v>40000</v>
      </c>
      <c r="CI260" s="331">
        <v>0.6</v>
      </c>
      <c r="CJ260" s="230">
        <v>40000</v>
      </c>
      <c r="CK260" s="331">
        <v>0.6</v>
      </c>
      <c r="CL260" s="230">
        <v>60000</v>
      </c>
      <c r="CM260" s="327">
        <v>0.9</v>
      </c>
      <c r="CN260" s="230">
        <v>66500.110505999997</v>
      </c>
      <c r="CO260" s="327">
        <v>0.95</v>
      </c>
      <c r="CP260" s="213" t="str">
        <f t="shared" si="193"/>
        <v>Không đạt</v>
      </c>
      <c r="CQ260" s="213" t="str">
        <f t="shared" si="194"/>
        <v>Không đạt</v>
      </c>
      <c r="CR260" s="213"/>
      <c r="CS260" s="213"/>
      <c r="CT260" s="231"/>
      <c r="CU260" s="163"/>
      <c r="CW260" s="195"/>
      <c r="CX260" s="196"/>
      <c r="CY260" s="196"/>
      <c r="CZ260" s="197"/>
      <c r="DA260" s="196"/>
      <c r="DB260" s="196"/>
      <c r="DC260" s="196"/>
      <c r="DE260" s="199"/>
      <c r="DF260" s="200"/>
      <c r="DG260" s="181"/>
    </row>
    <row r="261" spans="1:111" hidden="1" outlineLevel="1" x14ac:dyDescent="0.25">
      <c r="A261" s="263" t="s">
        <v>29</v>
      </c>
      <c r="B261" s="264" t="s">
        <v>157</v>
      </c>
      <c r="C261" s="265"/>
      <c r="D261" s="226">
        <f t="shared" ref="D261:I261" si="254">D262+D265+D266</f>
        <v>76900</v>
      </c>
      <c r="E261" s="226">
        <f t="shared" si="254"/>
        <v>0</v>
      </c>
      <c r="F261" s="226">
        <f t="shared" si="254"/>
        <v>76900</v>
      </c>
      <c r="G261" s="226">
        <f t="shared" si="254"/>
        <v>33000</v>
      </c>
      <c r="H261" s="226">
        <f t="shared" si="254"/>
        <v>43900</v>
      </c>
      <c r="I261" s="226">
        <f t="shared" si="254"/>
        <v>0</v>
      </c>
      <c r="J261" s="226"/>
      <c r="K261" s="226">
        <f>K262+K265+K266</f>
        <v>0</v>
      </c>
      <c r="L261" s="226">
        <f>L262+L265+L266</f>
        <v>0</v>
      </c>
      <c r="M261" s="226">
        <f>M262+M265+M266</f>
        <v>0</v>
      </c>
      <c r="N261" s="226">
        <f>N262+N265+N266</f>
        <v>0</v>
      </c>
      <c r="O261" s="226">
        <f>O262+O265+O266</f>
        <v>33000</v>
      </c>
      <c r="P261" s="226">
        <v>27078.295252</v>
      </c>
      <c r="Q261" s="212">
        <f t="shared" si="186"/>
        <v>0.35212347531859556</v>
      </c>
      <c r="R261" s="226">
        <v>504.32</v>
      </c>
      <c r="S261" s="330">
        <v>6.5581274382314697E-3</v>
      </c>
      <c r="T261" s="330">
        <v>6.9032920402436523E-3</v>
      </c>
      <c r="U261" s="226">
        <v>2943.4180000000001</v>
      </c>
      <c r="V261" s="330">
        <v>3.827591677503251E-2</v>
      </c>
      <c r="W261" s="330">
        <v>4.0290438710560539E-2</v>
      </c>
      <c r="X261" s="226">
        <v>2943.4180000000001</v>
      </c>
      <c r="Y261" s="330">
        <v>3.827591677503251E-2</v>
      </c>
      <c r="Z261" s="330">
        <v>4.0290438710560539E-2</v>
      </c>
      <c r="AA261" s="226">
        <v>2943.4180000000001</v>
      </c>
      <c r="AB261" s="330">
        <v>3.827591677503251E-2</v>
      </c>
      <c r="AC261" s="330">
        <v>4.0290438710560539E-2</v>
      </c>
      <c r="AD261" s="226">
        <v>3494.8415</v>
      </c>
      <c r="AE261" s="330">
        <v>4.5446573472041611E-2</v>
      </c>
      <c r="AF261" s="330">
        <v>4.7838498391622748E-2</v>
      </c>
      <c r="AG261" s="226">
        <v>3494.8415</v>
      </c>
      <c r="AH261" s="330">
        <v>4.5446573472041611E-2</v>
      </c>
      <c r="AI261" s="330">
        <v>4.7838498391622748E-2</v>
      </c>
      <c r="AJ261" s="317">
        <v>3494.8415</v>
      </c>
      <c r="AK261" s="330">
        <v>4.5446573472041611E-2</v>
      </c>
      <c r="AL261" s="330">
        <v>4.7838498391622748E-2</v>
      </c>
      <c r="AM261" s="226">
        <v>3494.8415</v>
      </c>
      <c r="AN261" s="330">
        <v>4.5446573472041611E-2</v>
      </c>
      <c r="AO261" s="330">
        <v>4.7838498391622748E-2</v>
      </c>
      <c r="AP261" s="330"/>
      <c r="AQ261" s="226">
        <v>7376.0410000000002</v>
      </c>
      <c r="AR261" s="330">
        <v>9.5917308192457737E-2</v>
      </c>
      <c r="AS261" s="330">
        <v>0.10096558757100815</v>
      </c>
      <c r="AT261" s="226">
        <v>7376.0410000000002</v>
      </c>
      <c r="AU261" s="330">
        <v>9.5917308192457737E-2</v>
      </c>
      <c r="AV261" s="330">
        <v>0.10096558757100815</v>
      </c>
      <c r="AW261" s="330"/>
      <c r="AX261" s="330"/>
      <c r="AY261" s="330"/>
      <c r="AZ261" s="330"/>
      <c r="BA261" s="330"/>
      <c r="BB261" s="330"/>
      <c r="BC261" s="226">
        <v>7376.0410000000002</v>
      </c>
      <c r="BD261" s="330">
        <v>9.5917308192457737E-2</v>
      </c>
      <c r="BE261" s="330">
        <v>0.10096558757100815</v>
      </c>
      <c r="BF261" s="226"/>
      <c r="BG261" s="226">
        <v>7376.0410000000002</v>
      </c>
      <c r="BH261" s="330">
        <v>9.5917308192457737E-2</v>
      </c>
      <c r="BI261" s="330">
        <v>0.10096558757100815</v>
      </c>
      <c r="BJ261" s="226">
        <f t="shared" si="187"/>
        <v>73055</v>
      </c>
      <c r="BK261" s="226">
        <v>8661.098</v>
      </c>
      <c r="BL261" s="330">
        <f>BK261/$D261</f>
        <v>0.11262806241872561</v>
      </c>
      <c r="BM261" s="330">
        <f t="shared" si="191"/>
        <v>0.11855585517760592</v>
      </c>
      <c r="BN261" s="205">
        <f t="shared" si="180"/>
        <v>5166.2564999999995</v>
      </c>
      <c r="BO261" s="205"/>
      <c r="BP261" s="230">
        <f>BP262+BP265+BP266</f>
        <v>500</v>
      </c>
      <c r="BQ261" s="331">
        <f>BP261/$D261</f>
        <v>6.5019505851755524E-3</v>
      </c>
      <c r="BR261" s="230">
        <f>BR262+BR265+BR266</f>
        <v>2100</v>
      </c>
      <c r="BS261" s="331">
        <f>BR261/$D261</f>
        <v>2.7308192457737322E-2</v>
      </c>
      <c r="BT261" s="230">
        <f>BT262+BT265+BT266</f>
        <v>12585</v>
      </c>
      <c r="BU261" s="212">
        <f>BT261/$D261</f>
        <v>0.16365409622886867</v>
      </c>
      <c r="BV261" s="230">
        <f>BV262+BV265+BV266</f>
        <v>14585</v>
      </c>
      <c r="BW261" s="331">
        <f>BV261/$D261</f>
        <v>0.18966189856957086</v>
      </c>
      <c r="BX261" s="230">
        <f>BX262+BX265+BX266</f>
        <v>16585</v>
      </c>
      <c r="BY261" s="331">
        <f>BX261/$D261</f>
        <v>0.21566970091027307</v>
      </c>
      <c r="BZ261" s="230">
        <f>BZ262+BZ265+BZ266</f>
        <v>42532</v>
      </c>
      <c r="CA261" s="331">
        <f>BZ261/$D261</f>
        <v>0.55308192457737326</v>
      </c>
      <c r="CB261" s="230">
        <f>CB262+CB265+CB266</f>
        <v>42532</v>
      </c>
      <c r="CC261" s="331">
        <f>CB261/$D261</f>
        <v>0.55308192457737326</v>
      </c>
      <c r="CD261" s="230">
        <f>CD262+CD265+CD266</f>
        <v>42532</v>
      </c>
      <c r="CE261" s="331">
        <f>CD261/$D261</f>
        <v>0.55308192457737326</v>
      </c>
      <c r="CF261" s="230">
        <f>CF262+CF265+CF266</f>
        <v>55690</v>
      </c>
      <c r="CG261" s="331">
        <f>CF261/$D261</f>
        <v>0.72418725617685309</v>
      </c>
      <c r="CH261" s="230">
        <f>CH262+CH265+CH266</f>
        <v>55690</v>
      </c>
      <c r="CI261" s="331">
        <f>CH261/$D261</f>
        <v>0.72418725617685309</v>
      </c>
      <c r="CJ261" s="230">
        <f>CJ262+CJ265+CJ266</f>
        <v>55690</v>
      </c>
      <c r="CK261" s="331">
        <f>CJ261/$D261</f>
        <v>0.72418725617685309</v>
      </c>
      <c r="CL261" s="230">
        <f>CL262+CL265+CL266</f>
        <v>68860</v>
      </c>
      <c r="CM261" s="331">
        <f>CL261/$D261</f>
        <v>0.89544863459037716</v>
      </c>
      <c r="CN261" s="230">
        <f>CN262+CN265+CN266</f>
        <v>73055</v>
      </c>
      <c r="CO261" s="331">
        <f>CN261/$D261</f>
        <v>0.95</v>
      </c>
      <c r="CP261" s="213" t="str">
        <f t="shared" si="193"/>
        <v>Không đạt</v>
      </c>
      <c r="CQ261" s="213" t="str">
        <f t="shared" si="194"/>
        <v>Không đạt</v>
      </c>
      <c r="CR261" s="332"/>
      <c r="CS261" s="332"/>
      <c r="CT261" s="226"/>
      <c r="CU261" s="163"/>
      <c r="CW261" s="195"/>
      <c r="CX261" s="196"/>
      <c r="CY261" s="196"/>
      <c r="CZ261" s="197"/>
      <c r="DA261" s="196"/>
      <c r="DB261" s="196"/>
      <c r="DC261" s="196"/>
      <c r="DE261" s="199"/>
      <c r="DF261" s="200"/>
      <c r="DG261" s="181"/>
    </row>
    <row r="262" spans="1:111" s="324" customFormat="1" hidden="1" outlineLevel="1" x14ac:dyDescent="0.25">
      <c r="A262" s="305" t="s">
        <v>34</v>
      </c>
      <c r="B262" s="318" t="s">
        <v>381</v>
      </c>
      <c r="C262" s="306"/>
      <c r="D262" s="317">
        <f>SUM(D263:D264)</f>
        <v>30000</v>
      </c>
      <c r="E262" s="317">
        <f t="shared" ref="E262:L262" si="255">SUM(E263:E264)</f>
        <v>0</v>
      </c>
      <c r="F262" s="317">
        <f t="shared" si="255"/>
        <v>30000</v>
      </c>
      <c r="G262" s="317">
        <f t="shared" si="255"/>
        <v>30000</v>
      </c>
      <c r="H262" s="317">
        <f t="shared" si="255"/>
        <v>0</v>
      </c>
      <c r="I262" s="214">
        <f t="shared" si="255"/>
        <v>0</v>
      </c>
      <c r="J262" s="214"/>
      <c r="K262" s="317">
        <f t="shared" si="255"/>
        <v>0</v>
      </c>
      <c r="L262" s="214">
        <f t="shared" si="255"/>
        <v>0</v>
      </c>
      <c r="M262" s="223"/>
      <c r="N262" s="223"/>
      <c r="O262" s="317">
        <f t="shared" si="247"/>
        <v>30000</v>
      </c>
      <c r="P262" s="317">
        <v>0</v>
      </c>
      <c r="Q262" s="319">
        <f t="shared" si="186"/>
        <v>0</v>
      </c>
      <c r="R262" s="317">
        <v>0</v>
      </c>
      <c r="S262" s="320">
        <v>0</v>
      </c>
      <c r="T262" s="320">
        <v>0</v>
      </c>
      <c r="U262" s="317">
        <v>0</v>
      </c>
      <c r="V262" s="320">
        <v>0</v>
      </c>
      <c r="W262" s="320">
        <v>0</v>
      </c>
      <c r="X262" s="317">
        <v>0</v>
      </c>
      <c r="Y262" s="320">
        <v>0</v>
      </c>
      <c r="Z262" s="320">
        <v>0</v>
      </c>
      <c r="AA262" s="317">
        <v>0</v>
      </c>
      <c r="AB262" s="320">
        <v>0</v>
      </c>
      <c r="AC262" s="320">
        <v>0</v>
      </c>
      <c r="AD262" s="317">
        <v>500</v>
      </c>
      <c r="AE262" s="320">
        <v>1.6666666666666666E-2</v>
      </c>
      <c r="AF262" s="320">
        <v>1.7543859649122806E-2</v>
      </c>
      <c r="AG262" s="317">
        <v>500</v>
      </c>
      <c r="AH262" s="320">
        <v>1.6666666666666666E-2</v>
      </c>
      <c r="AI262" s="320">
        <v>1.7543859649122806E-2</v>
      </c>
      <c r="AJ262" s="223">
        <v>500</v>
      </c>
      <c r="AK262" s="320">
        <v>1.6666666666666666E-2</v>
      </c>
      <c r="AL262" s="320">
        <v>1.7543859649122806E-2</v>
      </c>
      <c r="AM262" s="317">
        <v>500</v>
      </c>
      <c r="AN262" s="320">
        <v>1.6666666666666666E-2</v>
      </c>
      <c r="AO262" s="320">
        <v>1.7543859649122806E-2</v>
      </c>
      <c r="AP262" s="320"/>
      <c r="AQ262" s="317">
        <v>500</v>
      </c>
      <c r="AR262" s="320">
        <v>1.6666666666666666E-2</v>
      </c>
      <c r="AS262" s="320">
        <v>1.7543859649122806E-2</v>
      </c>
      <c r="AT262" s="317">
        <v>500</v>
      </c>
      <c r="AU262" s="320">
        <v>1.6666666666666666E-2</v>
      </c>
      <c r="AV262" s="320">
        <v>1.7543859649122806E-2</v>
      </c>
      <c r="AW262" s="320"/>
      <c r="AX262" s="320"/>
      <c r="AY262" s="320"/>
      <c r="AZ262" s="320"/>
      <c r="BA262" s="320"/>
      <c r="BB262" s="320"/>
      <c r="BC262" s="317">
        <v>500</v>
      </c>
      <c r="BD262" s="320">
        <v>1.6666666666666666E-2</v>
      </c>
      <c r="BE262" s="320">
        <v>1.7543859649122806E-2</v>
      </c>
      <c r="BF262" s="317"/>
      <c r="BG262" s="317">
        <v>500</v>
      </c>
      <c r="BH262" s="320">
        <v>1.6666666666666666E-2</v>
      </c>
      <c r="BI262" s="320">
        <v>1.7543859649122806E-2</v>
      </c>
      <c r="BJ262" s="317">
        <f t="shared" si="187"/>
        <v>28500</v>
      </c>
      <c r="BK262" s="317">
        <v>500</v>
      </c>
      <c r="BL262" s="320">
        <f>BK262/$D262</f>
        <v>1.6666666666666666E-2</v>
      </c>
      <c r="BM262" s="320">
        <f t="shared" si="191"/>
        <v>1.7543859649122806E-2</v>
      </c>
      <c r="BN262" s="205">
        <f t="shared" si="180"/>
        <v>0</v>
      </c>
      <c r="BO262" s="205"/>
      <c r="BP262" s="307">
        <f>SUM(BP263:BP264)</f>
        <v>500</v>
      </c>
      <c r="BQ262" s="322">
        <f>BP262/$D262</f>
        <v>1.6666666666666666E-2</v>
      </c>
      <c r="BR262" s="307">
        <f>SUM(BR263:BR264)</f>
        <v>1800</v>
      </c>
      <c r="BS262" s="322">
        <f>BR262/$D262</f>
        <v>0.06</v>
      </c>
      <c r="BT262" s="307">
        <f>SUM(BT263:BT264)</f>
        <v>5000</v>
      </c>
      <c r="BU262" s="319">
        <f>BT262/$D262</f>
        <v>0.16666666666666666</v>
      </c>
      <c r="BV262" s="307">
        <f>SUM(BV263:BV264)</f>
        <v>7000</v>
      </c>
      <c r="BW262" s="322">
        <f>BV262/$D262</f>
        <v>0.23333333333333334</v>
      </c>
      <c r="BX262" s="307">
        <f>SUM(BX263:BX264)</f>
        <v>9000</v>
      </c>
      <c r="BY262" s="322">
        <f>BX262/$D262</f>
        <v>0.3</v>
      </c>
      <c r="BZ262" s="307">
        <f>SUM(BZ263:BZ264)</f>
        <v>23000</v>
      </c>
      <c r="CA262" s="322">
        <f>BZ262/$D262</f>
        <v>0.76666666666666672</v>
      </c>
      <c r="CB262" s="307">
        <f>SUM(CB263:CB264)</f>
        <v>23000</v>
      </c>
      <c r="CC262" s="322">
        <f>CB262/$D262</f>
        <v>0.76666666666666672</v>
      </c>
      <c r="CD262" s="307">
        <f>SUM(CD263:CD264)</f>
        <v>23000</v>
      </c>
      <c r="CE262" s="322">
        <f>CD262/$D262</f>
        <v>0.76666666666666672</v>
      </c>
      <c r="CF262" s="307">
        <f>SUM(CF263:CF264)</f>
        <v>26500</v>
      </c>
      <c r="CG262" s="322">
        <f>CF262/$D262</f>
        <v>0.8833333333333333</v>
      </c>
      <c r="CH262" s="307">
        <f>SUM(CH263:CH264)</f>
        <v>26500</v>
      </c>
      <c r="CI262" s="322">
        <f>CH262/$D262</f>
        <v>0.8833333333333333</v>
      </c>
      <c r="CJ262" s="307">
        <f>SUM(CJ263:CJ264)</f>
        <v>26500</v>
      </c>
      <c r="CK262" s="322">
        <f>CJ262/$D262</f>
        <v>0.8833333333333333</v>
      </c>
      <c r="CL262" s="307">
        <f>SUM(CL263:CL264)</f>
        <v>26500</v>
      </c>
      <c r="CM262" s="322">
        <f>CL262/$D262</f>
        <v>0.8833333333333333</v>
      </c>
      <c r="CN262" s="307">
        <f>SUM(CN263:CN264)</f>
        <v>28500</v>
      </c>
      <c r="CO262" s="322">
        <f>CN262/$D262</f>
        <v>0.95</v>
      </c>
      <c r="CP262" s="213" t="str">
        <f t="shared" si="193"/>
        <v>Không đạt</v>
      </c>
      <c r="CQ262" s="213" t="str">
        <f t="shared" si="194"/>
        <v>Không đạt</v>
      </c>
      <c r="CR262" s="312"/>
      <c r="CS262" s="312"/>
      <c r="CT262" s="235"/>
      <c r="CU262" s="163"/>
      <c r="CV262" s="323"/>
      <c r="CW262" s="195"/>
      <c r="CX262" s="196"/>
      <c r="CY262" s="196"/>
      <c r="CZ262" s="197"/>
      <c r="DA262" s="196"/>
      <c r="DB262" s="196"/>
      <c r="DC262" s="196"/>
      <c r="DE262" s="199"/>
      <c r="DF262" s="200"/>
      <c r="DG262" s="181"/>
    </row>
    <row r="263" spans="1:111" ht="63.75" hidden="1" outlineLevel="1" x14ac:dyDescent="0.25">
      <c r="A263" s="192">
        <v>2</v>
      </c>
      <c r="B263" s="325" t="s">
        <v>387</v>
      </c>
      <c r="C263" s="325"/>
      <c r="D263" s="214">
        <f t="shared" si="243"/>
        <v>10000</v>
      </c>
      <c r="E263" s="215"/>
      <c r="F263" s="214">
        <f>G263+H263+K263+M263</f>
        <v>10000</v>
      </c>
      <c r="G263" s="333">
        <v>10000</v>
      </c>
      <c r="H263" s="223"/>
      <c r="I263" s="235"/>
      <c r="J263" s="235"/>
      <c r="K263" s="223"/>
      <c r="L263" s="235"/>
      <c r="M263" s="223"/>
      <c r="N263" s="223"/>
      <c r="O263" s="223">
        <f t="shared" si="247"/>
        <v>10000</v>
      </c>
      <c r="P263" s="223">
        <v>0</v>
      </c>
      <c r="Q263" s="224">
        <f t="shared" si="186"/>
        <v>0</v>
      </c>
      <c r="R263" s="223"/>
      <c r="S263" s="326"/>
      <c r="T263" s="326">
        <v>0</v>
      </c>
      <c r="U263" s="223"/>
      <c r="V263" s="326"/>
      <c r="W263" s="326">
        <v>0</v>
      </c>
      <c r="X263" s="223"/>
      <c r="Y263" s="326"/>
      <c r="Z263" s="326">
        <v>0</v>
      </c>
      <c r="AA263" s="223"/>
      <c r="AB263" s="326"/>
      <c r="AC263" s="326">
        <v>0</v>
      </c>
      <c r="AD263" s="223"/>
      <c r="AE263" s="326"/>
      <c r="AF263" s="326">
        <v>0</v>
      </c>
      <c r="AG263" s="223"/>
      <c r="AH263" s="326"/>
      <c r="AI263" s="326">
        <v>0</v>
      </c>
      <c r="AJ263" s="214"/>
      <c r="AK263" s="326"/>
      <c r="AL263" s="326">
        <v>0</v>
      </c>
      <c r="AM263" s="223"/>
      <c r="AN263" s="326"/>
      <c r="AO263" s="326">
        <v>0</v>
      </c>
      <c r="AP263" s="326"/>
      <c r="AQ263" s="223"/>
      <c r="AR263" s="326"/>
      <c r="AS263" s="326">
        <v>0</v>
      </c>
      <c r="AT263" s="223"/>
      <c r="AU263" s="326"/>
      <c r="AV263" s="326">
        <v>0</v>
      </c>
      <c r="AW263" s="326"/>
      <c r="AX263" s="326"/>
      <c r="AY263" s="326"/>
      <c r="AZ263" s="326"/>
      <c r="BA263" s="326"/>
      <c r="BB263" s="326"/>
      <c r="BC263" s="223"/>
      <c r="BD263" s="326"/>
      <c r="BE263" s="326">
        <v>0</v>
      </c>
      <c r="BF263" s="223"/>
      <c r="BG263" s="223"/>
      <c r="BH263" s="326"/>
      <c r="BI263" s="326">
        <v>0</v>
      </c>
      <c r="BJ263" s="223">
        <f t="shared" si="187"/>
        <v>9500</v>
      </c>
      <c r="BK263" s="223"/>
      <c r="BL263" s="326"/>
      <c r="BM263" s="326">
        <f t="shared" si="191"/>
        <v>0</v>
      </c>
      <c r="BN263" s="205">
        <f t="shared" ref="BN263:BN326" si="256">BK263-AD263</f>
        <v>0</v>
      </c>
      <c r="BO263" s="205"/>
      <c r="BP263" s="227">
        <v>500</v>
      </c>
      <c r="BQ263" s="327">
        <v>0.05</v>
      </c>
      <c r="BR263" s="227">
        <v>1500</v>
      </c>
      <c r="BS263" s="327">
        <v>0.15</v>
      </c>
      <c r="BT263" s="227">
        <v>3500</v>
      </c>
      <c r="BU263" s="224">
        <v>0.35</v>
      </c>
      <c r="BV263" s="227">
        <v>5500</v>
      </c>
      <c r="BW263" s="327">
        <v>0.55000000000000004</v>
      </c>
      <c r="BX263" s="227">
        <v>7500</v>
      </c>
      <c r="BY263" s="327">
        <v>0.75</v>
      </c>
      <c r="BZ263" s="227">
        <v>9500</v>
      </c>
      <c r="CA263" s="327">
        <v>0.95</v>
      </c>
      <c r="CB263" s="227">
        <v>9500</v>
      </c>
      <c r="CC263" s="327">
        <v>0.95</v>
      </c>
      <c r="CD263" s="227">
        <v>9500</v>
      </c>
      <c r="CE263" s="327">
        <v>0.95</v>
      </c>
      <c r="CF263" s="227">
        <v>9500</v>
      </c>
      <c r="CG263" s="327">
        <v>0.95</v>
      </c>
      <c r="CH263" s="227">
        <v>9500</v>
      </c>
      <c r="CI263" s="327">
        <v>0.95</v>
      </c>
      <c r="CJ263" s="227">
        <v>9500</v>
      </c>
      <c r="CK263" s="327">
        <v>0.95</v>
      </c>
      <c r="CL263" s="227">
        <v>9500</v>
      </c>
      <c r="CM263" s="327">
        <v>0.95</v>
      </c>
      <c r="CN263" s="227">
        <v>9500</v>
      </c>
      <c r="CO263" s="327">
        <v>0.95</v>
      </c>
      <c r="CP263" s="213" t="str">
        <f t="shared" si="193"/>
        <v>Không đạt</v>
      </c>
      <c r="CQ263" s="213" t="str">
        <f t="shared" si="194"/>
        <v>Không đạt</v>
      </c>
      <c r="CR263" s="192"/>
      <c r="CS263" s="192"/>
      <c r="CT263" s="223"/>
      <c r="CU263" s="163"/>
      <c r="CW263" s="195"/>
      <c r="CX263" s="196"/>
      <c r="CY263" s="196"/>
      <c r="CZ263" s="197"/>
      <c r="DA263" s="196"/>
      <c r="DB263" s="196"/>
      <c r="DC263" s="196"/>
      <c r="DE263" s="199"/>
      <c r="DF263" s="200"/>
      <c r="DG263" s="181"/>
    </row>
    <row r="264" spans="1:111" ht="38.25" hidden="1" outlineLevel="1" x14ac:dyDescent="0.25">
      <c r="A264" s="192">
        <v>3</v>
      </c>
      <c r="B264" s="325" t="s">
        <v>388</v>
      </c>
      <c r="C264" s="325">
        <v>7930648</v>
      </c>
      <c r="D264" s="214">
        <f t="shared" si="243"/>
        <v>20000</v>
      </c>
      <c r="E264" s="215"/>
      <c r="F264" s="214">
        <f>G264+H264+K264+M264</f>
        <v>20000</v>
      </c>
      <c r="G264" s="333">
        <v>20000</v>
      </c>
      <c r="H264" s="223"/>
      <c r="I264" s="235"/>
      <c r="J264" s="235"/>
      <c r="K264" s="223"/>
      <c r="L264" s="235"/>
      <c r="M264" s="223"/>
      <c r="N264" s="223"/>
      <c r="O264" s="223">
        <f t="shared" si="247"/>
        <v>20000</v>
      </c>
      <c r="P264" s="223">
        <v>0</v>
      </c>
      <c r="Q264" s="224">
        <f t="shared" si="186"/>
        <v>0</v>
      </c>
      <c r="R264" s="223"/>
      <c r="S264" s="326">
        <v>0</v>
      </c>
      <c r="T264" s="326">
        <v>0</v>
      </c>
      <c r="U264" s="223"/>
      <c r="V264" s="326">
        <v>0</v>
      </c>
      <c r="W264" s="326">
        <v>0</v>
      </c>
      <c r="X264" s="223"/>
      <c r="Y264" s="326">
        <v>0</v>
      </c>
      <c r="Z264" s="326">
        <v>0</v>
      </c>
      <c r="AA264" s="223"/>
      <c r="AB264" s="326">
        <v>0</v>
      </c>
      <c r="AC264" s="326">
        <v>0</v>
      </c>
      <c r="AD264" s="223">
        <v>500</v>
      </c>
      <c r="AE264" s="326">
        <v>0</v>
      </c>
      <c r="AF264" s="326">
        <v>2.6315789473684209E-2</v>
      </c>
      <c r="AG264" s="214">
        <v>500</v>
      </c>
      <c r="AH264" s="326">
        <v>0</v>
      </c>
      <c r="AI264" s="326">
        <v>2.6315789473684209E-2</v>
      </c>
      <c r="AJ264" s="303">
        <v>500</v>
      </c>
      <c r="AK264" s="326">
        <v>0</v>
      </c>
      <c r="AL264" s="326">
        <v>2.6315789473684209E-2</v>
      </c>
      <c r="AM264" s="214">
        <v>500</v>
      </c>
      <c r="AN264" s="326">
        <v>0</v>
      </c>
      <c r="AO264" s="326">
        <v>2.6315789473684209E-2</v>
      </c>
      <c r="AP264" s="326"/>
      <c r="AQ264" s="214">
        <v>500</v>
      </c>
      <c r="AR264" s="326">
        <v>0</v>
      </c>
      <c r="AS264" s="326">
        <v>2.6315789473684209E-2</v>
      </c>
      <c r="AT264" s="214">
        <v>500</v>
      </c>
      <c r="AU264" s="326">
        <v>0</v>
      </c>
      <c r="AV264" s="326">
        <v>2.6315789473684209E-2</v>
      </c>
      <c r="AW264" s="326"/>
      <c r="AX264" s="326"/>
      <c r="AY264" s="326"/>
      <c r="AZ264" s="326"/>
      <c r="BA264" s="326"/>
      <c r="BB264" s="326"/>
      <c r="BC264" s="214">
        <v>500</v>
      </c>
      <c r="BD264" s="326">
        <v>0</v>
      </c>
      <c r="BE264" s="326">
        <v>2.6315789473684209E-2</v>
      </c>
      <c r="BF264" s="214"/>
      <c r="BG264" s="214">
        <v>500</v>
      </c>
      <c r="BH264" s="326">
        <v>0</v>
      </c>
      <c r="BI264" s="326">
        <v>2.6315789473684209E-2</v>
      </c>
      <c r="BJ264" s="214">
        <f t="shared" si="187"/>
        <v>19000</v>
      </c>
      <c r="BK264" s="214">
        <v>500</v>
      </c>
      <c r="BL264" s="326">
        <v>0</v>
      </c>
      <c r="BM264" s="326">
        <f t="shared" si="191"/>
        <v>2.6315789473684209E-2</v>
      </c>
      <c r="BN264" s="205">
        <f t="shared" si="256"/>
        <v>0</v>
      </c>
      <c r="BO264" s="205"/>
      <c r="BP264" s="227"/>
      <c r="BQ264" s="327">
        <v>0</v>
      </c>
      <c r="BR264" s="227">
        <v>300</v>
      </c>
      <c r="BS264" s="327">
        <v>0.02</v>
      </c>
      <c r="BT264" s="227">
        <v>1500</v>
      </c>
      <c r="BU264" s="224">
        <v>7.0000000000000007E-2</v>
      </c>
      <c r="BV264" s="227">
        <v>1500</v>
      </c>
      <c r="BW264" s="327">
        <v>0.08</v>
      </c>
      <c r="BX264" s="227">
        <v>1500</v>
      </c>
      <c r="BY264" s="327">
        <v>0.08</v>
      </c>
      <c r="BZ264" s="227">
        <v>13500</v>
      </c>
      <c r="CA264" s="327">
        <v>0.68</v>
      </c>
      <c r="CB264" s="227">
        <v>13500</v>
      </c>
      <c r="CC264" s="327">
        <v>0.68</v>
      </c>
      <c r="CD264" s="227">
        <v>13500</v>
      </c>
      <c r="CE264" s="327">
        <v>0.68</v>
      </c>
      <c r="CF264" s="227">
        <v>17000</v>
      </c>
      <c r="CG264" s="327">
        <v>0.85</v>
      </c>
      <c r="CH264" s="227">
        <v>17000</v>
      </c>
      <c r="CI264" s="327">
        <v>0.85</v>
      </c>
      <c r="CJ264" s="227">
        <v>17000</v>
      </c>
      <c r="CK264" s="327">
        <v>0.85</v>
      </c>
      <c r="CL264" s="227">
        <v>17000</v>
      </c>
      <c r="CM264" s="327">
        <v>0.85</v>
      </c>
      <c r="CN264" s="227">
        <v>19000</v>
      </c>
      <c r="CO264" s="327">
        <v>0.95</v>
      </c>
      <c r="CP264" s="213" t="str">
        <f t="shared" si="193"/>
        <v>Không đạt</v>
      </c>
      <c r="CQ264" s="213" t="str">
        <f t="shared" si="194"/>
        <v>Không đạt</v>
      </c>
      <c r="CR264" s="192"/>
      <c r="CS264" s="192"/>
      <c r="CT264" s="223"/>
      <c r="CU264" s="163"/>
      <c r="CW264" s="195"/>
      <c r="CX264" s="196"/>
      <c r="CY264" s="196"/>
      <c r="CZ264" s="197"/>
      <c r="DA264" s="196"/>
      <c r="DB264" s="196"/>
      <c r="DC264" s="196"/>
      <c r="DE264" s="199"/>
      <c r="DF264" s="200"/>
      <c r="DG264" s="181"/>
    </row>
    <row r="265" spans="1:111" s="324" customFormat="1" hidden="1" outlineLevel="1" x14ac:dyDescent="0.25">
      <c r="A265" s="305" t="s">
        <v>34</v>
      </c>
      <c r="B265" s="318" t="s">
        <v>376</v>
      </c>
      <c r="C265" s="306"/>
      <c r="D265" s="307">
        <f t="shared" si="243"/>
        <v>3000</v>
      </c>
      <c r="E265" s="307"/>
      <c r="F265" s="307">
        <f>G265+H265+K265+M265</f>
        <v>3000</v>
      </c>
      <c r="G265" s="307">
        <v>3000</v>
      </c>
      <c r="H265" s="303"/>
      <c r="I265" s="235"/>
      <c r="J265" s="235"/>
      <c r="K265" s="303"/>
      <c r="L265" s="235"/>
      <c r="M265" s="223"/>
      <c r="N265" s="223"/>
      <c r="O265" s="303">
        <f t="shared" si="247"/>
        <v>3000</v>
      </c>
      <c r="P265" s="303">
        <v>0</v>
      </c>
      <c r="Q265" s="308">
        <f t="shared" si="186"/>
        <v>0</v>
      </c>
      <c r="R265" s="303">
        <v>495.32</v>
      </c>
      <c r="S265" s="313">
        <v>0</v>
      </c>
      <c r="T265" s="313">
        <v>0.17379649122807017</v>
      </c>
      <c r="U265" s="303">
        <v>2379.8415</v>
      </c>
      <c r="V265" s="313">
        <v>0</v>
      </c>
      <c r="W265" s="313">
        <v>0.83503210526315785</v>
      </c>
      <c r="X265" s="303">
        <v>2379.8415</v>
      </c>
      <c r="Y265" s="313">
        <v>0</v>
      </c>
      <c r="Z265" s="313">
        <v>0.83503210526315785</v>
      </c>
      <c r="AA265" s="303">
        <v>2379.8415</v>
      </c>
      <c r="AB265" s="313">
        <v>0</v>
      </c>
      <c r="AC265" s="313">
        <v>0.83503210526315785</v>
      </c>
      <c r="AD265" s="303">
        <v>2379.8415</v>
      </c>
      <c r="AE265" s="313">
        <v>0</v>
      </c>
      <c r="AF265" s="313">
        <v>0.83503210526315785</v>
      </c>
      <c r="AG265" s="303">
        <v>2379.8415</v>
      </c>
      <c r="AH265" s="313">
        <v>0</v>
      </c>
      <c r="AI265" s="313">
        <v>0.83503210526315785</v>
      </c>
      <c r="AJ265" s="307">
        <v>2379.8415</v>
      </c>
      <c r="AK265" s="313">
        <v>0</v>
      </c>
      <c r="AL265" s="313">
        <v>0.83503210526315785</v>
      </c>
      <c r="AM265" s="303">
        <v>2379.8415</v>
      </c>
      <c r="AN265" s="313">
        <v>0</v>
      </c>
      <c r="AO265" s="313">
        <v>0.83503210526315785</v>
      </c>
      <c r="AP265" s="313"/>
      <c r="AQ265" s="303">
        <v>2850</v>
      </c>
      <c r="AR265" s="313">
        <v>0</v>
      </c>
      <c r="AS265" s="313">
        <v>1</v>
      </c>
      <c r="AT265" s="303">
        <v>2850</v>
      </c>
      <c r="AU265" s="313">
        <v>0</v>
      </c>
      <c r="AV265" s="313">
        <v>1</v>
      </c>
      <c r="AW265" s="313"/>
      <c r="AX265" s="313"/>
      <c r="AY265" s="313"/>
      <c r="AZ265" s="313"/>
      <c r="BA265" s="313"/>
      <c r="BB265" s="313"/>
      <c r="BC265" s="303">
        <v>2850</v>
      </c>
      <c r="BD265" s="313">
        <v>0</v>
      </c>
      <c r="BE265" s="313">
        <v>1</v>
      </c>
      <c r="BF265" s="303"/>
      <c r="BG265" s="303">
        <v>2850</v>
      </c>
      <c r="BH265" s="313">
        <v>0</v>
      </c>
      <c r="BI265" s="313">
        <v>1</v>
      </c>
      <c r="BJ265" s="303">
        <f t="shared" si="187"/>
        <v>2850</v>
      </c>
      <c r="BK265" s="303">
        <v>2850</v>
      </c>
      <c r="BL265" s="313">
        <v>0</v>
      </c>
      <c r="BM265" s="313">
        <f t="shared" si="191"/>
        <v>1</v>
      </c>
      <c r="BN265" s="205">
        <f t="shared" si="256"/>
        <v>470.1585</v>
      </c>
      <c r="BO265" s="205"/>
      <c r="BP265" s="310"/>
      <c r="BQ265" s="311">
        <v>0</v>
      </c>
      <c r="BR265" s="310">
        <v>300</v>
      </c>
      <c r="BS265" s="311">
        <v>0.1</v>
      </c>
      <c r="BT265" s="310">
        <v>1000</v>
      </c>
      <c r="BU265" s="308">
        <v>0.33</v>
      </c>
      <c r="BV265" s="310">
        <v>1000</v>
      </c>
      <c r="BW265" s="311">
        <v>0.33</v>
      </c>
      <c r="BX265" s="310">
        <v>1000</v>
      </c>
      <c r="BY265" s="311">
        <v>0.33</v>
      </c>
      <c r="BZ265" s="310">
        <v>2850</v>
      </c>
      <c r="CA265" s="311">
        <v>0.95</v>
      </c>
      <c r="CB265" s="310">
        <v>2850</v>
      </c>
      <c r="CC265" s="311">
        <v>0.95</v>
      </c>
      <c r="CD265" s="310">
        <v>2850</v>
      </c>
      <c r="CE265" s="311">
        <v>0.95</v>
      </c>
      <c r="CF265" s="310">
        <v>2850</v>
      </c>
      <c r="CG265" s="311">
        <v>0.95</v>
      </c>
      <c r="CH265" s="310">
        <v>2850</v>
      </c>
      <c r="CI265" s="311">
        <v>0.95</v>
      </c>
      <c r="CJ265" s="310">
        <v>2850</v>
      </c>
      <c r="CK265" s="311">
        <v>0.95</v>
      </c>
      <c r="CL265" s="310">
        <v>2850</v>
      </c>
      <c r="CM265" s="311">
        <v>0.95</v>
      </c>
      <c r="CN265" s="310">
        <v>2850</v>
      </c>
      <c r="CO265" s="311">
        <v>0.95</v>
      </c>
      <c r="CP265" s="213" t="str">
        <f t="shared" si="193"/>
        <v>Đạt</v>
      </c>
      <c r="CQ265" s="213" t="str">
        <f t="shared" si="194"/>
        <v>Đạt</v>
      </c>
      <c r="CR265" s="312"/>
      <c r="CS265" s="312"/>
      <c r="CT265" s="235"/>
      <c r="CU265" s="163"/>
      <c r="CV265" s="323"/>
      <c r="CW265" s="195"/>
      <c r="CX265" s="196"/>
      <c r="CY265" s="196"/>
      <c r="CZ265" s="197"/>
      <c r="DA265" s="196"/>
      <c r="DB265" s="196"/>
      <c r="DC265" s="196"/>
      <c r="DE265" s="199"/>
      <c r="DF265" s="200"/>
      <c r="DG265" s="181"/>
    </row>
    <row r="266" spans="1:111" ht="45" hidden="1" customHeight="1" outlineLevel="1" x14ac:dyDescent="0.25">
      <c r="A266" s="305" t="s">
        <v>34</v>
      </c>
      <c r="B266" s="306" t="s">
        <v>377</v>
      </c>
      <c r="C266" s="306"/>
      <c r="D266" s="307">
        <f t="shared" si="243"/>
        <v>43900</v>
      </c>
      <c r="E266" s="307"/>
      <c r="F266" s="307">
        <f>G266+H266+K266+M266</f>
        <v>43900</v>
      </c>
      <c r="G266" s="307"/>
      <c r="H266" s="307">
        <v>43900</v>
      </c>
      <c r="I266" s="235"/>
      <c r="J266" s="235"/>
      <c r="K266" s="303"/>
      <c r="L266" s="235"/>
      <c r="M266" s="223"/>
      <c r="N266" s="223"/>
      <c r="O266" s="303"/>
      <c r="P266" s="303">
        <v>0</v>
      </c>
      <c r="Q266" s="308">
        <f t="shared" si="186"/>
        <v>0</v>
      </c>
      <c r="R266" s="303">
        <v>9</v>
      </c>
      <c r="S266" s="313">
        <v>0</v>
      </c>
      <c r="T266" s="313">
        <v>2.15801462654358E-4</v>
      </c>
      <c r="U266" s="303">
        <v>563.57650000000001</v>
      </c>
      <c r="V266" s="313">
        <v>0</v>
      </c>
      <c r="W266" s="313">
        <v>1.3513403668624866E-2</v>
      </c>
      <c r="X266" s="303">
        <v>563.57650000000001</v>
      </c>
      <c r="Y266" s="313">
        <v>0</v>
      </c>
      <c r="Z266" s="313">
        <v>1.3513403668624866E-2</v>
      </c>
      <c r="AA266" s="303">
        <v>563.57650000000001</v>
      </c>
      <c r="AB266" s="313">
        <v>0</v>
      </c>
      <c r="AC266" s="313">
        <v>1.3513403668624866E-2</v>
      </c>
      <c r="AD266" s="303">
        <v>615</v>
      </c>
      <c r="AE266" s="313">
        <v>0</v>
      </c>
      <c r="AF266" s="313">
        <v>1.474643328138113E-2</v>
      </c>
      <c r="AG266" s="307">
        <v>615</v>
      </c>
      <c r="AH266" s="313">
        <v>0</v>
      </c>
      <c r="AI266" s="313">
        <v>1.474643328138113E-2</v>
      </c>
      <c r="AJ266" s="188">
        <v>615</v>
      </c>
      <c r="AK266" s="313">
        <v>0</v>
      </c>
      <c r="AL266" s="313">
        <v>1.474643328138113E-2</v>
      </c>
      <c r="AM266" s="307">
        <v>615</v>
      </c>
      <c r="AN266" s="313">
        <v>0</v>
      </c>
      <c r="AO266" s="313">
        <v>1.474643328138113E-2</v>
      </c>
      <c r="AP266" s="313"/>
      <c r="AQ266" s="307">
        <v>4026.0410000000002</v>
      </c>
      <c r="AR266" s="313">
        <v>0</v>
      </c>
      <c r="AS266" s="313">
        <v>9.6536170722934897E-2</v>
      </c>
      <c r="AT266" s="307">
        <v>4026.0410000000002</v>
      </c>
      <c r="AU266" s="313">
        <v>0</v>
      </c>
      <c r="AV266" s="313">
        <v>9.6536170722934897E-2</v>
      </c>
      <c r="AW266" s="313"/>
      <c r="AX266" s="313"/>
      <c r="AY266" s="313"/>
      <c r="AZ266" s="313"/>
      <c r="BA266" s="313"/>
      <c r="BB266" s="313"/>
      <c r="BC266" s="307">
        <v>4026.0410000000002</v>
      </c>
      <c r="BD266" s="313">
        <v>0</v>
      </c>
      <c r="BE266" s="313">
        <v>9.6536170722934897E-2</v>
      </c>
      <c r="BF266" s="307"/>
      <c r="BG266" s="307">
        <v>4026.0410000000002</v>
      </c>
      <c r="BH266" s="313">
        <v>0</v>
      </c>
      <c r="BI266" s="313">
        <v>9.6536170722934897E-2</v>
      </c>
      <c r="BJ266" s="307">
        <f t="shared" si="187"/>
        <v>41705</v>
      </c>
      <c r="BK266" s="307">
        <v>5311.098</v>
      </c>
      <c r="BL266" s="313">
        <v>0</v>
      </c>
      <c r="BM266" s="313">
        <f t="shared" si="191"/>
        <v>0.12734919074451503</v>
      </c>
      <c r="BN266" s="205">
        <f t="shared" si="256"/>
        <v>4696.098</v>
      </c>
      <c r="BO266" s="205"/>
      <c r="BP266" s="310">
        <v>0</v>
      </c>
      <c r="BQ266" s="311">
        <v>0</v>
      </c>
      <c r="BR266" s="310">
        <v>0</v>
      </c>
      <c r="BS266" s="311">
        <v>0</v>
      </c>
      <c r="BT266" s="310">
        <v>6585</v>
      </c>
      <c r="BU266" s="308">
        <v>0.15</v>
      </c>
      <c r="BV266" s="310">
        <v>6585</v>
      </c>
      <c r="BW266" s="311">
        <v>0.15</v>
      </c>
      <c r="BX266" s="310">
        <v>6585</v>
      </c>
      <c r="BY266" s="311">
        <v>0.15</v>
      </c>
      <c r="BZ266" s="310">
        <v>16682</v>
      </c>
      <c r="CA266" s="311">
        <v>0.38</v>
      </c>
      <c r="CB266" s="310">
        <v>16682</v>
      </c>
      <c r="CC266" s="311">
        <v>0.38</v>
      </c>
      <c r="CD266" s="310">
        <v>16682</v>
      </c>
      <c r="CE266" s="311">
        <v>0.38</v>
      </c>
      <c r="CF266" s="310">
        <v>26340</v>
      </c>
      <c r="CG266" s="311">
        <v>0.6</v>
      </c>
      <c r="CH266" s="310">
        <v>26340</v>
      </c>
      <c r="CI266" s="311">
        <v>0.6</v>
      </c>
      <c r="CJ266" s="310">
        <v>26340</v>
      </c>
      <c r="CK266" s="311">
        <v>0.6</v>
      </c>
      <c r="CL266" s="310">
        <v>39510</v>
      </c>
      <c r="CM266" s="311">
        <v>0.9</v>
      </c>
      <c r="CN266" s="310">
        <v>41705</v>
      </c>
      <c r="CO266" s="311">
        <v>0.95</v>
      </c>
      <c r="CP266" s="213" t="str">
        <f t="shared" si="193"/>
        <v>Không đạt</v>
      </c>
      <c r="CQ266" s="213" t="str">
        <f t="shared" si="194"/>
        <v>Không đạt</v>
      </c>
      <c r="CR266" s="312"/>
      <c r="CS266" s="312"/>
      <c r="CT266" s="235"/>
      <c r="CU266" s="163"/>
      <c r="CW266" s="195"/>
      <c r="CX266" s="196"/>
      <c r="CY266" s="196"/>
      <c r="CZ266" s="197"/>
      <c r="DA266" s="196"/>
      <c r="DB266" s="196"/>
      <c r="DC266" s="196"/>
      <c r="DE266" s="199"/>
      <c r="DF266" s="200"/>
      <c r="DG266" s="181"/>
    </row>
    <row r="267" spans="1:111" ht="18" customHeight="1" collapsed="1" x14ac:dyDescent="0.25">
      <c r="A267" s="213">
        <f>MAX(A$239:A265)+1</f>
        <v>7</v>
      </c>
      <c r="B267" s="240" t="s">
        <v>389</v>
      </c>
      <c r="C267" s="240"/>
      <c r="D267" s="188">
        <f>D268</f>
        <v>3000</v>
      </c>
      <c r="E267" s="188">
        <f t="shared" ref="E267:L267" si="257">E268</f>
        <v>0</v>
      </c>
      <c r="F267" s="188">
        <f t="shared" si="257"/>
        <v>3000</v>
      </c>
      <c r="G267" s="188">
        <f t="shared" si="257"/>
        <v>3000</v>
      </c>
      <c r="H267" s="188">
        <f t="shared" si="257"/>
        <v>0</v>
      </c>
      <c r="I267" s="188">
        <f t="shared" si="257"/>
        <v>0</v>
      </c>
      <c r="J267" s="188"/>
      <c r="K267" s="188">
        <f t="shared" si="257"/>
        <v>0</v>
      </c>
      <c r="L267" s="188">
        <f t="shared" si="257"/>
        <v>0</v>
      </c>
      <c r="M267" s="231"/>
      <c r="N267" s="231"/>
      <c r="O267" s="188">
        <f t="shared" si="247"/>
        <v>3000</v>
      </c>
      <c r="P267" s="188">
        <v>0</v>
      </c>
      <c r="Q267" s="186">
        <f t="shared" si="186"/>
        <v>0</v>
      </c>
      <c r="R267" s="188">
        <v>0</v>
      </c>
      <c r="S267" s="185">
        <v>0</v>
      </c>
      <c r="T267" s="185">
        <v>0</v>
      </c>
      <c r="U267" s="188">
        <v>0</v>
      </c>
      <c r="V267" s="185">
        <v>0</v>
      </c>
      <c r="W267" s="185">
        <v>0</v>
      </c>
      <c r="X267" s="188">
        <v>0</v>
      </c>
      <c r="Y267" s="185">
        <v>0</v>
      </c>
      <c r="Z267" s="185">
        <v>0</v>
      </c>
      <c r="AA267" s="188">
        <v>0</v>
      </c>
      <c r="AB267" s="185">
        <v>0</v>
      </c>
      <c r="AC267" s="185">
        <v>0</v>
      </c>
      <c r="AD267" s="188">
        <v>0</v>
      </c>
      <c r="AE267" s="185">
        <v>0</v>
      </c>
      <c r="AF267" s="185">
        <v>0</v>
      </c>
      <c r="AG267" s="188">
        <v>0</v>
      </c>
      <c r="AH267" s="185">
        <v>0</v>
      </c>
      <c r="AI267" s="185">
        <v>0</v>
      </c>
      <c r="AJ267" s="303">
        <v>0</v>
      </c>
      <c r="AK267" s="185">
        <v>0</v>
      </c>
      <c r="AL267" s="185">
        <v>0</v>
      </c>
      <c r="AM267" s="188">
        <v>0</v>
      </c>
      <c r="AN267" s="185">
        <v>0</v>
      </c>
      <c r="AO267" s="185">
        <v>0</v>
      </c>
      <c r="AP267" s="185"/>
      <c r="AQ267" s="188">
        <v>503.98</v>
      </c>
      <c r="AR267" s="185">
        <v>0.16799333333333333</v>
      </c>
      <c r="AS267" s="185">
        <v>0.17683508771929826</v>
      </c>
      <c r="AT267" s="188">
        <v>503.98</v>
      </c>
      <c r="AU267" s="185">
        <v>0.16799333333333333</v>
      </c>
      <c r="AV267" s="185">
        <v>0.17683508771929826</v>
      </c>
      <c r="AW267" s="185"/>
      <c r="AX267" s="185"/>
      <c r="AY267" s="185"/>
      <c r="AZ267" s="185"/>
      <c r="BA267" s="185"/>
      <c r="BB267" s="185"/>
      <c r="BC267" s="188">
        <v>503.98</v>
      </c>
      <c r="BD267" s="185">
        <v>0.16799333333333333</v>
      </c>
      <c r="BE267" s="185">
        <v>0.17683508771929826</v>
      </c>
      <c r="BF267" s="188"/>
      <c r="BG267" s="188">
        <v>1230.6559999999999</v>
      </c>
      <c r="BH267" s="185">
        <v>0.41021866666666668</v>
      </c>
      <c r="BI267" s="185">
        <v>0.43180912280701755</v>
      </c>
      <c r="BJ267" s="188">
        <f t="shared" si="187"/>
        <v>2850</v>
      </c>
      <c r="BK267" s="188">
        <v>2618.4969999999998</v>
      </c>
      <c r="BL267" s="185">
        <f t="shared" ref="BL267:BL330" si="258">BK267/$D267</f>
        <v>0.87283233333333332</v>
      </c>
      <c r="BM267" s="185">
        <f t="shared" si="191"/>
        <v>0.91877087719298245</v>
      </c>
      <c r="BN267" s="205">
        <f t="shared" si="256"/>
        <v>2618.4969999999998</v>
      </c>
      <c r="BO267" s="205"/>
      <c r="BP267" s="189">
        <f>BP268</f>
        <v>0</v>
      </c>
      <c r="BQ267" s="186">
        <f t="shared" ref="BQ267:BQ330" si="259">BP267/$D267</f>
        <v>0</v>
      </c>
      <c r="BR267" s="189">
        <f>BR268</f>
        <v>0</v>
      </c>
      <c r="BS267" s="186">
        <f t="shared" ref="BS267:BS330" si="260">BR267/$D267</f>
        <v>0</v>
      </c>
      <c r="BT267" s="189">
        <f>BT268</f>
        <v>0</v>
      </c>
      <c r="BU267" s="186">
        <f t="shared" ref="BU267:BU330" si="261">BT267/$D267</f>
        <v>0</v>
      </c>
      <c r="BV267" s="189">
        <f>BV268</f>
        <v>500</v>
      </c>
      <c r="BW267" s="186">
        <f t="shared" ref="BW267:BW330" si="262">BV267/$D267</f>
        <v>0.16666666666666666</v>
      </c>
      <c r="BX267" s="189">
        <f>BX268</f>
        <v>500</v>
      </c>
      <c r="BY267" s="186">
        <f t="shared" ref="BY267:BY330" si="263">BX267/$D267</f>
        <v>0.16666666666666666</v>
      </c>
      <c r="BZ267" s="189">
        <f>BZ268</f>
        <v>1500</v>
      </c>
      <c r="CA267" s="186">
        <f t="shared" ref="CA267:CA330" si="264">BZ267/$D267</f>
        <v>0.5</v>
      </c>
      <c r="CB267" s="189">
        <f>CB268</f>
        <v>1500</v>
      </c>
      <c r="CC267" s="186">
        <f t="shared" ref="CC267:CC330" si="265">CB267/$D267</f>
        <v>0.5</v>
      </c>
      <c r="CD267" s="189">
        <f>CD268</f>
        <v>1500</v>
      </c>
      <c r="CE267" s="186">
        <f t="shared" ref="CE267:CE330" si="266">CD267/$D267</f>
        <v>0.5</v>
      </c>
      <c r="CF267" s="189">
        <f>CF268</f>
        <v>2850</v>
      </c>
      <c r="CG267" s="186">
        <f t="shared" ref="CG267:CG330" si="267">CF267/$D267</f>
        <v>0.95</v>
      </c>
      <c r="CH267" s="189">
        <f>CH268</f>
        <v>2850</v>
      </c>
      <c r="CI267" s="186">
        <f t="shared" ref="CI267:CI330" si="268">CH267/$D267</f>
        <v>0.95</v>
      </c>
      <c r="CJ267" s="189">
        <f>CJ268</f>
        <v>2850</v>
      </c>
      <c r="CK267" s="186">
        <f t="shared" ref="CK267:CK330" si="269">CJ267/$D267</f>
        <v>0.95</v>
      </c>
      <c r="CL267" s="189">
        <f>CL268</f>
        <v>2850</v>
      </c>
      <c r="CM267" s="186">
        <f t="shared" ref="CM267:CM330" si="270">CL267/$D267</f>
        <v>0.95</v>
      </c>
      <c r="CN267" s="189">
        <f>CN268</f>
        <v>2850</v>
      </c>
      <c r="CO267" s="186">
        <f t="shared" ref="CO267:CO330" si="271">CN267/$D267</f>
        <v>0.95</v>
      </c>
      <c r="CP267" s="213" t="str">
        <f t="shared" si="193"/>
        <v>Đạt</v>
      </c>
      <c r="CQ267" s="213" t="str">
        <f t="shared" si="194"/>
        <v>Đạt</v>
      </c>
      <c r="CR267" s="213"/>
      <c r="CS267" s="213"/>
      <c r="CT267" s="231"/>
      <c r="CU267" s="163"/>
      <c r="CW267" s="195"/>
      <c r="CX267" s="196"/>
      <c r="CY267" s="196"/>
      <c r="CZ267" s="197"/>
      <c r="DA267" s="196"/>
      <c r="DB267" s="196"/>
      <c r="DC267" s="196"/>
      <c r="DE267" s="199"/>
      <c r="DF267" s="200"/>
      <c r="DG267" s="181"/>
    </row>
    <row r="268" spans="1:111" s="324" customFormat="1" hidden="1" outlineLevel="1" x14ac:dyDescent="0.25">
      <c r="A268" s="305" t="s">
        <v>34</v>
      </c>
      <c r="B268" s="306" t="s">
        <v>376</v>
      </c>
      <c r="C268" s="306"/>
      <c r="D268" s="307">
        <f t="shared" si="243"/>
        <v>3000</v>
      </c>
      <c r="E268" s="307"/>
      <c r="F268" s="307">
        <f>G268+H268+K268+M268</f>
        <v>3000</v>
      </c>
      <c r="G268" s="303">
        <v>3000</v>
      </c>
      <c r="H268" s="303"/>
      <c r="I268" s="235"/>
      <c r="J268" s="235"/>
      <c r="K268" s="303"/>
      <c r="L268" s="235"/>
      <c r="M268" s="223"/>
      <c r="N268" s="223"/>
      <c r="O268" s="303">
        <f t="shared" si="247"/>
        <v>3000</v>
      </c>
      <c r="P268" s="303">
        <v>0</v>
      </c>
      <c r="Q268" s="308">
        <f t="shared" ref="Q268:Q331" si="272">P268/$D268</f>
        <v>0</v>
      </c>
      <c r="R268" s="303"/>
      <c r="S268" s="313">
        <v>0</v>
      </c>
      <c r="T268" s="313">
        <v>0</v>
      </c>
      <c r="U268" s="303"/>
      <c r="V268" s="313">
        <v>0</v>
      </c>
      <c r="W268" s="313">
        <v>0</v>
      </c>
      <c r="X268" s="303"/>
      <c r="Y268" s="313">
        <v>0</v>
      </c>
      <c r="Z268" s="313">
        <v>0</v>
      </c>
      <c r="AA268" s="303"/>
      <c r="AB268" s="313">
        <v>0</v>
      </c>
      <c r="AC268" s="313">
        <v>0</v>
      </c>
      <c r="AD268" s="303"/>
      <c r="AE268" s="313">
        <v>0</v>
      </c>
      <c r="AF268" s="313">
        <v>0</v>
      </c>
      <c r="AG268" s="303"/>
      <c r="AH268" s="313">
        <v>0</v>
      </c>
      <c r="AI268" s="313">
        <v>0</v>
      </c>
      <c r="AJ268" s="188"/>
      <c r="AK268" s="313">
        <v>0</v>
      </c>
      <c r="AL268" s="313">
        <v>0</v>
      </c>
      <c r="AM268" s="303"/>
      <c r="AN268" s="313">
        <v>0</v>
      </c>
      <c r="AO268" s="313">
        <v>0</v>
      </c>
      <c r="AP268" s="313"/>
      <c r="AQ268" s="303">
        <v>503.98</v>
      </c>
      <c r="AR268" s="313">
        <v>0.16799333333333333</v>
      </c>
      <c r="AS268" s="313">
        <v>0.17683508771929826</v>
      </c>
      <c r="AT268" s="303">
        <v>503.98</v>
      </c>
      <c r="AU268" s="313">
        <v>0.16799333333333333</v>
      </c>
      <c r="AV268" s="313">
        <v>0.17683508771929826</v>
      </c>
      <c r="AW268" s="313"/>
      <c r="AX268" s="313"/>
      <c r="AY268" s="313"/>
      <c r="AZ268" s="313"/>
      <c r="BA268" s="313"/>
      <c r="BB268" s="313"/>
      <c r="BC268" s="303">
        <v>503.98</v>
      </c>
      <c r="BD268" s="313">
        <v>0.16799333333333333</v>
      </c>
      <c r="BE268" s="313">
        <v>0.17683508771929826</v>
      </c>
      <c r="BF268" s="303"/>
      <c r="BG268" s="303">
        <v>1230.6559999999999</v>
      </c>
      <c r="BH268" s="313">
        <v>0.41021866666666668</v>
      </c>
      <c r="BI268" s="313">
        <v>0.43180912280701755</v>
      </c>
      <c r="BJ268" s="303">
        <f t="shared" ref="BJ268:BJ331" si="273">E268+(F268*0.95)</f>
        <v>2850</v>
      </c>
      <c r="BK268" s="303">
        <v>2618.4969999999998</v>
      </c>
      <c r="BL268" s="313">
        <f t="shared" si="258"/>
        <v>0.87283233333333332</v>
      </c>
      <c r="BM268" s="313">
        <f t="shared" si="191"/>
        <v>0.91877087719298245</v>
      </c>
      <c r="BN268" s="205">
        <f t="shared" si="256"/>
        <v>2618.4969999999998</v>
      </c>
      <c r="BO268" s="205"/>
      <c r="BP268" s="310"/>
      <c r="BQ268" s="311">
        <f t="shared" si="259"/>
        <v>0</v>
      </c>
      <c r="BR268" s="310"/>
      <c r="BS268" s="311">
        <f t="shared" si="260"/>
        <v>0</v>
      </c>
      <c r="BT268" s="310"/>
      <c r="BU268" s="308">
        <f t="shared" si="261"/>
        <v>0</v>
      </c>
      <c r="BV268" s="310">
        <v>500</v>
      </c>
      <c r="BW268" s="311">
        <f t="shared" si="262"/>
        <v>0.16666666666666666</v>
      </c>
      <c r="BX268" s="310">
        <v>500</v>
      </c>
      <c r="BY268" s="311">
        <f t="shared" si="263"/>
        <v>0.16666666666666666</v>
      </c>
      <c r="BZ268" s="310">
        <v>1500</v>
      </c>
      <c r="CA268" s="311">
        <f t="shared" si="264"/>
        <v>0.5</v>
      </c>
      <c r="CB268" s="310">
        <v>1500</v>
      </c>
      <c r="CC268" s="311">
        <f t="shared" si="265"/>
        <v>0.5</v>
      </c>
      <c r="CD268" s="310">
        <v>1500</v>
      </c>
      <c r="CE268" s="311">
        <f t="shared" si="266"/>
        <v>0.5</v>
      </c>
      <c r="CF268" s="310">
        <v>2850</v>
      </c>
      <c r="CG268" s="311">
        <f t="shared" si="267"/>
        <v>0.95</v>
      </c>
      <c r="CH268" s="310">
        <v>2850</v>
      </c>
      <c r="CI268" s="311">
        <f t="shared" si="268"/>
        <v>0.95</v>
      </c>
      <c r="CJ268" s="310">
        <v>2850</v>
      </c>
      <c r="CK268" s="311">
        <f t="shared" si="269"/>
        <v>0.95</v>
      </c>
      <c r="CL268" s="310">
        <v>2850</v>
      </c>
      <c r="CM268" s="311">
        <f t="shared" si="270"/>
        <v>0.95</v>
      </c>
      <c r="CN268" s="310">
        <v>2850</v>
      </c>
      <c r="CO268" s="311">
        <f t="shared" si="271"/>
        <v>0.95</v>
      </c>
      <c r="CP268" s="213" t="str">
        <f t="shared" si="193"/>
        <v>Đạt</v>
      </c>
      <c r="CQ268" s="213" t="str">
        <f t="shared" si="194"/>
        <v>Đạt</v>
      </c>
      <c r="CR268" s="312"/>
      <c r="CS268" s="312"/>
      <c r="CT268" s="235"/>
      <c r="CU268" s="163"/>
      <c r="CV268" s="323"/>
      <c r="CW268" s="195"/>
      <c r="CX268" s="196"/>
      <c r="CY268" s="196"/>
      <c r="CZ268" s="197"/>
      <c r="DA268" s="196"/>
      <c r="DB268" s="196"/>
      <c r="DC268" s="196"/>
      <c r="DE268" s="199"/>
      <c r="DF268" s="200"/>
      <c r="DG268" s="181"/>
    </row>
    <row r="269" spans="1:111" ht="18" customHeight="1" collapsed="1" x14ac:dyDescent="0.25">
      <c r="A269" s="316">
        <f>MAX(A$239:A268)+1</f>
        <v>8</v>
      </c>
      <c r="B269" s="240" t="s">
        <v>390</v>
      </c>
      <c r="C269" s="240"/>
      <c r="D269" s="188">
        <f t="shared" ref="D269:I269" si="274">D270+D271</f>
        <v>3425</v>
      </c>
      <c r="E269" s="188">
        <f t="shared" si="274"/>
        <v>0</v>
      </c>
      <c r="F269" s="188">
        <f t="shared" si="274"/>
        <v>3425</v>
      </c>
      <c r="G269" s="188">
        <f t="shared" si="274"/>
        <v>3000</v>
      </c>
      <c r="H269" s="188">
        <f t="shared" si="274"/>
        <v>425</v>
      </c>
      <c r="I269" s="188">
        <f t="shared" si="274"/>
        <v>0</v>
      </c>
      <c r="J269" s="188"/>
      <c r="K269" s="188">
        <f>K270+K271</f>
        <v>0</v>
      </c>
      <c r="L269" s="188">
        <f>L270+L271</f>
        <v>0</v>
      </c>
      <c r="M269" s="188">
        <f>M270+M271</f>
        <v>0</v>
      </c>
      <c r="N269" s="188">
        <f>N270+N271</f>
        <v>0</v>
      </c>
      <c r="O269" s="188">
        <f>O270+O271</f>
        <v>3000</v>
      </c>
      <c r="P269" s="188">
        <v>0</v>
      </c>
      <c r="Q269" s="186">
        <f t="shared" si="272"/>
        <v>0</v>
      </c>
      <c r="R269" s="188">
        <v>0</v>
      </c>
      <c r="S269" s="185">
        <v>0</v>
      </c>
      <c r="T269" s="185">
        <v>0</v>
      </c>
      <c r="U269" s="188">
        <v>0</v>
      </c>
      <c r="V269" s="185">
        <v>0</v>
      </c>
      <c r="W269" s="185">
        <v>0</v>
      </c>
      <c r="X269" s="188">
        <v>0</v>
      </c>
      <c r="Y269" s="185">
        <v>0</v>
      </c>
      <c r="Z269" s="185">
        <v>0</v>
      </c>
      <c r="AA269" s="188">
        <v>0</v>
      </c>
      <c r="AB269" s="185">
        <v>0</v>
      </c>
      <c r="AC269" s="185">
        <v>0</v>
      </c>
      <c r="AD269" s="188">
        <v>295.38400000000001</v>
      </c>
      <c r="AE269" s="185">
        <v>0.54510948905109491</v>
      </c>
      <c r="AF269" s="185">
        <v>0.5737994621590472</v>
      </c>
      <c r="AG269" s="188">
        <v>1867</v>
      </c>
      <c r="AH269" s="185">
        <v>0.54510948905109491</v>
      </c>
      <c r="AI269" s="185">
        <v>0.5737994621590472</v>
      </c>
      <c r="AJ269" s="303">
        <v>1867</v>
      </c>
      <c r="AK269" s="185">
        <v>0.54510948905109491</v>
      </c>
      <c r="AL269" s="185">
        <v>0.5737994621590472</v>
      </c>
      <c r="AM269" s="188">
        <v>295.38400000000001</v>
      </c>
      <c r="AN269" s="185">
        <v>8.6243503649635039E-2</v>
      </c>
      <c r="AO269" s="185">
        <v>9.0782635420668459E-2</v>
      </c>
      <c r="AP269" s="185"/>
      <c r="AQ269" s="188">
        <v>295.38400000000001</v>
      </c>
      <c r="AR269" s="185">
        <v>8.6243503649635039E-2</v>
      </c>
      <c r="AS269" s="185">
        <v>9.0782635420668459E-2</v>
      </c>
      <c r="AT269" s="188">
        <v>295.38400000000001</v>
      </c>
      <c r="AU269" s="185">
        <v>8.6243503649635039E-2</v>
      </c>
      <c r="AV269" s="185">
        <v>9.0782635420668459E-2</v>
      </c>
      <c r="AW269" s="185"/>
      <c r="AX269" s="185"/>
      <c r="AY269" s="185"/>
      <c r="AZ269" s="185"/>
      <c r="BA269" s="185"/>
      <c r="BB269" s="185"/>
      <c r="BC269" s="188">
        <v>295.38400000000001</v>
      </c>
      <c r="BD269" s="185">
        <v>8.6243503649635039E-2</v>
      </c>
      <c r="BE269" s="185">
        <v>9.0782635420668459E-2</v>
      </c>
      <c r="BF269" s="188"/>
      <c r="BG269" s="188">
        <v>1940.269</v>
      </c>
      <c r="BH269" s="185">
        <v>0.56650189781021898</v>
      </c>
      <c r="BI269" s="185">
        <v>0.59631778716865158</v>
      </c>
      <c r="BJ269" s="188">
        <f t="shared" si="273"/>
        <v>3253.75</v>
      </c>
      <c r="BK269" s="188">
        <v>2326.86</v>
      </c>
      <c r="BL269" s="185">
        <f t="shared" si="258"/>
        <v>0.67937518248175188</v>
      </c>
      <c r="BM269" s="185">
        <f t="shared" si="191"/>
        <v>0.71513177103342296</v>
      </c>
      <c r="BN269" s="205">
        <f t="shared" si="256"/>
        <v>2031.4760000000001</v>
      </c>
      <c r="BO269" s="205"/>
      <c r="BP269" s="189">
        <f>BP270+BP271</f>
        <v>0</v>
      </c>
      <c r="BQ269" s="186">
        <f t="shared" si="259"/>
        <v>0</v>
      </c>
      <c r="BR269" s="189">
        <f>BR270+BR271</f>
        <v>0</v>
      </c>
      <c r="BS269" s="186">
        <f t="shared" si="260"/>
        <v>0</v>
      </c>
      <c r="BT269" s="189">
        <f>BT270+BT271</f>
        <v>0</v>
      </c>
      <c r="BU269" s="186">
        <f t="shared" si="261"/>
        <v>0</v>
      </c>
      <c r="BV269" s="189">
        <f>BV270+BV271</f>
        <v>0</v>
      </c>
      <c r="BW269" s="186">
        <f t="shared" si="262"/>
        <v>0</v>
      </c>
      <c r="BX269" s="189">
        <f>BX270+BX271</f>
        <v>200</v>
      </c>
      <c r="BY269" s="186">
        <f t="shared" si="263"/>
        <v>5.8394160583941604E-2</v>
      </c>
      <c r="BZ269" s="189">
        <f>BZ270+BZ271</f>
        <v>1000</v>
      </c>
      <c r="CA269" s="186">
        <f t="shared" si="264"/>
        <v>0.29197080291970801</v>
      </c>
      <c r="CB269" s="189">
        <f>CB270+CB271</f>
        <v>1500</v>
      </c>
      <c r="CC269" s="186">
        <f t="shared" si="265"/>
        <v>0.43795620437956206</v>
      </c>
      <c r="CD269" s="189">
        <f>CD270+CD271</f>
        <v>1850</v>
      </c>
      <c r="CE269" s="186">
        <f t="shared" si="266"/>
        <v>0.54014598540145986</v>
      </c>
      <c r="CF269" s="189">
        <f>CF270+CF271</f>
        <v>2850</v>
      </c>
      <c r="CG269" s="186">
        <f t="shared" si="267"/>
        <v>0.83211678832116787</v>
      </c>
      <c r="CH269" s="189">
        <f>CH270+CH271</f>
        <v>2950</v>
      </c>
      <c r="CI269" s="186">
        <f t="shared" si="268"/>
        <v>0.86131386861313863</v>
      </c>
      <c r="CJ269" s="189">
        <f>CJ270+CJ271</f>
        <v>3050</v>
      </c>
      <c r="CK269" s="186">
        <f t="shared" si="269"/>
        <v>0.89051094890510951</v>
      </c>
      <c r="CL269" s="189">
        <f>CL270+CL271</f>
        <v>3253.75</v>
      </c>
      <c r="CM269" s="186">
        <f t="shared" si="270"/>
        <v>0.95</v>
      </c>
      <c r="CN269" s="189">
        <f>CN270+CN271</f>
        <v>3253.75</v>
      </c>
      <c r="CO269" s="186">
        <f t="shared" si="271"/>
        <v>0.95</v>
      </c>
      <c r="CP269" s="213" t="str">
        <f t="shared" si="193"/>
        <v>Đạt</v>
      </c>
      <c r="CQ269" s="213" t="str">
        <f t="shared" si="194"/>
        <v>Đạt</v>
      </c>
      <c r="CR269" s="213"/>
      <c r="CS269" s="213"/>
      <c r="CT269" s="231"/>
      <c r="CU269" s="163"/>
      <c r="CW269" s="195"/>
      <c r="CX269" s="196"/>
      <c r="CY269" s="196"/>
      <c r="CZ269" s="197"/>
      <c r="DA269" s="196"/>
      <c r="DB269" s="196"/>
      <c r="DC269" s="196"/>
      <c r="DE269" s="199"/>
      <c r="DF269" s="200"/>
      <c r="DG269" s="181"/>
    </row>
    <row r="270" spans="1:111" s="324" customFormat="1" hidden="1" outlineLevel="1" x14ac:dyDescent="0.25">
      <c r="A270" s="305" t="s">
        <v>34</v>
      </c>
      <c r="B270" s="306" t="s">
        <v>376</v>
      </c>
      <c r="C270" s="306"/>
      <c r="D270" s="307">
        <f t="shared" si="243"/>
        <v>3000</v>
      </c>
      <c r="E270" s="307"/>
      <c r="F270" s="307">
        <f>G270+H270+K270+M270</f>
        <v>3000</v>
      </c>
      <c r="G270" s="303">
        <v>3000</v>
      </c>
      <c r="H270" s="303"/>
      <c r="I270" s="235"/>
      <c r="J270" s="235"/>
      <c r="K270" s="303"/>
      <c r="L270" s="235"/>
      <c r="M270" s="223"/>
      <c r="N270" s="223"/>
      <c r="O270" s="303">
        <f t="shared" si="247"/>
        <v>3000</v>
      </c>
      <c r="P270" s="303">
        <v>0</v>
      </c>
      <c r="Q270" s="308">
        <f t="shared" si="272"/>
        <v>0</v>
      </c>
      <c r="R270" s="303"/>
      <c r="S270" s="313">
        <v>0</v>
      </c>
      <c r="T270" s="313">
        <v>0</v>
      </c>
      <c r="U270" s="303"/>
      <c r="V270" s="313">
        <v>0</v>
      </c>
      <c r="W270" s="313">
        <v>0</v>
      </c>
      <c r="X270" s="303"/>
      <c r="Y270" s="313">
        <v>0</v>
      </c>
      <c r="Z270" s="313">
        <v>0</v>
      </c>
      <c r="AA270" s="303"/>
      <c r="AB270" s="313">
        <v>0</v>
      </c>
      <c r="AC270" s="313">
        <v>0</v>
      </c>
      <c r="AD270" s="303">
        <v>295.38400000000001</v>
      </c>
      <c r="AE270" s="313">
        <v>0.62233333333333329</v>
      </c>
      <c r="AF270" s="313">
        <v>0.65508771929824561</v>
      </c>
      <c r="AG270" s="303">
        <v>295.38400000000001</v>
      </c>
      <c r="AH270" s="313">
        <v>0.62233333333333329</v>
      </c>
      <c r="AI270" s="313">
        <v>0.65508771929824561</v>
      </c>
      <c r="AJ270" s="303">
        <v>295.38400000000001</v>
      </c>
      <c r="AK270" s="313">
        <v>0.62233333333333329</v>
      </c>
      <c r="AL270" s="313">
        <v>0.65508771929824561</v>
      </c>
      <c r="AM270" s="303">
        <v>295.38400000000001</v>
      </c>
      <c r="AN270" s="313">
        <v>9.8461333333333331E-2</v>
      </c>
      <c r="AO270" s="313">
        <v>0.10364350877192983</v>
      </c>
      <c r="AP270" s="313"/>
      <c r="AQ270" s="303">
        <v>295.38400000000001</v>
      </c>
      <c r="AR270" s="313">
        <v>9.8461333333333331E-2</v>
      </c>
      <c r="AS270" s="313">
        <v>0.10364350877192983</v>
      </c>
      <c r="AT270" s="303">
        <v>295.38400000000001</v>
      </c>
      <c r="AU270" s="313">
        <v>9.8461333333333331E-2</v>
      </c>
      <c r="AV270" s="313">
        <v>0.10364350877192983</v>
      </c>
      <c r="AW270" s="313"/>
      <c r="AX270" s="313"/>
      <c r="AY270" s="313"/>
      <c r="AZ270" s="313"/>
      <c r="BA270" s="313"/>
      <c r="BB270" s="313"/>
      <c r="BC270" s="303">
        <v>295.38400000000001</v>
      </c>
      <c r="BD270" s="313">
        <v>9.8461333333333331E-2</v>
      </c>
      <c r="BE270" s="313">
        <v>0.10364350877192983</v>
      </c>
      <c r="BF270" s="303"/>
      <c r="BG270" s="303">
        <v>1940.269</v>
      </c>
      <c r="BH270" s="313">
        <v>0.64675633333333338</v>
      </c>
      <c r="BI270" s="313">
        <v>0.68079614035087721</v>
      </c>
      <c r="BJ270" s="303">
        <f t="shared" si="273"/>
        <v>2850</v>
      </c>
      <c r="BK270" s="303">
        <v>1940.269</v>
      </c>
      <c r="BL270" s="313">
        <f t="shared" si="258"/>
        <v>0.64675633333333338</v>
      </c>
      <c r="BM270" s="313">
        <f t="shared" ref="BM270:BM333" si="275">BK270/(E270+0.95*F270)</f>
        <v>0.68079614035087721</v>
      </c>
      <c r="BN270" s="205">
        <f t="shared" si="256"/>
        <v>1644.885</v>
      </c>
      <c r="BO270" s="205"/>
      <c r="BP270" s="310"/>
      <c r="BQ270" s="311">
        <f t="shared" si="259"/>
        <v>0</v>
      </c>
      <c r="BR270" s="310"/>
      <c r="BS270" s="311">
        <f t="shared" si="260"/>
        <v>0</v>
      </c>
      <c r="BT270" s="310"/>
      <c r="BU270" s="308">
        <f t="shared" si="261"/>
        <v>0</v>
      </c>
      <c r="BV270" s="310"/>
      <c r="BW270" s="311">
        <f t="shared" si="262"/>
        <v>0</v>
      </c>
      <c r="BX270" s="310">
        <v>200</v>
      </c>
      <c r="BY270" s="311">
        <f t="shared" si="263"/>
        <v>6.6666666666666666E-2</v>
      </c>
      <c r="BZ270" s="310">
        <v>1000</v>
      </c>
      <c r="CA270" s="311">
        <f t="shared" si="264"/>
        <v>0.33333333333333331</v>
      </c>
      <c r="CB270" s="310">
        <v>1500</v>
      </c>
      <c r="CC270" s="311">
        <f t="shared" si="265"/>
        <v>0.5</v>
      </c>
      <c r="CD270" s="310">
        <v>1850</v>
      </c>
      <c r="CE270" s="311">
        <f t="shared" si="266"/>
        <v>0.6166666666666667</v>
      </c>
      <c r="CF270" s="310">
        <v>2850</v>
      </c>
      <c r="CG270" s="311">
        <f t="shared" si="267"/>
        <v>0.95</v>
      </c>
      <c r="CH270" s="310">
        <v>2850</v>
      </c>
      <c r="CI270" s="311">
        <f t="shared" si="268"/>
        <v>0.95</v>
      </c>
      <c r="CJ270" s="310">
        <v>2850</v>
      </c>
      <c r="CK270" s="311">
        <f t="shared" si="269"/>
        <v>0.95</v>
      </c>
      <c r="CL270" s="310">
        <v>2850</v>
      </c>
      <c r="CM270" s="311">
        <f t="shared" si="270"/>
        <v>0.95</v>
      </c>
      <c r="CN270" s="310">
        <v>2850</v>
      </c>
      <c r="CO270" s="311">
        <f t="shared" si="271"/>
        <v>0.95</v>
      </c>
      <c r="CP270" s="213" t="str">
        <f t="shared" ref="CP270:CP333" si="276">IF(BM270&gt;34.7%,"Đạt","Không đạt")</f>
        <v>Đạt</v>
      </c>
      <c r="CQ270" s="213" t="str">
        <f t="shared" ref="CQ270:CQ333" si="277">IF(BM270&gt;43.8%,"Đạt","Không đạt")</f>
        <v>Đạt</v>
      </c>
      <c r="CR270" s="312"/>
      <c r="CS270" s="312"/>
      <c r="CT270" s="235"/>
      <c r="CU270" s="163"/>
      <c r="CV270" s="323"/>
      <c r="CW270" s="195"/>
      <c r="CX270" s="196"/>
      <c r="CY270" s="196"/>
      <c r="CZ270" s="197"/>
      <c r="DA270" s="196"/>
      <c r="DB270" s="196"/>
      <c r="DC270" s="196"/>
      <c r="DE270" s="199"/>
      <c r="DF270" s="200"/>
      <c r="DG270" s="181"/>
    </row>
    <row r="271" spans="1:111" ht="25.5" hidden="1" outlineLevel="1" x14ac:dyDescent="0.25">
      <c r="A271" s="305" t="s">
        <v>34</v>
      </c>
      <c r="B271" s="306" t="s">
        <v>377</v>
      </c>
      <c r="C271" s="306"/>
      <c r="D271" s="307">
        <f t="shared" si="243"/>
        <v>425</v>
      </c>
      <c r="E271" s="307"/>
      <c r="F271" s="307">
        <f>G271+H271+K271+M271</f>
        <v>425</v>
      </c>
      <c r="G271" s="307"/>
      <c r="H271" s="307">
        <v>425</v>
      </c>
      <c r="I271" s="235"/>
      <c r="J271" s="235"/>
      <c r="K271" s="303"/>
      <c r="L271" s="235"/>
      <c r="M271" s="223"/>
      <c r="N271" s="223"/>
      <c r="O271" s="303"/>
      <c r="P271" s="303">
        <v>0</v>
      </c>
      <c r="Q271" s="308">
        <f t="shared" si="272"/>
        <v>0</v>
      </c>
      <c r="R271" s="303"/>
      <c r="S271" s="313">
        <v>0</v>
      </c>
      <c r="T271" s="313">
        <v>0</v>
      </c>
      <c r="U271" s="303"/>
      <c r="V271" s="313">
        <v>0</v>
      </c>
      <c r="W271" s="313">
        <v>0</v>
      </c>
      <c r="X271" s="303"/>
      <c r="Y271" s="313">
        <v>0</v>
      </c>
      <c r="Z271" s="313">
        <v>0</v>
      </c>
      <c r="AA271" s="303"/>
      <c r="AB271" s="313">
        <v>0</v>
      </c>
      <c r="AC271" s="313">
        <v>0</v>
      </c>
      <c r="AD271" s="303"/>
      <c r="AE271" s="313">
        <v>0</v>
      </c>
      <c r="AF271" s="313">
        <v>0</v>
      </c>
      <c r="AG271" s="303"/>
      <c r="AH271" s="313">
        <v>0</v>
      </c>
      <c r="AI271" s="313">
        <v>0</v>
      </c>
      <c r="AJ271" s="188"/>
      <c r="AK271" s="313">
        <v>0</v>
      </c>
      <c r="AL271" s="313">
        <v>0</v>
      </c>
      <c r="AM271" s="303"/>
      <c r="AN271" s="313">
        <v>0</v>
      </c>
      <c r="AO271" s="313">
        <v>0</v>
      </c>
      <c r="AP271" s="313"/>
      <c r="AQ271" s="303"/>
      <c r="AR271" s="313">
        <v>0</v>
      </c>
      <c r="AS271" s="313">
        <v>0</v>
      </c>
      <c r="AT271" s="303"/>
      <c r="AU271" s="313">
        <v>0</v>
      </c>
      <c r="AV271" s="313">
        <v>0</v>
      </c>
      <c r="AW271" s="313"/>
      <c r="AX271" s="313"/>
      <c r="AY271" s="313"/>
      <c r="AZ271" s="313"/>
      <c r="BA271" s="313"/>
      <c r="BB271" s="313"/>
      <c r="BC271" s="303"/>
      <c r="BD271" s="313">
        <v>0</v>
      </c>
      <c r="BE271" s="313">
        <v>0</v>
      </c>
      <c r="BF271" s="303"/>
      <c r="BG271" s="303"/>
      <c r="BH271" s="313">
        <v>0</v>
      </c>
      <c r="BI271" s="313">
        <v>0</v>
      </c>
      <c r="BJ271" s="303">
        <f t="shared" si="273"/>
        <v>403.75</v>
      </c>
      <c r="BK271" s="303"/>
      <c r="BL271" s="313">
        <f t="shared" si="258"/>
        <v>0</v>
      </c>
      <c r="BM271" s="313">
        <f t="shared" si="275"/>
        <v>0</v>
      </c>
      <c r="BN271" s="205">
        <f t="shared" si="256"/>
        <v>0</v>
      </c>
      <c r="BO271" s="205"/>
      <c r="BP271" s="310"/>
      <c r="BQ271" s="311">
        <f t="shared" si="259"/>
        <v>0</v>
      </c>
      <c r="BR271" s="310"/>
      <c r="BS271" s="311">
        <f t="shared" si="260"/>
        <v>0</v>
      </c>
      <c r="BT271" s="310"/>
      <c r="BU271" s="308">
        <f t="shared" si="261"/>
        <v>0</v>
      </c>
      <c r="BV271" s="310"/>
      <c r="BW271" s="311">
        <f t="shared" si="262"/>
        <v>0</v>
      </c>
      <c r="BX271" s="310"/>
      <c r="BY271" s="311">
        <f t="shared" si="263"/>
        <v>0</v>
      </c>
      <c r="BZ271" s="310"/>
      <c r="CA271" s="311">
        <f t="shared" si="264"/>
        <v>0</v>
      </c>
      <c r="CB271" s="310"/>
      <c r="CC271" s="311">
        <f t="shared" si="265"/>
        <v>0</v>
      </c>
      <c r="CD271" s="310"/>
      <c r="CE271" s="311">
        <f t="shared" si="266"/>
        <v>0</v>
      </c>
      <c r="CF271" s="310"/>
      <c r="CG271" s="311">
        <f t="shared" si="267"/>
        <v>0</v>
      </c>
      <c r="CH271" s="310">
        <v>100</v>
      </c>
      <c r="CI271" s="311">
        <f t="shared" si="268"/>
        <v>0.23529411764705882</v>
      </c>
      <c r="CJ271" s="310">
        <v>200</v>
      </c>
      <c r="CK271" s="311">
        <f t="shared" si="269"/>
        <v>0.47058823529411764</v>
      </c>
      <c r="CL271" s="310">
        <v>403.75</v>
      </c>
      <c r="CM271" s="311">
        <f t="shared" si="270"/>
        <v>0.95</v>
      </c>
      <c r="CN271" s="310">
        <v>403.75</v>
      </c>
      <c r="CO271" s="311">
        <f t="shared" si="271"/>
        <v>0.95</v>
      </c>
      <c r="CP271" s="213" t="str">
        <f t="shared" si="276"/>
        <v>Không đạt</v>
      </c>
      <c r="CQ271" s="213" t="str">
        <f t="shared" si="277"/>
        <v>Không đạt</v>
      </c>
      <c r="CR271" s="312"/>
      <c r="CS271" s="312"/>
      <c r="CT271" s="235"/>
      <c r="CU271" s="163"/>
      <c r="CW271" s="195"/>
      <c r="CX271" s="196"/>
      <c r="CY271" s="196"/>
      <c r="CZ271" s="197"/>
      <c r="DA271" s="196"/>
      <c r="DB271" s="196"/>
      <c r="DC271" s="196"/>
      <c r="DE271" s="199"/>
      <c r="DF271" s="200"/>
      <c r="DG271" s="181"/>
    </row>
    <row r="272" spans="1:111" ht="18" customHeight="1" collapsed="1" x14ac:dyDescent="0.25">
      <c r="A272" s="213">
        <f>MAX(A$239:A270)+1</f>
        <v>9</v>
      </c>
      <c r="B272" s="240" t="s">
        <v>391</v>
      </c>
      <c r="C272" s="240"/>
      <c r="D272" s="188">
        <f t="shared" ref="D272:I272" si="278">D273+D274</f>
        <v>3127</v>
      </c>
      <c r="E272" s="188">
        <f t="shared" si="278"/>
        <v>0</v>
      </c>
      <c r="F272" s="188">
        <f t="shared" si="278"/>
        <v>3127</v>
      </c>
      <c r="G272" s="188">
        <f t="shared" si="278"/>
        <v>3000</v>
      </c>
      <c r="H272" s="188">
        <f t="shared" si="278"/>
        <v>127</v>
      </c>
      <c r="I272" s="188">
        <f t="shared" si="278"/>
        <v>0</v>
      </c>
      <c r="J272" s="188"/>
      <c r="K272" s="188">
        <f>K273+K274</f>
        <v>0</v>
      </c>
      <c r="L272" s="188">
        <f>L273+L274</f>
        <v>0</v>
      </c>
      <c r="M272" s="188">
        <f>M273+M274</f>
        <v>0</v>
      </c>
      <c r="N272" s="188">
        <f>N273+N274</f>
        <v>0</v>
      </c>
      <c r="O272" s="188">
        <f>O273+O274</f>
        <v>3000</v>
      </c>
      <c r="P272" s="188">
        <v>0</v>
      </c>
      <c r="Q272" s="186">
        <f t="shared" si="272"/>
        <v>0</v>
      </c>
      <c r="R272" s="188">
        <v>0</v>
      </c>
      <c r="S272" s="185">
        <v>0</v>
      </c>
      <c r="T272" s="185">
        <v>0</v>
      </c>
      <c r="U272" s="188">
        <v>466.25856299999998</v>
      </c>
      <c r="V272" s="185">
        <v>0.14910731148065237</v>
      </c>
      <c r="W272" s="185">
        <v>0.15695506471647622</v>
      </c>
      <c r="X272" s="188">
        <v>466.25856299999998</v>
      </c>
      <c r="Y272" s="185">
        <v>0.14910731148065237</v>
      </c>
      <c r="Z272" s="185">
        <v>0.15695506471647622</v>
      </c>
      <c r="AA272" s="188">
        <v>466.25856299999998</v>
      </c>
      <c r="AB272" s="185">
        <v>0.14910731148065237</v>
      </c>
      <c r="AC272" s="185">
        <v>0.15695506471647622</v>
      </c>
      <c r="AD272" s="188">
        <v>1161.5790000000002</v>
      </c>
      <c r="AE272" s="185">
        <v>0.78829549088583306</v>
      </c>
      <c r="AF272" s="185">
        <v>0.82978472724824548</v>
      </c>
      <c r="AG272" s="188">
        <v>2465</v>
      </c>
      <c r="AH272" s="185">
        <v>0.78829549088583306</v>
      </c>
      <c r="AI272" s="185">
        <v>0.82978472724824548</v>
      </c>
      <c r="AJ272" s="303">
        <v>2465</v>
      </c>
      <c r="AK272" s="185">
        <v>0.78829549088583306</v>
      </c>
      <c r="AL272" s="185">
        <v>0.82978472724824548</v>
      </c>
      <c r="AM272" s="314">
        <v>2465</v>
      </c>
      <c r="AN272" s="185">
        <v>0.78829549088583306</v>
      </c>
      <c r="AO272" s="185">
        <v>0.82978472724824548</v>
      </c>
      <c r="AP272" s="185"/>
      <c r="AQ272" s="188">
        <v>1161.5790000000002</v>
      </c>
      <c r="AR272" s="185">
        <v>0.37146754077390476</v>
      </c>
      <c r="AS272" s="185">
        <v>0.39101846397253137</v>
      </c>
      <c r="AT272" s="188">
        <v>1161.5790000000002</v>
      </c>
      <c r="AU272" s="185">
        <v>0.37146754077390476</v>
      </c>
      <c r="AV272" s="185">
        <v>0.39101846397253137</v>
      </c>
      <c r="AW272" s="185"/>
      <c r="AX272" s="185"/>
      <c r="AY272" s="185"/>
      <c r="AZ272" s="185"/>
      <c r="BA272" s="185"/>
      <c r="BB272" s="185"/>
      <c r="BC272" s="188">
        <v>1161.5790000000002</v>
      </c>
      <c r="BD272" s="185">
        <v>0.37146754077390476</v>
      </c>
      <c r="BE272" s="185">
        <v>0.39101846397253137</v>
      </c>
      <c r="BF272" s="188"/>
      <c r="BG272" s="188">
        <v>2266.9879999999998</v>
      </c>
      <c r="BH272" s="185">
        <v>0.72497217780620393</v>
      </c>
      <c r="BI272" s="185">
        <v>0.76312860821705686</v>
      </c>
      <c r="BJ272" s="188">
        <f t="shared" si="273"/>
        <v>2970.6499999999996</v>
      </c>
      <c r="BK272" s="188">
        <f>BK273+BK274</f>
        <v>2266.9879999999998</v>
      </c>
      <c r="BL272" s="185">
        <f t="shared" si="258"/>
        <v>0.72497217780620393</v>
      </c>
      <c r="BM272" s="185">
        <f t="shared" si="275"/>
        <v>0.76312860821705686</v>
      </c>
      <c r="BN272" s="205">
        <f t="shared" si="256"/>
        <v>1105.4089999999997</v>
      </c>
      <c r="BO272" s="205"/>
      <c r="BP272" s="189">
        <f>BP273+BP274</f>
        <v>0</v>
      </c>
      <c r="BQ272" s="186">
        <f t="shared" si="259"/>
        <v>0</v>
      </c>
      <c r="BR272" s="189">
        <f>BR273+BR274</f>
        <v>0</v>
      </c>
      <c r="BS272" s="186">
        <f t="shared" si="260"/>
        <v>0</v>
      </c>
      <c r="BT272" s="189">
        <f>BT273+BT274</f>
        <v>0</v>
      </c>
      <c r="BU272" s="186">
        <f t="shared" si="261"/>
        <v>0</v>
      </c>
      <c r="BV272" s="189">
        <f>BV273+BV274</f>
        <v>0</v>
      </c>
      <c r="BW272" s="186">
        <f t="shared" si="262"/>
        <v>0</v>
      </c>
      <c r="BX272" s="189">
        <f>BX273+BX274</f>
        <v>300</v>
      </c>
      <c r="BY272" s="186">
        <f t="shared" si="263"/>
        <v>9.5938599296450267E-2</v>
      </c>
      <c r="BZ272" s="189">
        <f>BZ273+BZ274</f>
        <v>504</v>
      </c>
      <c r="CA272" s="186">
        <f t="shared" si="264"/>
        <v>0.16117684681803646</v>
      </c>
      <c r="CB272" s="189">
        <f>CB273+CB274</f>
        <v>804</v>
      </c>
      <c r="CC272" s="186">
        <f t="shared" si="265"/>
        <v>0.25711544611448672</v>
      </c>
      <c r="CD272" s="189">
        <f>CD273+CD274</f>
        <v>954</v>
      </c>
      <c r="CE272" s="186">
        <f t="shared" si="266"/>
        <v>0.30508474576271188</v>
      </c>
      <c r="CF272" s="189">
        <f>CF273+CF274</f>
        <v>1417</v>
      </c>
      <c r="CG272" s="186">
        <f t="shared" si="267"/>
        <v>0.45314998401023343</v>
      </c>
      <c r="CH272" s="189">
        <f>CH273+CH274</f>
        <v>1867</v>
      </c>
      <c r="CI272" s="186">
        <f t="shared" si="268"/>
        <v>0.5970578829549088</v>
      </c>
      <c r="CJ272" s="189">
        <f>CJ273+CJ274</f>
        <v>2317</v>
      </c>
      <c r="CK272" s="186">
        <f t="shared" si="269"/>
        <v>0.74096578189958429</v>
      </c>
      <c r="CL272" s="189">
        <f>CL273+CL274</f>
        <v>2820.65</v>
      </c>
      <c r="CM272" s="186">
        <f t="shared" si="270"/>
        <v>0.90203070035177491</v>
      </c>
      <c r="CN272" s="189">
        <f>CN273+CN274</f>
        <v>2970.65</v>
      </c>
      <c r="CO272" s="186">
        <f t="shared" si="271"/>
        <v>0.95000000000000007</v>
      </c>
      <c r="CP272" s="213" t="str">
        <f t="shared" si="276"/>
        <v>Đạt</v>
      </c>
      <c r="CQ272" s="213" t="str">
        <f t="shared" si="277"/>
        <v>Đạt</v>
      </c>
      <c r="CR272" s="213"/>
      <c r="CS272" s="213"/>
      <c r="CT272" s="231"/>
      <c r="CU272" s="163"/>
      <c r="CW272" s="195"/>
      <c r="CX272" s="196"/>
      <c r="CY272" s="196"/>
      <c r="CZ272" s="197"/>
      <c r="DA272" s="196"/>
      <c r="DB272" s="196"/>
      <c r="DC272" s="196"/>
      <c r="DE272" s="199"/>
      <c r="DF272" s="200"/>
      <c r="DG272" s="181"/>
    </row>
    <row r="273" spans="1:111" s="324" customFormat="1" hidden="1" outlineLevel="1" x14ac:dyDescent="0.25">
      <c r="A273" s="305" t="s">
        <v>34</v>
      </c>
      <c r="B273" s="306" t="s">
        <v>376</v>
      </c>
      <c r="C273" s="306"/>
      <c r="D273" s="307">
        <f t="shared" si="243"/>
        <v>3000</v>
      </c>
      <c r="E273" s="307"/>
      <c r="F273" s="307">
        <f>G273+H273+K273+M273</f>
        <v>3000</v>
      </c>
      <c r="G273" s="303">
        <v>3000</v>
      </c>
      <c r="H273" s="303"/>
      <c r="I273" s="235"/>
      <c r="J273" s="235"/>
      <c r="K273" s="303"/>
      <c r="L273" s="235"/>
      <c r="M273" s="223"/>
      <c r="N273" s="223"/>
      <c r="O273" s="303">
        <f t="shared" si="247"/>
        <v>3000</v>
      </c>
      <c r="P273" s="303">
        <v>0</v>
      </c>
      <c r="Q273" s="308">
        <f t="shared" si="272"/>
        <v>0</v>
      </c>
      <c r="R273" s="303"/>
      <c r="S273" s="313">
        <v>0</v>
      </c>
      <c r="T273" s="313">
        <v>0</v>
      </c>
      <c r="U273" s="303">
        <v>466.25856299999998</v>
      </c>
      <c r="V273" s="313">
        <v>0.155419521</v>
      </c>
      <c r="W273" s="313">
        <v>0.16359949578947366</v>
      </c>
      <c r="X273" s="303">
        <v>466.25856299999998</v>
      </c>
      <c r="Y273" s="313">
        <v>0.155419521</v>
      </c>
      <c r="Z273" s="313">
        <v>0.16359949578947366</v>
      </c>
      <c r="AA273" s="303">
        <v>466.25856299999998</v>
      </c>
      <c r="AB273" s="313">
        <v>0.155419521</v>
      </c>
      <c r="AC273" s="313">
        <v>0.16359949578947366</v>
      </c>
      <c r="AD273" s="303">
        <v>1040.9290000000001</v>
      </c>
      <c r="AE273" s="313">
        <v>0.82166666666666666</v>
      </c>
      <c r="AF273" s="313">
        <v>0.86491228070175441</v>
      </c>
      <c r="AG273" s="303">
        <v>2465</v>
      </c>
      <c r="AH273" s="313">
        <v>0.82166666666666666</v>
      </c>
      <c r="AI273" s="313">
        <v>0.86491228070175441</v>
      </c>
      <c r="AJ273" s="303">
        <v>2465</v>
      </c>
      <c r="AK273" s="313">
        <v>0.82166666666666666</v>
      </c>
      <c r="AL273" s="313">
        <v>0.86491228070175441</v>
      </c>
      <c r="AM273" s="303">
        <v>2465</v>
      </c>
      <c r="AN273" s="313">
        <v>0.82166666666666666</v>
      </c>
      <c r="AO273" s="313">
        <v>0.86491228070175441</v>
      </c>
      <c r="AP273" s="313"/>
      <c r="AQ273" s="303">
        <v>1040.9290000000001</v>
      </c>
      <c r="AR273" s="313">
        <v>0.34697633333333339</v>
      </c>
      <c r="AS273" s="313">
        <v>0.36523824561403512</v>
      </c>
      <c r="AT273" s="303">
        <v>1040.9290000000001</v>
      </c>
      <c r="AU273" s="313">
        <v>0.34697633333333339</v>
      </c>
      <c r="AV273" s="313">
        <v>0.36523824561403512</v>
      </c>
      <c r="AW273" s="313"/>
      <c r="AX273" s="313"/>
      <c r="AY273" s="313"/>
      <c r="AZ273" s="313"/>
      <c r="BA273" s="313"/>
      <c r="BB273" s="313"/>
      <c r="BC273" s="303">
        <v>1040.9290000000001</v>
      </c>
      <c r="BD273" s="313">
        <v>0.34697633333333339</v>
      </c>
      <c r="BE273" s="313">
        <v>0.36523824561403512</v>
      </c>
      <c r="BF273" s="303"/>
      <c r="BG273" s="303">
        <v>2146.3379999999997</v>
      </c>
      <c r="BH273" s="313">
        <v>0.71544599999999992</v>
      </c>
      <c r="BI273" s="313">
        <v>0.75310105263157889</v>
      </c>
      <c r="BJ273" s="303">
        <f t="shared" si="273"/>
        <v>2850</v>
      </c>
      <c r="BK273" s="303">
        <v>2146.3379999999997</v>
      </c>
      <c r="BL273" s="313">
        <f t="shared" si="258"/>
        <v>0.71544599999999992</v>
      </c>
      <c r="BM273" s="313">
        <f t="shared" si="275"/>
        <v>0.75310105263157889</v>
      </c>
      <c r="BN273" s="205">
        <f t="shared" si="256"/>
        <v>1105.4089999999997</v>
      </c>
      <c r="BO273" s="205"/>
      <c r="BP273" s="310"/>
      <c r="BQ273" s="311">
        <f t="shared" si="259"/>
        <v>0</v>
      </c>
      <c r="BR273" s="310"/>
      <c r="BS273" s="311">
        <f t="shared" si="260"/>
        <v>0</v>
      </c>
      <c r="BT273" s="310"/>
      <c r="BU273" s="308">
        <f t="shared" si="261"/>
        <v>0</v>
      </c>
      <c r="BV273" s="310"/>
      <c r="BW273" s="311">
        <f t="shared" si="262"/>
        <v>0</v>
      </c>
      <c r="BX273" s="310">
        <v>300</v>
      </c>
      <c r="BY273" s="311">
        <f t="shared" si="263"/>
        <v>0.1</v>
      </c>
      <c r="BZ273" s="310">
        <v>450</v>
      </c>
      <c r="CA273" s="311">
        <f t="shared" si="264"/>
        <v>0.15</v>
      </c>
      <c r="CB273" s="310">
        <v>750</v>
      </c>
      <c r="CC273" s="311">
        <f t="shared" si="265"/>
        <v>0.25</v>
      </c>
      <c r="CD273" s="310">
        <v>900</v>
      </c>
      <c r="CE273" s="311">
        <f t="shared" si="266"/>
        <v>0.3</v>
      </c>
      <c r="CF273" s="310">
        <v>1350</v>
      </c>
      <c r="CG273" s="311">
        <f t="shared" si="267"/>
        <v>0.45</v>
      </c>
      <c r="CH273" s="310">
        <v>1800</v>
      </c>
      <c r="CI273" s="311">
        <f t="shared" si="268"/>
        <v>0.6</v>
      </c>
      <c r="CJ273" s="310">
        <v>2250</v>
      </c>
      <c r="CK273" s="311">
        <f t="shared" si="269"/>
        <v>0.75</v>
      </c>
      <c r="CL273" s="310">
        <v>2700</v>
      </c>
      <c r="CM273" s="311">
        <f t="shared" si="270"/>
        <v>0.9</v>
      </c>
      <c r="CN273" s="310">
        <v>2850</v>
      </c>
      <c r="CO273" s="311">
        <f t="shared" si="271"/>
        <v>0.95</v>
      </c>
      <c r="CP273" s="213" t="str">
        <f t="shared" si="276"/>
        <v>Đạt</v>
      </c>
      <c r="CQ273" s="213" t="str">
        <f t="shared" si="277"/>
        <v>Đạt</v>
      </c>
      <c r="CR273" s="312"/>
      <c r="CS273" s="312"/>
      <c r="CT273" s="235"/>
      <c r="CU273" s="163"/>
      <c r="CV273" s="323"/>
      <c r="CW273" s="195"/>
      <c r="CX273" s="196"/>
      <c r="CY273" s="196"/>
      <c r="CZ273" s="197"/>
      <c r="DA273" s="196"/>
      <c r="DB273" s="196"/>
      <c r="DC273" s="196"/>
      <c r="DE273" s="199"/>
      <c r="DF273" s="200"/>
      <c r="DG273" s="181"/>
    </row>
    <row r="274" spans="1:111" ht="25.5" hidden="1" outlineLevel="1" x14ac:dyDescent="0.25">
      <c r="A274" s="305" t="s">
        <v>34</v>
      </c>
      <c r="B274" s="306" t="s">
        <v>377</v>
      </c>
      <c r="C274" s="306"/>
      <c r="D274" s="307">
        <f t="shared" si="243"/>
        <v>127</v>
      </c>
      <c r="E274" s="307"/>
      <c r="F274" s="307">
        <f>G274+H274+K274+M274</f>
        <v>127</v>
      </c>
      <c r="G274" s="307"/>
      <c r="H274" s="307">
        <v>127</v>
      </c>
      <c r="I274" s="235"/>
      <c r="J274" s="235"/>
      <c r="K274" s="303"/>
      <c r="L274" s="235"/>
      <c r="M274" s="223"/>
      <c r="N274" s="223"/>
      <c r="O274" s="303"/>
      <c r="P274" s="303">
        <v>0</v>
      </c>
      <c r="Q274" s="308">
        <f t="shared" si="272"/>
        <v>0</v>
      </c>
      <c r="R274" s="303"/>
      <c r="S274" s="313">
        <v>0</v>
      </c>
      <c r="T274" s="313">
        <v>0</v>
      </c>
      <c r="U274" s="303"/>
      <c r="V274" s="313">
        <v>0</v>
      </c>
      <c r="W274" s="313">
        <v>0</v>
      </c>
      <c r="X274" s="303"/>
      <c r="Y274" s="313">
        <v>0</v>
      </c>
      <c r="Z274" s="313">
        <v>0</v>
      </c>
      <c r="AA274" s="303"/>
      <c r="AB274" s="313">
        <v>0</v>
      </c>
      <c r="AC274" s="313">
        <v>0</v>
      </c>
      <c r="AD274" s="303">
        <v>120.65</v>
      </c>
      <c r="AE274" s="313">
        <v>0</v>
      </c>
      <c r="AF274" s="313">
        <v>0</v>
      </c>
      <c r="AG274" s="303"/>
      <c r="AH274" s="313">
        <v>0</v>
      </c>
      <c r="AI274" s="313">
        <v>0</v>
      </c>
      <c r="AJ274" s="188"/>
      <c r="AK274" s="313">
        <v>0</v>
      </c>
      <c r="AL274" s="313">
        <v>0</v>
      </c>
      <c r="AM274" s="303"/>
      <c r="AN274" s="313">
        <v>0</v>
      </c>
      <c r="AO274" s="313">
        <v>0</v>
      </c>
      <c r="AP274" s="313"/>
      <c r="AQ274" s="303">
        <v>120.65</v>
      </c>
      <c r="AR274" s="313">
        <v>0.95000000000000007</v>
      </c>
      <c r="AS274" s="313">
        <v>1.0000000000000002</v>
      </c>
      <c r="AT274" s="303">
        <v>120.65</v>
      </c>
      <c r="AU274" s="313">
        <v>0.95000000000000007</v>
      </c>
      <c r="AV274" s="313">
        <v>1.0000000000000002</v>
      </c>
      <c r="AW274" s="313"/>
      <c r="AX274" s="313"/>
      <c r="AY274" s="313"/>
      <c r="AZ274" s="313"/>
      <c r="BA274" s="313"/>
      <c r="BB274" s="313"/>
      <c r="BC274" s="303">
        <v>120.65</v>
      </c>
      <c r="BD274" s="313">
        <v>0.95000000000000007</v>
      </c>
      <c r="BE274" s="313">
        <v>1.0000000000000002</v>
      </c>
      <c r="BF274" s="303"/>
      <c r="BG274" s="303">
        <v>120.65</v>
      </c>
      <c r="BH274" s="313">
        <v>0.95000000000000007</v>
      </c>
      <c r="BI274" s="313">
        <v>1.0000000000000002</v>
      </c>
      <c r="BJ274" s="303">
        <f t="shared" si="273"/>
        <v>120.64999999999999</v>
      </c>
      <c r="BK274" s="303">
        <v>120.65</v>
      </c>
      <c r="BL274" s="313">
        <f t="shared" si="258"/>
        <v>0.95000000000000007</v>
      </c>
      <c r="BM274" s="313">
        <f t="shared" si="275"/>
        <v>1.0000000000000002</v>
      </c>
      <c r="BN274" s="205">
        <f t="shared" si="256"/>
        <v>0</v>
      </c>
      <c r="BO274" s="205"/>
      <c r="BP274" s="310"/>
      <c r="BQ274" s="311">
        <f t="shared" si="259"/>
        <v>0</v>
      </c>
      <c r="BR274" s="310"/>
      <c r="BS274" s="311">
        <f t="shared" si="260"/>
        <v>0</v>
      </c>
      <c r="BT274" s="310"/>
      <c r="BU274" s="308">
        <f t="shared" si="261"/>
        <v>0</v>
      </c>
      <c r="BV274" s="310"/>
      <c r="BW274" s="311">
        <f t="shared" si="262"/>
        <v>0</v>
      </c>
      <c r="BX274" s="310"/>
      <c r="BY274" s="311">
        <f t="shared" si="263"/>
        <v>0</v>
      </c>
      <c r="BZ274" s="310">
        <v>54</v>
      </c>
      <c r="CA274" s="311">
        <f t="shared" si="264"/>
        <v>0.42519685039370081</v>
      </c>
      <c r="CB274" s="310">
        <v>54</v>
      </c>
      <c r="CC274" s="311">
        <f t="shared" si="265"/>
        <v>0.42519685039370081</v>
      </c>
      <c r="CD274" s="310">
        <v>54</v>
      </c>
      <c r="CE274" s="311">
        <f t="shared" si="266"/>
        <v>0.42519685039370081</v>
      </c>
      <c r="CF274" s="310">
        <v>67</v>
      </c>
      <c r="CG274" s="311">
        <f t="shared" si="267"/>
        <v>0.52755905511811019</v>
      </c>
      <c r="CH274" s="310">
        <v>67</v>
      </c>
      <c r="CI274" s="311">
        <f t="shared" si="268"/>
        <v>0.52755905511811019</v>
      </c>
      <c r="CJ274" s="310">
        <v>67</v>
      </c>
      <c r="CK274" s="311">
        <f t="shared" si="269"/>
        <v>0.52755905511811019</v>
      </c>
      <c r="CL274" s="310">
        <f>127*0.95</f>
        <v>120.64999999999999</v>
      </c>
      <c r="CM274" s="311">
        <f t="shared" si="270"/>
        <v>0.95</v>
      </c>
      <c r="CN274" s="310">
        <f>127*0.95</f>
        <v>120.64999999999999</v>
      </c>
      <c r="CO274" s="311">
        <f t="shared" si="271"/>
        <v>0.95</v>
      </c>
      <c r="CP274" s="213" t="str">
        <f t="shared" si="276"/>
        <v>Đạt</v>
      </c>
      <c r="CQ274" s="213" t="str">
        <f t="shared" si="277"/>
        <v>Đạt</v>
      </c>
      <c r="CR274" s="312"/>
      <c r="CS274" s="312"/>
      <c r="CT274" s="235"/>
      <c r="CU274" s="163"/>
      <c r="CW274" s="195"/>
      <c r="CX274" s="196"/>
      <c r="CY274" s="196"/>
      <c r="CZ274" s="197"/>
      <c r="DA274" s="196"/>
      <c r="DB274" s="196"/>
      <c r="DC274" s="196"/>
      <c r="DE274" s="199"/>
      <c r="DF274" s="200"/>
      <c r="DG274" s="181"/>
    </row>
    <row r="275" spans="1:111" ht="18" customHeight="1" collapsed="1" x14ac:dyDescent="0.25">
      <c r="A275" s="213">
        <f>MAX(A$239:A273)+1</f>
        <v>10</v>
      </c>
      <c r="B275" s="240" t="s">
        <v>392</v>
      </c>
      <c r="C275" s="240"/>
      <c r="D275" s="188">
        <f t="shared" ref="D275:I275" si="279">D276+D277</f>
        <v>3425</v>
      </c>
      <c r="E275" s="188">
        <f t="shared" si="279"/>
        <v>0</v>
      </c>
      <c r="F275" s="188">
        <f t="shared" si="279"/>
        <v>3425</v>
      </c>
      <c r="G275" s="188">
        <f t="shared" si="279"/>
        <v>3000</v>
      </c>
      <c r="H275" s="188">
        <f t="shared" si="279"/>
        <v>425</v>
      </c>
      <c r="I275" s="188">
        <f t="shared" si="279"/>
        <v>0</v>
      </c>
      <c r="J275" s="188"/>
      <c r="K275" s="188">
        <f>K276+K277</f>
        <v>0</v>
      </c>
      <c r="L275" s="188">
        <f>L276+L277</f>
        <v>0</v>
      </c>
      <c r="M275" s="188">
        <f>M276+M277</f>
        <v>0</v>
      </c>
      <c r="N275" s="188">
        <f>N276+N277</f>
        <v>0</v>
      </c>
      <c r="O275" s="188">
        <f>O276+O277</f>
        <v>3000</v>
      </c>
      <c r="P275" s="188">
        <v>0</v>
      </c>
      <c r="Q275" s="186">
        <f t="shared" si="272"/>
        <v>0</v>
      </c>
      <c r="R275" s="188">
        <v>0</v>
      </c>
      <c r="S275" s="185">
        <v>0</v>
      </c>
      <c r="T275" s="185">
        <v>0</v>
      </c>
      <c r="U275" s="188">
        <v>339.39300000000003</v>
      </c>
      <c r="V275" s="185">
        <v>9.9092846715328475E-2</v>
      </c>
      <c r="W275" s="185">
        <v>0.10430825970034577</v>
      </c>
      <c r="X275" s="188">
        <v>339.39300000000003</v>
      </c>
      <c r="Y275" s="185">
        <v>9.9092846715328475E-2</v>
      </c>
      <c r="Z275" s="185">
        <v>0.10430825970034577</v>
      </c>
      <c r="AA275" s="188">
        <v>339.39300000000003</v>
      </c>
      <c r="AB275" s="185">
        <v>9.9092846715328475E-2</v>
      </c>
      <c r="AC275" s="185">
        <v>0.10430825970034577</v>
      </c>
      <c r="AD275" s="188">
        <v>506</v>
      </c>
      <c r="AE275" s="185">
        <v>0.14773722627737226</v>
      </c>
      <c r="AF275" s="185">
        <v>0.15551286976565501</v>
      </c>
      <c r="AG275" s="188">
        <v>506</v>
      </c>
      <c r="AH275" s="185">
        <v>0.14773722627737226</v>
      </c>
      <c r="AI275" s="185">
        <v>0.15551286976565501</v>
      </c>
      <c r="AJ275" s="303">
        <v>506</v>
      </c>
      <c r="AK275" s="185">
        <v>0.14773722627737226</v>
      </c>
      <c r="AL275" s="185">
        <v>0.15551286976565501</v>
      </c>
      <c r="AM275" s="188">
        <v>506</v>
      </c>
      <c r="AN275" s="185">
        <v>0.14773722627737226</v>
      </c>
      <c r="AO275" s="185">
        <v>0.15551286976565501</v>
      </c>
      <c r="AP275" s="185"/>
      <c r="AQ275" s="188">
        <v>506</v>
      </c>
      <c r="AR275" s="185">
        <v>0.14773722627737226</v>
      </c>
      <c r="AS275" s="185">
        <v>0.15551286976565501</v>
      </c>
      <c r="AT275" s="188">
        <v>506</v>
      </c>
      <c r="AU275" s="185">
        <v>0.14773722627737226</v>
      </c>
      <c r="AV275" s="185">
        <v>0.15551286976565501</v>
      </c>
      <c r="AW275" s="185"/>
      <c r="AX275" s="185"/>
      <c r="AY275" s="185"/>
      <c r="AZ275" s="185"/>
      <c r="BA275" s="185"/>
      <c r="BB275" s="185"/>
      <c r="BC275" s="188">
        <v>506</v>
      </c>
      <c r="BD275" s="185">
        <v>0.14773722627737226</v>
      </c>
      <c r="BE275" s="185">
        <v>0.15551286976565501</v>
      </c>
      <c r="BF275" s="188"/>
      <c r="BG275" s="188">
        <v>538</v>
      </c>
      <c r="BH275" s="185">
        <v>0.15708029197080292</v>
      </c>
      <c r="BI275" s="185">
        <v>0.1653476757587399</v>
      </c>
      <c r="BJ275" s="188">
        <f t="shared" si="273"/>
        <v>3253.75</v>
      </c>
      <c r="BK275" s="188">
        <f>BK276+BK277</f>
        <v>538</v>
      </c>
      <c r="BL275" s="185">
        <f t="shared" si="258"/>
        <v>0.15708029197080292</v>
      </c>
      <c r="BM275" s="185">
        <f t="shared" si="275"/>
        <v>0.1653476757587399</v>
      </c>
      <c r="BN275" s="205">
        <f t="shared" si="256"/>
        <v>32</v>
      </c>
      <c r="BO275" s="205"/>
      <c r="BP275" s="189">
        <f>BP276+BP277</f>
        <v>0</v>
      </c>
      <c r="BQ275" s="186">
        <f t="shared" si="259"/>
        <v>0</v>
      </c>
      <c r="BR275" s="189">
        <f>BR276+BR277</f>
        <v>0</v>
      </c>
      <c r="BS275" s="186">
        <f t="shared" si="260"/>
        <v>0</v>
      </c>
      <c r="BT275" s="189">
        <f>BT276+BT277</f>
        <v>342.5</v>
      </c>
      <c r="BU275" s="186">
        <f t="shared" si="261"/>
        <v>0.1</v>
      </c>
      <c r="BV275" s="189">
        <f>BV276+BV277</f>
        <v>685</v>
      </c>
      <c r="BW275" s="186">
        <f t="shared" si="262"/>
        <v>0.2</v>
      </c>
      <c r="BX275" s="189">
        <f>BX276+BX277</f>
        <v>1027.5</v>
      </c>
      <c r="BY275" s="186">
        <f t="shared" si="263"/>
        <v>0.3</v>
      </c>
      <c r="BZ275" s="189">
        <f>BZ276+BZ277</f>
        <v>1370</v>
      </c>
      <c r="CA275" s="186">
        <f t="shared" si="264"/>
        <v>0.4</v>
      </c>
      <c r="CB275" s="189">
        <f>CB276+CB277</f>
        <v>1712.5</v>
      </c>
      <c r="CC275" s="186">
        <f t="shared" si="265"/>
        <v>0.5</v>
      </c>
      <c r="CD275" s="189">
        <f>CD276+CD277</f>
        <v>1883.7500000000002</v>
      </c>
      <c r="CE275" s="186">
        <f t="shared" si="266"/>
        <v>0.55000000000000004</v>
      </c>
      <c r="CF275" s="189">
        <f>CF276+CF277</f>
        <v>2397.5</v>
      </c>
      <c r="CG275" s="186">
        <f t="shared" si="267"/>
        <v>0.7</v>
      </c>
      <c r="CH275" s="189">
        <f>CH276+CH277</f>
        <v>2397.5</v>
      </c>
      <c r="CI275" s="186">
        <f t="shared" si="268"/>
        <v>0.7</v>
      </c>
      <c r="CJ275" s="189">
        <f>CJ276+CJ277</f>
        <v>2568.75</v>
      </c>
      <c r="CK275" s="186">
        <f t="shared" si="269"/>
        <v>0.75</v>
      </c>
      <c r="CL275" s="189">
        <f>CL276+CL277</f>
        <v>2568.75</v>
      </c>
      <c r="CM275" s="186">
        <f t="shared" si="270"/>
        <v>0.75</v>
      </c>
      <c r="CN275" s="189">
        <f>CN276+CN277</f>
        <v>3253.75</v>
      </c>
      <c r="CO275" s="186">
        <f t="shared" si="271"/>
        <v>0.95</v>
      </c>
      <c r="CP275" s="213" t="str">
        <f t="shared" si="276"/>
        <v>Không đạt</v>
      </c>
      <c r="CQ275" s="213" t="str">
        <f t="shared" si="277"/>
        <v>Không đạt</v>
      </c>
      <c r="CR275" s="213"/>
      <c r="CS275" s="213"/>
      <c r="CT275" s="231"/>
      <c r="CU275" s="163"/>
      <c r="CW275" s="195"/>
      <c r="CX275" s="196"/>
      <c r="CY275" s="196"/>
      <c r="CZ275" s="197"/>
      <c r="DA275" s="196"/>
      <c r="DB275" s="196"/>
      <c r="DC275" s="196"/>
      <c r="DE275" s="199"/>
      <c r="DF275" s="200"/>
      <c r="DG275" s="181"/>
    </row>
    <row r="276" spans="1:111" s="324" customFormat="1" hidden="1" outlineLevel="1" x14ac:dyDescent="0.25">
      <c r="A276" s="305" t="s">
        <v>34</v>
      </c>
      <c r="B276" s="306" t="s">
        <v>376</v>
      </c>
      <c r="C276" s="306"/>
      <c r="D276" s="307">
        <f t="shared" si="243"/>
        <v>3000</v>
      </c>
      <c r="E276" s="307"/>
      <c r="F276" s="307">
        <f>G276+H276+K276+M276</f>
        <v>3000</v>
      </c>
      <c r="G276" s="303">
        <v>3000</v>
      </c>
      <c r="H276" s="303"/>
      <c r="I276" s="235"/>
      <c r="J276" s="235"/>
      <c r="K276" s="303"/>
      <c r="L276" s="235"/>
      <c r="M276" s="223"/>
      <c r="N276" s="223"/>
      <c r="O276" s="303">
        <f t="shared" si="247"/>
        <v>3000</v>
      </c>
      <c r="P276" s="303">
        <v>0</v>
      </c>
      <c r="Q276" s="308">
        <f t="shared" si="272"/>
        <v>0</v>
      </c>
      <c r="R276" s="303"/>
      <c r="S276" s="309">
        <v>0</v>
      </c>
      <c r="T276" s="309">
        <v>0</v>
      </c>
      <c r="U276" s="303">
        <v>339.39300000000003</v>
      </c>
      <c r="V276" s="309">
        <v>0.11313100000000001</v>
      </c>
      <c r="W276" s="309">
        <v>0.11908526315789475</v>
      </c>
      <c r="X276" s="303">
        <v>339.39300000000003</v>
      </c>
      <c r="Y276" s="309">
        <v>0.11313100000000001</v>
      </c>
      <c r="Z276" s="309">
        <v>0.11908526315789475</v>
      </c>
      <c r="AA276" s="303">
        <v>339.39300000000003</v>
      </c>
      <c r="AB276" s="309">
        <v>0.11313100000000001</v>
      </c>
      <c r="AC276" s="309">
        <v>0.11908526315789475</v>
      </c>
      <c r="AD276" s="303">
        <v>506</v>
      </c>
      <c r="AE276" s="309">
        <v>0.16866666666666666</v>
      </c>
      <c r="AF276" s="309">
        <v>0.17754385964912281</v>
      </c>
      <c r="AG276" s="303">
        <v>506</v>
      </c>
      <c r="AH276" s="309">
        <v>0.16866666666666666</v>
      </c>
      <c r="AI276" s="309">
        <v>0.17754385964912281</v>
      </c>
      <c r="AJ276" s="303">
        <v>506</v>
      </c>
      <c r="AK276" s="309">
        <v>0.16866666666666666</v>
      </c>
      <c r="AL276" s="309">
        <v>0.17754385964912281</v>
      </c>
      <c r="AM276" s="303">
        <v>506</v>
      </c>
      <c r="AN276" s="309">
        <v>0.16866666666666666</v>
      </c>
      <c r="AO276" s="309">
        <v>0.17754385964912281</v>
      </c>
      <c r="AP276" s="309"/>
      <c r="AQ276" s="303">
        <v>506</v>
      </c>
      <c r="AR276" s="309">
        <v>0.16866666666666666</v>
      </c>
      <c r="AS276" s="309">
        <v>0.17754385964912281</v>
      </c>
      <c r="AT276" s="303">
        <v>506</v>
      </c>
      <c r="AU276" s="309">
        <v>0.16866666666666666</v>
      </c>
      <c r="AV276" s="309">
        <v>0.17754385964912281</v>
      </c>
      <c r="AW276" s="309"/>
      <c r="AX276" s="309"/>
      <c r="AY276" s="309"/>
      <c r="AZ276" s="309"/>
      <c r="BA276" s="309"/>
      <c r="BB276" s="309"/>
      <c r="BC276" s="303">
        <v>506</v>
      </c>
      <c r="BD276" s="309">
        <v>0.16866666666666666</v>
      </c>
      <c r="BE276" s="309">
        <v>0.17754385964912281</v>
      </c>
      <c r="BF276" s="303"/>
      <c r="BG276" s="303">
        <v>538</v>
      </c>
      <c r="BH276" s="309">
        <v>0.17933333333333334</v>
      </c>
      <c r="BI276" s="309">
        <v>0.1887719298245614</v>
      </c>
      <c r="BJ276" s="303">
        <f t="shared" si="273"/>
        <v>2850</v>
      </c>
      <c r="BK276" s="303">
        <v>538</v>
      </c>
      <c r="BL276" s="309">
        <f t="shared" si="258"/>
        <v>0.17933333333333334</v>
      </c>
      <c r="BM276" s="309">
        <f t="shared" si="275"/>
        <v>0.1887719298245614</v>
      </c>
      <c r="BN276" s="205">
        <f t="shared" si="256"/>
        <v>32</v>
      </c>
      <c r="BO276" s="205"/>
      <c r="BP276" s="310"/>
      <c r="BQ276" s="308">
        <f t="shared" si="259"/>
        <v>0</v>
      </c>
      <c r="BR276" s="310"/>
      <c r="BS276" s="308">
        <f t="shared" si="260"/>
        <v>0</v>
      </c>
      <c r="BT276" s="310">
        <f>$F276*0.1</f>
        <v>300</v>
      </c>
      <c r="BU276" s="308">
        <f t="shared" si="261"/>
        <v>0.1</v>
      </c>
      <c r="BV276" s="310">
        <f>$F276*0.2</f>
        <v>600</v>
      </c>
      <c r="BW276" s="308">
        <f t="shared" si="262"/>
        <v>0.2</v>
      </c>
      <c r="BX276" s="310">
        <f>$F276*0.3</f>
        <v>900</v>
      </c>
      <c r="BY276" s="308">
        <f t="shared" si="263"/>
        <v>0.3</v>
      </c>
      <c r="BZ276" s="310">
        <f>$F276*0.4</f>
        <v>1200</v>
      </c>
      <c r="CA276" s="308">
        <f t="shared" si="264"/>
        <v>0.4</v>
      </c>
      <c r="CB276" s="310">
        <f>$F276*0.5</f>
        <v>1500</v>
      </c>
      <c r="CC276" s="308">
        <f t="shared" si="265"/>
        <v>0.5</v>
      </c>
      <c r="CD276" s="310">
        <f>$F276*0.55</f>
        <v>1650.0000000000002</v>
      </c>
      <c r="CE276" s="308">
        <f t="shared" si="266"/>
        <v>0.55000000000000004</v>
      </c>
      <c r="CF276" s="310">
        <v>2100</v>
      </c>
      <c r="CG276" s="308">
        <f t="shared" si="267"/>
        <v>0.7</v>
      </c>
      <c r="CH276" s="310">
        <f>$F276*0.7</f>
        <v>2100</v>
      </c>
      <c r="CI276" s="308">
        <f t="shared" si="268"/>
        <v>0.7</v>
      </c>
      <c r="CJ276" s="310">
        <f>$F276*0.75</f>
        <v>2250</v>
      </c>
      <c r="CK276" s="308">
        <f t="shared" si="269"/>
        <v>0.75</v>
      </c>
      <c r="CL276" s="310">
        <f>$F276*0.75</f>
        <v>2250</v>
      </c>
      <c r="CM276" s="308">
        <f t="shared" si="270"/>
        <v>0.75</v>
      </c>
      <c r="CN276" s="310">
        <f>$F276*0.95</f>
        <v>2850</v>
      </c>
      <c r="CO276" s="308">
        <f t="shared" si="271"/>
        <v>0.95</v>
      </c>
      <c r="CP276" s="213" t="str">
        <f t="shared" si="276"/>
        <v>Không đạt</v>
      </c>
      <c r="CQ276" s="213" t="str">
        <f t="shared" si="277"/>
        <v>Không đạt</v>
      </c>
      <c r="CR276" s="312"/>
      <c r="CS276" s="312"/>
      <c r="CT276" s="235"/>
      <c r="CU276" s="163"/>
      <c r="CV276" s="323"/>
      <c r="CW276" s="195"/>
      <c r="CX276" s="196"/>
      <c r="CY276" s="196"/>
      <c r="CZ276" s="197"/>
      <c r="DA276" s="196"/>
      <c r="DB276" s="196"/>
      <c r="DC276" s="196"/>
      <c r="DE276" s="199"/>
      <c r="DF276" s="200"/>
      <c r="DG276" s="181"/>
    </row>
    <row r="277" spans="1:111" ht="25.5" hidden="1" outlineLevel="1" x14ac:dyDescent="0.25">
      <c r="A277" s="305" t="s">
        <v>34</v>
      </c>
      <c r="B277" s="306" t="s">
        <v>377</v>
      </c>
      <c r="C277" s="306"/>
      <c r="D277" s="307">
        <f t="shared" si="243"/>
        <v>425</v>
      </c>
      <c r="E277" s="307"/>
      <c r="F277" s="307">
        <f>G277+H277+K277+M277</f>
        <v>425</v>
      </c>
      <c r="G277" s="307"/>
      <c r="H277" s="307">
        <v>425</v>
      </c>
      <c r="I277" s="235"/>
      <c r="J277" s="235"/>
      <c r="K277" s="303"/>
      <c r="L277" s="235"/>
      <c r="M277" s="223"/>
      <c r="N277" s="223"/>
      <c r="O277" s="303"/>
      <c r="P277" s="303">
        <v>0</v>
      </c>
      <c r="Q277" s="308">
        <f t="shared" si="272"/>
        <v>0</v>
      </c>
      <c r="R277" s="303"/>
      <c r="S277" s="309">
        <v>0</v>
      </c>
      <c r="T277" s="309">
        <v>0</v>
      </c>
      <c r="U277" s="303"/>
      <c r="V277" s="309">
        <v>0</v>
      </c>
      <c r="W277" s="309">
        <v>0</v>
      </c>
      <c r="X277" s="303"/>
      <c r="Y277" s="309">
        <v>0</v>
      </c>
      <c r="Z277" s="309">
        <v>0</v>
      </c>
      <c r="AA277" s="303"/>
      <c r="AB277" s="309">
        <v>0</v>
      </c>
      <c r="AC277" s="309">
        <v>0</v>
      </c>
      <c r="AD277" s="303"/>
      <c r="AE277" s="309">
        <v>0</v>
      </c>
      <c r="AF277" s="309">
        <v>0</v>
      </c>
      <c r="AG277" s="303"/>
      <c r="AH277" s="309">
        <v>0</v>
      </c>
      <c r="AI277" s="309">
        <v>0</v>
      </c>
      <c r="AJ277" s="189"/>
      <c r="AK277" s="309">
        <v>0</v>
      </c>
      <c r="AL277" s="309">
        <v>0</v>
      </c>
      <c r="AM277" s="303"/>
      <c r="AN277" s="309">
        <v>0</v>
      </c>
      <c r="AO277" s="309">
        <v>0</v>
      </c>
      <c r="AP277" s="309"/>
      <c r="AQ277" s="303"/>
      <c r="AR277" s="309">
        <v>0</v>
      </c>
      <c r="AS277" s="309">
        <v>0</v>
      </c>
      <c r="AT277" s="303"/>
      <c r="AU277" s="309">
        <v>0</v>
      </c>
      <c r="AV277" s="309">
        <v>0</v>
      </c>
      <c r="AW277" s="309"/>
      <c r="AX277" s="309"/>
      <c r="AY277" s="309"/>
      <c r="AZ277" s="309"/>
      <c r="BA277" s="309"/>
      <c r="BB277" s="309"/>
      <c r="BC277" s="303"/>
      <c r="BD277" s="309">
        <v>0</v>
      </c>
      <c r="BE277" s="309">
        <v>0</v>
      </c>
      <c r="BF277" s="303"/>
      <c r="BG277" s="303"/>
      <c r="BH277" s="309">
        <v>0</v>
      </c>
      <c r="BI277" s="309">
        <v>0</v>
      </c>
      <c r="BJ277" s="303">
        <f t="shared" si="273"/>
        <v>403.75</v>
      </c>
      <c r="BK277" s="303"/>
      <c r="BL277" s="309">
        <f t="shared" si="258"/>
        <v>0</v>
      </c>
      <c r="BM277" s="309">
        <f t="shared" si="275"/>
        <v>0</v>
      </c>
      <c r="BN277" s="205">
        <f t="shared" si="256"/>
        <v>0</v>
      </c>
      <c r="BO277" s="205"/>
      <c r="BP277" s="310"/>
      <c r="BQ277" s="308">
        <f t="shared" si="259"/>
        <v>0</v>
      </c>
      <c r="BR277" s="310"/>
      <c r="BS277" s="308">
        <f t="shared" si="260"/>
        <v>0</v>
      </c>
      <c r="BT277" s="310">
        <f>$F277*0.1</f>
        <v>42.5</v>
      </c>
      <c r="BU277" s="308">
        <f t="shared" si="261"/>
        <v>0.1</v>
      </c>
      <c r="BV277" s="310">
        <f>$F277*0.2</f>
        <v>85</v>
      </c>
      <c r="BW277" s="308">
        <f t="shared" si="262"/>
        <v>0.2</v>
      </c>
      <c r="BX277" s="310">
        <f>$F277*0.3</f>
        <v>127.5</v>
      </c>
      <c r="BY277" s="308">
        <f t="shared" si="263"/>
        <v>0.3</v>
      </c>
      <c r="BZ277" s="310">
        <f>$F277*0.4</f>
        <v>170</v>
      </c>
      <c r="CA277" s="308">
        <f t="shared" si="264"/>
        <v>0.4</v>
      </c>
      <c r="CB277" s="310">
        <f>$F277*0.5</f>
        <v>212.5</v>
      </c>
      <c r="CC277" s="308">
        <f t="shared" si="265"/>
        <v>0.5</v>
      </c>
      <c r="CD277" s="310">
        <f>$F277*0.55</f>
        <v>233.75000000000003</v>
      </c>
      <c r="CE277" s="308">
        <f t="shared" si="266"/>
        <v>0.55000000000000004</v>
      </c>
      <c r="CF277" s="310">
        <v>297.5</v>
      </c>
      <c r="CG277" s="308">
        <f t="shared" si="267"/>
        <v>0.7</v>
      </c>
      <c r="CH277" s="310">
        <f>$F277*0.7</f>
        <v>297.5</v>
      </c>
      <c r="CI277" s="308">
        <f t="shared" si="268"/>
        <v>0.7</v>
      </c>
      <c r="CJ277" s="310">
        <f>$F277*0.75</f>
        <v>318.75</v>
      </c>
      <c r="CK277" s="308">
        <f t="shared" si="269"/>
        <v>0.75</v>
      </c>
      <c r="CL277" s="310">
        <f>$F277*0.75</f>
        <v>318.75</v>
      </c>
      <c r="CM277" s="308">
        <f t="shared" si="270"/>
        <v>0.75</v>
      </c>
      <c r="CN277" s="310">
        <f>$F277*0.95</f>
        <v>403.75</v>
      </c>
      <c r="CO277" s="308">
        <f t="shared" si="271"/>
        <v>0.95</v>
      </c>
      <c r="CP277" s="213" t="str">
        <f t="shared" si="276"/>
        <v>Không đạt</v>
      </c>
      <c r="CQ277" s="213" t="str">
        <f t="shared" si="277"/>
        <v>Không đạt</v>
      </c>
      <c r="CR277" s="312"/>
      <c r="CS277" s="312"/>
      <c r="CT277" s="235"/>
      <c r="CU277" s="163"/>
      <c r="CW277" s="195"/>
      <c r="CX277" s="196"/>
      <c r="CY277" s="196"/>
      <c r="CZ277" s="197"/>
      <c r="DA277" s="196"/>
      <c r="DB277" s="196"/>
      <c r="DC277" s="196"/>
      <c r="DE277" s="199"/>
      <c r="DF277" s="200"/>
      <c r="DG277" s="181"/>
    </row>
    <row r="278" spans="1:111" ht="18" customHeight="1" collapsed="1" x14ac:dyDescent="0.25">
      <c r="A278" s="316">
        <f>MAX(A$239:A276)+1</f>
        <v>11</v>
      </c>
      <c r="B278" s="240" t="s">
        <v>393</v>
      </c>
      <c r="C278" s="240"/>
      <c r="D278" s="188">
        <f t="shared" ref="D278:I278" si="280">D279+D280</f>
        <v>4275</v>
      </c>
      <c r="E278" s="188">
        <f t="shared" si="280"/>
        <v>0</v>
      </c>
      <c r="F278" s="188">
        <f t="shared" si="280"/>
        <v>4275</v>
      </c>
      <c r="G278" s="188">
        <f t="shared" si="280"/>
        <v>3000</v>
      </c>
      <c r="H278" s="188">
        <f t="shared" si="280"/>
        <v>1275</v>
      </c>
      <c r="I278" s="188">
        <f t="shared" si="280"/>
        <v>0</v>
      </c>
      <c r="J278" s="188"/>
      <c r="K278" s="188">
        <f>K279+K280</f>
        <v>0</v>
      </c>
      <c r="L278" s="188">
        <f>L279+L280</f>
        <v>0</v>
      </c>
      <c r="M278" s="188">
        <f>M279+M280</f>
        <v>0</v>
      </c>
      <c r="N278" s="188">
        <f>N279+N280</f>
        <v>0</v>
      </c>
      <c r="O278" s="188">
        <f>O279+O280</f>
        <v>3000</v>
      </c>
      <c r="P278" s="188">
        <v>0</v>
      </c>
      <c r="Q278" s="186">
        <f t="shared" si="272"/>
        <v>0</v>
      </c>
      <c r="R278" s="189">
        <v>1412.84</v>
      </c>
      <c r="S278" s="185">
        <v>0.33048888888888889</v>
      </c>
      <c r="T278" s="185">
        <v>0.34788304093567252</v>
      </c>
      <c r="U278" s="189">
        <v>1877.2779999999998</v>
      </c>
      <c r="V278" s="185">
        <v>0.43912935672514614</v>
      </c>
      <c r="W278" s="185">
        <v>0.4622414281317328</v>
      </c>
      <c r="X278" s="189">
        <v>1877.2779999999998</v>
      </c>
      <c r="Y278" s="185">
        <v>0.43912935672514614</v>
      </c>
      <c r="Z278" s="185">
        <v>0.4622414281317328</v>
      </c>
      <c r="AA278" s="189">
        <v>1877.2779999999998</v>
      </c>
      <c r="AB278" s="185">
        <v>0.43912935672514614</v>
      </c>
      <c r="AC278" s="185">
        <v>0.4622414281317328</v>
      </c>
      <c r="AD278" s="189">
        <v>2238</v>
      </c>
      <c r="AE278" s="185">
        <v>0.52350877192982459</v>
      </c>
      <c r="AF278" s="185">
        <v>0.55106186518928901</v>
      </c>
      <c r="AG278" s="189">
        <v>2238</v>
      </c>
      <c r="AH278" s="185">
        <v>0.52350877192982459</v>
      </c>
      <c r="AI278" s="185">
        <v>0.55106186518928901</v>
      </c>
      <c r="AJ278" s="303">
        <v>2238</v>
      </c>
      <c r="AK278" s="185">
        <v>0.52350877192982459</v>
      </c>
      <c r="AL278" s="185">
        <v>0.55106186518928901</v>
      </c>
      <c r="AM278" s="189">
        <v>2238</v>
      </c>
      <c r="AN278" s="185">
        <v>0.52350877192982459</v>
      </c>
      <c r="AO278" s="185">
        <v>0.55106186518928901</v>
      </c>
      <c r="AP278" s="185"/>
      <c r="AQ278" s="189">
        <v>2353.1880000000001</v>
      </c>
      <c r="AR278" s="185">
        <v>0.55045333333333335</v>
      </c>
      <c r="AS278" s="185">
        <v>0.57942456140350884</v>
      </c>
      <c r="AT278" s="189">
        <v>2362.0340000000001</v>
      </c>
      <c r="AU278" s="185">
        <v>0.55252257309941522</v>
      </c>
      <c r="AV278" s="185">
        <v>0.58160270852570028</v>
      </c>
      <c r="AW278" s="185"/>
      <c r="AX278" s="185"/>
      <c r="AY278" s="185"/>
      <c r="AZ278" s="185"/>
      <c r="BA278" s="185"/>
      <c r="BB278" s="185"/>
      <c r="BC278" s="189">
        <v>2362.0340000000001</v>
      </c>
      <c r="BD278" s="185">
        <v>0.55252257309941522</v>
      </c>
      <c r="BE278" s="185">
        <v>0.58160270852570028</v>
      </c>
      <c r="BF278" s="189"/>
      <c r="BG278" s="189">
        <v>3133.5990000000002</v>
      </c>
      <c r="BH278" s="185">
        <v>0.73300561403508779</v>
      </c>
      <c r="BI278" s="185">
        <v>0.77158485687903977</v>
      </c>
      <c r="BJ278" s="189">
        <f t="shared" si="273"/>
        <v>4061.25</v>
      </c>
      <c r="BK278" s="189">
        <f>BK279+BK280</f>
        <v>3590</v>
      </c>
      <c r="BL278" s="185">
        <f t="shared" si="258"/>
        <v>0.83976608187134505</v>
      </c>
      <c r="BM278" s="185">
        <f t="shared" si="275"/>
        <v>0.88396429670667898</v>
      </c>
      <c r="BN278" s="205">
        <f t="shared" si="256"/>
        <v>1352</v>
      </c>
      <c r="BO278" s="205"/>
      <c r="BP278" s="189">
        <f>BP279+BP280</f>
        <v>0</v>
      </c>
      <c r="BQ278" s="186">
        <f t="shared" si="259"/>
        <v>0</v>
      </c>
      <c r="BR278" s="189">
        <f>BR279+BR280</f>
        <v>0</v>
      </c>
      <c r="BS278" s="186">
        <f t="shared" si="260"/>
        <v>0</v>
      </c>
      <c r="BT278" s="189">
        <f>BT279+BT280</f>
        <v>0</v>
      </c>
      <c r="BU278" s="186">
        <f t="shared" si="261"/>
        <v>0</v>
      </c>
      <c r="BV278" s="189">
        <f>BV279+BV280</f>
        <v>750</v>
      </c>
      <c r="BW278" s="186">
        <f t="shared" si="262"/>
        <v>0.17543859649122806</v>
      </c>
      <c r="BX278" s="189">
        <f>BX279+BX280</f>
        <v>1200</v>
      </c>
      <c r="BY278" s="186">
        <f t="shared" si="263"/>
        <v>0.2807017543859649</v>
      </c>
      <c r="BZ278" s="189">
        <f>BZ279+BZ280</f>
        <v>1450</v>
      </c>
      <c r="CA278" s="186">
        <f t="shared" si="264"/>
        <v>0.33918128654970758</v>
      </c>
      <c r="CB278" s="189">
        <f>CB279+CB280</f>
        <v>1800</v>
      </c>
      <c r="CC278" s="186">
        <f t="shared" si="265"/>
        <v>0.42105263157894735</v>
      </c>
      <c r="CD278" s="189">
        <f>CD279+CD280</f>
        <v>2089</v>
      </c>
      <c r="CE278" s="186">
        <f t="shared" si="266"/>
        <v>0.4886549707602339</v>
      </c>
      <c r="CF278" s="189">
        <f>CF279+CF280</f>
        <v>2540</v>
      </c>
      <c r="CG278" s="186">
        <f t="shared" si="267"/>
        <v>0.59415204678362576</v>
      </c>
      <c r="CH278" s="189">
        <f>CH279+CH280</f>
        <v>3500</v>
      </c>
      <c r="CI278" s="186">
        <f t="shared" si="268"/>
        <v>0.81871345029239762</v>
      </c>
      <c r="CJ278" s="189">
        <f>CJ279+CJ280</f>
        <v>3690</v>
      </c>
      <c r="CK278" s="186">
        <f t="shared" si="269"/>
        <v>0.86315789473684212</v>
      </c>
      <c r="CL278" s="189">
        <f>CL279+CL280</f>
        <v>3964</v>
      </c>
      <c r="CM278" s="186">
        <f t="shared" si="270"/>
        <v>0.9272514619883041</v>
      </c>
      <c r="CN278" s="189">
        <f>CN279+CN280</f>
        <v>4061.25</v>
      </c>
      <c r="CO278" s="186">
        <f t="shared" si="271"/>
        <v>0.95</v>
      </c>
      <c r="CP278" s="213" t="str">
        <f t="shared" si="276"/>
        <v>Đạt</v>
      </c>
      <c r="CQ278" s="213" t="str">
        <f t="shared" si="277"/>
        <v>Đạt</v>
      </c>
      <c r="CR278" s="213"/>
      <c r="CS278" s="213"/>
      <c r="CT278" s="231"/>
      <c r="CU278" s="163"/>
      <c r="CW278" s="195"/>
      <c r="CX278" s="196"/>
      <c r="CY278" s="196"/>
      <c r="CZ278" s="197"/>
      <c r="DA278" s="196"/>
      <c r="DB278" s="196"/>
      <c r="DC278" s="196"/>
      <c r="DE278" s="199"/>
      <c r="DF278" s="200"/>
      <c r="DG278" s="181"/>
    </row>
    <row r="279" spans="1:111" s="324" customFormat="1" hidden="1" outlineLevel="1" x14ac:dyDescent="0.25">
      <c r="A279" s="305" t="s">
        <v>34</v>
      </c>
      <c r="B279" s="306" t="s">
        <v>376</v>
      </c>
      <c r="C279" s="306"/>
      <c r="D279" s="307">
        <f t="shared" si="243"/>
        <v>3000</v>
      </c>
      <c r="E279" s="307"/>
      <c r="F279" s="307">
        <f>G279+H279+K279+M279</f>
        <v>3000</v>
      </c>
      <c r="G279" s="303">
        <v>3000</v>
      </c>
      <c r="H279" s="303"/>
      <c r="I279" s="235"/>
      <c r="J279" s="235"/>
      <c r="K279" s="303"/>
      <c r="L279" s="235"/>
      <c r="M279" s="223"/>
      <c r="N279" s="223"/>
      <c r="O279" s="303">
        <f t="shared" si="247"/>
        <v>3000</v>
      </c>
      <c r="P279" s="303">
        <v>0</v>
      </c>
      <c r="Q279" s="308">
        <f t="shared" si="272"/>
        <v>0</v>
      </c>
      <c r="R279" s="303">
        <v>1412.84</v>
      </c>
      <c r="S279" s="313">
        <v>0.47094666666666662</v>
      </c>
      <c r="T279" s="313">
        <v>0.4957333333333333</v>
      </c>
      <c r="U279" s="303">
        <v>1877.2779999999998</v>
      </c>
      <c r="V279" s="313">
        <v>0.62575933333333322</v>
      </c>
      <c r="W279" s="313">
        <v>0.65869403508771918</v>
      </c>
      <c r="X279" s="303">
        <v>1877.2779999999998</v>
      </c>
      <c r="Y279" s="313">
        <v>0.62575933333333322</v>
      </c>
      <c r="Z279" s="313">
        <v>0.65869403508771918</v>
      </c>
      <c r="AA279" s="303">
        <v>1877.2779999999998</v>
      </c>
      <c r="AB279" s="313">
        <v>0.62575933333333322</v>
      </c>
      <c r="AC279" s="313">
        <v>0.65869403508771918</v>
      </c>
      <c r="AD279" s="303">
        <v>2238</v>
      </c>
      <c r="AE279" s="313">
        <v>0.746</v>
      </c>
      <c r="AF279" s="313">
        <v>0.78526315789473689</v>
      </c>
      <c r="AG279" s="303">
        <v>2238</v>
      </c>
      <c r="AH279" s="313">
        <v>0.746</v>
      </c>
      <c r="AI279" s="313">
        <v>0.78526315789473689</v>
      </c>
      <c r="AJ279" s="303">
        <v>2238</v>
      </c>
      <c r="AK279" s="313">
        <v>0.746</v>
      </c>
      <c r="AL279" s="313">
        <v>0.78526315789473689</v>
      </c>
      <c r="AM279" s="303">
        <v>2238</v>
      </c>
      <c r="AN279" s="313">
        <v>0.746</v>
      </c>
      <c r="AO279" s="313">
        <v>0.78526315789473689</v>
      </c>
      <c r="AP279" s="313"/>
      <c r="AQ279" s="303">
        <v>2353.1880000000001</v>
      </c>
      <c r="AR279" s="313">
        <v>0.78439599999999998</v>
      </c>
      <c r="AS279" s="313">
        <v>0.82568000000000008</v>
      </c>
      <c r="AT279" s="303">
        <v>2362.0340000000001</v>
      </c>
      <c r="AU279" s="313">
        <v>0.78734466666666669</v>
      </c>
      <c r="AV279" s="313">
        <v>0.82878385964912282</v>
      </c>
      <c r="AW279" s="313"/>
      <c r="AX279" s="313"/>
      <c r="AY279" s="313"/>
      <c r="AZ279" s="313"/>
      <c r="BA279" s="313"/>
      <c r="BB279" s="313"/>
      <c r="BC279" s="303">
        <v>2362.0340000000001</v>
      </c>
      <c r="BD279" s="313">
        <v>0.78734466666666669</v>
      </c>
      <c r="BE279" s="313">
        <v>0.82878385964912282</v>
      </c>
      <c r="BF279" s="303"/>
      <c r="BG279" s="303">
        <v>2836.7400000000002</v>
      </c>
      <c r="BH279" s="313">
        <v>0.94558000000000009</v>
      </c>
      <c r="BI279" s="313">
        <v>0.99534736842105276</v>
      </c>
      <c r="BJ279" s="303">
        <f t="shared" si="273"/>
        <v>2850</v>
      </c>
      <c r="BK279" s="303">
        <v>2844</v>
      </c>
      <c r="BL279" s="313">
        <f t="shared" si="258"/>
        <v>0.94799999999999995</v>
      </c>
      <c r="BM279" s="313">
        <f t="shared" si="275"/>
        <v>0.99789473684210528</v>
      </c>
      <c r="BN279" s="205">
        <f t="shared" si="256"/>
        <v>606</v>
      </c>
      <c r="BO279" s="205"/>
      <c r="BP279" s="310"/>
      <c r="BQ279" s="311">
        <f t="shared" si="259"/>
        <v>0</v>
      </c>
      <c r="BR279" s="310"/>
      <c r="BS279" s="311">
        <f t="shared" si="260"/>
        <v>0</v>
      </c>
      <c r="BT279" s="310"/>
      <c r="BU279" s="308">
        <f t="shared" si="261"/>
        <v>0</v>
      </c>
      <c r="BV279" s="310">
        <v>750</v>
      </c>
      <c r="BW279" s="311">
        <f t="shared" si="262"/>
        <v>0.25</v>
      </c>
      <c r="BX279" s="310">
        <v>1200</v>
      </c>
      <c r="BY279" s="311">
        <f t="shared" si="263"/>
        <v>0.4</v>
      </c>
      <c r="BZ279" s="310">
        <v>1450</v>
      </c>
      <c r="CA279" s="311">
        <f t="shared" si="264"/>
        <v>0.48333333333333334</v>
      </c>
      <c r="CB279" s="310">
        <v>1800</v>
      </c>
      <c r="CC279" s="311">
        <f t="shared" si="265"/>
        <v>0.6</v>
      </c>
      <c r="CD279" s="310">
        <v>2000</v>
      </c>
      <c r="CE279" s="311">
        <f t="shared" si="266"/>
        <v>0.66666666666666663</v>
      </c>
      <c r="CF279" s="310">
        <v>2300</v>
      </c>
      <c r="CG279" s="311">
        <f t="shared" si="267"/>
        <v>0.76666666666666672</v>
      </c>
      <c r="CH279" s="310">
        <v>2850</v>
      </c>
      <c r="CI279" s="311">
        <f t="shared" si="268"/>
        <v>0.95</v>
      </c>
      <c r="CJ279" s="310">
        <v>2850</v>
      </c>
      <c r="CK279" s="311">
        <f t="shared" si="269"/>
        <v>0.95</v>
      </c>
      <c r="CL279" s="310">
        <v>2850</v>
      </c>
      <c r="CM279" s="311">
        <f t="shared" si="270"/>
        <v>0.95</v>
      </c>
      <c r="CN279" s="310">
        <v>2850</v>
      </c>
      <c r="CO279" s="311">
        <f t="shared" si="271"/>
        <v>0.95</v>
      </c>
      <c r="CP279" s="213" t="str">
        <f t="shared" si="276"/>
        <v>Đạt</v>
      </c>
      <c r="CQ279" s="213" t="str">
        <f t="shared" si="277"/>
        <v>Đạt</v>
      </c>
      <c r="CR279" s="312"/>
      <c r="CS279" s="312"/>
      <c r="CT279" s="235"/>
      <c r="CU279" s="163"/>
      <c r="CV279" s="323"/>
      <c r="CW279" s="195"/>
      <c r="CX279" s="196"/>
      <c r="CY279" s="196"/>
      <c r="CZ279" s="197"/>
      <c r="DA279" s="196"/>
      <c r="DB279" s="196"/>
      <c r="DC279" s="196"/>
      <c r="DE279" s="199"/>
      <c r="DF279" s="200"/>
      <c r="DG279" s="181"/>
    </row>
    <row r="280" spans="1:111" ht="25.5" hidden="1" outlineLevel="1" x14ac:dyDescent="0.25">
      <c r="A280" s="305" t="s">
        <v>34</v>
      </c>
      <c r="B280" s="306" t="s">
        <v>377</v>
      </c>
      <c r="C280" s="306"/>
      <c r="D280" s="307">
        <f t="shared" si="243"/>
        <v>1275</v>
      </c>
      <c r="E280" s="307"/>
      <c r="F280" s="307">
        <f>G280+H280+K280+M280</f>
        <v>1275</v>
      </c>
      <c r="G280" s="307"/>
      <c r="H280" s="307">
        <v>1275</v>
      </c>
      <c r="I280" s="235"/>
      <c r="J280" s="235"/>
      <c r="K280" s="303"/>
      <c r="L280" s="235"/>
      <c r="M280" s="223"/>
      <c r="N280" s="223"/>
      <c r="O280" s="303"/>
      <c r="P280" s="303">
        <v>0</v>
      </c>
      <c r="Q280" s="308">
        <f t="shared" si="272"/>
        <v>0</v>
      </c>
      <c r="R280" s="303"/>
      <c r="S280" s="313">
        <v>0</v>
      </c>
      <c r="T280" s="313">
        <v>0</v>
      </c>
      <c r="U280" s="303"/>
      <c r="V280" s="313">
        <v>0</v>
      </c>
      <c r="W280" s="313">
        <v>0</v>
      </c>
      <c r="X280" s="303"/>
      <c r="Y280" s="313">
        <v>0</v>
      </c>
      <c r="Z280" s="313">
        <v>0</v>
      </c>
      <c r="AA280" s="303"/>
      <c r="AB280" s="313">
        <v>0</v>
      </c>
      <c r="AC280" s="313">
        <v>0</v>
      </c>
      <c r="AD280" s="303"/>
      <c r="AE280" s="313">
        <v>0</v>
      </c>
      <c r="AF280" s="313">
        <v>0</v>
      </c>
      <c r="AG280" s="303"/>
      <c r="AH280" s="313">
        <v>0</v>
      </c>
      <c r="AI280" s="313">
        <v>0</v>
      </c>
      <c r="AJ280" s="188"/>
      <c r="AK280" s="313">
        <v>0</v>
      </c>
      <c r="AL280" s="313">
        <v>0</v>
      </c>
      <c r="AM280" s="303"/>
      <c r="AN280" s="313">
        <v>0</v>
      </c>
      <c r="AO280" s="313">
        <v>0</v>
      </c>
      <c r="AP280" s="313"/>
      <c r="AQ280" s="303"/>
      <c r="AR280" s="313">
        <v>0</v>
      </c>
      <c r="AS280" s="313">
        <v>0</v>
      </c>
      <c r="AT280" s="303"/>
      <c r="AU280" s="313">
        <v>0</v>
      </c>
      <c r="AV280" s="313">
        <v>0</v>
      </c>
      <c r="AW280" s="313"/>
      <c r="AX280" s="313"/>
      <c r="AY280" s="313"/>
      <c r="AZ280" s="313"/>
      <c r="BA280" s="313"/>
      <c r="BB280" s="313"/>
      <c r="BC280" s="303"/>
      <c r="BD280" s="313">
        <v>0</v>
      </c>
      <c r="BE280" s="313">
        <v>0</v>
      </c>
      <c r="BF280" s="303"/>
      <c r="BG280" s="303">
        <v>296.85900000000004</v>
      </c>
      <c r="BH280" s="313">
        <v>0.23283058823529415</v>
      </c>
      <c r="BI280" s="313">
        <v>0.24508482972136225</v>
      </c>
      <c r="BJ280" s="303">
        <f t="shared" si="273"/>
        <v>1211.25</v>
      </c>
      <c r="BK280" s="303">
        <v>746</v>
      </c>
      <c r="BL280" s="313">
        <f t="shared" si="258"/>
        <v>0.58509803921568626</v>
      </c>
      <c r="BM280" s="313">
        <f t="shared" si="275"/>
        <v>0.61589267285861715</v>
      </c>
      <c r="BN280" s="205">
        <f t="shared" si="256"/>
        <v>746</v>
      </c>
      <c r="BO280" s="205"/>
      <c r="BP280" s="310"/>
      <c r="BQ280" s="311">
        <f t="shared" si="259"/>
        <v>0</v>
      </c>
      <c r="BR280" s="310"/>
      <c r="BS280" s="311">
        <f t="shared" si="260"/>
        <v>0</v>
      </c>
      <c r="BT280" s="310"/>
      <c r="BU280" s="308">
        <f t="shared" si="261"/>
        <v>0</v>
      </c>
      <c r="BV280" s="310"/>
      <c r="BW280" s="311">
        <f t="shared" si="262"/>
        <v>0</v>
      </c>
      <c r="BX280" s="310"/>
      <c r="BY280" s="311">
        <f t="shared" si="263"/>
        <v>0</v>
      </c>
      <c r="BZ280" s="310"/>
      <c r="CA280" s="311">
        <f t="shared" si="264"/>
        <v>0</v>
      </c>
      <c r="CB280" s="310"/>
      <c r="CC280" s="311">
        <f t="shared" si="265"/>
        <v>0</v>
      </c>
      <c r="CD280" s="310">
        <v>89</v>
      </c>
      <c r="CE280" s="311">
        <f t="shared" si="266"/>
        <v>6.9803921568627456E-2</v>
      </c>
      <c r="CF280" s="310">
        <v>240</v>
      </c>
      <c r="CG280" s="311">
        <f t="shared" si="267"/>
        <v>0.18823529411764706</v>
      </c>
      <c r="CH280" s="310">
        <v>650</v>
      </c>
      <c r="CI280" s="311">
        <f t="shared" si="268"/>
        <v>0.50980392156862742</v>
      </c>
      <c r="CJ280" s="310">
        <v>840</v>
      </c>
      <c r="CK280" s="311">
        <f t="shared" si="269"/>
        <v>0.6588235294117647</v>
      </c>
      <c r="CL280" s="310">
        <v>1114</v>
      </c>
      <c r="CM280" s="311">
        <f t="shared" si="270"/>
        <v>0.87372549019607848</v>
      </c>
      <c r="CN280" s="310">
        <f>0.95*1275</f>
        <v>1211.25</v>
      </c>
      <c r="CO280" s="311">
        <f t="shared" si="271"/>
        <v>0.95</v>
      </c>
      <c r="CP280" s="213" t="str">
        <f t="shared" si="276"/>
        <v>Đạt</v>
      </c>
      <c r="CQ280" s="213" t="str">
        <f t="shared" si="277"/>
        <v>Đạt</v>
      </c>
      <c r="CR280" s="312"/>
      <c r="CS280" s="312"/>
      <c r="CT280" s="235"/>
      <c r="CU280" s="163"/>
      <c r="CW280" s="195"/>
      <c r="CX280" s="196"/>
      <c r="CY280" s="196"/>
      <c r="CZ280" s="197"/>
      <c r="DA280" s="196"/>
      <c r="DB280" s="196"/>
      <c r="DC280" s="196"/>
      <c r="DE280" s="199"/>
      <c r="DF280" s="200"/>
      <c r="DG280" s="181"/>
    </row>
    <row r="281" spans="1:111" ht="18" customHeight="1" collapsed="1" x14ac:dyDescent="0.25">
      <c r="A281" s="213">
        <f>MAX(A$239:A279)+1</f>
        <v>12</v>
      </c>
      <c r="B281" s="240" t="s">
        <v>394</v>
      </c>
      <c r="C281" s="240"/>
      <c r="D281" s="188">
        <f t="shared" ref="D281:I281" si="281">D282+D283</f>
        <v>3187</v>
      </c>
      <c r="E281" s="188">
        <f t="shared" si="281"/>
        <v>0</v>
      </c>
      <c r="F281" s="188">
        <f t="shared" si="281"/>
        <v>3187</v>
      </c>
      <c r="G281" s="188">
        <f t="shared" si="281"/>
        <v>3000</v>
      </c>
      <c r="H281" s="188">
        <f t="shared" si="281"/>
        <v>187</v>
      </c>
      <c r="I281" s="188">
        <f t="shared" si="281"/>
        <v>0</v>
      </c>
      <c r="J281" s="188"/>
      <c r="K281" s="188">
        <f>K282+K283</f>
        <v>0</v>
      </c>
      <c r="L281" s="188">
        <f>L282+L283</f>
        <v>0</v>
      </c>
      <c r="M281" s="188">
        <f>M282+M283</f>
        <v>0</v>
      </c>
      <c r="N281" s="188">
        <f>N282+N283</f>
        <v>0</v>
      </c>
      <c r="O281" s="188">
        <f>O282+O283</f>
        <v>3000</v>
      </c>
      <c r="P281" s="188">
        <v>0</v>
      </c>
      <c r="Q281" s="186">
        <f t="shared" si="272"/>
        <v>0</v>
      </c>
      <c r="R281" s="188">
        <v>0</v>
      </c>
      <c r="S281" s="185">
        <v>0</v>
      </c>
      <c r="T281" s="185">
        <v>0</v>
      </c>
      <c r="U281" s="188">
        <v>0</v>
      </c>
      <c r="V281" s="185">
        <v>0</v>
      </c>
      <c r="W281" s="185">
        <v>0</v>
      </c>
      <c r="X281" s="188">
        <v>0</v>
      </c>
      <c r="Y281" s="185">
        <v>0</v>
      </c>
      <c r="Z281" s="185">
        <v>0</v>
      </c>
      <c r="AA281" s="188">
        <v>0</v>
      </c>
      <c r="AB281" s="185">
        <v>0</v>
      </c>
      <c r="AC281" s="185">
        <v>0</v>
      </c>
      <c r="AD281" s="188">
        <v>215</v>
      </c>
      <c r="AE281" s="185">
        <v>6.7461562598054595E-2</v>
      </c>
      <c r="AF281" s="185">
        <v>7.1012171155846959E-2</v>
      </c>
      <c r="AG281" s="188">
        <v>215</v>
      </c>
      <c r="AH281" s="185">
        <v>6.7461562598054595E-2</v>
      </c>
      <c r="AI281" s="185">
        <v>7.1012171155846959E-2</v>
      </c>
      <c r="AJ281" s="214">
        <v>215</v>
      </c>
      <c r="AK281" s="185">
        <v>6.7461562598054595E-2</v>
      </c>
      <c r="AL281" s="185">
        <v>7.1012171155846959E-2</v>
      </c>
      <c r="AM281" s="314">
        <v>215</v>
      </c>
      <c r="AN281" s="185">
        <v>6.7461562598054595E-2</v>
      </c>
      <c r="AO281" s="185">
        <v>7.1012171155846959E-2</v>
      </c>
      <c r="AP281" s="185"/>
      <c r="AQ281" s="188">
        <v>1040</v>
      </c>
      <c r="AR281" s="185">
        <v>0.32632569814872919</v>
      </c>
      <c r="AS281" s="185">
        <v>0.34350073489339922</v>
      </c>
      <c r="AT281" s="188">
        <v>1040</v>
      </c>
      <c r="AU281" s="185">
        <v>0.32632569814872919</v>
      </c>
      <c r="AV281" s="185">
        <v>0.34350073489339922</v>
      </c>
      <c r="AW281" s="185"/>
      <c r="AX281" s="185"/>
      <c r="AY281" s="185"/>
      <c r="AZ281" s="185"/>
      <c r="BA281" s="185"/>
      <c r="BB281" s="185"/>
      <c r="BC281" s="188">
        <v>1040</v>
      </c>
      <c r="BD281" s="185">
        <v>0.32632569814872919</v>
      </c>
      <c r="BE281" s="185">
        <v>0.34350073489339922</v>
      </c>
      <c r="BF281" s="188"/>
      <c r="BG281" s="188">
        <v>1351.37</v>
      </c>
      <c r="BH281" s="185">
        <v>0.42402572952620016</v>
      </c>
      <c r="BI281" s="185">
        <v>0.44634287318547389</v>
      </c>
      <c r="BJ281" s="188">
        <f t="shared" si="273"/>
        <v>3027.6499999999996</v>
      </c>
      <c r="BK281" s="188">
        <f>BK282+BK283</f>
        <v>1351.37</v>
      </c>
      <c r="BL281" s="185">
        <f t="shared" si="258"/>
        <v>0.42402572952620016</v>
      </c>
      <c r="BM281" s="185">
        <f t="shared" si="275"/>
        <v>0.44634287318547389</v>
      </c>
      <c r="BN281" s="205">
        <f t="shared" si="256"/>
        <v>1136.3699999999999</v>
      </c>
      <c r="BO281" s="205"/>
      <c r="BP281" s="189">
        <f>BP282+BP283</f>
        <v>0</v>
      </c>
      <c r="BQ281" s="186">
        <f t="shared" si="259"/>
        <v>0</v>
      </c>
      <c r="BR281" s="189">
        <f>BR282+BR283</f>
        <v>0</v>
      </c>
      <c r="BS281" s="186">
        <f t="shared" si="260"/>
        <v>0</v>
      </c>
      <c r="BT281" s="189">
        <f>BT282+BT283</f>
        <v>318.7</v>
      </c>
      <c r="BU281" s="186">
        <f t="shared" si="261"/>
        <v>9.9999999999999992E-2</v>
      </c>
      <c r="BV281" s="189">
        <f>BV282+BV283</f>
        <v>637.4</v>
      </c>
      <c r="BW281" s="186">
        <f t="shared" si="262"/>
        <v>0.19999999999999998</v>
      </c>
      <c r="BX281" s="189">
        <f>BX282+BX283</f>
        <v>956.1</v>
      </c>
      <c r="BY281" s="186">
        <f t="shared" si="263"/>
        <v>0.3</v>
      </c>
      <c r="BZ281" s="189">
        <f>BZ282+BZ283</f>
        <v>1274.8</v>
      </c>
      <c r="CA281" s="186">
        <f t="shared" si="264"/>
        <v>0.39999999999999997</v>
      </c>
      <c r="CB281" s="189">
        <f>CB282+CB283</f>
        <v>1593.5</v>
      </c>
      <c r="CC281" s="186">
        <f t="shared" si="265"/>
        <v>0.5</v>
      </c>
      <c r="CD281" s="189">
        <f>CD282+CD283</f>
        <v>1752.8500000000001</v>
      </c>
      <c r="CE281" s="186">
        <f t="shared" si="266"/>
        <v>0.55000000000000004</v>
      </c>
      <c r="CF281" s="189">
        <f>CF282+CF283</f>
        <v>2230.9</v>
      </c>
      <c r="CG281" s="186">
        <f t="shared" si="267"/>
        <v>0.70000000000000007</v>
      </c>
      <c r="CH281" s="189">
        <f>CH282+CH283</f>
        <v>2230.9</v>
      </c>
      <c r="CI281" s="186">
        <f t="shared" si="268"/>
        <v>0.70000000000000007</v>
      </c>
      <c r="CJ281" s="189">
        <f>CJ282+CJ283</f>
        <v>2390.25</v>
      </c>
      <c r="CK281" s="186">
        <f t="shared" si="269"/>
        <v>0.75</v>
      </c>
      <c r="CL281" s="189">
        <f>CL282+CL283</f>
        <v>2390.25</v>
      </c>
      <c r="CM281" s="186">
        <f t="shared" si="270"/>
        <v>0.75</v>
      </c>
      <c r="CN281" s="189">
        <f>CN282+CN283</f>
        <v>3027.65</v>
      </c>
      <c r="CO281" s="186">
        <f t="shared" si="271"/>
        <v>0.95000000000000007</v>
      </c>
      <c r="CP281" s="213" t="str">
        <f t="shared" si="276"/>
        <v>Đạt</v>
      </c>
      <c r="CQ281" s="213" t="str">
        <f t="shared" si="277"/>
        <v>Đạt</v>
      </c>
      <c r="CR281" s="213"/>
      <c r="CS281" s="213"/>
      <c r="CT281" s="231"/>
      <c r="CU281" s="163"/>
      <c r="CW281" s="195"/>
      <c r="CX281" s="196"/>
      <c r="CY281" s="196"/>
      <c r="CZ281" s="197"/>
      <c r="DA281" s="196"/>
      <c r="DB281" s="196"/>
      <c r="DC281" s="196"/>
      <c r="DE281" s="199"/>
      <c r="DF281" s="200"/>
      <c r="DG281" s="181"/>
    </row>
    <row r="282" spans="1:111" s="324" customFormat="1" hidden="1" outlineLevel="1" x14ac:dyDescent="0.25">
      <c r="A282" s="305" t="s">
        <v>34</v>
      </c>
      <c r="B282" s="306" t="s">
        <v>376</v>
      </c>
      <c r="C282" s="306"/>
      <c r="D282" s="307">
        <f t="shared" si="243"/>
        <v>3000</v>
      </c>
      <c r="E282" s="307"/>
      <c r="F282" s="307">
        <f>G282+H282+K282+M282</f>
        <v>3000</v>
      </c>
      <c r="G282" s="303">
        <v>3000</v>
      </c>
      <c r="H282" s="303"/>
      <c r="I282" s="235"/>
      <c r="J282" s="235"/>
      <c r="K282" s="303"/>
      <c r="L282" s="235"/>
      <c r="M282" s="223"/>
      <c r="N282" s="223"/>
      <c r="O282" s="303">
        <f t="shared" si="247"/>
        <v>3000</v>
      </c>
      <c r="P282" s="303">
        <v>0</v>
      </c>
      <c r="Q282" s="308">
        <f t="shared" si="272"/>
        <v>0</v>
      </c>
      <c r="R282" s="303"/>
      <c r="S282" s="309">
        <v>0</v>
      </c>
      <c r="T282" s="309">
        <v>0</v>
      </c>
      <c r="U282" s="303"/>
      <c r="V282" s="309">
        <v>0</v>
      </c>
      <c r="W282" s="309">
        <v>0</v>
      </c>
      <c r="X282" s="303"/>
      <c r="Y282" s="309">
        <v>0</v>
      </c>
      <c r="Z282" s="309">
        <v>0</v>
      </c>
      <c r="AA282" s="303"/>
      <c r="AB282" s="309">
        <v>0</v>
      </c>
      <c r="AC282" s="309">
        <v>0</v>
      </c>
      <c r="AD282" s="303">
        <v>215</v>
      </c>
      <c r="AE282" s="309">
        <v>7.166666666666667E-2</v>
      </c>
      <c r="AF282" s="309">
        <v>7.5438596491228069E-2</v>
      </c>
      <c r="AG282" s="214">
        <v>215</v>
      </c>
      <c r="AH282" s="309">
        <v>7.166666666666667E-2</v>
      </c>
      <c r="AI282" s="309">
        <v>7.5438596491228069E-2</v>
      </c>
      <c r="AJ282" s="303">
        <v>873.82399999999996</v>
      </c>
      <c r="AK282" s="309">
        <v>7.166666666666667E-2</v>
      </c>
      <c r="AL282" s="309">
        <v>7.5438596491228069E-2</v>
      </c>
      <c r="AM282" s="214">
        <v>873.82399999999996</v>
      </c>
      <c r="AN282" s="309">
        <v>7.166666666666667E-2</v>
      </c>
      <c r="AO282" s="309">
        <v>7.5438596491228069E-2</v>
      </c>
      <c r="AP282" s="309"/>
      <c r="AQ282" s="214">
        <v>1040</v>
      </c>
      <c r="AR282" s="309">
        <v>0.34666666666666668</v>
      </c>
      <c r="AS282" s="309">
        <v>0.36491228070175441</v>
      </c>
      <c r="AT282" s="214">
        <v>1040</v>
      </c>
      <c r="AU282" s="309">
        <v>0.34666666666666668</v>
      </c>
      <c r="AV282" s="309">
        <v>0.36491228070175441</v>
      </c>
      <c r="AW282" s="309"/>
      <c r="AX282" s="309"/>
      <c r="AY282" s="309"/>
      <c r="AZ282" s="309"/>
      <c r="BA282" s="309"/>
      <c r="BB282" s="309"/>
      <c r="BC282" s="214">
        <v>1040</v>
      </c>
      <c r="BD282" s="309">
        <v>0.34666666666666668</v>
      </c>
      <c r="BE282" s="309">
        <v>0.36491228070175441</v>
      </c>
      <c r="BF282" s="214"/>
      <c r="BG282" s="214">
        <v>1351.37</v>
      </c>
      <c r="BH282" s="309">
        <v>0.45045666666666662</v>
      </c>
      <c r="BI282" s="309">
        <v>0.47416491228070173</v>
      </c>
      <c r="BJ282" s="214">
        <f t="shared" si="273"/>
        <v>2850</v>
      </c>
      <c r="BK282" s="214">
        <v>1351.37</v>
      </c>
      <c r="BL282" s="309">
        <f t="shared" si="258"/>
        <v>0.45045666666666662</v>
      </c>
      <c r="BM282" s="309">
        <f t="shared" si="275"/>
        <v>0.47416491228070173</v>
      </c>
      <c r="BN282" s="205">
        <f t="shared" si="256"/>
        <v>1136.3699999999999</v>
      </c>
      <c r="BO282" s="205"/>
      <c r="BP282" s="310"/>
      <c r="BQ282" s="308">
        <f t="shared" si="259"/>
        <v>0</v>
      </c>
      <c r="BR282" s="310"/>
      <c r="BS282" s="308">
        <f t="shared" si="260"/>
        <v>0</v>
      </c>
      <c r="BT282" s="310">
        <f>$F282*0.1</f>
        <v>300</v>
      </c>
      <c r="BU282" s="308">
        <f t="shared" si="261"/>
        <v>0.1</v>
      </c>
      <c r="BV282" s="310">
        <f>$F282*0.2</f>
        <v>600</v>
      </c>
      <c r="BW282" s="308">
        <f t="shared" si="262"/>
        <v>0.2</v>
      </c>
      <c r="BX282" s="310">
        <f>$F282*0.3</f>
        <v>900</v>
      </c>
      <c r="BY282" s="308">
        <f t="shared" si="263"/>
        <v>0.3</v>
      </c>
      <c r="BZ282" s="310">
        <f>$F282*0.4</f>
        <v>1200</v>
      </c>
      <c r="CA282" s="308">
        <f t="shared" si="264"/>
        <v>0.4</v>
      </c>
      <c r="CB282" s="310">
        <f>$F282*0.5</f>
        <v>1500</v>
      </c>
      <c r="CC282" s="308">
        <f t="shared" si="265"/>
        <v>0.5</v>
      </c>
      <c r="CD282" s="310">
        <f>$F282*0.55</f>
        <v>1650.0000000000002</v>
      </c>
      <c r="CE282" s="308">
        <f t="shared" si="266"/>
        <v>0.55000000000000004</v>
      </c>
      <c r="CF282" s="310">
        <v>2100</v>
      </c>
      <c r="CG282" s="308">
        <f t="shared" si="267"/>
        <v>0.7</v>
      </c>
      <c r="CH282" s="310">
        <f>$F282*0.7</f>
        <v>2100</v>
      </c>
      <c r="CI282" s="308">
        <f t="shared" si="268"/>
        <v>0.7</v>
      </c>
      <c r="CJ282" s="310">
        <f>$F282*0.75</f>
        <v>2250</v>
      </c>
      <c r="CK282" s="308">
        <f t="shared" si="269"/>
        <v>0.75</v>
      </c>
      <c r="CL282" s="310">
        <f>$F282*0.75</f>
        <v>2250</v>
      </c>
      <c r="CM282" s="308">
        <f t="shared" si="270"/>
        <v>0.75</v>
      </c>
      <c r="CN282" s="310">
        <f>$F282*0.95</f>
        <v>2850</v>
      </c>
      <c r="CO282" s="308">
        <f t="shared" si="271"/>
        <v>0.95</v>
      </c>
      <c r="CP282" s="213" t="str">
        <f t="shared" si="276"/>
        <v>Đạt</v>
      </c>
      <c r="CQ282" s="213" t="str">
        <f t="shared" si="277"/>
        <v>Đạt</v>
      </c>
      <c r="CR282" s="312"/>
      <c r="CS282" s="312"/>
      <c r="CT282" s="235"/>
      <c r="CU282" s="163"/>
      <c r="CV282" s="323"/>
      <c r="CW282" s="195"/>
      <c r="CX282" s="196"/>
      <c r="CY282" s="196"/>
      <c r="CZ282" s="197"/>
      <c r="DA282" s="196"/>
      <c r="DB282" s="196"/>
      <c r="DC282" s="196"/>
      <c r="DE282" s="199"/>
      <c r="DF282" s="200"/>
      <c r="DG282" s="181"/>
    </row>
    <row r="283" spans="1:111" ht="25.5" hidden="1" outlineLevel="1" x14ac:dyDescent="0.25">
      <c r="A283" s="305" t="s">
        <v>34</v>
      </c>
      <c r="B283" s="306" t="s">
        <v>377</v>
      </c>
      <c r="C283" s="306"/>
      <c r="D283" s="307">
        <f t="shared" si="243"/>
        <v>187</v>
      </c>
      <c r="E283" s="307"/>
      <c r="F283" s="307">
        <f>G283+H283+K283+M283</f>
        <v>187</v>
      </c>
      <c r="G283" s="307"/>
      <c r="H283" s="307">
        <v>187</v>
      </c>
      <c r="I283" s="235"/>
      <c r="J283" s="235"/>
      <c r="K283" s="303"/>
      <c r="L283" s="235"/>
      <c r="M283" s="223"/>
      <c r="N283" s="223"/>
      <c r="O283" s="303"/>
      <c r="P283" s="303">
        <v>0</v>
      </c>
      <c r="Q283" s="308">
        <f t="shared" si="272"/>
        <v>0</v>
      </c>
      <c r="R283" s="303"/>
      <c r="S283" s="309">
        <v>0</v>
      </c>
      <c r="T283" s="309">
        <v>0</v>
      </c>
      <c r="U283" s="303"/>
      <c r="V283" s="309">
        <v>0</v>
      </c>
      <c r="W283" s="309">
        <v>0</v>
      </c>
      <c r="X283" s="303"/>
      <c r="Y283" s="309">
        <v>0</v>
      </c>
      <c r="Z283" s="309">
        <v>0</v>
      </c>
      <c r="AA283" s="303"/>
      <c r="AB283" s="309">
        <v>0</v>
      </c>
      <c r="AC283" s="309">
        <v>0</v>
      </c>
      <c r="AD283" s="303"/>
      <c r="AE283" s="309">
        <v>0</v>
      </c>
      <c r="AF283" s="309">
        <v>0</v>
      </c>
      <c r="AG283" s="303"/>
      <c r="AH283" s="309">
        <v>0</v>
      </c>
      <c r="AI283" s="309">
        <v>0</v>
      </c>
      <c r="AJ283" s="189"/>
      <c r="AK283" s="309">
        <v>0</v>
      </c>
      <c r="AL283" s="309">
        <v>0</v>
      </c>
      <c r="AM283" s="303"/>
      <c r="AN283" s="309">
        <v>0</v>
      </c>
      <c r="AO283" s="309">
        <v>0</v>
      </c>
      <c r="AP283" s="309"/>
      <c r="AQ283" s="303"/>
      <c r="AR283" s="309">
        <v>0</v>
      </c>
      <c r="AS283" s="309">
        <v>0</v>
      </c>
      <c r="AT283" s="303"/>
      <c r="AU283" s="309">
        <v>0</v>
      </c>
      <c r="AV283" s="309">
        <v>0</v>
      </c>
      <c r="AW283" s="309"/>
      <c r="AX283" s="309"/>
      <c r="AY283" s="309"/>
      <c r="AZ283" s="309"/>
      <c r="BA283" s="309"/>
      <c r="BB283" s="309"/>
      <c r="BC283" s="303"/>
      <c r="BD283" s="309">
        <v>0</v>
      </c>
      <c r="BE283" s="309">
        <v>0</v>
      </c>
      <c r="BF283" s="303"/>
      <c r="BG283" s="303"/>
      <c r="BH283" s="309">
        <v>0</v>
      </c>
      <c r="BI283" s="309">
        <v>0</v>
      </c>
      <c r="BJ283" s="303">
        <f t="shared" si="273"/>
        <v>177.65</v>
      </c>
      <c r="BK283" s="303"/>
      <c r="BL283" s="309">
        <f t="shared" si="258"/>
        <v>0</v>
      </c>
      <c r="BM283" s="309">
        <f t="shared" si="275"/>
        <v>0</v>
      </c>
      <c r="BN283" s="205">
        <f t="shared" si="256"/>
        <v>0</v>
      </c>
      <c r="BO283" s="205"/>
      <c r="BP283" s="310"/>
      <c r="BQ283" s="308">
        <f t="shared" si="259"/>
        <v>0</v>
      </c>
      <c r="BR283" s="310"/>
      <c r="BS283" s="308">
        <f t="shared" si="260"/>
        <v>0</v>
      </c>
      <c r="BT283" s="310">
        <f>$F283*0.1</f>
        <v>18.7</v>
      </c>
      <c r="BU283" s="308">
        <f t="shared" si="261"/>
        <v>9.9999999999999992E-2</v>
      </c>
      <c r="BV283" s="310">
        <f>$F283*0.2</f>
        <v>37.4</v>
      </c>
      <c r="BW283" s="308">
        <f t="shared" si="262"/>
        <v>0.19999999999999998</v>
      </c>
      <c r="BX283" s="310">
        <f>$F283*0.3</f>
        <v>56.1</v>
      </c>
      <c r="BY283" s="308">
        <f t="shared" si="263"/>
        <v>0.3</v>
      </c>
      <c r="BZ283" s="310">
        <f>$F283*0.4</f>
        <v>74.8</v>
      </c>
      <c r="CA283" s="308">
        <f t="shared" si="264"/>
        <v>0.39999999999999997</v>
      </c>
      <c r="CB283" s="310">
        <f>$F283*0.5</f>
        <v>93.5</v>
      </c>
      <c r="CC283" s="308">
        <f t="shared" si="265"/>
        <v>0.5</v>
      </c>
      <c r="CD283" s="310">
        <f>$F283*0.55</f>
        <v>102.85000000000001</v>
      </c>
      <c r="CE283" s="308">
        <f t="shared" si="266"/>
        <v>0.55000000000000004</v>
      </c>
      <c r="CF283" s="310">
        <v>130.9</v>
      </c>
      <c r="CG283" s="308">
        <f t="shared" si="267"/>
        <v>0.70000000000000007</v>
      </c>
      <c r="CH283" s="310">
        <f>$F283*0.7</f>
        <v>130.9</v>
      </c>
      <c r="CI283" s="308">
        <f t="shared" si="268"/>
        <v>0.70000000000000007</v>
      </c>
      <c r="CJ283" s="310">
        <f>$F283*0.75</f>
        <v>140.25</v>
      </c>
      <c r="CK283" s="308">
        <f t="shared" si="269"/>
        <v>0.75</v>
      </c>
      <c r="CL283" s="310">
        <f>$F283*0.75</f>
        <v>140.25</v>
      </c>
      <c r="CM283" s="308">
        <f t="shared" si="270"/>
        <v>0.75</v>
      </c>
      <c r="CN283" s="310">
        <f>$F283*0.95</f>
        <v>177.65</v>
      </c>
      <c r="CO283" s="308">
        <f t="shared" si="271"/>
        <v>0.95000000000000007</v>
      </c>
      <c r="CP283" s="213" t="str">
        <f t="shared" si="276"/>
        <v>Không đạt</v>
      </c>
      <c r="CQ283" s="213" t="str">
        <f t="shared" si="277"/>
        <v>Không đạt</v>
      </c>
      <c r="CR283" s="312"/>
      <c r="CS283" s="312"/>
      <c r="CT283" s="235"/>
      <c r="CU283" s="163"/>
      <c r="CW283" s="195"/>
      <c r="CX283" s="196"/>
      <c r="CY283" s="196"/>
      <c r="CZ283" s="197"/>
      <c r="DA283" s="196"/>
      <c r="DB283" s="196"/>
      <c r="DC283" s="196"/>
      <c r="DE283" s="199"/>
      <c r="DF283" s="200"/>
      <c r="DG283" s="181"/>
    </row>
    <row r="284" spans="1:111" ht="18" customHeight="1" collapsed="1" x14ac:dyDescent="0.25">
      <c r="A284" s="316">
        <f>MAX(A$239:A282)+1</f>
        <v>13</v>
      </c>
      <c r="B284" s="240" t="s">
        <v>395</v>
      </c>
      <c r="C284" s="240"/>
      <c r="D284" s="188">
        <f t="shared" ref="D284:I284" si="282">D285+D286</f>
        <v>3161</v>
      </c>
      <c r="E284" s="188">
        <f t="shared" si="282"/>
        <v>0</v>
      </c>
      <c r="F284" s="188">
        <f t="shared" si="282"/>
        <v>3161</v>
      </c>
      <c r="G284" s="188">
        <f t="shared" si="282"/>
        <v>3000</v>
      </c>
      <c r="H284" s="188">
        <f t="shared" si="282"/>
        <v>161</v>
      </c>
      <c r="I284" s="188">
        <f t="shared" si="282"/>
        <v>0</v>
      </c>
      <c r="J284" s="188"/>
      <c r="K284" s="188">
        <f>K285+K286</f>
        <v>0</v>
      </c>
      <c r="L284" s="188">
        <f>L285+L286</f>
        <v>0</v>
      </c>
      <c r="M284" s="188">
        <f>M285+M286</f>
        <v>0</v>
      </c>
      <c r="N284" s="188">
        <f>N285+N286</f>
        <v>0</v>
      </c>
      <c r="O284" s="188">
        <f>O285+O286</f>
        <v>3000</v>
      </c>
      <c r="P284" s="188">
        <v>0</v>
      </c>
      <c r="Q284" s="186">
        <f t="shared" si="272"/>
        <v>0</v>
      </c>
      <c r="R284" s="189">
        <v>306.108</v>
      </c>
      <c r="S284" s="185">
        <v>9.683897500790889E-2</v>
      </c>
      <c r="T284" s="185">
        <v>0.1019357631662199</v>
      </c>
      <c r="U284" s="189">
        <v>1128.873</v>
      </c>
      <c r="V284" s="185">
        <v>0.35712527681113571</v>
      </c>
      <c r="W284" s="185">
        <v>0.37592134401172184</v>
      </c>
      <c r="X284" s="189">
        <v>1128.873</v>
      </c>
      <c r="Y284" s="185">
        <v>0.35712527681113571</v>
      </c>
      <c r="Z284" s="185">
        <v>0.37592134401172184</v>
      </c>
      <c r="AA284" s="189">
        <v>1128.873</v>
      </c>
      <c r="AB284" s="185">
        <v>0.35712527681113571</v>
      </c>
      <c r="AC284" s="185">
        <v>0.37592134401172184</v>
      </c>
      <c r="AD284" s="189">
        <v>1133</v>
      </c>
      <c r="AE284" s="185">
        <v>0.35843087630496678</v>
      </c>
      <c r="AF284" s="185">
        <v>0.3772956592683861</v>
      </c>
      <c r="AG284" s="189">
        <v>1133</v>
      </c>
      <c r="AH284" s="185">
        <v>0.35843087630496678</v>
      </c>
      <c r="AI284" s="185">
        <v>0.3772956592683861</v>
      </c>
      <c r="AJ284" s="303">
        <v>1133</v>
      </c>
      <c r="AK284" s="185">
        <v>0.35843087630496678</v>
      </c>
      <c r="AL284" s="185">
        <v>0.3772956592683861</v>
      </c>
      <c r="AM284" s="189">
        <v>1133</v>
      </c>
      <c r="AN284" s="185">
        <v>0.35843087630496678</v>
      </c>
      <c r="AO284" s="185">
        <v>0.3772956592683861</v>
      </c>
      <c r="AP284" s="185"/>
      <c r="AQ284" s="189">
        <v>1133</v>
      </c>
      <c r="AR284" s="185">
        <v>0.35843087630496678</v>
      </c>
      <c r="AS284" s="185">
        <v>0.3772956592683861</v>
      </c>
      <c r="AT284" s="189">
        <v>1133</v>
      </c>
      <c r="AU284" s="185">
        <v>0.35843087630496678</v>
      </c>
      <c r="AV284" s="185">
        <v>0.3772956592683861</v>
      </c>
      <c r="AW284" s="185"/>
      <c r="AX284" s="185"/>
      <c r="AY284" s="185"/>
      <c r="AZ284" s="185"/>
      <c r="BA284" s="185"/>
      <c r="BB284" s="185"/>
      <c r="BC284" s="189">
        <v>1133</v>
      </c>
      <c r="BD284" s="185">
        <v>0.35843087630496678</v>
      </c>
      <c r="BE284" s="185">
        <v>0.3772956592683861</v>
      </c>
      <c r="BF284" s="189"/>
      <c r="BG284" s="189">
        <v>1501.126</v>
      </c>
      <c r="BH284" s="185">
        <v>0.47488959190129704</v>
      </c>
      <c r="BI284" s="185">
        <v>0.49988378094873376</v>
      </c>
      <c r="BJ284" s="189">
        <f t="shared" si="273"/>
        <v>3002.95</v>
      </c>
      <c r="BK284" s="189">
        <f>BK285+BK286</f>
        <v>1501.126</v>
      </c>
      <c r="BL284" s="185">
        <f t="shared" si="258"/>
        <v>0.47488959190129704</v>
      </c>
      <c r="BM284" s="185">
        <f t="shared" si="275"/>
        <v>0.49988378094873376</v>
      </c>
      <c r="BN284" s="205">
        <f t="shared" si="256"/>
        <v>368.12599999999998</v>
      </c>
      <c r="BO284" s="205"/>
      <c r="BP284" s="189">
        <f>BP285+BP286</f>
        <v>0</v>
      </c>
      <c r="BQ284" s="186">
        <f t="shared" si="259"/>
        <v>0</v>
      </c>
      <c r="BR284" s="189">
        <f>BR285+BR286</f>
        <v>0</v>
      </c>
      <c r="BS284" s="186">
        <f t="shared" si="260"/>
        <v>0</v>
      </c>
      <c r="BT284" s="189">
        <f>BT285+BT286</f>
        <v>314</v>
      </c>
      <c r="BU284" s="186">
        <f t="shared" si="261"/>
        <v>9.9335653274280289E-2</v>
      </c>
      <c r="BV284" s="189">
        <f>BV285+BV286</f>
        <v>375</v>
      </c>
      <c r="BW284" s="186">
        <f t="shared" si="262"/>
        <v>0.11863334387851945</v>
      </c>
      <c r="BX284" s="189">
        <f>BX285+BX286</f>
        <v>520</v>
      </c>
      <c r="BY284" s="186">
        <f t="shared" si="263"/>
        <v>0.16450490351154698</v>
      </c>
      <c r="BZ284" s="189">
        <f>BZ285+BZ286</f>
        <v>596</v>
      </c>
      <c r="CA284" s="186">
        <f t="shared" si="264"/>
        <v>0.18854792787092692</v>
      </c>
      <c r="CB284" s="189">
        <f>CB285+CB286</f>
        <v>820</v>
      </c>
      <c r="CC284" s="186">
        <f t="shared" si="265"/>
        <v>0.25941157861436254</v>
      </c>
      <c r="CD284" s="189">
        <f>CD285+CD286</f>
        <v>1330</v>
      </c>
      <c r="CE284" s="186">
        <f t="shared" si="266"/>
        <v>0.42075292628914901</v>
      </c>
      <c r="CF284" s="189">
        <f>CF285+CF286</f>
        <v>1330</v>
      </c>
      <c r="CG284" s="186">
        <f t="shared" si="267"/>
        <v>0.42075292628914901</v>
      </c>
      <c r="CH284" s="189">
        <f>CH285+CH286</f>
        <v>1760</v>
      </c>
      <c r="CI284" s="186">
        <f t="shared" si="268"/>
        <v>0.55678582726985126</v>
      </c>
      <c r="CJ284" s="189">
        <f>CJ285+CJ286</f>
        <v>2258</v>
      </c>
      <c r="CK284" s="186">
        <f t="shared" si="269"/>
        <v>0.71433090794052512</v>
      </c>
      <c r="CL284" s="189">
        <f>CL285+CL286</f>
        <v>3002.95</v>
      </c>
      <c r="CM284" s="186">
        <f t="shared" si="270"/>
        <v>0.95</v>
      </c>
      <c r="CN284" s="189">
        <f>CN285+CN286</f>
        <v>3002.95</v>
      </c>
      <c r="CO284" s="186">
        <f t="shared" si="271"/>
        <v>0.95</v>
      </c>
      <c r="CP284" s="213" t="str">
        <f t="shared" si="276"/>
        <v>Đạt</v>
      </c>
      <c r="CQ284" s="213" t="str">
        <f t="shared" si="277"/>
        <v>Đạt</v>
      </c>
      <c r="CR284" s="213"/>
      <c r="CS284" s="213"/>
      <c r="CT284" s="231"/>
      <c r="CU284" s="163"/>
      <c r="CW284" s="195"/>
      <c r="CX284" s="196"/>
      <c r="CY284" s="196"/>
      <c r="CZ284" s="197"/>
      <c r="DA284" s="196"/>
      <c r="DB284" s="196"/>
      <c r="DC284" s="196"/>
      <c r="DE284" s="199"/>
      <c r="DF284" s="200"/>
      <c r="DG284" s="181"/>
    </row>
    <row r="285" spans="1:111" s="324" customFormat="1" hidden="1" outlineLevel="1" x14ac:dyDescent="0.25">
      <c r="A285" s="305" t="s">
        <v>34</v>
      </c>
      <c r="B285" s="306" t="s">
        <v>376</v>
      </c>
      <c r="C285" s="306"/>
      <c r="D285" s="307">
        <f t="shared" si="243"/>
        <v>3000</v>
      </c>
      <c r="E285" s="307"/>
      <c r="F285" s="307">
        <f>G285+H285+K285+M285</f>
        <v>3000</v>
      </c>
      <c r="G285" s="303">
        <v>3000</v>
      </c>
      <c r="H285" s="303"/>
      <c r="I285" s="235"/>
      <c r="J285" s="235"/>
      <c r="K285" s="303"/>
      <c r="L285" s="235"/>
      <c r="M285" s="223"/>
      <c r="N285" s="223"/>
      <c r="O285" s="303">
        <f t="shared" si="247"/>
        <v>3000</v>
      </c>
      <c r="P285" s="303">
        <v>0</v>
      </c>
      <c r="Q285" s="308">
        <f t="shared" si="272"/>
        <v>0</v>
      </c>
      <c r="R285" s="303">
        <v>306.108</v>
      </c>
      <c r="S285" s="313">
        <v>0.102036</v>
      </c>
      <c r="T285" s="313">
        <v>0.10740631578947368</v>
      </c>
      <c r="U285" s="303">
        <v>1128.873</v>
      </c>
      <c r="V285" s="313">
        <v>0.37629100000000004</v>
      </c>
      <c r="W285" s="313">
        <v>0.39609578947368423</v>
      </c>
      <c r="X285" s="303">
        <v>1128.873</v>
      </c>
      <c r="Y285" s="313">
        <v>0.37629100000000004</v>
      </c>
      <c r="Z285" s="313">
        <v>0.39609578947368423</v>
      </c>
      <c r="AA285" s="303">
        <v>1128.873</v>
      </c>
      <c r="AB285" s="313">
        <v>0.37629100000000004</v>
      </c>
      <c r="AC285" s="313">
        <v>0.39609578947368423</v>
      </c>
      <c r="AD285" s="303">
        <v>1133</v>
      </c>
      <c r="AE285" s="313">
        <v>0.37766666666666665</v>
      </c>
      <c r="AF285" s="313">
        <v>0.39754385964912281</v>
      </c>
      <c r="AG285" s="303">
        <v>1133</v>
      </c>
      <c r="AH285" s="313">
        <v>0.37766666666666665</v>
      </c>
      <c r="AI285" s="313">
        <v>0.39754385964912281</v>
      </c>
      <c r="AJ285" s="303">
        <v>1133</v>
      </c>
      <c r="AK285" s="313">
        <v>0.37766666666666665</v>
      </c>
      <c r="AL285" s="313">
        <v>0.39754385964912281</v>
      </c>
      <c r="AM285" s="303">
        <v>1133</v>
      </c>
      <c r="AN285" s="313">
        <v>0.37766666666666665</v>
      </c>
      <c r="AO285" s="313">
        <v>0.39754385964912281</v>
      </c>
      <c r="AP285" s="313"/>
      <c r="AQ285" s="303">
        <v>1133</v>
      </c>
      <c r="AR285" s="313">
        <v>0.37766666666666665</v>
      </c>
      <c r="AS285" s="313">
        <v>0.39754385964912281</v>
      </c>
      <c r="AT285" s="303">
        <v>1133</v>
      </c>
      <c r="AU285" s="313">
        <v>0.37766666666666665</v>
      </c>
      <c r="AV285" s="313">
        <v>0.39754385964912281</v>
      </c>
      <c r="AW285" s="313"/>
      <c r="AX285" s="313"/>
      <c r="AY285" s="313"/>
      <c r="AZ285" s="313"/>
      <c r="BA285" s="313"/>
      <c r="BB285" s="313"/>
      <c r="BC285" s="303">
        <v>1133</v>
      </c>
      <c r="BD285" s="313">
        <v>0.37766666666666665</v>
      </c>
      <c r="BE285" s="313">
        <v>0.39754385964912281</v>
      </c>
      <c r="BF285" s="303"/>
      <c r="BG285" s="303">
        <v>1501.126</v>
      </c>
      <c r="BH285" s="313">
        <v>0.50037533333333328</v>
      </c>
      <c r="BI285" s="313">
        <v>0.52671087719298249</v>
      </c>
      <c r="BJ285" s="303">
        <f t="shared" si="273"/>
        <v>2850</v>
      </c>
      <c r="BK285" s="303">
        <v>1501.126</v>
      </c>
      <c r="BL285" s="313">
        <f t="shared" si="258"/>
        <v>0.50037533333333328</v>
      </c>
      <c r="BM285" s="313">
        <f t="shared" si="275"/>
        <v>0.52671087719298249</v>
      </c>
      <c r="BN285" s="205">
        <f t="shared" si="256"/>
        <v>368.12599999999998</v>
      </c>
      <c r="BO285" s="205"/>
      <c r="BP285" s="310"/>
      <c r="BQ285" s="311">
        <f t="shared" si="259"/>
        <v>0</v>
      </c>
      <c r="BR285" s="310"/>
      <c r="BS285" s="311">
        <f t="shared" si="260"/>
        <v>0</v>
      </c>
      <c r="BT285" s="310">
        <v>300</v>
      </c>
      <c r="BU285" s="308">
        <f t="shared" si="261"/>
        <v>0.1</v>
      </c>
      <c r="BV285" s="310">
        <v>355</v>
      </c>
      <c r="BW285" s="311">
        <f t="shared" si="262"/>
        <v>0.11833333333333333</v>
      </c>
      <c r="BX285" s="310">
        <v>500</v>
      </c>
      <c r="BY285" s="311">
        <f t="shared" si="263"/>
        <v>0.16666666666666666</v>
      </c>
      <c r="BZ285" s="310">
        <v>576</v>
      </c>
      <c r="CA285" s="311">
        <f t="shared" si="264"/>
        <v>0.192</v>
      </c>
      <c r="CB285" s="310">
        <v>800</v>
      </c>
      <c r="CC285" s="311">
        <f t="shared" si="265"/>
        <v>0.26666666666666666</v>
      </c>
      <c r="CD285" s="310">
        <v>1250</v>
      </c>
      <c r="CE285" s="311">
        <f t="shared" si="266"/>
        <v>0.41666666666666669</v>
      </c>
      <c r="CF285" s="310">
        <v>1250</v>
      </c>
      <c r="CG285" s="311">
        <f t="shared" si="267"/>
        <v>0.41666666666666669</v>
      </c>
      <c r="CH285" s="310">
        <v>1680</v>
      </c>
      <c r="CI285" s="311">
        <f t="shared" si="268"/>
        <v>0.56000000000000005</v>
      </c>
      <c r="CJ285" s="310">
        <v>2150</v>
      </c>
      <c r="CK285" s="311">
        <f t="shared" si="269"/>
        <v>0.71666666666666667</v>
      </c>
      <c r="CL285" s="310">
        <v>2850</v>
      </c>
      <c r="CM285" s="311">
        <f t="shared" si="270"/>
        <v>0.95</v>
      </c>
      <c r="CN285" s="310">
        <v>2850</v>
      </c>
      <c r="CO285" s="311">
        <f t="shared" si="271"/>
        <v>0.95</v>
      </c>
      <c r="CP285" s="213" t="str">
        <f t="shared" si="276"/>
        <v>Đạt</v>
      </c>
      <c r="CQ285" s="213" t="str">
        <f t="shared" si="277"/>
        <v>Đạt</v>
      </c>
      <c r="CR285" s="312"/>
      <c r="CS285" s="312"/>
      <c r="CT285" s="235"/>
      <c r="CU285" s="163"/>
      <c r="CV285" s="323"/>
      <c r="CW285" s="195"/>
      <c r="CX285" s="196"/>
      <c r="CY285" s="196"/>
      <c r="CZ285" s="197"/>
      <c r="DA285" s="196"/>
      <c r="DB285" s="196"/>
      <c r="DC285" s="196"/>
      <c r="DE285" s="199"/>
      <c r="DF285" s="200"/>
      <c r="DG285" s="181"/>
    </row>
    <row r="286" spans="1:111" ht="25.5" hidden="1" outlineLevel="1" x14ac:dyDescent="0.25">
      <c r="A286" s="305" t="s">
        <v>34</v>
      </c>
      <c r="B286" s="306" t="s">
        <v>377</v>
      </c>
      <c r="C286" s="306"/>
      <c r="D286" s="307">
        <f t="shared" si="243"/>
        <v>161</v>
      </c>
      <c r="E286" s="307"/>
      <c r="F286" s="307">
        <f>G286+H286+K286+M286</f>
        <v>161</v>
      </c>
      <c r="G286" s="307"/>
      <c r="H286" s="307">
        <v>161</v>
      </c>
      <c r="I286" s="235"/>
      <c r="J286" s="235"/>
      <c r="K286" s="303"/>
      <c r="L286" s="235"/>
      <c r="M286" s="223"/>
      <c r="N286" s="223"/>
      <c r="O286" s="303"/>
      <c r="P286" s="303">
        <v>0</v>
      </c>
      <c r="Q286" s="308">
        <f t="shared" si="272"/>
        <v>0</v>
      </c>
      <c r="R286" s="303"/>
      <c r="S286" s="313">
        <v>0</v>
      </c>
      <c r="T286" s="313">
        <v>0</v>
      </c>
      <c r="U286" s="303"/>
      <c r="V286" s="313">
        <v>0</v>
      </c>
      <c r="W286" s="313">
        <v>0</v>
      </c>
      <c r="X286" s="303"/>
      <c r="Y286" s="313">
        <v>0</v>
      </c>
      <c r="Z286" s="313">
        <v>0</v>
      </c>
      <c r="AA286" s="303"/>
      <c r="AB286" s="313">
        <v>0</v>
      </c>
      <c r="AC286" s="313">
        <v>0</v>
      </c>
      <c r="AD286" s="303"/>
      <c r="AE286" s="313">
        <v>0</v>
      </c>
      <c r="AF286" s="313">
        <v>0</v>
      </c>
      <c r="AG286" s="303"/>
      <c r="AH286" s="313">
        <v>0</v>
      </c>
      <c r="AI286" s="313">
        <v>0</v>
      </c>
      <c r="AJ286" s="188"/>
      <c r="AK286" s="313">
        <v>0</v>
      </c>
      <c r="AL286" s="313">
        <v>0</v>
      </c>
      <c r="AM286" s="303"/>
      <c r="AN286" s="313">
        <v>0</v>
      </c>
      <c r="AO286" s="313">
        <v>0</v>
      </c>
      <c r="AP286" s="313"/>
      <c r="AQ286" s="303"/>
      <c r="AR286" s="313">
        <v>0</v>
      </c>
      <c r="AS286" s="313">
        <v>0</v>
      </c>
      <c r="AT286" s="303"/>
      <c r="AU286" s="313">
        <v>0</v>
      </c>
      <c r="AV286" s="313">
        <v>0</v>
      </c>
      <c r="AW286" s="313"/>
      <c r="AX286" s="313"/>
      <c r="AY286" s="313"/>
      <c r="AZ286" s="313"/>
      <c r="BA286" s="313"/>
      <c r="BB286" s="313"/>
      <c r="BC286" s="303"/>
      <c r="BD286" s="313">
        <v>0</v>
      </c>
      <c r="BE286" s="313">
        <v>0</v>
      </c>
      <c r="BF286" s="303"/>
      <c r="BG286" s="303"/>
      <c r="BH286" s="313">
        <v>0</v>
      </c>
      <c r="BI286" s="313">
        <v>0</v>
      </c>
      <c r="BJ286" s="303">
        <f t="shared" si="273"/>
        <v>152.94999999999999</v>
      </c>
      <c r="BK286" s="303"/>
      <c r="BL286" s="313">
        <f t="shared" si="258"/>
        <v>0</v>
      </c>
      <c r="BM286" s="313">
        <f t="shared" si="275"/>
        <v>0</v>
      </c>
      <c r="BN286" s="205">
        <f t="shared" si="256"/>
        <v>0</v>
      </c>
      <c r="BO286" s="205"/>
      <c r="BP286" s="310"/>
      <c r="BQ286" s="311">
        <f t="shared" si="259"/>
        <v>0</v>
      </c>
      <c r="BR286" s="310"/>
      <c r="BS286" s="311">
        <f t="shared" si="260"/>
        <v>0</v>
      </c>
      <c r="BT286" s="310">
        <v>14</v>
      </c>
      <c r="BU286" s="308">
        <f t="shared" si="261"/>
        <v>8.6956521739130432E-2</v>
      </c>
      <c r="BV286" s="310">
        <v>20</v>
      </c>
      <c r="BW286" s="311">
        <f t="shared" si="262"/>
        <v>0.12422360248447205</v>
      </c>
      <c r="BX286" s="310">
        <v>20</v>
      </c>
      <c r="BY286" s="311">
        <f t="shared" si="263"/>
        <v>0.12422360248447205</v>
      </c>
      <c r="BZ286" s="310">
        <v>20</v>
      </c>
      <c r="CA286" s="311">
        <f t="shared" si="264"/>
        <v>0.12422360248447205</v>
      </c>
      <c r="CB286" s="310">
        <v>20</v>
      </c>
      <c r="CC286" s="311">
        <f t="shared" si="265"/>
        <v>0.12422360248447205</v>
      </c>
      <c r="CD286" s="310">
        <v>80</v>
      </c>
      <c r="CE286" s="311">
        <f t="shared" si="266"/>
        <v>0.49689440993788819</v>
      </c>
      <c r="CF286" s="310">
        <v>80</v>
      </c>
      <c r="CG286" s="311">
        <f t="shared" si="267"/>
        <v>0.49689440993788819</v>
      </c>
      <c r="CH286" s="310">
        <v>80</v>
      </c>
      <c r="CI286" s="311">
        <f t="shared" si="268"/>
        <v>0.49689440993788819</v>
      </c>
      <c r="CJ286" s="310">
        <v>108</v>
      </c>
      <c r="CK286" s="311">
        <f t="shared" si="269"/>
        <v>0.67080745341614911</v>
      </c>
      <c r="CL286" s="310">
        <v>152.94999999999999</v>
      </c>
      <c r="CM286" s="311">
        <f t="shared" si="270"/>
        <v>0.95</v>
      </c>
      <c r="CN286" s="310">
        <v>152.94999999999999</v>
      </c>
      <c r="CO286" s="311">
        <f t="shared" si="271"/>
        <v>0.95</v>
      </c>
      <c r="CP286" s="213" t="str">
        <f t="shared" si="276"/>
        <v>Không đạt</v>
      </c>
      <c r="CQ286" s="213" t="str">
        <f t="shared" si="277"/>
        <v>Không đạt</v>
      </c>
      <c r="CR286" s="312"/>
      <c r="CS286" s="312"/>
      <c r="CT286" s="235"/>
      <c r="CU286" s="163"/>
      <c r="CW286" s="195"/>
      <c r="CX286" s="196"/>
      <c r="CY286" s="196"/>
      <c r="CZ286" s="197"/>
      <c r="DA286" s="196"/>
      <c r="DB286" s="196"/>
      <c r="DC286" s="196"/>
      <c r="DE286" s="199"/>
      <c r="DF286" s="200"/>
      <c r="DG286" s="181"/>
    </row>
    <row r="287" spans="1:111" ht="18" customHeight="1" collapsed="1" x14ac:dyDescent="0.25">
      <c r="A287" s="213">
        <f>MAX(A$239:A285)+1</f>
        <v>14</v>
      </c>
      <c r="B287" s="240" t="s">
        <v>396</v>
      </c>
      <c r="C287" s="240"/>
      <c r="D287" s="188">
        <f>D288</f>
        <v>3000</v>
      </c>
      <c r="E287" s="188">
        <f t="shared" ref="E287:L287" si="283">E288</f>
        <v>0</v>
      </c>
      <c r="F287" s="188">
        <f t="shared" si="283"/>
        <v>3000</v>
      </c>
      <c r="G287" s="188">
        <f t="shared" si="283"/>
        <v>3000</v>
      </c>
      <c r="H287" s="188">
        <f t="shared" si="283"/>
        <v>0</v>
      </c>
      <c r="I287" s="188">
        <f t="shared" si="283"/>
        <v>0</v>
      </c>
      <c r="J287" s="188"/>
      <c r="K287" s="188">
        <f t="shared" si="283"/>
        <v>0</v>
      </c>
      <c r="L287" s="188">
        <f t="shared" si="283"/>
        <v>0</v>
      </c>
      <c r="M287" s="231"/>
      <c r="N287" s="231"/>
      <c r="O287" s="188">
        <f t="shared" si="247"/>
        <v>3000</v>
      </c>
      <c r="P287" s="188">
        <v>0</v>
      </c>
      <c r="Q287" s="186">
        <f t="shared" si="272"/>
        <v>0</v>
      </c>
      <c r="R287" s="188">
        <v>0</v>
      </c>
      <c r="S287" s="185">
        <v>0</v>
      </c>
      <c r="T287" s="185">
        <v>0</v>
      </c>
      <c r="U287" s="188">
        <v>0</v>
      </c>
      <c r="V287" s="185">
        <v>0</v>
      </c>
      <c r="W287" s="185">
        <v>0</v>
      </c>
      <c r="X287" s="188">
        <v>0</v>
      </c>
      <c r="Y287" s="185">
        <v>0</v>
      </c>
      <c r="Z287" s="185">
        <v>0</v>
      </c>
      <c r="AA287" s="188">
        <v>0</v>
      </c>
      <c r="AB287" s="185">
        <v>0</v>
      </c>
      <c r="AC287" s="185">
        <v>0</v>
      </c>
      <c r="AD287" s="188">
        <v>748</v>
      </c>
      <c r="AE287" s="185">
        <v>0.24933333333333332</v>
      </c>
      <c r="AF287" s="185">
        <v>0.26245614035087722</v>
      </c>
      <c r="AG287" s="188">
        <v>748</v>
      </c>
      <c r="AH287" s="185">
        <v>0.24933333333333332</v>
      </c>
      <c r="AI287" s="185">
        <v>0.26245614035087722</v>
      </c>
      <c r="AJ287" s="303">
        <v>748</v>
      </c>
      <c r="AK287" s="185">
        <v>0.24933333333333332</v>
      </c>
      <c r="AL287" s="185">
        <v>0.26245614035087722</v>
      </c>
      <c r="AM287" s="188">
        <v>884</v>
      </c>
      <c r="AN287" s="185">
        <v>0.29466666666666669</v>
      </c>
      <c r="AO287" s="185">
        <v>0.31017543859649122</v>
      </c>
      <c r="AP287" s="185"/>
      <c r="AQ287" s="188">
        <v>884</v>
      </c>
      <c r="AR287" s="185">
        <v>0.29466666666666669</v>
      </c>
      <c r="AS287" s="185">
        <v>0.31017543859649122</v>
      </c>
      <c r="AT287" s="188">
        <v>884</v>
      </c>
      <c r="AU287" s="185">
        <v>0.29466666666666669</v>
      </c>
      <c r="AV287" s="185">
        <v>0.31017543859649122</v>
      </c>
      <c r="AW287" s="185"/>
      <c r="AX287" s="185"/>
      <c r="AY287" s="185"/>
      <c r="AZ287" s="185"/>
      <c r="BA287" s="185"/>
      <c r="BB287" s="185"/>
      <c r="BC287" s="188">
        <v>884</v>
      </c>
      <c r="BD287" s="185">
        <v>0.29466666666666669</v>
      </c>
      <c r="BE287" s="185">
        <v>0.31017543859649122</v>
      </c>
      <c r="BF287" s="188"/>
      <c r="BG287" s="188">
        <v>1516.27</v>
      </c>
      <c r="BH287" s="185">
        <v>0.50542333333333334</v>
      </c>
      <c r="BI287" s="185">
        <v>0.53202456140350873</v>
      </c>
      <c r="BJ287" s="188">
        <f t="shared" si="273"/>
        <v>2850</v>
      </c>
      <c r="BK287" s="188">
        <v>1711</v>
      </c>
      <c r="BL287" s="185">
        <f t="shared" si="258"/>
        <v>0.57033333333333336</v>
      </c>
      <c r="BM287" s="185">
        <f t="shared" si="275"/>
        <v>0.60035087719298241</v>
      </c>
      <c r="BN287" s="205">
        <f t="shared" si="256"/>
        <v>963</v>
      </c>
      <c r="BO287" s="205"/>
      <c r="BP287" s="189">
        <f>BP288</f>
        <v>0</v>
      </c>
      <c r="BQ287" s="186">
        <f t="shared" si="259"/>
        <v>0</v>
      </c>
      <c r="BR287" s="189">
        <f>BR288</f>
        <v>0</v>
      </c>
      <c r="BS287" s="186">
        <f t="shared" si="260"/>
        <v>0</v>
      </c>
      <c r="BT287" s="189">
        <f>BT288</f>
        <v>300</v>
      </c>
      <c r="BU287" s="186">
        <f t="shared" si="261"/>
        <v>0.1</v>
      </c>
      <c r="BV287" s="189">
        <f>BV288</f>
        <v>600</v>
      </c>
      <c r="BW287" s="186">
        <f t="shared" si="262"/>
        <v>0.2</v>
      </c>
      <c r="BX287" s="189">
        <f>BX288</f>
        <v>900</v>
      </c>
      <c r="BY287" s="186">
        <f t="shared" si="263"/>
        <v>0.3</v>
      </c>
      <c r="BZ287" s="189">
        <f>BZ288</f>
        <v>1200</v>
      </c>
      <c r="CA287" s="186">
        <f t="shared" si="264"/>
        <v>0.4</v>
      </c>
      <c r="CB287" s="189">
        <f>CB288</f>
        <v>1500</v>
      </c>
      <c r="CC287" s="186">
        <f t="shared" si="265"/>
        <v>0.5</v>
      </c>
      <c r="CD287" s="189">
        <f>CD288</f>
        <v>1650.0000000000002</v>
      </c>
      <c r="CE287" s="186">
        <f t="shared" si="266"/>
        <v>0.55000000000000004</v>
      </c>
      <c r="CF287" s="189">
        <f>CF288</f>
        <v>2100</v>
      </c>
      <c r="CG287" s="186">
        <f t="shared" si="267"/>
        <v>0.7</v>
      </c>
      <c r="CH287" s="189">
        <f>CH288</f>
        <v>2100</v>
      </c>
      <c r="CI287" s="186">
        <f t="shared" si="268"/>
        <v>0.7</v>
      </c>
      <c r="CJ287" s="189">
        <f>CJ288</f>
        <v>2250</v>
      </c>
      <c r="CK287" s="186">
        <f t="shared" si="269"/>
        <v>0.75</v>
      </c>
      <c r="CL287" s="189">
        <f>CL288</f>
        <v>2250</v>
      </c>
      <c r="CM287" s="186">
        <f t="shared" si="270"/>
        <v>0.75</v>
      </c>
      <c r="CN287" s="189">
        <f>CN288</f>
        <v>2850</v>
      </c>
      <c r="CO287" s="186">
        <f t="shared" si="271"/>
        <v>0.95</v>
      </c>
      <c r="CP287" s="213" t="str">
        <f t="shared" si="276"/>
        <v>Đạt</v>
      </c>
      <c r="CQ287" s="213" t="str">
        <f t="shared" si="277"/>
        <v>Đạt</v>
      </c>
      <c r="CR287" s="213"/>
      <c r="CS287" s="213"/>
      <c r="CT287" s="231"/>
      <c r="CU287" s="163"/>
      <c r="CW287" s="195"/>
      <c r="CX287" s="196"/>
      <c r="CY287" s="196"/>
      <c r="CZ287" s="197"/>
      <c r="DA287" s="196"/>
      <c r="DB287" s="196"/>
      <c r="DC287" s="196"/>
      <c r="DE287" s="199"/>
      <c r="DF287" s="200"/>
      <c r="DG287" s="181"/>
    </row>
    <row r="288" spans="1:111" s="324" customFormat="1" hidden="1" outlineLevel="1" x14ac:dyDescent="0.25">
      <c r="A288" s="305" t="s">
        <v>34</v>
      </c>
      <c r="B288" s="306" t="s">
        <v>376</v>
      </c>
      <c r="C288" s="306"/>
      <c r="D288" s="307">
        <f t="shared" si="243"/>
        <v>3000</v>
      </c>
      <c r="E288" s="307"/>
      <c r="F288" s="307">
        <f>G288+H288+K288+M288</f>
        <v>3000</v>
      </c>
      <c r="G288" s="303">
        <v>3000</v>
      </c>
      <c r="H288" s="303"/>
      <c r="I288" s="235"/>
      <c r="J288" s="235"/>
      <c r="K288" s="303"/>
      <c r="L288" s="235"/>
      <c r="M288" s="223"/>
      <c r="N288" s="223"/>
      <c r="O288" s="303">
        <f t="shared" si="247"/>
        <v>3000</v>
      </c>
      <c r="P288" s="303">
        <v>0</v>
      </c>
      <c r="Q288" s="308">
        <f t="shared" si="272"/>
        <v>0</v>
      </c>
      <c r="R288" s="303"/>
      <c r="S288" s="309">
        <v>0</v>
      </c>
      <c r="T288" s="309">
        <v>0</v>
      </c>
      <c r="U288" s="303"/>
      <c r="V288" s="309">
        <v>0</v>
      </c>
      <c r="W288" s="309">
        <v>0</v>
      </c>
      <c r="X288" s="303"/>
      <c r="Y288" s="309">
        <v>0</v>
      </c>
      <c r="Z288" s="309">
        <v>0</v>
      </c>
      <c r="AA288" s="303"/>
      <c r="AB288" s="309">
        <v>0</v>
      </c>
      <c r="AC288" s="309">
        <v>0</v>
      </c>
      <c r="AD288" s="303">
        <v>748</v>
      </c>
      <c r="AE288" s="309">
        <v>0.24933333333333332</v>
      </c>
      <c r="AF288" s="309">
        <v>0.26245614035087722</v>
      </c>
      <c r="AG288" s="303">
        <v>748</v>
      </c>
      <c r="AH288" s="309">
        <v>0.24933333333333332</v>
      </c>
      <c r="AI288" s="309">
        <v>0.26245614035087722</v>
      </c>
      <c r="AJ288" s="188">
        <v>748</v>
      </c>
      <c r="AK288" s="309">
        <v>0.24933333333333332</v>
      </c>
      <c r="AL288" s="309">
        <v>0.26245614035087722</v>
      </c>
      <c r="AM288" s="303">
        <v>884</v>
      </c>
      <c r="AN288" s="309">
        <v>0.29466666666666669</v>
      </c>
      <c r="AO288" s="309">
        <v>0.31017543859649122</v>
      </c>
      <c r="AP288" s="309"/>
      <c r="AQ288" s="303">
        <v>884</v>
      </c>
      <c r="AR288" s="309">
        <v>0.29466666666666669</v>
      </c>
      <c r="AS288" s="309">
        <v>0.31017543859649122</v>
      </c>
      <c r="AT288" s="303">
        <v>884</v>
      </c>
      <c r="AU288" s="309">
        <v>0.29466666666666669</v>
      </c>
      <c r="AV288" s="309">
        <v>0.31017543859649122</v>
      </c>
      <c r="AW288" s="309"/>
      <c r="AX288" s="309"/>
      <c r="AY288" s="309"/>
      <c r="AZ288" s="309"/>
      <c r="BA288" s="309"/>
      <c r="BB288" s="309"/>
      <c r="BC288" s="303">
        <v>884</v>
      </c>
      <c r="BD288" s="309">
        <v>0.29466666666666669</v>
      </c>
      <c r="BE288" s="309">
        <v>0.31017543859649122</v>
      </c>
      <c r="BF288" s="303"/>
      <c r="BG288" s="303">
        <v>1516.27</v>
      </c>
      <c r="BH288" s="309">
        <v>0.50542333333333334</v>
      </c>
      <c r="BI288" s="309">
        <v>0.53202456140350873</v>
      </c>
      <c r="BJ288" s="303">
        <f t="shared" si="273"/>
        <v>2850</v>
      </c>
      <c r="BK288" s="303">
        <v>1516.27</v>
      </c>
      <c r="BL288" s="309">
        <f t="shared" si="258"/>
        <v>0.50542333333333334</v>
      </c>
      <c r="BM288" s="309">
        <f t="shared" si="275"/>
        <v>0.53202456140350873</v>
      </c>
      <c r="BN288" s="205">
        <f t="shared" si="256"/>
        <v>768.27</v>
      </c>
      <c r="BO288" s="205"/>
      <c r="BP288" s="310"/>
      <c r="BQ288" s="308">
        <f t="shared" si="259"/>
        <v>0</v>
      </c>
      <c r="BR288" s="310"/>
      <c r="BS288" s="308">
        <f t="shared" si="260"/>
        <v>0</v>
      </c>
      <c r="BT288" s="310">
        <f>$F288*0.1</f>
        <v>300</v>
      </c>
      <c r="BU288" s="308">
        <f t="shared" si="261"/>
        <v>0.1</v>
      </c>
      <c r="BV288" s="310">
        <f>$F288*0.2</f>
        <v>600</v>
      </c>
      <c r="BW288" s="308">
        <f t="shared" si="262"/>
        <v>0.2</v>
      </c>
      <c r="BX288" s="310">
        <f>$F288*0.3</f>
        <v>900</v>
      </c>
      <c r="BY288" s="308">
        <f t="shared" si="263"/>
        <v>0.3</v>
      </c>
      <c r="BZ288" s="310">
        <f>$F288*0.4</f>
        <v>1200</v>
      </c>
      <c r="CA288" s="308">
        <f t="shared" si="264"/>
        <v>0.4</v>
      </c>
      <c r="CB288" s="310">
        <f>$F288*0.5</f>
        <v>1500</v>
      </c>
      <c r="CC288" s="308">
        <f t="shared" si="265"/>
        <v>0.5</v>
      </c>
      <c r="CD288" s="310">
        <f>$F288*0.55</f>
        <v>1650.0000000000002</v>
      </c>
      <c r="CE288" s="308">
        <f t="shared" si="266"/>
        <v>0.55000000000000004</v>
      </c>
      <c r="CF288" s="310">
        <v>2100</v>
      </c>
      <c r="CG288" s="308">
        <f t="shared" si="267"/>
        <v>0.7</v>
      </c>
      <c r="CH288" s="310">
        <f>$F288*0.7</f>
        <v>2100</v>
      </c>
      <c r="CI288" s="308">
        <f t="shared" si="268"/>
        <v>0.7</v>
      </c>
      <c r="CJ288" s="310">
        <f>$F288*0.75</f>
        <v>2250</v>
      </c>
      <c r="CK288" s="308">
        <f t="shared" si="269"/>
        <v>0.75</v>
      </c>
      <c r="CL288" s="310">
        <f>$F288*0.75</f>
        <v>2250</v>
      </c>
      <c r="CM288" s="308">
        <f t="shared" si="270"/>
        <v>0.75</v>
      </c>
      <c r="CN288" s="310">
        <f>$F288*0.95</f>
        <v>2850</v>
      </c>
      <c r="CO288" s="308">
        <f t="shared" si="271"/>
        <v>0.95</v>
      </c>
      <c r="CP288" s="213" t="str">
        <f t="shared" si="276"/>
        <v>Đạt</v>
      </c>
      <c r="CQ288" s="213" t="str">
        <f t="shared" si="277"/>
        <v>Đạt</v>
      </c>
      <c r="CR288" s="312"/>
      <c r="CS288" s="312"/>
      <c r="CT288" s="235"/>
      <c r="CU288" s="163"/>
      <c r="CV288" s="323"/>
      <c r="CW288" s="195"/>
      <c r="CX288" s="196"/>
      <c r="CY288" s="196"/>
      <c r="CZ288" s="197"/>
      <c r="DA288" s="196"/>
      <c r="DB288" s="196"/>
      <c r="DC288" s="196"/>
      <c r="DE288" s="199"/>
      <c r="DF288" s="200"/>
      <c r="DG288" s="181"/>
    </row>
    <row r="289" spans="1:113" ht="18" customHeight="1" collapsed="1" x14ac:dyDescent="0.25">
      <c r="A289" s="213">
        <f>MAX(A$239:A288)+1</f>
        <v>15</v>
      </c>
      <c r="B289" s="240" t="s">
        <v>397</v>
      </c>
      <c r="C289" s="240"/>
      <c r="D289" s="188">
        <f t="shared" ref="D289:I289" si="284">D290+D291</f>
        <v>3017</v>
      </c>
      <c r="E289" s="188">
        <f t="shared" si="284"/>
        <v>0</v>
      </c>
      <c r="F289" s="188">
        <f t="shared" si="284"/>
        <v>3017</v>
      </c>
      <c r="G289" s="188">
        <f t="shared" si="284"/>
        <v>3000</v>
      </c>
      <c r="H289" s="188">
        <f t="shared" si="284"/>
        <v>17</v>
      </c>
      <c r="I289" s="188">
        <f t="shared" si="284"/>
        <v>0</v>
      </c>
      <c r="J289" s="188"/>
      <c r="K289" s="188">
        <f>K290+K291</f>
        <v>0</v>
      </c>
      <c r="L289" s="188">
        <f>L290+L291</f>
        <v>0</v>
      </c>
      <c r="M289" s="188">
        <f>M290+M291</f>
        <v>0</v>
      </c>
      <c r="N289" s="188">
        <f>N290+N291</f>
        <v>0</v>
      </c>
      <c r="O289" s="188">
        <f>O290+O291</f>
        <v>3000</v>
      </c>
      <c r="P289" s="188">
        <v>0</v>
      </c>
      <c r="Q289" s="186">
        <f t="shared" si="272"/>
        <v>0</v>
      </c>
      <c r="R289" s="188">
        <v>0</v>
      </c>
      <c r="S289" s="185">
        <v>0</v>
      </c>
      <c r="T289" s="185">
        <v>0</v>
      </c>
      <c r="U289" s="188">
        <v>0</v>
      </c>
      <c r="V289" s="185">
        <v>0</v>
      </c>
      <c r="W289" s="185">
        <v>0</v>
      </c>
      <c r="X289" s="188">
        <v>0</v>
      </c>
      <c r="Y289" s="185">
        <v>0</v>
      </c>
      <c r="Z289" s="185">
        <v>0</v>
      </c>
      <c r="AA289" s="188">
        <v>0</v>
      </c>
      <c r="AB289" s="185">
        <v>0</v>
      </c>
      <c r="AC289" s="185">
        <v>0</v>
      </c>
      <c r="AD289" s="188">
        <v>657</v>
      </c>
      <c r="AE289" s="185">
        <v>0.21776599270798808</v>
      </c>
      <c r="AF289" s="185">
        <v>0.2292273607452506</v>
      </c>
      <c r="AG289" s="188">
        <v>657</v>
      </c>
      <c r="AH289" s="185">
        <v>0.21776599270798808</v>
      </c>
      <c r="AI289" s="185">
        <v>0.2292273607452506</v>
      </c>
      <c r="AJ289" s="214">
        <v>657</v>
      </c>
      <c r="AK289" s="185">
        <v>0.21776599270798808</v>
      </c>
      <c r="AL289" s="185">
        <v>0.2292273607452506</v>
      </c>
      <c r="AM289" s="314">
        <v>657</v>
      </c>
      <c r="AN289" s="185">
        <v>0.21776599270798808</v>
      </c>
      <c r="AO289" s="185">
        <v>0.2292273607452506</v>
      </c>
      <c r="AP289" s="185"/>
      <c r="AQ289" s="188">
        <v>1269</v>
      </c>
      <c r="AR289" s="185">
        <v>0.42061650646337423</v>
      </c>
      <c r="AS289" s="185">
        <v>0.44275421732986758</v>
      </c>
      <c r="AT289" s="188">
        <v>1269</v>
      </c>
      <c r="AU289" s="185">
        <v>0.42061650646337423</v>
      </c>
      <c r="AV289" s="185">
        <v>0.44275421732986758</v>
      </c>
      <c r="AW289" s="185"/>
      <c r="AX289" s="185"/>
      <c r="AY289" s="185"/>
      <c r="AZ289" s="185"/>
      <c r="BA289" s="185"/>
      <c r="BB289" s="185"/>
      <c r="BC289" s="188">
        <v>1269</v>
      </c>
      <c r="BD289" s="185">
        <v>0.42061650646337423</v>
      </c>
      <c r="BE289" s="185">
        <v>0.44275421732986758</v>
      </c>
      <c r="BF289" s="188"/>
      <c r="BG289" s="188">
        <v>1269</v>
      </c>
      <c r="BH289" s="185">
        <v>0.42061650646337423</v>
      </c>
      <c r="BI289" s="185">
        <v>0.44275421732986758</v>
      </c>
      <c r="BJ289" s="188">
        <f t="shared" si="273"/>
        <v>2866.15</v>
      </c>
      <c r="BK289" s="188">
        <v>2060.84</v>
      </c>
      <c r="BL289" s="185">
        <f t="shared" si="258"/>
        <v>0.68307590321511436</v>
      </c>
      <c r="BM289" s="185">
        <f t="shared" si="275"/>
        <v>0.71902726654222571</v>
      </c>
      <c r="BN289" s="205">
        <f t="shared" si="256"/>
        <v>1403.8400000000001</v>
      </c>
      <c r="BO289" s="205"/>
      <c r="BP289" s="189">
        <f>BP290+BP291</f>
        <v>0</v>
      </c>
      <c r="BQ289" s="186">
        <f t="shared" si="259"/>
        <v>0</v>
      </c>
      <c r="BR289" s="189">
        <f>BR290+BR291</f>
        <v>0</v>
      </c>
      <c r="BS289" s="186">
        <f t="shared" si="260"/>
        <v>0</v>
      </c>
      <c r="BT289" s="189">
        <f>BT290+BT291</f>
        <v>301.7</v>
      </c>
      <c r="BU289" s="186">
        <f t="shared" si="261"/>
        <v>9.9999999999999992E-2</v>
      </c>
      <c r="BV289" s="189">
        <f>BV290+BV291</f>
        <v>603.4</v>
      </c>
      <c r="BW289" s="186">
        <f t="shared" si="262"/>
        <v>0.19999999999999998</v>
      </c>
      <c r="BX289" s="189">
        <f>BX290+BX291</f>
        <v>905.1</v>
      </c>
      <c r="BY289" s="186">
        <f t="shared" si="263"/>
        <v>0.3</v>
      </c>
      <c r="BZ289" s="189">
        <f>BZ290+BZ291</f>
        <v>1206.8</v>
      </c>
      <c r="CA289" s="186">
        <f t="shared" si="264"/>
        <v>0.39999999999999997</v>
      </c>
      <c r="CB289" s="189">
        <f>CB290+CB291</f>
        <v>1508.5</v>
      </c>
      <c r="CC289" s="186">
        <f t="shared" si="265"/>
        <v>0.5</v>
      </c>
      <c r="CD289" s="189">
        <f>CD290+CD291</f>
        <v>1659.3500000000001</v>
      </c>
      <c r="CE289" s="186">
        <f t="shared" si="266"/>
        <v>0.55000000000000004</v>
      </c>
      <c r="CF289" s="189">
        <f>CF290+CF291</f>
        <v>2111.9</v>
      </c>
      <c r="CG289" s="186">
        <f t="shared" si="267"/>
        <v>0.70000000000000007</v>
      </c>
      <c r="CH289" s="189">
        <f>CH290+CH291</f>
        <v>2111.9</v>
      </c>
      <c r="CI289" s="186">
        <f t="shared" si="268"/>
        <v>0.70000000000000007</v>
      </c>
      <c r="CJ289" s="189">
        <f>CJ290+CJ291</f>
        <v>2262.75</v>
      </c>
      <c r="CK289" s="186">
        <f t="shared" si="269"/>
        <v>0.75</v>
      </c>
      <c r="CL289" s="189">
        <f>CL290+CL291</f>
        <v>2262.75</v>
      </c>
      <c r="CM289" s="186">
        <f t="shared" si="270"/>
        <v>0.75</v>
      </c>
      <c r="CN289" s="189">
        <f>CN290+CN291</f>
        <v>2866.15</v>
      </c>
      <c r="CO289" s="186">
        <f t="shared" si="271"/>
        <v>0.95000000000000007</v>
      </c>
      <c r="CP289" s="213" t="str">
        <f t="shared" si="276"/>
        <v>Đạt</v>
      </c>
      <c r="CQ289" s="213" t="str">
        <f t="shared" si="277"/>
        <v>Đạt</v>
      </c>
      <c r="CR289" s="213"/>
      <c r="CS289" s="213"/>
      <c r="CT289" s="231"/>
      <c r="CU289" s="163"/>
      <c r="CW289" s="195"/>
      <c r="CX289" s="196"/>
      <c r="CY289" s="196"/>
      <c r="CZ289" s="197"/>
      <c r="DA289" s="196"/>
      <c r="DB289" s="196"/>
      <c r="DC289" s="196"/>
      <c r="DE289" s="199"/>
      <c r="DF289" s="200"/>
      <c r="DG289" s="181"/>
    </row>
    <row r="290" spans="1:113" s="324" customFormat="1" hidden="1" outlineLevel="1" x14ac:dyDescent="0.25">
      <c r="A290" s="305" t="s">
        <v>34</v>
      </c>
      <c r="B290" s="306" t="s">
        <v>376</v>
      </c>
      <c r="C290" s="306"/>
      <c r="D290" s="307">
        <f t="shared" si="243"/>
        <v>3000</v>
      </c>
      <c r="E290" s="307"/>
      <c r="F290" s="307">
        <f>G290+H290+K290+M290</f>
        <v>3000</v>
      </c>
      <c r="G290" s="303">
        <v>3000</v>
      </c>
      <c r="H290" s="303"/>
      <c r="I290" s="235"/>
      <c r="J290" s="235"/>
      <c r="K290" s="303"/>
      <c r="L290" s="235"/>
      <c r="M290" s="223"/>
      <c r="N290" s="223"/>
      <c r="O290" s="303">
        <f t="shared" ref="O290:O329" si="285">G290+I290+L290+N290</f>
        <v>3000</v>
      </c>
      <c r="P290" s="303">
        <v>0</v>
      </c>
      <c r="Q290" s="308">
        <f t="shared" si="272"/>
        <v>0</v>
      </c>
      <c r="R290" s="303"/>
      <c r="S290" s="309">
        <v>0</v>
      </c>
      <c r="T290" s="309">
        <v>0</v>
      </c>
      <c r="U290" s="303"/>
      <c r="V290" s="309">
        <v>0</v>
      </c>
      <c r="W290" s="309">
        <v>0</v>
      </c>
      <c r="X290" s="303"/>
      <c r="Y290" s="309">
        <v>0</v>
      </c>
      <c r="Z290" s="309">
        <v>0</v>
      </c>
      <c r="AA290" s="303"/>
      <c r="AB290" s="309">
        <v>0</v>
      </c>
      <c r="AC290" s="309">
        <v>0</v>
      </c>
      <c r="AD290" s="303">
        <v>657</v>
      </c>
      <c r="AE290" s="309">
        <v>0.219</v>
      </c>
      <c r="AF290" s="309">
        <v>0.23052631578947369</v>
      </c>
      <c r="AG290" s="214">
        <v>657</v>
      </c>
      <c r="AH290" s="309">
        <v>0.219</v>
      </c>
      <c r="AI290" s="309">
        <v>0.23052631578947369</v>
      </c>
      <c r="AJ290" s="303">
        <v>657</v>
      </c>
      <c r="AK290" s="309">
        <v>0.219</v>
      </c>
      <c r="AL290" s="309">
        <v>0.23052631578947369</v>
      </c>
      <c r="AM290" s="214">
        <v>657</v>
      </c>
      <c r="AN290" s="309">
        <v>0.219</v>
      </c>
      <c r="AO290" s="309">
        <v>0.23052631578947369</v>
      </c>
      <c r="AP290" s="309"/>
      <c r="AQ290" s="214">
        <v>1269</v>
      </c>
      <c r="AR290" s="309">
        <v>0.42299999999999999</v>
      </c>
      <c r="AS290" s="309">
        <v>0.44526315789473686</v>
      </c>
      <c r="AT290" s="214">
        <v>1269</v>
      </c>
      <c r="AU290" s="309">
        <v>0.42299999999999999</v>
      </c>
      <c r="AV290" s="309">
        <v>0.44526315789473686</v>
      </c>
      <c r="AW290" s="309"/>
      <c r="AX290" s="309"/>
      <c r="AY290" s="309"/>
      <c r="AZ290" s="309"/>
      <c r="BA290" s="309"/>
      <c r="BB290" s="309"/>
      <c r="BC290" s="214">
        <v>1269</v>
      </c>
      <c r="BD290" s="309">
        <v>0.42299999999999999</v>
      </c>
      <c r="BE290" s="309">
        <v>0.44526315789473686</v>
      </c>
      <c r="BF290" s="214"/>
      <c r="BG290" s="214">
        <v>1269</v>
      </c>
      <c r="BH290" s="309">
        <v>0.42299999999999999</v>
      </c>
      <c r="BI290" s="309">
        <v>0.44526315789473686</v>
      </c>
      <c r="BJ290" s="214">
        <f t="shared" si="273"/>
        <v>2850</v>
      </c>
      <c r="BK290" s="214">
        <v>1522</v>
      </c>
      <c r="BL290" s="309">
        <f t="shared" si="258"/>
        <v>0.5073333333333333</v>
      </c>
      <c r="BM290" s="309">
        <f t="shared" si="275"/>
        <v>0.5340350877192982</v>
      </c>
      <c r="BN290" s="205">
        <f t="shared" si="256"/>
        <v>865</v>
      </c>
      <c r="BO290" s="205"/>
      <c r="BP290" s="310"/>
      <c r="BQ290" s="308">
        <f t="shared" si="259"/>
        <v>0</v>
      </c>
      <c r="BR290" s="310"/>
      <c r="BS290" s="308">
        <f t="shared" si="260"/>
        <v>0</v>
      </c>
      <c r="BT290" s="310">
        <f>$F290*0.1</f>
        <v>300</v>
      </c>
      <c r="BU290" s="308">
        <f t="shared" si="261"/>
        <v>0.1</v>
      </c>
      <c r="BV290" s="310">
        <f>$F290*0.2</f>
        <v>600</v>
      </c>
      <c r="BW290" s="308">
        <f t="shared" si="262"/>
        <v>0.2</v>
      </c>
      <c r="BX290" s="310">
        <f>$F290*0.3</f>
        <v>900</v>
      </c>
      <c r="BY290" s="308">
        <f t="shared" si="263"/>
        <v>0.3</v>
      </c>
      <c r="BZ290" s="310">
        <f>$F290*0.4</f>
        <v>1200</v>
      </c>
      <c r="CA290" s="308">
        <f t="shared" si="264"/>
        <v>0.4</v>
      </c>
      <c r="CB290" s="310">
        <f>$F290*0.5</f>
        <v>1500</v>
      </c>
      <c r="CC290" s="308">
        <f t="shared" si="265"/>
        <v>0.5</v>
      </c>
      <c r="CD290" s="310">
        <f>$F290*0.55</f>
        <v>1650.0000000000002</v>
      </c>
      <c r="CE290" s="308">
        <f t="shared" si="266"/>
        <v>0.55000000000000004</v>
      </c>
      <c r="CF290" s="310">
        <v>2100</v>
      </c>
      <c r="CG290" s="308">
        <f t="shared" si="267"/>
        <v>0.7</v>
      </c>
      <c r="CH290" s="310">
        <f>$F290*0.7</f>
        <v>2100</v>
      </c>
      <c r="CI290" s="308">
        <f t="shared" si="268"/>
        <v>0.7</v>
      </c>
      <c r="CJ290" s="310">
        <f>$F290*0.75</f>
        <v>2250</v>
      </c>
      <c r="CK290" s="308">
        <f t="shared" si="269"/>
        <v>0.75</v>
      </c>
      <c r="CL290" s="310">
        <f>$F290*0.75</f>
        <v>2250</v>
      </c>
      <c r="CM290" s="308">
        <f t="shared" si="270"/>
        <v>0.75</v>
      </c>
      <c r="CN290" s="310">
        <f>$F290*0.95</f>
        <v>2850</v>
      </c>
      <c r="CO290" s="308">
        <f t="shared" si="271"/>
        <v>0.95</v>
      </c>
      <c r="CP290" s="213" t="str">
        <f t="shared" si="276"/>
        <v>Đạt</v>
      </c>
      <c r="CQ290" s="213" t="str">
        <f t="shared" si="277"/>
        <v>Đạt</v>
      </c>
      <c r="CR290" s="312"/>
      <c r="CS290" s="312"/>
      <c r="CT290" s="235"/>
      <c r="CU290" s="163"/>
      <c r="CV290" s="323"/>
      <c r="CW290" s="195"/>
      <c r="CX290" s="196"/>
      <c r="CY290" s="196"/>
      <c r="CZ290" s="197"/>
      <c r="DA290" s="196"/>
      <c r="DB290" s="196"/>
      <c r="DC290" s="196"/>
      <c r="DE290" s="199"/>
      <c r="DF290" s="200"/>
      <c r="DG290" s="181"/>
    </row>
    <row r="291" spans="1:113" ht="25.5" hidden="1" outlineLevel="1" x14ac:dyDescent="0.25">
      <c r="A291" s="305" t="s">
        <v>34</v>
      </c>
      <c r="B291" s="306" t="s">
        <v>377</v>
      </c>
      <c r="C291" s="306"/>
      <c r="D291" s="307">
        <f t="shared" si="243"/>
        <v>17</v>
      </c>
      <c r="E291" s="307"/>
      <c r="F291" s="307">
        <f>G291+H291+K291+M291</f>
        <v>17</v>
      </c>
      <c r="G291" s="307"/>
      <c r="H291" s="307">
        <v>17</v>
      </c>
      <c r="I291" s="235"/>
      <c r="J291" s="235"/>
      <c r="K291" s="303"/>
      <c r="L291" s="235"/>
      <c r="M291" s="223"/>
      <c r="N291" s="223"/>
      <c r="O291" s="303"/>
      <c r="P291" s="303">
        <v>0</v>
      </c>
      <c r="Q291" s="308">
        <f t="shared" si="272"/>
        <v>0</v>
      </c>
      <c r="R291" s="303"/>
      <c r="S291" s="309">
        <v>0</v>
      </c>
      <c r="T291" s="309">
        <v>0</v>
      </c>
      <c r="U291" s="303"/>
      <c r="V291" s="309">
        <v>0</v>
      </c>
      <c r="W291" s="309">
        <v>0</v>
      </c>
      <c r="X291" s="303"/>
      <c r="Y291" s="309">
        <v>0</v>
      </c>
      <c r="Z291" s="309">
        <v>0</v>
      </c>
      <c r="AA291" s="303"/>
      <c r="AB291" s="309">
        <v>0</v>
      </c>
      <c r="AC291" s="309">
        <v>0</v>
      </c>
      <c r="AD291" s="303"/>
      <c r="AE291" s="309">
        <v>0</v>
      </c>
      <c r="AF291" s="309">
        <v>0</v>
      </c>
      <c r="AG291" s="303"/>
      <c r="AH291" s="309">
        <v>0</v>
      </c>
      <c r="AI291" s="309">
        <v>0</v>
      </c>
      <c r="AJ291" s="188"/>
      <c r="AK291" s="309">
        <v>0</v>
      </c>
      <c r="AL291" s="309">
        <v>0</v>
      </c>
      <c r="AM291" s="303"/>
      <c r="AN291" s="309">
        <v>0</v>
      </c>
      <c r="AO291" s="309">
        <v>0</v>
      </c>
      <c r="AP291" s="309"/>
      <c r="AQ291" s="303"/>
      <c r="AR291" s="309">
        <v>0</v>
      </c>
      <c r="AS291" s="309">
        <v>0</v>
      </c>
      <c r="AT291" s="303"/>
      <c r="AU291" s="309">
        <v>0</v>
      </c>
      <c r="AV291" s="309">
        <v>0</v>
      </c>
      <c r="AW291" s="309"/>
      <c r="AX291" s="309"/>
      <c r="AY291" s="309"/>
      <c r="AZ291" s="309"/>
      <c r="BA291" s="309"/>
      <c r="BB291" s="309"/>
      <c r="BC291" s="303"/>
      <c r="BD291" s="309">
        <v>0</v>
      </c>
      <c r="BE291" s="309">
        <v>0</v>
      </c>
      <c r="BF291" s="303"/>
      <c r="BG291" s="303"/>
      <c r="BH291" s="309">
        <v>0</v>
      </c>
      <c r="BI291" s="309">
        <v>0</v>
      </c>
      <c r="BJ291" s="303">
        <f t="shared" si="273"/>
        <v>16.149999999999999</v>
      </c>
      <c r="BK291" s="303"/>
      <c r="BL291" s="309">
        <f t="shared" si="258"/>
        <v>0</v>
      </c>
      <c r="BM291" s="309">
        <f t="shared" si="275"/>
        <v>0</v>
      </c>
      <c r="BN291" s="205">
        <f t="shared" si="256"/>
        <v>0</v>
      </c>
      <c r="BO291" s="205"/>
      <c r="BP291" s="310"/>
      <c r="BQ291" s="308">
        <f t="shared" si="259"/>
        <v>0</v>
      </c>
      <c r="BR291" s="310"/>
      <c r="BS291" s="308">
        <f t="shared" si="260"/>
        <v>0</v>
      </c>
      <c r="BT291" s="310">
        <f>$F291*0.1</f>
        <v>1.7000000000000002</v>
      </c>
      <c r="BU291" s="308">
        <f t="shared" si="261"/>
        <v>0.1</v>
      </c>
      <c r="BV291" s="310">
        <f>$F291*0.2</f>
        <v>3.4000000000000004</v>
      </c>
      <c r="BW291" s="308">
        <f t="shared" si="262"/>
        <v>0.2</v>
      </c>
      <c r="BX291" s="310">
        <f>$F291*0.3</f>
        <v>5.0999999999999996</v>
      </c>
      <c r="BY291" s="308">
        <f t="shared" si="263"/>
        <v>0.3</v>
      </c>
      <c r="BZ291" s="310">
        <f>$F291*0.4</f>
        <v>6.8000000000000007</v>
      </c>
      <c r="CA291" s="308">
        <f t="shared" si="264"/>
        <v>0.4</v>
      </c>
      <c r="CB291" s="310">
        <f>$F291*0.5</f>
        <v>8.5</v>
      </c>
      <c r="CC291" s="308">
        <f t="shared" si="265"/>
        <v>0.5</v>
      </c>
      <c r="CD291" s="310">
        <f>$F291*0.55</f>
        <v>9.3500000000000014</v>
      </c>
      <c r="CE291" s="308">
        <f t="shared" si="266"/>
        <v>0.55000000000000004</v>
      </c>
      <c r="CF291" s="310">
        <v>11.899999999999999</v>
      </c>
      <c r="CG291" s="308">
        <f t="shared" si="267"/>
        <v>0.7</v>
      </c>
      <c r="CH291" s="310">
        <f>$F291*0.7</f>
        <v>11.899999999999999</v>
      </c>
      <c r="CI291" s="308">
        <f t="shared" si="268"/>
        <v>0.7</v>
      </c>
      <c r="CJ291" s="310">
        <f>$F291*0.75</f>
        <v>12.75</v>
      </c>
      <c r="CK291" s="308">
        <f t="shared" si="269"/>
        <v>0.75</v>
      </c>
      <c r="CL291" s="310">
        <f>$F291*0.75</f>
        <v>12.75</v>
      </c>
      <c r="CM291" s="308">
        <f t="shared" si="270"/>
        <v>0.75</v>
      </c>
      <c r="CN291" s="310">
        <f>$F291*0.95</f>
        <v>16.149999999999999</v>
      </c>
      <c r="CO291" s="308">
        <f t="shared" si="271"/>
        <v>0.95</v>
      </c>
      <c r="CP291" s="213" t="str">
        <f t="shared" si="276"/>
        <v>Không đạt</v>
      </c>
      <c r="CQ291" s="213" t="str">
        <f t="shared" si="277"/>
        <v>Không đạt</v>
      </c>
      <c r="CR291" s="312"/>
      <c r="CS291" s="312"/>
      <c r="CT291" s="235"/>
      <c r="CU291" s="163"/>
      <c r="CW291" s="195"/>
      <c r="CX291" s="196"/>
      <c r="CY291" s="196"/>
      <c r="CZ291" s="197"/>
      <c r="DA291" s="196"/>
      <c r="DB291" s="196"/>
      <c r="DC291" s="196"/>
      <c r="DE291" s="199"/>
      <c r="DF291" s="200"/>
      <c r="DG291" s="181"/>
    </row>
    <row r="292" spans="1:113" ht="18" customHeight="1" collapsed="1" x14ac:dyDescent="0.25">
      <c r="A292" s="213">
        <f>MAX(A$239:A290)+1</f>
        <v>16</v>
      </c>
      <c r="B292" s="240" t="s">
        <v>398</v>
      </c>
      <c r="C292" s="240"/>
      <c r="D292" s="188">
        <f>D293</f>
        <v>3000</v>
      </c>
      <c r="E292" s="188">
        <f t="shared" ref="E292:L292" si="286">E293</f>
        <v>0</v>
      </c>
      <c r="F292" s="188">
        <f t="shared" si="286"/>
        <v>3000</v>
      </c>
      <c r="G292" s="188">
        <f t="shared" si="286"/>
        <v>3000</v>
      </c>
      <c r="H292" s="188">
        <f t="shared" si="286"/>
        <v>0</v>
      </c>
      <c r="I292" s="188">
        <f t="shared" si="286"/>
        <v>0</v>
      </c>
      <c r="J292" s="188"/>
      <c r="K292" s="188">
        <f t="shared" si="286"/>
        <v>0</v>
      </c>
      <c r="L292" s="188">
        <f t="shared" si="286"/>
        <v>0</v>
      </c>
      <c r="M292" s="231"/>
      <c r="N292" s="231"/>
      <c r="O292" s="188">
        <f t="shared" si="285"/>
        <v>3000</v>
      </c>
      <c r="P292" s="188">
        <v>0</v>
      </c>
      <c r="Q292" s="186">
        <f t="shared" si="272"/>
        <v>0</v>
      </c>
      <c r="R292" s="188">
        <v>0</v>
      </c>
      <c r="S292" s="185">
        <v>0</v>
      </c>
      <c r="T292" s="185">
        <v>0</v>
      </c>
      <c r="U292" s="188">
        <v>0</v>
      </c>
      <c r="V292" s="185">
        <v>0</v>
      </c>
      <c r="W292" s="185">
        <v>0</v>
      </c>
      <c r="X292" s="188">
        <v>0</v>
      </c>
      <c r="Y292" s="185">
        <v>0</v>
      </c>
      <c r="Z292" s="185">
        <v>0</v>
      </c>
      <c r="AA292" s="188">
        <v>0</v>
      </c>
      <c r="AB292" s="185">
        <v>0</v>
      </c>
      <c r="AC292" s="185">
        <v>0</v>
      </c>
      <c r="AD292" s="188">
        <v>340</v>
      </c>
      <c r="AE292" s="185">
        <v>0.11333333333333333</v>
      </c>
      <c r="AF292" s="185">
        <v>0.11929824561403508</v>
      </c>
      <c r="AG292" s="188">
        <v>340</v>
      </c>
      <c r="AH292" s="185">
        <v>0.11333333333333333</v>
      </c>
      <c r="AI292" s="185">
        <v>0.11929824561403508</v>
      </c>
      <c r="AJ292" s="214">
        <v>340</v>
      </c>
      <c r="AK292" s="185">
        <v>0.11333333333333333</v>
      </c>
      <c r="AL292" s="185">
        <v>0.11929824561403508</v>
      </c>
      <c r="AM292" s="188">
        <v>340</v>
      </c>
      <c r="AN292" s="185">
        <v>0.11333333333333333</v>
      </c>
      <c r="AO292" s="185">
        <v>0.11929824561403508</v>
      </c>
      <c r="AP292" s="185"/>
      <c r="AQ292" s="188">
        <v>1180</v>
      </c>
      <c r="AR292" s="185">
        <v>0.39333333333333331</v>
      </c>
      <c r="AS292" s="185">
        <v>0.41403508771929826</v>
      </c>
      <c r="AT292" s="188">
        <v>1180</v>
      </c>
      <c r="AU292" s="185">
        <v>0.39333333333333331</v>
      </c>
      <c r="AV292" s="185">
        <v>0.41403508771929826</v>
      </c>
      <c r="AW292" s="185"/>
      <c r="AX292" s="185"/>
      <c r="AY292" s="185"/>
      <c r="AZ292" s="185"/>
      <c r="BA292" s="185"/>
      <c r="BB292" s="185"/>
      <c r="BC292" s="188">
        <v>1180</v>
      </c>
      <c r="BD292" s="185">
        <v>0.39333333333333331</v>
      </c>
      <c r="BE292" s="185">
        <v>0.41403508771929826</v>
      </c>
      <c r="BF292" s="188"/>
      <c r="BG292" s="188">
        <v>1180</v>
      </c>
      <c r="BH292" s="185">
        <v>0.39333333333333331</v>
      </c>
      <c r="BI292" s="185">
        <v>0.41403508771929826</v>
      </c>
      <c r="BJ292" s="188">
        <f t="shared" si="273"/>
        <v>2850</v>
      </c>
      <c r="BK292" s="188">
        <v>2281.8850000000002</v>
      </c>
      <c r="BL292" s="185">
        <f t="shared" si="258"/>
        <v>0.76062833333333335</v>
      </c>
      <c r="BM292" s="185">
        <f t="shared" si="275"/>
        <v>0.80066140350877202</v>
      </c>
      <c r="BN292" s="205">
        <f t="shared" si="256"/>
        <v>1941.8850000000002</v>
      </c>
      <c r="BO292" s="205"/>
      <c r="BP292" s="189">
        <f>BP293</f>
        <v>0</v>
      </c>
      <c r="BQ292" s="186">
        <f t="shared" si="259"/>
        <v>0</v>
      </c>
      <c r="BR292" s="189">
        <f>BR293</f>
        <v>0</v>
      </c>
      <c r="BS292" s="186">
        <f t="shared" si="260"/>
        <v>0</v>
      </c>
      <c r="BT292" s="189">
        <f>BT293</f>
        <v>300</v>
      </c>
      <c r="BU292" s="186">
        <f t="shared" si="261"/>
        <v>0.1</v>
      </c>
      <c r="BV292" s="189">
        <f>BV293</f>
        <v>600</v>
      </c>
      <c r="BW292" s="186">
        <f t="shared" si="262"/>
        <v>0.2</v>
      </c>
      <c r="BX292" s="189">
        <f>BX293</f>
        <v>900</v>
      </c>
      <c r="BY292" s="186">
        <f t="shared" si="263"/>
        <v>0.3</v>
      </c>
      <c r="BZ292" s="189">
        <f>BZ293</f>
        <v>1200</v>
      </c>
      <c r="CA292" s="186">
        <f t="shared" si="264"/>
        <v>0.4</v>
      </c>
      <c r="CB292" s="189">
        <f>CB293</f>
        <v>1500</v>
      </c>
      <c r="CC292" s="186">
        <f t="shared" si="265"/>
        <v>0.5</v>
      </c>
      <c r="CD292" s="189">
        <f>CD293</f>
        <v>1650.0000000000002</v>
      </c>
      <c r="CE292" s="186">
        <f t="shared" si="266"/>
        <v>0.55000000000000004</v>
      </c>
      <c r="CF292" s="189">
        <f>CF293</f>
        <v>2100</v>
      </c>
      <c r="CG292" s="186">
        <f t="shared" si="267"/>
        <v>0.7</v>
      </c>
      <c r="CH292" s="189">
        <f>CH293</f>
        <v>2100</v>
      </c>
      <c r="CI292" s="186">
        <f t="shared" si="268"/>
        <v>0.7</v>
      </c>
      <c r="CJ292" s="189">
        <f>CJ293</f>
        <v>2250</v>
      </c>
      <c r="CK292" s="186">
        <f t="shared" si="269"/>
        <v>0.75</v>
      </c>
      <c r="CL292" s="189">
        <f>CL293</f>
        <v>2250</v>
      </c>
      <c r="CM292" s="186">
        <f t="shared" si="270"/>
        <v>0.75</v>
      </c>
      <c r="CN292" s="189">
        <f>CN293</f>
        <v>2850</v>
      </c>
      <c r="CO292" s="186">
        <f t="shared" si="271"/>
        <v>0.95</v>
      </c>
      <c r="CP292" s="213" t="str">
        <f t="shared" si="276"/>
        <v>Đạt</v>
      </c>
      <c r="CQ292" s="213" t="str">
        <f t="shared" si="277"/>
        <v>Đạt</v>
      </c>
      <c r="CR292" s="213"/>
      <c r="CS292" s="213"/>
      <c r="CT292" s="231"/>
      <c r="CU292" s="163"/>
      <c r="CW292" s="195"/>
      <c r="CX292" s="196"/>
      <c r="CY292" s="196"/>
      <c r="CZ292" s="197"/>
      <c r="DA292" s="196"/>
      <c r="DB292" s="196"/>
      <c r="DC292" s="196"/>
      <c r="DE292" s="199"/>
      <c r="DF292" s="200"/>
      <c r="DG292" s="181"/>
    </row>
    <row r="293" spans="1:113" s="324" customFormat="1" hidden="1" outlineLevel="1" x14ac:dyDescent="0.25">
      <c r="A293" s="305" t="s">
        <v>34</v>
      </c>
      <c r="B293" s="306" t="s">
        <v>376</v>
      </c>
      <c r="C293" s="306"/>
      <c r="D293" s="307">
        <f t="shared" si="243"/>
        <v>3000</v>
      </c>
      <c r="E293" s="307"/>
      <c r="F293" s="307">
        <f>G293+H293+K293+M293</f>
        <v>3000</v>
      </c>
      <c r="G293" s="303">
        <v>3000</v>
      </c>
      <c r="H293" s="303"/>
      <c r="I293" s="235"/>
      <c r="J293" s="235"/>
      <c r="K293" s="303"/>
      <c r="L293" s="235"/>
      <c r="M293" s="223"/>
      <c r="N293" s="223"/>
      <c r="O293" s="303">
        <f t="shared" si="285"/>
        <v>3000</v>
      </c>
      <c r="P293" s="303">
        <v>0</v>
      </c>
      <c r="Q293" s="308">
        <f t="shared" si="272"/>
        <v>0</v>
      </c>
      <c r="R293" s="303"/>
      <c r="S293" s="309">
        <v>0</v>
      </c>
      <c r="T293" s="309">
        <v>0</v>
      </c>
      <c r="U293" s="303"/>
      <c r="V293" s="309">
        <v>0</v>
      </c>
      <c r="W293" s="309">
        <v>0</v>
      </c>
      <c r="X293" s="303"/>
      <c r="Y293" s="309">
        <v>0</v>
      </c>
      <c r="Z293" s="309">
        <v>0</v>
      </c>
      <c r="AA293" s="303"/>
      <c r="AB293" s="309">
        <v>0</v>
      </c>
      <c r="AC293" s="309">
        <v>0</v>
      </c>
      <c r="AD293" s="303">
        <v>340</v>
      </c>
      <c r="AE293" s="309">
        <v>0.11333333333333333</v>
      </c>
      <c r="AF293" s="309">
        <v>0.11929824561403508</v>
      </c>
      <c r="AG293" s="214">
        <v>340</v>
      </c>
      <c r="AH293" s="309">
        <v>0.11333333333333333</v>
      </c>
      <c r="AI293" s="309">
        <v>0.11929824561403508</v>
      </c>
      <c r="AJ293" s="189">
        <v>340</v>
      </c>
      <c r="AK293" s="309">
        <v>0.11333333333333333</v>
      </c>
      <c r="AL293" s="309">
        <v>0.11929824561403508</v>
      </c>
      <c r="AM293" s="214">
        <v>340</v>
      </c>
      <c r="AN293" s="309">
        <v>0.11333333333333333</v>
      </c>
      <c r="AO293" s="309">
        <v>0.11929824561403508</v>
      </c>
      <c r="AP293" s="309"/>
      <c r="AQ293" s="214">
        <v>1180</v>
      </c>
      <c r="AR293" s="309">
        <v>0.39333333333333331</v>
      </c>
      <c r="AS293" s="309">
        <v>0.41403508771929826</v>
      </c>
      <c r="AT293" s="214">
        <v>1180</v>
      </c>
      <c r="AU293" s="309">
        <v>0.39333333333333331</v>
      </c>
      <c r="AV293" s="309">
        <v>0.41403508771929826</v>
      </c>
      <c r="AW293" s="309"/>
      <c r="AX293" s="309"/>
      <c r="AY293" s="309"/>
      <c r="AZ293" s="309"/>
      <c r="BA293" s="309"/>
      <c r="BB293" s="309"/>
      <c r="BC293" s="214">
        <v>1180</v>
      </c>
      <c r="BD293" s="309">
        <v>0.39333333333333331</v>
      </c>
      <c r="BE293" s="309">
        <v>0.41403508771929826</v>
      </c>
      <c r="BF293" s="214"/>
      <c r="BG293" s="214">
        <v>1180</v>
      </c>
      <c r="BH293" s="309">
        <v>0.39333333333333331</v>
      </c>
      <c r="BI293" s="309">
        <v>0.41403508771929826</v>
      </c>
      <c r="BJ293" s="214">
        <f t="shared" si="273"/>
        <v>2850</v>
      </c>
      <c r="BK293" s="214">
        <v>1245.0060000000001</v>
      </c>
      <c r="BL293" s="309">
        <f t="shared" si="258"/>
        <v>0.41500200000000004</v>
      </c>
      <c r="BM293" s="309">
        <f t="shared" si="275"/>
        <v>0.43684421052631583</v>
      </c>
      <c r="BN293" s="205">
        <f t="shared" si="256"/>
        <v>905.00600000000009</v>
      </c>
      <c r="BO293" s="205"/>
      <c r="BP293" s="310"/>
      <c r="BQ293" s="308">
        <f t="shared" si="259"/>
        <v>0</v>
      </c>
      <c r="BR293" s="310"/>
      <c r="BS293" s="308">
        <f t="shared" si="260"/>
        <v>0</v>
      </c>
      <c r="BT293" s="310">
        <f>$F293*0.1</f>
        <v>300</v>
      </c>
      <c r="BU293" s="308">
        <f t="shared" si="261"/>
        <v>0.1</v>
      </c>
      <c r="BV293" s="310">
        <f>$F293*0.2</f>
        <v>600</v>
      </c>
      <c r="BW293" s="308">
        <f t="shared" si="262"/>
        <v>0.2</v>
      </c>
      <c r="BX293" s="310">
        <f>$F293*0.3</f>
        <v>900</v>
      </c>
      <c r="BY293" s="308">
        <f t="shared" si="263"/>
        <v>0.3</v>
      </c>
      <c r="BZ293" s="310">
        <f>$F293*0.4</f>
        <v>1200</v>
      </c>
      <c r="CA293" s="308">
        <f t="shared" si="264"/>
        <v>0.4</v>
      </c>
      <c r="CB293" s="310">
        <f>$F293*0.5</f>
        <v>1500</v>
      </c>
      <c r="CC293" s="308">
        <f t="shared" si="265"/>
        <v>0.5</v>
      </c>
      <c r="CD293" s="310">
        <f>$F293*0.55</f>
        <v>1650.0000000000002</v>
      </c>
      <c r="CE293" s="308">
        <f t="shared" si="266"/>
        <v>0.55000000000000004</v>
      </c>
      <c r="CF293" s="310">
        <v>2100</v>
      </c>
      <c r="CG293" s="308">
        <f t="shared" si="267"/>
        <v>0.7</v>
      </c>
      <c r="CH293" s="310">
        <f>$F293*0.7</f>
        <v>2100</v>
      </c>
      <c r="CI293" s="308">
        <f t="shared" si="268"/>
        <v>0.7</v>
      </c>
      <c r="CJ293" s="310">
        <f>$F293*0.75</f>
        <v>2250</v>
      </c>
      <c r="CK293" s="308">
        <f t="shared" si="269"/>
        <v>0.75</v>
      </c>
      <c r="CL293" s="310">
        <f>$F293*0.75</f>
        <v>2250</v>
      </c>
      <c r="CM293" s="308">
        <f t="shared" si="270"/>
        <v>0.75</v>
      </c>
      <c r="CN293" s="310">
        <f>$F293*0.95</f>
        <v>2850</v>
      </c>
      <c r="CO293" s="308">
        <f t="shared" si="271"/>
        <v>0.95</v>
      </c>
      <c r="CP293" s="213" t="str">
        <f t="shared" si="276"/>
        <v>Đạt</v>
      </c>
      <c r="CQ293" s="213" t="str">
        <f t="shared" si="277"/>
        <v>Không đạt</v>
      </c>
      <c r="CR293" s="312"/>
      <c r="CS293" s="312"/>
      <c r="CT293" s="235"/>
      <c r="CU293" s="163"/>
      <c r="CV293" s="323"/>
      <c r="CW293" s="195"/>
      <c r="CX293" s="196"/>
      <c r="CY293" s="196"/>
      <c r="CZ293" s="197"/>
      <c r="DA293" s="196"/>
      <c r="DB293" s="196"/>
      <c r="DC293" s="196"/>
      <c r="DE293" s="199"/>
      <c r="DF293" s="200"/>
      <c r="DG293" s="181"/>
    </row>
    <row r="294" spans="1:113" ht="18" customHeight="1" collapsed="1" x14ac:dyDescent="0.25">
      <c r="A294" s="316">
        <f>MAX(A$239:A293)+1</f>
        <v>17</v>
      </c>
      <c r="B294" s="240" t="s">
        <v>399</v>
      </c>
      <c r="C294" s="240"/>
      <c r="D294" s="188">
        <f t="shared" ref="D294:I294" si="287">D295+D299+D300</f>
        <v>6700</v>
      </c>
      <c r="E294" s="188">
        <f t="shared" si="287"/>
        <v>0</v>
      </c>
      <c r="F294" s="188">
        <f t="shared" si="287"/>
        <v>6700</v>
      </c>
      <c r="G294" s="188">
        <f t="shared" si="287"/>
        <v>3000</v>
      </c>
      <c r="H294" s="188">
        <f t="shared" si="287"/>
        <v>3700</v>
      </c>
      <c r="I294" s="188">
        <f t="shared" si="287"/>
        <v>1900</v>
      </c>
      <c r="J294" s="188"/>
      <c r="K294" s="188">
        <f>K295+K299+K300</f>
        <v>0</v>
      </c>
      <c r="L294" s="188">
        <f>L295+L299+L300</f>
        <v>0</v>
      </c>
      <c r="M294" s="188">
        <f>M295+M299+M300</f>
        <v>0</v>
      </c>
      <c r="N294" s="188">
        <f>N295+N299+N300</f>
        <v>0</v>
      </c>
      <c r="O294" s="188">
        <f>O295+O299+O300</f>
        <v>4900</v>
      </c>
      <c r="P294" s="188">
        <v>0</v>
      </c>
      <c r="Q294" s="186">
        <f t="shared" si="272"/>
        <v>0</v>
      </c>
      <c r="R294" s="189">
        <v>800.19299999999998</v>
      </c>
      <c r="S294" s="185">
        <v>0.11943179104477612</v>
      </c>
      <c r="T294" s="185">
        <v>0.12571767478397486</v>
      </c>
      <c r="U294" s="189">
        <v>1735.1179999999999</v>
      </c>
      <c r="V294" s="185">
        <v>0.25897283582089553</v>
      </c>
      <c r="W294" s="185">
        <v>0.27260298507462688</v>
      </c>
      <c r="X294" s="189">
        <v>1735.1179999999999</v>
      </c>
      <c r="Y294" s="185">
        <v>0.25897283582089553</v>
      </c>
      <c r="Z294" s="185">
        <v>0.27260298507462688</v>
      </c>
      <c r="AA294" s="189">
        <v>1776.664</v>
      </c>
      <c r="AB294" s="185">
        <v>0.26517373134328359</v>
      </c>
      <c r="AC294" s="185">
        <v>0.27913024351924587</v>
      </c>
      <c r="AD294" s="189">
        <v>2317.6639999999998</v>
      </c>
      <c r="AE294" s="185">
        <v>0.34591999999999995</v>
      </c>
      <c r="AF294" s="185">
        <v>0.36412631578947363</v>
      </c>
      <c r="AG294" s="189">
        <v>2317.6639999999998</v>
      </c>
      <c r="AH294" s="185">
        <v>0.34591999999999995</v>
      </c>
      <c r="AI294" s="185">
        <v>0.36412631578947363</v>
      </c>
      <c r="AJ294" s="317">
        <v>2317.6639999999998</v>
      </c>
      <c r="AK294" s="185">
        <v>0.34591999999999995</v>
      </c>
      <c r="AL294" s="185">
        <v>0.36412631578947363</v>
      </c>
      <c r="AM294" s="334">
        <v>2317.6639999999998</v>
      </c>
      <c r="AN294" s="185">
        <v>0.34591999999999995</v>
      </c>
      <c r="AO294" s="185">
        <v>0.36412631578947363</v>
      </c>
      <c r="AP294" s="185"/>
      <c r="AQ294" s="189">
        <v>3110.6639999999998</v>
      </c>
      <c r="AR294" s="185">
        <v>0.46427820895522387</v>
      </c>
      <c r="AS294" s="185">
        <v>0.4887139041633935</v>
      </c>
      <c r="AT294" s="189">
        <v>3110.6639999999998</v>
      </c>
      <c r="AU294" s="185">
        <v>0.46427820895522387</v>
      </c>
      <c r="AV294" s="185">
        <v>0.4887139041633935</v>
      </c>
      <c r="AW294" s="185"/>
      <c r="AX294" s="185"/>
      <c r="AY294" s="185"/>
      <c r="AZ294" s="185"/>
      <c r="BA294" s="185"/>
      <c r="BB294" s="185"/>
      <c r="BC294" s="189">
        <v>3110.6639999999998</v>
      </c>
      <c r="BD294" s="185">
        <v>0.46427820895522387</v>
      </c>
      <c r="BE294" s="185">
        <v>0.4887139041633935</v>
      </c>
      <c r="BF294" s="189"/>
      <c r="BG294" s="189">
        <v>3391.192</v>
      </c>
      <c r="BH294" s="185">
        <v>0.50614805970149257</v>
      </c>
      <c r="BI294" s="185">
        <v>0.53278743126472894</v>
      </c>
      <c r="BJ294" s="189">
        <f t="shared" si="273"/>
        <v>6365</v>
      </c>
      <c r="BK294" s="189">
        <f>BK295+BK299+BK300</f>
        <v>3391.192</v>
      </c>
      <c r="BL294" s="185">
        <f t="shared" si="258"/>
        <v>0.50614805970149257</v>
      </c>
      <c r="BM294" s="185">
        <f t="shared" si="275"/>
        <v>0.53278743126472894</v>
      </c>
      <c r="BN294" s="205">
        <f t="shared" si="256"/>
        <v>1073.5280000000002</v>
      </c>
      <c r="BO294" s="205"/>
      <c r="BP294" s="189">
        <f>BP295+BP299+BP300</f>
        <v>0</v>
      </c>
      <c r="BQ294" s="186">
        <f t="shared" si="259"/>
        <v>0</v>
      </c>
      <c r="BR294" s="189">
        <f>BR295+BR299+BR300</f>
        <v>0</v>
      </c>
      <c r="BS294" s="186">
        <f t="shared" si="260"/>
        <v>0</v>
      </c>
      <c r="BT294" s="189">
        <f>BT295+BT299+BT300</f>
        <v>2515</v>
      </c>
      <c r="BU294" s="186">
        <f t="shared" si="261"/>
        <v>0.37537313432835823</v>
      </c>
      <c r="BV294" s="189">
        <f>BV295+BV299+BV300</f>
        <v>2515</v>
      </c>
      <c r="BW294" s="186">
        <f t="shared" si="262"/>
        <v>0.37537313432835823</v>
      </c>
      <c r="BX294" s="189">
        <f>BX295+BX299+BX300</f>
        <v>2515</v>
      </c>
      <c r="BY294" s="186">
        <f t="shared" si="263"/>
        <v>0.37537313432835823</v>
      </c>
      <c r="BZ294" s="189">
        <f>BZ295+BZ299+BZ300</f>
        <v>4465</v>
      </c>
      <c r="CA294" s="186">
        <f t="shared" si="264"/>
        <v>0.66641791044776122</v>
      </c>
      <c r="CB294" s="189">
        <f>CB295+CB299+CB300</f>
        <v>4465</v>
      </c>
      <c r="CC294" s="186">
        <f t="shared" si="265"/>
        <v>0.66641791044776122</v>
      </c>
      <c r="CD294" s="189">
        <f>CD295+CD299+CD300</f>
        <v>4465</v>
      </c>
      <c r="CE294" s="186">
        <f t="shared" si="266"/>
        <v>0.66641791044776122</v>
      </c>
      <c r="CF294" s="189">
        <f>CF295+CF299+CF300</f>
        <v>5015</v>
      </c>
      <c r="CG294" s="186">
        <f t="shared" si="267"/>
        <v>0.7485074626865672</v>
      </c>
      <c r="CH294" s="189">
        <f>CH295+CH299+CH300</f>
        <v>5515</v>
      </c>
      <c r="CI294" s="186">
        <f t="shared" si="268"/>
        <v>0.82313432835820899</v>
      </c>
      <c r="CJ294" s="189">
        <f>CJ295+CJ299+CJ300</f>
        <v>5515</v>
      </c>
      <c r="CK294" s="186">
        <f t="shared" si="269"/>
        <v>0.82313432835820899</v>
      </c>
      <c r="CL294" s="189">
        <f>CL295+CL299+CL300</f>
        <v>6365</v>
      </c>
      <c r="CM294" s="186">
        <f t="shared" si="270"/>
        <v>0.95</v>
      </c>
      <c r="CN294" s="189">
        <f>CN295+CN299+CN300</f>
        <v>6365</v>
      </c>
      <c r="CO294" s="186">
        <f t="shared" si="271"/>
        <v>0.95</v>
      </c>
      <c r="CP294" s="213" t="str">
        <f t="shared" si="276"/>
        <v>Đạt</v>
      </c>
      <c r="CQ294" s="213" t="str">
        <f t="shared" si="277"/>
        <v>Đạt</v>
      </c>
      <c r="CR294" s="213"/>
      <c r="CS294" s="213"/>
      <c r="CT294" s="231"/>
      <c r="CU294" s="163"/>
      <c r="CW294" s="195"/>
      <c r="CX294" s="196"/>
      <c r="CY294" s="196"/>
      <c r="CZ294" s="197"/>
      <c r="DA294" s="196"/>
      <c r="DB294" s="196"/>
      <c r="DC294" s="196"/>
      <c r="DE294" s="199"/>
      <c r="DF294" s="200"/>
      <c r="DG294" s="181"/>
    </row>
    <row r="295" spans="1:113" s="324" customFormat="1" hidden="1" outlineLevel="1" x14ac:dyDescent="0.25">
      <c r="A295" s="305" t="s">
        <v>34</v>
      </c>
      <c r="B295" s="318" t="s">
        <v>381</v>
      </c>
      <c r="C295" s="306"/>
      <c r="D295" s="317">
        <f>SUM(D296:D298)</f>
        <v>2000</v>
      </c>
      <c r="E295" s="317">
        <f t="shared" ref="E295:L295" si="288">SUM(E296:E298)</f>
        <v>0</v>
      </c>
      <c r="F295" s="317">
        <f t="shared" si="288"/>
        <v>2000</v>
      </c>
      <c r="G295" s="317">
        <f t="shared" si="288"/>
        <v>0</v>
      </c>
      <c r="H295" s="317">
        <f t="shared" si="288"/>
        <v>2000</v>
      </c>
      <c r="I295" s="214">
        <f t="shared" si="288"/>
        <v>1900</v>
      </c>
      <c r="J295" s="214"/>
      <c r="K295" s="317">
        <f t="shared" si="288"/>
        <v>0</v>
      </c>
      <c r="L295" s="214">
        <f t="shared" si="288"/>
        <v>0</v>
      </c>
      <c r="M295" s="223"/>
      <c r="N295" s="223"/>
      <c r="O295" s="317">
        <f t="shared" si="285"/>
        <v>1900</v>
      </c>
      <c r="P295" s="317">
        <v>0</v>
      </c>
      <c r="Q295" s="319">
        <f t="shared" si="272"/>
        <v>0</v>
      </c>
      <c r="R295" s="317">
        <v>800.19299999999998</v>
      </c>
      <c r="S295" s="320">
        <v>0.40009649999999997</v>
      </c>
      <c r="T295" s="320">
        <v>0.4211542105263158</v>
      </c>
      <c r="U295" s="317">
        <v>1735.1179999999999</v>
      </c>
      <c r="V295" s="320">
        <v>0.86755899999999997</v>
      </c>
      <c r="W295" s="320">
        <v>0.91321999999999992</v>
      </c>
      <c r="X295" s="317">
        <v>1735.1179999999999</v>
      </c>
      <c r="Y295" s="320">
        <v>0.86755899999999997</v>
      </c>
      <c r="Z295" s="320">
        <v>0.91321999999999992</v>
      </c>
      <c r="AA295" s="317">
        <v>1776.664</v>
      </c>
      <c r="AB295" s="320">
        <v>0.88833200000000001</v>
      </c>
      <c r="AC295" s="320">
        <v>0.93508631578947365</v>
      </c>
      <c r="AD295" s="317">
        <v>1776.664</v>
      </c>
      <c r="AE295" s="320">
        <v>0.88833200000000001</v>
      </c>
      <c r="AF295" s="320">
        <v>0.93508631578947365</v>
      </c>
      <c r="AG295" s="317">
        <v>1776.664</v>
      </c>
      <c r="AH295" s="320">
        <v>0.88833200000000001</v>
      </c>
      <c r="AI295" s="320">
        <v>0.93508631578947365</v>
      </c>
      <c r="AJ295" s="257">
        <v>1776.664</v>
      </c>
      <c r="AK295" s="320">
        <v>0.88833200000000001</v>
      </c>
      <c r="AL295" s="320">
        <v>0.93508631578947365</v>
      </c>
      <c r="AM295" s="317">
        <v>1776.664</v>
      </c>
      <c r="AN295" s="320">
        <v>0.88833200000000001</v>
      </c>
      <c r="AO295" s="320">
        <v>0.93508631578947365</v>
      </c>
      <c r="AP295" s="320"/>
      <c r="AQ295" s="317">
        <v>1776.664</v>
      </c>
      <c r="AR295" s="320">
        <v>0.88833200000000001</v>
      </c>
      <c r="AS295" s="320">
        <v>0.93508631578947365</v>
      </c>
      <c r="AT295" s="317">
        <v>1776.664</v>
      </c>
      <c r="AU295" s="320">
        <v>0.88833200000000001</v>
      </c>
      <c r="AV295" s="320">
        <v>0.93508631578947365</v>
      </c>
      <c r="AW295" s="320"/>
      <c r="AX295" s="320"/>
      <c r="AY295" s="320"/>
      <c r="AZ295" s="320"/>
      <c r="BA295" s="320"/>
      <c r="BB295" s="320"/>
      <c r="BC295" s="317">
        <v>1776.664</v>
      </c>
      <c r="BD295" s="320">
        <v>0.88833200000000001</v>
      </c>
      <c r="BE295" s="320">
        <v>0.93508631578947365</v>
      </c>
      <c r="BF295" s="317"/>
      <c r="BG295" s="317">
        <v>1776.192</v>
      </c>
      <c r="BH295" s="320">
        <v>0.888096</v>
      </c>
      <c r="BI295" s="320">
        <v>0.93483789473684209</v>
      </c>
      <c r="BJ295" s="317">
        <f t="shared" si="273"/>
        <v>1900</v>
      </c>
      <c r="BK295" s="317">
        <f>SUM(BK296:BK298)</f>
        <v>1776.192</v>
      </c>
      <c r="BL295" s="320">
        <f t="shared" si="258"/>
        <v>0.888096</v>
      </c>
      <c r="BM295" s="320">
        <f t="shared" si="275"/>
        <v>0.93483789473684209</v>
      </c>
      <c r="BN295" s="205">
        <f t="shared" si="256"/>
        <v>-0.47199999999997999</v>
      </c>
      <c r="BO295" s="205"/>
      <c r="BP295" s="307">
        <f>SUM(BP296:BP298)</f>
        <v>0</v>
      </c>
      <c r="BQ295" s="322">
        <f t="shared" si="259"/>
        <v>0</v>
      </c>
      <c r="BR295" s="307">
        <f>SUM(BR296:BR298)</f>
        <v>0</v>
      </c>
      <c r="BS295" s="322">
        <f t="shared" si="260"/>
        <v>0</v>
      </c>
      <c r="BT295" s="307">
        <f>SUM(BT296:BT298)</f>
        <v>1900</v>
      </c>
      <c r="BU295" s="319">
        <f t="shared" si="261"/>
        <v>0.95</v>
      </c>
      <c r="BV295" s="307">
        <f>SUM(BV296:BV298)</f>
        <v>1900</v>
      </c>
      <c r="BW295" s="322">
        <f t="shared" si="262"/>
        <v>0.95</v>
      </c>
      <c r="BX295" s="307">
        <f>SUM(BX296:BX298)</f>
        <v>1900</v>
      </c>
      <c r="BY295" s="322">
        <f t="shared" si="263"/>
        <v>0.95</v>
      </c>
      <c r="BZ295" s="307">
        <f>SUM(BZ296:BZ298)</f>
        <v>1900</v>
      </c>
      <c r="CA295" s="322">
        <f t="shared" si="264"/>
        <v>0.95</v>
      </c>
      <c r="CB295" s="307">
        <f>SUM(CB296:CB298)</f>
        <v>1900</v>
      </c>
      <c r="CC295" s="322">
        <f t="shared" si="265"/>
        <v>0.95</v>
      </c>
      <c r="CD295" s="307">
        <f>SUM(CD296:CD298)</f>
        <v>1900</v>
      </c>
      <c r="CE295" s="322">
        <f t="shared" si="266"/>
        <v>0.95</v>
      </c>
      <c r="CF295" s="307">
        <f>SUM(CF296:CF298)</f>
        <v>1900</v>
      </c>
      <c r="CG295" s="322">
        <f t="shared" si="267"/>
        <v>0.95</v>
      </c>
      <c r="CH295" s="307">
        <f>SUM(CH296:CH298)</f>
        <v>1900</v>
      </c>
      <c r="CI295" s="322">
        <f t="shared" si="268"/>
        <v>0.95</v>
      </c>
      <c r="CJ295" s="307">
        <f>SUM(CJ296:CJ298)</f>
        <v>1900</v>
      </c>
      <c r="CK295" s="322">
        <f t="shared" si="269"/>
        <v>0.95</v>
      </c>
      <c r="CL295" s="307">
        <f>SUM(CL296:CL298)</f>
        <v>1900</v>
      </c>
      <c r="CM295" s="322">
        <f t="shared" si="270"/>
        <v>0.95</v>
      </c>
      <c r="CN295" s="307">
        <f>SUM(CN296:CN298)</f>
        <v>1900</v>
      </c>
      <c r="CO295" s="322">
        <f t="shared" si="271"/>
        <v>0.95</v>
      </c>
      <c r="CP295" s="213" t="str">
        <f t="shared" si="276"/>
        <v>Đạt</v>
      </c>
      <c r="CQ295" s="213" t="str">
        <f t="shared" si="277"/>
        <v>Đạt</v>
      </c>
      <c r="CR295" s="312"/>
      <c r="CS295" s="312"/>
      <c r="CT295" s="235"/>
      <c r="CU295" s="163"/>
      <c r="CV295" s="323"/>
      <c r="CW295" s="195"/>
      <c r="CX295" s="196"/>
      <c r="CY295" s="196"/>
      <c r="CZ295" s="197"/>
      <c r="DA295" s="196"/>
      <c r="DB295" s="196"/>
      <c r="DC295" s="196"/>
      <c r="DE295" s="199"/>
      <c r="DF295" s="200"/>
      <c r="DG295" s="181"/>
    </row>
    <row r="296" spans="1:113" ht="66.75" hidden="1" customHeight="1" outlineLevel="1" x14ac:dyDescent="0.25">
      <c r="A296" s="192">
        <v>1</v>
      </c>
      <c r="B296" s="325" t="s">
        <v>400</v>
      </c>
      <c r="C296" s="325">
        <v>8144487</v>
      </c>
      <c r="D296" s="214">
        <f t="shared" si="243"/>
        <v>500</v>
      </c>
      <c r="E296" s="215"/>
      <c r="F296" s="214">
        <f>G296+H296+K296+M296</f>
        <v>500</v>
      </c>
      <c r="G296" s="223"/>
      <c r="H296" s="257">
        <v>500</v>
      </c>
      <c r="I296" s="235">
        <v>475</v>
      </c>
      <c r="J296" s="257">
        <v>475</v>
      </c>
      <c r="K296" s="223"/>
      <c r="L296" s="235"/>
      <c r="M296" s="223"/>
      <c r="N296" s="223"/>
      <c r="O296" s="257">
        <f t="shared" si="285"/>
        <v>475</v>
      </c>
      <c r="P296" s="257">
        <v>0</v>
      </c>
      <c r="Q296" s="224">
        <f t="shared" si="272"/>
        <v>0</v>
      </c>
      <c r="R296" s="257">
        <v>424.19299999999998</v>
      </c>
      <c r="S296" s="326">
        <v>0.84838599999999997</v>
      </c>
      <c r="T296" s="326">
        <v>0.89303789473684203</v>
      </c>
      <c r="U296" s="257">
        <v>475</v>
      </c>
      <c r="V296" s="326">
        <v>0.95</v>
      </c>
      <c r="W296" s="326">
        <v>1</v>
      </c>
      <c r="X296" s="257">
        <v>475</v>
      </c>
      <c r="Y296" s="326">
        <v>0.95</v>
      </c>
      <c r="Z296" s="326">
        <v>1</v>
      </c>
      <c r="AA296" s="257">
        <v>475</v>
      </c>
      <c r="AB296" s="326">
        <v>0.95</v>
      </c>
      <c r="AC296" s="326">
        <v>1</v>
      </c>
      <c r="AD296" s="257">
        <v>475</v>
      </c>
      <c r="AE296" s="326">
        <v>0.95</v>
      </c>
      <c r="AF296" s="326">
        <v>1</v>
      </c>
      <c r="AG296" s="257">
        <v>475</v>
      </c>
      <c r="AH296" s="326">
        <v>0.95</v>
      </c>
      <c r="AI296" s="326">
        <v>1</v>
      </c>
      <c r="AJ296" s="257">
        <v>475</v>
      </c>
      <c r="AK296" s="326">
        <v>0.95</v>
      </c>
      <c r="AL296" s="326">
        <v>1</v>
      </c>
      <c r="AM296" s="257">
        <v>475</v>
      </c>
      <c r="AN296" s="326">
        <v>0.95</v>
      </c>
      <c r="AO296" s="326">
        <v>1</v>
      </c>
      <c r="AP296" s="326"/>
      <c r="AQ296" s="257">
        <v>475</v>
      </c>
      <c r="AR296" s="326">
        <v>0.95</v>
      </c>
      <c r="AS296" s="326">
        <v>1</v>
      </c>
      <c r="AT296" s="257">
        <v>475</v>
      </c>
      <c r="AU296" s="326">
        <v>0.95</v>
      </c>
      <c r="AV296" s="326">
        <v>1</v>
      </c>
      <c r="AW296" s="326"/>
      <c r="AX296" s="326"/>
      <c r="AY296" s="326"/>
      <c r="AZ296" s="326"/>
      <c r="BA296" s="326"/>
      <c r="BB296" s="326"/>
      <c r="BC296" s="257">
        <v>475</v>
      </c>
      <c r="BD296" s="326">
        <v>0.95</v>
      </c>
      <c r="BE296" s="326">
        <v>1</v>
      </c>
      <c r="BF296" s="257">
        <v>475</v>
      </c>
      <c r="BG296" s="257">
        <v>475</v>
      </c>
      <c r="BH296" s="326">
        <v>0.95</v>
      </c>
      <c r="BI296" s="326">
        <v>1</v>
      </c>
      <c r="BJ296" s="257">
        <f t="shared" si="273"/>
        <v>475</v>
      </c>
      <c r="BK296" s="257">
        <v>475</v>
      </c>
      <c r="BL296" s="326">
        <f t="shared" si="258"/>
        <v>0.95</v>
      </c>
      <c r="BM296" s="326">
        <f t="shared" si="275"/>
        <v>1</v>
      </c>
      <c r="BN296" s="205">
        <f t="shared" si="256"/>
        <v>0</v>
      </c>
      <c r="BO296" s="205"/>
      <c r="BP296" s="227"/>
      <c r="BQ296" s="327">
        <f t="shared" si="259"/>
        <v>0</v>
      </c>
      <c r="BR296" s="227"/>
      <c r="BS296" s="327">
        <f t="shared" si="260"/>
        <v>0</v>
      </c>
      <c r="BT296" s="227">
        <v>475</v>
      </c>
      <c r="BU296" s="224">
        <f t="shared" si="261"/>
        <v>0.95</v>
      </c>
      <c r="BV296" s="227">
        <f>BT296</f>
        <v>475</v>
      </c>
      <c r="BW296" s="327">
        <f t="shared" si="262"/>
        <v>0.95</v>
      </c>
      <c r="BX296" s="227">
        <f>BV296</f>
        <v>475</v>
      </c>
      <c r="BY296" s="327">
        <f t="shared" si="263"/>
        <v>0.95</v>
      </c>
      <c r="BZ296" s="227">
        <f>BX296</f>
        <v>475</v>
      </c>
      <c r="CA296" s="327">
        <f t="shared" si="264"/>
        <v>0.95</v>
      </c>
      <c r="CB296" s="227">
        <f>BZ296</f>
        <v>475</v>
      </c>
      <c r="CC296" s="327">
        <f t="shared" si="265"/>
        <v>0.95</v>
      </c>
      <c r="CD296" s="227">
        <f>CB296</f>
        <v>475</v>
      </c>
      <c r="CE296" s="327">
        <f t="shared" si="266"/>
        <v>0.95</v>
      </c>
      <c r="CF296" s="227">
        <f>CD296</f>
        <v>475</v>
      </c>
      <c r="CG296" s="327">
        <f t="shared" si="267"/>
        <v>0.95</v>
      </c>
      <c r="CH296" s="227">
        <f>CF296</f>
        <v>475</v>
      </c>
      <c r="CI296" s="327">
        <f t="shared" si="268"/>
        <v>0.95</v>
      </c>
      <c r="CJ296" s="227">
        <f>CH296</f>
        <v>475</v>
      </c>
      <c r="CK296" s="327">
        <f t="shared" si="269"/>
        <v>0.95</v>
      </c>
      <c r="CL296" s="227">
        <f>CJ296</f>
        <v>475</v>
      </c>
      <c r="CM296" s="327">
        <f t="shared" si="270"/>
        <v>0.95</v>
      </c>
      <c r="CN296" s="227">
        <f>CL296</f>
        <v>475</v>
      </c>
      <c r="CO296" s="327">
        <f t="shared" si="271"/>
        <v>0.95</v>
      </c>
      <c r="CP296" s="213" t="str">
        <f t="shared" si="276"/>
        <v>Đạt</v>
      </c>
      <c r="CQ296" s="213" t="str">
        <f t="shared" si="277"/>
        <v>Đạt</v>
      </c>
      <c r="CR296" s="192"/>
      <c r="CS296" s="192"/>
      <c r="CT296" s="223"/>
      <c r="CU296" s="163"/>
      <c r="CW296" s="195"/>
      <c r="CX296" s="196"/>
      <c r="CY296" s="196"/>
      <c r="CZ296" s="197"/>
      <c r="DA296" s="196"/>
      <c r="DB296" s="196"/>
      <c r="DC296" s="196"/>
      <c r="DE296" s="199"/>
      <c r="DF296" s="200"/>
      <c r="DG296" s="181"/>
    </row>
    <row r="297" spans="1:113" ht="95.25" hidden="1" customHeight="1" outlineLevel="1" x14ac:dyDescent="0.25">
      <c r="A297" s="192">
        <f>MAX(A295:B296)+1</f>
        <v>2</v>
      </c>
      <c r="B297" s="325" t="s">
        <v>401</v>
      </c>
      <c r="C297" s="325">
        <v>8144323</v>
      </c>
      <c r="D297" s="214">
        <f t="shared" si="243"/>
        <v>500</v>
      </c>
      <c r="E297" s="215"/>
      <c r="F297" s="214">
        <f>G297+H297+K297+M297</f>
        <v>500</v>
      </c>
      <c r="G297" s="223"/>
      <c r="H297" s="257">
        <v>500</v>
      </c>
      <c r="I297" s="235">
        <v>475</v>
      </c>
      <c r="J297" s="257">
        <v>466.66399999999999</v>
      </c>
      <c r="K297" s="223"/>
      <c r="L297" s="235"/>
      <c r="M297" s="223"/>
      <c r="N297" s="223"/>
      <c r="O297" s="257">
        <f t="shared" si="285"/>
        <v>475</v>
      </c>
      <c r="P297" s="257">
        <v>0</v>
      </c>
      <c r="Q297" s="224">
        <f t="shared" si="272"/>
        <v>0</v>
      </c>
      <c r="R297" s="257">
        <v>376</v>
      </c>
      <c r="S297" s="326">
        <v>0.752</v>
      </c>
      <c r="T297" s="326">
        <v>0.79157894736842105</v>
      </c>
      <c r="U297" s="257">
        <v>466.66399999999999</v>
      </c>
      <c r="V297" s="326">
        <v>0.93332799999999994</v>
      </c>
      <c r="W297" s="326">
        <v>0.98245052631578944</v>
      </c>
      <c r="X297" s="257">
        <v>466.66399999999999</v>
      </c>
      <c r="Y297" s="326">
        <v>0.93332799999999994</v>
      </c>
      <c r="Z297" s="326">
        <v>0.98245052631578944</v>
      </c>
      <c r="AA297" s="257">
        <v>466.66399999999999</v>
      </c>
      <c r="AB297" s="326">
        <v>0.93332799999999994</v>
      </c>
      <c r="AC297" s="326">
        <v>0.98245052631578944</v>
      </c>
      <c r="AD297" s="257">
        <v>466.66399999999999</v>
      </c>
      <c r="AE297" s="326">
        <v>0.93332799999999994</v>
      </c>
      <c r="AF297" s="326">
        <v>0.98245052631578944</v>
      </c>
      <c r="AG297" s="257">
        <v>466.66399999999999</v>
      </c>
      <c r="AH297" s="326">
        <v>0.93332799999999994</v>
      </c>
      <c r="AI297" s="326">
        <v>0.98245052631578944</v>
      </c>
      <c r="AJ297" s="257">
        <v>466.66399999999999</v>
      </c>
      <c r="AK297" s="326">
        <v>0.93332799999999994</v>
      </c>
      <c r="AL297" s="326">
        <v>0.98245052631578944</v>
      </c>
      <c r="AM297" s="257">
        <v>466.66399999999999</v>
      </c>
      <c r="AN297" s="326">
        <v>0.93332799999999994</v>
      </c>
      <c r="AO297" s="326">
        <v>0.98245052631578944</v>
      </c>
      <c r="AP297" s="326"/>
      <c r="AQ297" s="257">
        <v>466.66399999999999</v>
      </c>
      <c r="AR297" s="326">
        <v>0.93332799999999994</v>
      </c>
      <c r="AS297" s="326">
        <v>0.98245052631578944</v>
      </c>
      <c r="AT297" s="257">
        <v>466.66399999999999</v>
      </c>
      <c r="AU297" s="326">
        <v>0.93332799999999994</v>
      </c>
      <c r="AV297" s="326">
        <v>0.98245052631578944</v>
      </c>
      <c r="AW297" s="326"/>
      <c r="AX297" s="326"/>
      <c r="AY297" s="326"/>
      <c r="AZ297" s="326"/>
      <c r="BA297" s="326"/>
      <c r="BB297" s="326"/>
      <c r="BC297" s="257">
        <v>466.66399999999999</v>
      </c>
      <c r="BD297" s="326">
        <v>0.93332799999999994</v>
      </c>
      <c r="BE297" s="326">
        <v>0.98245052631578944</v>
      </c>
      <c r="BF297" s="257">
        <v>466.66399999999999</v>
      </c>
      <c r="BG297" s="257">
        <v>466.66399999999999</v>
      </c>
      <c r="BH297" s="326">
        <v>0.93332799999999994</v>
      </c>
      <c r="BI297" s="326">
        <v>0.98245052631578944</v>
      </c>
      <c r="BJ297" s="257">
        <f t="shared" si="273"/>
        <v>475</v>
      </c>
      <c r="BK297" s="257">
        <v>466.66399999999999</v>
      </c>
      <c r="BL297" s="326">
        <f t="shared" si="258"/>
        <v>0.93332799999999994</v>
      </c>
      <c r="BM297" s="326">
        <f t="shared" si="275"/>
        <v>0.98245052631578944</v>
      </c>
      <c r="BN297" s="205">
        <f t="shared" si="256"/>
        <v>0</v>
      </c>
      <c r="BO297" s="205"/>
      <c r="BP297" s="227"/>
      <c r="BQ297" s="327">
        <f t="shared" si="259"/>
        <v>0</v>
      </c>
      <c r="BR297" s="227"/>
      <c r="BS297" s="327">
        <f t="shared" si="260"/>
        <v>0</v>
      </c>
      <c r="BT297" s="227">
        <v>475</v>
      </c>
      <c r="BU297" s="224">
        <f t="shared" si="261"/>
        <v>0.95</v>
      </c>
      <c r="BV297" s="227">
        <f>BT297</f>
        <v>475</v>
      </c>
      <c r="BW297" s="327">
        <f t="shared" si="262"/>
        <v>0.95</v>
      </c>
      <c r="BX297" s="227">
        <f>BV297</f>
        <v>475</v>
      </c>
      <c r="BY297" s="327">
        <f t="shared" si="263"/>
        <v>0.95</v>
      </c>
      <c r="BZ297" s="227">
        <f>BX297</f>
        <v>475</v>
      </c>
      <c r="CA297" s="327">
        <f t="shared" si="264"/>
        <v>0.95</v>
      </c>
      <c r="CB297" s="227">
        <f>BZ297</f>
        <v>475</v>
      </c>
      <c r="CC297" s="327">
        <f t="shared" si="265"/>
        <v>0.95</v>
      </c>
      <c r="CD297" s="227">
        <f>CB297</f>
        <v>475</v>
      </c>
      <c r="CE297" s="327">
        <f t="shared" si="266"/>
        <v>0.95</v>
      </c>
      <c r="CF297" s="227">
        <f>CD297</f>
        <v>475</v>
      </c>
      <c r="CG297" s="327">
        <f t="shared" si="267"/>
        <v>0.95</v>
      </c>
      <c r="CH297" s="227">
        <f>CF297</f>
        <v>475</v>
      </c>
      <c r="CI297" s="327">
        <f t="shared" si="268"/>
        <v>0.95</v>
      </c>
      <c r="CJ297" s="227">
        <f>CH297</f>
        <v>475</v>
      </c>
      <c r="CK297" s="327">
        <f t="shared" si="269"/>
        <v>0.95</v>
      </c>
      <c r="CL297" s="227">
        <f>CJ297</f>
        <v>475</v>
      </c>
      <c r="CM297" s="327">
        <f t="shared" si="270"/>
        <v>0.95</v>
      </c>
      <c r="CN297" s="227">
        <f>CL297</f>
        <v>475</v>
      </c>
      <c r="CO297" s="327">
        <f t="shared" si="271"/>
        <v>0.95</v>
      </c>
      <c r="CP297" s="213" t="str">
        <f t="shared" si="276"/>
        <v>Đạt</v>
      </c>
      <c r="CQ297" s="213" t="str">
        <f t="shared" si="277"/>
        <v>Đạt</v>
      </c>
      <c r="CR297" s="192"/>
      <c r="CS297" s="192"/>
      <c r="CT297" s="223"/>
      <c r="CU297" s="163"/>
      <c r="CW297" s="195"/>
      <c r="CX297" s="196"/>
      <c r="CY297" s="196"/>
      <c r="CZ297" s="197"/>
      <c r="DA297" s="196"/>
      <c r="DB297" s="196"/>
      <c r="DC297" s="196"/>
      <c r="DE297" s="199"/>
      <c r="DF297" s="200"/>
      <c r="DG297" s="181"/>
    </row>
    <row r="298" spans="1:113" ht="41.25" hidden="1" customHeight="1" outlineLevel="1" x14ac:dyDescent="0.25">
      <c r="A298" s="192">
        <f>MAX(A296:B297)+1</f>
        <v>3</v>
      </c>
      <c r="B298" s="325" t="s">
        <v>402</v>
      </c>
      <c r="C298" s="325">
        <v>8063726</v>
      </c>
      <c r="D298" s="214">
        <f t="shared" si="243"/>
        <v>1000</v>
      </c>
      <c r="E298" s="215"/>
      <c r="F298" s="214">
        <f>G298+H298+K298+M298</f>
        <v>1000</v>
      </c>
      <c r="G298" s="223"/>
      <c r="H298" s="257">
        <v>1000</v>
      </c>
      <c r="I298" s="235">
        <v>950</v>
      </c>
      <c r="J298" s="257">
        <v>835</v>
      </c>
      <c r="K298" s="223"/>
      <c r="L298" s="235"/>
      <c r="M298" s="223"/>
      <c r="N298" s="223"/>
      <c r="O298" s="257">
        <f t="shared" si="285"/>
        <v>950</v>
      </c>
      <c r="P298" s="257">
        <v>0</v>
      </c>
      <c r="Q298" s="224">
        <f t="shared" si="272"/>
        <v>0</v>
      </c>
      <c r="R298" s="257"/>
      <c r="S298" s="326">
        <v>0</v>
      </c>
      <c r="T298" s="326">
        <v>0</v>
      </c>
      <c r="U298" s="257">
        <v>793.45399999999995</v>
      </c>
      <c r="V298" s="326">
        <v>0.79345399999999999</v>
      </c>
      <c r="W298" s="326">
        <v>0.83521473684210523</v>
      </c>
      <c r="X298" s="257">
        <v>793.45399999999995</v>
      </c>
      <c r="Y298" s="326">
        <v>0.79345399999999999</v>
      </c>
      <c r="Z298" s="326">
        <v>0.83521473684210523</v>
      </c>
      <c r="AA298" s="257">
        <v>835</v>
      </c>
      <c r="AB298" s="326">
        <v>0.83499999999999996</v>
      </c>
      <c r="AC298" s="326">
        <v>0.87894736842105259</v>
      </c>
      <c r="AD298" s="257">
        <v>835</v>
      </c>
      <c r="AE298" s="326">
        <v>0.83499999999999996</v>
      </c>
      <c r="AF298" s="326">
        <v>0.87894736842105259</v>
      </c>
      <c r="AG298" s="257">
        <v>835</v>
      </c>
      <c r="AH298" s="326">
        <v>0.83499999999999996</v>
      </c>
      <c r="AI298" s="326">
        <v>0.87894736842105259</v>
      </c>
      <c r="AJ298" s="303">
        <v>835</v>
      </c>
      <c r="AK298" s="326">
        <v>0.83499999999999996</v>
      </c>
      <c r="AL298" s="326">
        <v>0.87894736842105259</v>
      </c>
      <c r="AM298" s="257">
        <v>835</v>
      </c>
      <c r="AN298" s="326">
        <v>0.83499999999999996</v>
      </c>
      <c r="AO298" s="326">
        <v>0.87894736842105259</v>
      </c>
      <c r="AP298" s="326"/>
      <c r="AQ298" s="257">
        <v>835</v>
      </c>
      <c r="AR298" s="326">
        <v>0.83499999999999996</v>
      </c>
      <c r="AS298" s="326">
        <v>0.87894736842105259</v>
      </c>
      <c r="AT298" s="257">
        <v>835</v>
      </c>
      <c r="AU298" s="326">
        <v>0.83499999999999996</v>
      </c>
      <c r="AV298" s="326">
        <v>0.87894736842105259</v>
      </c>
      <c r="AW298" s="326"/>
      <c r="AX298" s="326"/>
      <c r="AY298" s="326"/>
      <c r="AZ298" s="326"/>
      <c r="BA298" s="326"/>
      <c r="BB298" s="326"/>
      <c r="BC298" s="257">
        <v>835</v>
      </c>
      <c r="BD298" s="326">
        <v>0.83499999999999996</v>
      </c>
      <c r="BE298" s="326">
        <v>0.87894736842105259</v>
      </c>
      <c r="BF298" s="257">
        <v>834.52800000000002</v>
      </c>
      <c r="BG298" s="257">
        <v>834.52800000000002</v>
      </c>
      <c r="BH298" s="326">
        <v>0.83452800000000005</v>
      </c>
      <c r="BI298" s="326">
        <v>0.87845052631578946</v>
      </c>
      <c r="BJ298" s="257">
        <f t="shared" si="273"/>
        <v>950</v>
      </c>
      <c r="BK298" s="257">
        <v>834.52800000000002</v>
      </c>
      <c r="BL298" s="326">
        <f t="shared" si="258"/>
        <v>0.83452800000000005</v>
      </c>
      <c r="BM298" s="326">
        <f t="shared" si="275"/>
        <v>0.87845052631578946</v>
      </c>
      <c r="BN298" s="205">
        <f t="shared" si="256"/>
        <v>-0.47199999999997999</v>
      </c>
      <c r="BO298" s="205"/>
      <c r="BP298" s="227"/>
      <c r="BQ298" s="327">
        <f t="shared" si="259"/>
        <v>0</v>
      </c>
      <c r="BR298" s="227"/>
      <c r="BS298" s="327">
        <f t="shared" si="260"/>
        <v>0</v>
      </c>
      <c r="BT298" s="227">
        <v>950</v>
      </c>
      <c r="BU298" s="224">
        <f t="shared" si="261"/>
        <v>0.95</v>
      </c>
      <c r="BV298" s="227">
        <f>BT298</f>
        <v>950</v>
      </c>
      <c r="BW298" s="327">
        <f t="shared" si="262"/>
        <v>0.95</v>
      </c>
      <c r="BX298" s="227">
        <f>BV298</f>
        <v>950</v>
      </c>
      <c r="BY298" s="327">
        <f t="shared" si="263"/>
        <v>0.95</v>
      </c>
      <c r="BZ298" s="227">
        <f>BX298</f>
        <v>950</v>
      </c>
      <c r="CA298" s="327">
        <f t="shared" si="264"/>
        <v>0.95</v>
      </c>
      <c r="CB298" s="227">
        <f>BZ298</f>
        <v>950</v>
      </c>
      <c r="CC298" s="327">
        <f t="shared" si="265"/>
        <v>0.95</v>
      </c>
      <c r="CD298" s="227">
        <f>CB298</f>
        <v>950</v>
      </c>
      <c r="CE298" s="327">
        <f t="shared" si="266"/>
        <v>0.95</v>
      </c>
      <c r="CF298" s="227">
        <f>CD298</f>
        <v>950</v>
      </c>
      <c r="CG298" s="327">
        <f t="shared" si="267"/>
        <v>0.95</v>
      </c>
      <c r="CH298" s="227">
        <f>CF298</f>
        <v>950</v>
      </c>
      <c r="CI298" s="327">
        <f t="shared" si="268"/>
        <v>0.95</v>
      </c>
      <c r="CJ298" s="227">
        <f>CH298</f>
        <v>950</v>
      </c>
      <c r="CK298" s="327">
        <f t="shared" si="269"/>
        <v>0.95</v>
      </c>
      <c r="CL298" s="227">
        <f>CJ298</f>
        <v>950</v>
      </c>
      <c r="CM298" s="327">
        <f t="shared" si="270"/>
        <v>0.95</v>
      </c>
      <c r="CN298" s="227">
        <f>CL298</f>
        <v>950</v>
      </c>
      <c r="CO298" s="327">
        <f t="shared" si="271"/>
        <v>0.95</v>
      </c>
      <c r="CP298" s="213" t="str">
        <f t="shared" si="276"/>
        <v>Đạt</v>
      </c>
      <c r="CQ298" s="213" t="str">
        <f t="shared" si="277"/>
        <v>Đạt</v>
      </c>
      <c r="CR298" s="192"/>
      <c r="CS298" s="192"/>
      <c r="CT298" s="223"/>
      <c r="CU298" s="163"/>
      <c r="CW298" s="195"/>
      <c r="CX298" s="196"/>
      <c r="CY298" s="196"/>
      <c r="CZ298" s="197"/>
      <c r="DA298" s="196"/>
      <c r="DB298" s="196"/>
      <c r="DC298" s="196"/>
      <c r="DE298" s="199"/>
      <c r="DF298" s="200"/>
      <c r="DG298" s="181"/>
    </row>
    <row r="299" spans="1:113" s="324" customFormat="1" hidden="1" outlineLevel="1" x14ac:dyDescent="0.25">
      <c r="A299" s="305" t="s">
        <v>34</v>
      </c>
      <c r="B299" s="318" t="s">
        <v>376</v>
      </c>
      <c r="C299" s="306"/>
      <c r="D299" s="307">
        <f t="shared" si="243"/>
        <v>3000</v>
      </c>
      <c r="E299" s="307"/>
      <c r="F299" s="307">
        <f>G299+H299+K299+M299</f>
        <v>3000</v>
      </c>
      <c r="G299" s="303">
        <v>3000</v>
      </c>
      <c r="H299" s="303"/>
      <c r="I299" s="235"/>
      <c r="J299" s="235"/>
      <c r="K299" s="303"/>
      <c r="L299" s="235"/>
      <c r="M299" s="223"/>
      <c r="N299" s="223"/>
      <c r="O299" s="303">
        <f t="shared" si="285"/>
        <v>3000</v>
      </c>
      <c r="P299" s="303">
        <v>0</v>
      </c>
      <c r="Q299" s="308">
        <f t="shared" si="272"/>
        <v>0</v>
      </c>
      <c r="R299" s="303"/>
      <c r="S299" s="313">
        <v>0</v>
      </c>
      <c r="T299" s="313">
        <v>0</v>
      </c>
      <c r="U299" s="303"/>
      <c r="V299" s="313">
        <v>0</v>
      </c>
      <c r="W299" s="313">
        <v>0</v>
      </c>
      <c r="X299" s="303"/>
      <c r="Y299" s="313">
        <v>0</v>
      </c>
      <c r="Z299" s="313">
        <v>0</v>
      </c>
      <c r="AA299" s="303"/>
      <c r="AB299" s="313">
        <v>0</v>
      </c>
      <c r="AC299" s="313">
        <v>0</v>
      </c>
      <c r="AD299" s="303">
        <v>541</v>
      </c>
      <c r="AE299" s="313">
        <v>0.18033333333333335</v>
      </c>
      <c r="AF299" s="313">
        <v>0.18982456140350878</v>
      </c>
      <c r="AG299" s="303">
        <v>541</v>
      </c>
      <c r="AH299" s="313">
        <v>0.18033333333333335</v>
      </c>
      <c r="AI299" s="313">
        <v>0.18982456140350878</v>
      </c>
      <c r="AJ299" s="303">
        <v>541</v>
      </c>
      <c r="AK299" s="313">
        <v>0.18033333333333335</v>
      </c>
      <c r="AL299" s="313">
        <v>0.18982456140350878</v>
      </c>
      <c r="AM299" s="303">
        <v>541</v>
      </c>
      <c r="AN299" s="313">
        <v>0.18033333333333335</v>
      </c>
      <c r="AO299" s="313">
        <v>0.18982456140350878</v>
      </c>
      <c r="AP299" s="313"/>
      <c r="AQ299" s="303">
        <v>0</v>
      </c>
      <c r="AR299" s="313">
        <v>0</v>
      </c>
      <c r="AS299" s="313">
        <v>0</v>
      </c>
      <c r="AT299" s="303">
        <v>0</v>
      </c>
      <c r="AU299" s="313">
        <v>0</v>
      </c>
      <c r="AV299" s="313">
        <v>0</v>
      </c>
      <c r="AW299" s="313"/>
      <c r="AX299" s="313"/>
      <c r="AY299" s="313"/>
      <c r="AZ299" s="313"/>
      <c r="BA299" s="313"/>
      <c r="BB299" s="313"/>
      <c r="BC299" s="303">
        <v>0</v>
      </c>
      <c r="BD299" s="313">
        <v>0</v>
      </c>
      <c r="BE299" s="313">
        <v>0</v>
      </c>
      <c r="BF299" s="303"/>
      <c r="BG299" s="303">
        <v>0</v>
      </c>
      <c r="BH299" s="313">
        <v>0</v>
      </c>
      <c r="BI299" s="313">
        <v>0</v>
      </c>
      <c r="BJ299" s="303">
        <f t="shared" si="273"/>
        <v>2850</v>
      </c>
      <c r="BK299" s="303">
        <v>0</v>
      </c>
      <c r="BL299" s="313">
        <f t="shared" si="258"/>
        <v>0</v>
      </c>
      <c r="BM299" s="313">
        <f t="shared" si="275"/>
        <v>0</v>
      </c>
      <c r="BN299" s="205">
        <f t="shared" si="256"/>
        <v>-541</v>
      </c>
      <c r="BO299" s="205"/>
      <c r="BP299" s="310"/>
      <c r="BQ299" s="311">
        <f t="shared" si="259"/>
        <v>0</v>
      </c>
      <c r="BR299" s="310"/>
      <c r="BS299" s="311">
        <f t="shared" si="260"/>
        <v>0</v>
      </c>
      <c r="BT299" s="310"/>
      <c r="BU299" s="308">
        <f t="shared" si="261"/>
        <v>0</v>
      </c>
      <c r="BV299" s="310"/>
      <c r="BW299" s="311">
        <f t="shared" si="262"/>
        <v>0</v>
      </c>
      <c r="BX299" s="310"/>
      <c r="BY299" s="311">
        <f t="shared" si="263"/>
        <v>0</v>
      </c>
      <c r="BZ299" s="310">
        <v>950</v>
      </c>
      <c r="CA299" s="311">
        <f t="shared" si="264"/>
        <v>0.31666666666666665</v>
      </c>
      <c r="CB299" s="310">
        <v>950</v>
      </c>
      <c r="CC299" s="311">
        <f t="shared" si="265"/>
        <v>0.31666666666666665</v>
      </c>
      <c r="CD299" s="310">
        <v>950</v>
      </c>
      <c r="CE299" s="311">
        <f t="shared" si="266"/>
        <v>0.31666666666666665</v>
      </c>
      <c r="CF299" s="310">
        <v>1500</v>
      </c>
      <c r="CG299" s="311">
        <f t="shared" si="267"/>
        <v>0.5</v>
      </c>
      <c r="CH299" s="310">
        <v>2000</v>
      </c>
      <c r="CI299" s="311">
        <f t="shared" si="268"/>
        <v>0.66666666666666663</v>
      </c>
      <c r="CJ299" s="310">
        <v>2000</v>
      </c>
      <c r="CK299" s="311">
        <f t="shared" si="269"/>
        <v>0.66666666666666663</v>
      </c>
      <c r="CL299" s="310">
        <v>2850</v>
      </c>
      <c r="CM299" s="311">
        <f t="shared" si="270"/>
        <v>0.95</v>
      </c>
      <c r="CN299" s="310">
        <v>2850</v>
      </c>
      <c r="CO299" s="311">
        <f t="shared" si="271"/>
        <v>0.95</v>
      </c>
      <c r="CP299" s="213" t="str">
        <f t="shared" si="276"/>
        <v>Không đạt</v>
      </c>
      <c r="CQ299" s="213" t="str">
        <f t="shared" si="277"/>
        <v>Không đạt</v>
      </c>
      <c r="CR299" s="312"/>
      <c r="CS299" s="312"/>
      <c r="CT299" s="235"/>
      <c r="CU299" s="163"/>
      <c r="CV299" s="323"/>
      <c r="CW299" s="195"/>
      <c r="CX299" s="196"/>
      <c r="CY299" s="196"/>
      <c r="CZ299" s="197"/>
      <c r="DA299" s="196"/>
      <c r="DB299" s="196"/>
      <c r="DC299" s="196"/>
      <c r="DE299" s="199"/>
      <c r="DF299" s="200"/>
      <c r="DG299" s="181"/>
    </row>
    <row r="300" spans="1:113" ht="25.5" hidden="1" outlineLevel="1" x14ac:dyDescent="0.25">
      <c r="A300" s="305" t="s">
        <v>34</v>
      </c>
      <c r="B300" s="306" t="s">
        <v>377</v>
      </c>
      <c r="C300" s="306"/>
      <c r="D300" s="307">
        <f>E300+F300</f>
        <v>1700</v>
      </c>
      <c r="E300" s="307"/>
      <c r="F300" s="307">
        <f>G300+H300+K300+M300</f>
        <v>1700</v>
      </c>
      <c r="G300" s="307"/>
      <c r="H300" s="307">
        <v>1700</v>
      </c>
      <c r="I300" s="235"/>
      <c r="J300" s="235"/>
      <c r="K300" s="303"/>
      <c r="L300" s="235"/>
      <c r="M300" s="223"/>
      <c r="N300" s="223"/>
      <c r="O300" s="303"/>
      <c r="P300" s="303">
        <v>0</v>
      </c>
      <c r="Q300" s="308">
        <f t="shared" si="272"/>
        <v>0</v>
      </c>
      <c r="R300" s="303"/>
      <c r="S300" s="313">
        <v>0</v>
      </c>
      <c r="T300" s="313">
        <v>0</v>
      </c>
      <c r="U300" s="303"/>
      <c r="V300" s="313">
        <v>0</v>
      </c>
      <c r="W300" s="313">
        <v>0</v>
      </c>
      <c r="X300" s="303"/>
      <c r="Y300" s="313">
        <v>0</v>
      </c>
      <c r="Z300" s="313">
        <v>0</v>
      </c>
      <c r="AA300" s="303"/>
      <c r="AB300" s="313">
        <v>0</v>
      </c>
      <c r="AC300" s="313">
        <v>0</v>
      </c>
      <c r="AD300" s="303"/>
      <c r="AE300" s="313">
        <v>0</v>
      </c>
      <c r="AF300" s="313">
        <v>0</v>
      </c>
      <c r="AG300" s="303"/>
      <c r="AH300" s="313">
        <v>0</v>
      </c>
      <c r="AI300" s="313">
        <v>0</v>
      </c>
      <c r="AJ300" s="188"/>
      <c r="AK300" s="313">
        <v>0</v>
      </c>
      <c r="AL300" s="313">
        <v>0</v>
      </c>
      <c r="AM300" s="303"/>
      <c r="AN300" s="313">
        <v>0</v>
      </c>
      <c r="AO300" s="313">
        <v>0</v>
      </c>
      <c r="AP300" s="313"/>
      <c r="AQ300" s="303">
        <v>1334</v>
      </c>
      <c r="AR300" s="313">
        <v>0.78470588235294114</v>
      </c>
      <c r="AS300" s="313">
        <v>0.82600619195046443</v>
      </c>
      <c r="AT300" s="303">
        <v>1334</v>
      </c>
      <c r="AU300" s="313">
        <v>0.78470588235294114</v>
      </c>
      <c r="AV300" s="313">
        <v>0.82600619195046443</v>
      </c>
      <c r="AW300" s="313"/>
      <c r="AX300" s="313"/>
      <c r="AY300" s="313"/>
      <c r="AZ300" s="313"/>
      <c r="BA300" s="313"/>
      <c r="BB300" s="313"/>
      <c r="BC300" s="303">
        <v>1334</v>
      </c>
      <c r="BD300" s="313">
        <v>0.78470588235294114</v>
      </c>
      <c r="BE300" s="313">
        <v>0.82600619195046443</v>
      </c>
      <c r="BF300" s="303"/>
      <c r="BG300" s="303">
        <v>1615</v>
      </c>
      <c r="BH300" s="313">
        <v>0.95</v>
      </c>
      <c r="BI300" s="313">
        <v>1</v>
      </c>
      <c r="BJ300" s="303">
        <f t="shared" si="273"/>
        <v>1615</v>
      </c>
      <c r="BK300" s="303">
        <v>1615</v>
      </c>
      <c r="BL300" s="313">
        <f t="shared" si="258"/>
        <v>0.95</v>
      </c>
      <c r="BM300" s="313">
        <f t="shared" si="275"/>
        <v>1</v>
      </c>
      <c r="BN300" s="205">
        <f t="shared" si="256"/>
        <v>1615</v>
      </c>
      <c r="BO300" s="205"/>
      <c r="BP300" s="310"/>
      <c r="BQ300" s="311">
        <f t="shared" si="259"/>
        <v>0</v>
      </c>
      <c r="BR300" s="310"/>
      <c r="BS300" s="311">
        <f t="shared" si="260"/>
        <v>0</v>
      </c>
      <c r="BT300" s="310">
        <v>615</v>
      </c>
      <c r="BU300" s="308">
        <f t="shared" si="261"/>
        <v>0.36176470588235293</v>
      </c>
      <c r="BV300" s="310">
        <f>BT300</f>
        <v>615</v>
      </c>
      <c r="BW300" s="311">
        <f t="shared" si="262"/>
        <v>0.36176470588235293</v>
      </c>
      <c r="BX300" s="310">
        <f>BV300</f>
        <v>615</v>
      </c>
      <c r="BY300" s="311">
        <f t="shared" si="263"/>
        <v>0.36176470588235293</v>
      </c>
      <c r="BZ300" s="310">
        <v>1615</v>
      </c>
      <c r="CA300" s="311">
        <f t="shared" si="264"/>
        <v>0.95</v>
      </c>
      <c r="CB300" s="310">
        <f>BZ300</f>
        <v>1615</v>
      </c>
      <c r="CC300" s="311">
        <f t="shared" si="265"/>
        <v>0.95</v>
      </c>
      <c r="CD300" s="310">
        <f>CB300</f>
        <v>1615</v>
      </c>
      <c r="CE300" s="311">
        <f t="shared" si="266"/>
        <v>0.95</v>
      </c>
      <c r="CF300" s="310">
        <f>CD300</f>
        <v>1615</v>
      </c>
      <c r="CG300" s="311">
        <f t="shared" si="267"/>
        <v>0.95</v>
      </c>
      <c r="CH300" s="310">
        <f>CF300</f>
        <v>1615</v>
      </c>
      <c r="CI300" s="311">
        <f t="shared" si="268"/>
        <v>0.95</v>
      </c>
      <c r="CJ300" s="310">
        <f>CH300</f>
        <v>1615</v>
      </c>
      <c r="CK300" s="311">
        <f t="shared" si="269"/>
        <v>0.95</v>
      </c>
      <c r="CL300" s="310">
        <f>CJ300</f>
        <v>1615</v>
      </c>
      <c r="CM300" s="311">
        <f t="shared" si="270"/>
        <v>0.95</v>
      </c>
      <c r="CN300" s="310">
        <f>CL300</f>
        <v>1615</v>
      </c>
      <c r="CO300" s="311">
        <f t="shared" si="271"/>
        <v>0.95</v>
      </c>
      <c r="CP300" s="213" t="str">
        <f t="shared" si="276"/>
        <v>Đạt</v>
      </c>
      <c r="CQ300" s="213" t="str">
        <f t="shared" si="277"/>
        <v>Đạt</v>
      </c>
      <c r="CR300" s="312"/>
      <c r="CS300" s="312"/>
      <c r="CT300" s="235"/>
      <c r="CU300" s="163"/>
      <c r="CW300" s="195"/>
      <c r="CX300" s="196"/>
      <c r="CY300" s="196"/>
      <c r="CZ300" s="197"/>
      <c r="DA300" s="196"/>
      <c r="DB300" s="196"/>
      <c r="DC300" s="196"/>
      <c r="DE300" s="199"/>
      <c r="DF300" s="200"/>
      <c r="DG300" s="181"/>
      <c r="DH300" s="335"/>
    </row>
    <row r="301" spans="1:113" ht="18" customHeight="1" collapsed="1" x14ac:dyDescent="0.25">
      <c r="A301" s="213">
        <f>MAX(A$239:A299)+1</f>
        <v>18</v>
      </c>
      <c r="B301" s="240" t="s">
        <v>403</v>
      </c>
      <c r="C301" s="240"/>
      <c r="D301" s="188">
        <f t="shared" ref="D301:I301" si="289">D302+D308+D309</f>
        <v>79107</v>
      </c>
      <c r="E301" s="188">
        <f t="shared" si="289"/>
        <v>0</v>
      </c>
      <c r="F301" s="188">
        <f t="shared" si="289"/>
        <v>79107</v>
      </c>
      <c r="G301" s="188">
        <f t="shared" si="289"/>
        <v>3000</v>
      </c>
      <c r="H301" s="188">
        <f t="shared" si="289"/>
        <v>76107</v>
      </c>
      <c r="I301" s="188">
        <f t="shared" si="289"/>
        <v>1717</v>
      </c>
      <c r="J301" s="188"/>
      <c r="K301" s="188">
        <f>K302+K308+K309</f>
        <v>0</v>
      </c>
      <c r="L301" s="188">
        <f>L302+L308+L309</f>
        <v>0</v>
      </c>
      <c r="M301" s="188">
        <f>M302+M308+M309</f>
        <v>0</v>
      </c>
      <c r="N301" s="188">
        <f>N302+N308+N309</f>
        <v>0</v>
      </c>
      <c r="O301" s="188">
        <f>O302+O308+O309</f>
        <v>4717</v>
      </c>
      <c r="P301" s="188">
        <v>0</v>
      </c>
      <c r="Q301" s="186">
        <f t="shared" si="272"/>
        <v>0</v>
      </c>
      <c r="R301" s="188">
        <v>0</v>
      </c>
      <c r="S301" s="185">
        <v>0</v>
      </c>
      <c r="T301" s="185">
        <v>0</v>
      </c>
      <c r="U301" s="188">
        <v>0</v>
      </c>
      <c r="V301" s="185">
        <v>0</v>
      </c>
      <c r="W301" s="185">
        <v>0</v>
      </c>
      <c r="X301" s="188">
        <v>0</v>
      </c>
      <c r="Y301" s="185">
        <v>0</v>
      </c>
      <c r="Z301" s="185">
        <v>0</v>
      </c>
      <c r="AA301" s="188">
        <v>336</v>
      </c>
      <c r="AB301" s="185">
        <v>4.247411733474914E-3</v>
      </c>
      <c r="AC301" s="185">
        <v>4.4709597194472778E-3</v>
      </c>
      <c r="AD301" s="188">
        <v>1518</v>
      </c>
      <c r="AE301" s="185">
        <v>1.9189199438734879E-2</v>
      </c>
      <c r="AF301" s="185">
        <v>2.0199157303931452E-2</v>
      </c>
      <c r="AG301" s="188">
        <v>1518</v>
      </c>
      <c r="AH301" s="185">
        <v>1.9189199438734879E-2</v>
      </c>
      <c r="AI301" s="185">
        <v>2.0199157303931452E-2</v>
      </c>
      <c r="AJ301" s="317">
        <v>1518</v>
      </c>
      <c r="AK301" s="185">
        <v>1.9189199438734879E-2</v>
      </c>
      <c r="AL301" s="185">
        <v>2.0199157303931452E-2</v>
      </c>
      <c r="AM301" s="188">
        <v>1518</v>
      </c>
      <c r="AN301" s="185">
        <v>1.9189199438734879E-2</v>
      </c>
      <c r="AO301" s="185">
        <v>2.0199157303931452E-2</v>
      </c>
      <c r="AP301" s="185"/>
      <c r="AQ301" s="188">
        <v>1833</v>
      </c>
      <c r="AR301" s="185">
        <v>2.3171147938867608E-2</v>
      </c>
      <c r="AS301" s="185">
        <v>2.4390682040913277E-2</v>
      </c>
      <c r="AT301" s="188">
        <v>1833</v>
      </c>
      <c r="AU301" s="185">
        <v>2.3171147938867608E-2</v>
      </c>
      <c r="AV301" s="185">
        <v>2.4390682040913277E-2</v>
      </c>
      <c r="AW301" s="185"/>
      <c r="AX301" s="185"/>
      <c r="AY301" s="185"/>
      <c r="AZ301" s="185"/>
      <c r="BA301" s="185"/>
      <c r="BB301" s="185"/>
      <c r="BC301" s="188">
        <v>1833</v>
      </c>
      <c r="BD301" s="185">
        <v>2.3171147938867608E-2</v>
      </c>
      <c r="BE301" s="185">
        <v>2.4390682040913277E-2</v>
      </c>
      <c r="BF301" s="188"/>
      <c r="BG301" s="188">
        <v>4702.4979999999996</v>
      </c>
      <c r="BH301" s="185">
        <v>5.9444777326911648E-2</v>
      </c>
      <c r="BI301" s="185">
        <v>6.2573449817801732E-2</v>
      </c>
      <c r="BJ301" s="188">
        <f t="shared" si="273"/>
        <v>75151.649999999994</v>
      </c>
      <c r="BK301" s="188">
        <v>5113</v>
      </c>
      <c r="BL301" s="185">
        <f t="shared" si="258"/>
        <v>6.4633976765646528E-2</v>
      </c>
      <c r="BM301" s="185">
        <f t="shared" si="275"/>
        <v>6.8035765016470032E-2</v>
      </c>
      <c r="BN301" s="205">
        <f t="shared" si="256"/>
        <v>3595</v>
      </c>
      <c r="BO301" s="205"/>
      <c r="BP301" s="189">
        <f>BP302+BP308+BP309</f>
        <v>0</v>
      </c>
      <c r="BQ301" s="186">
        <f t="shared" si="259"/>
        <v>0</v>
      </c>
      <c r="BR301" s="189">
        <f>BR302+BR308+BR309</f>
        <v>0</v>
      </c>
      <c r="BS301" s="186">
        <f t="shared" si="260"/>
        <v>0</v>
      </c>
      <c r="BT301" s="189">
        <f>BT302+BT308+BT309</f>
        <v>7910.7</v>
      </c>
      <c r="BU301" s="186">
        <f t="shared" si="261"/>
        <v>9.9999999999999992E-2</v>
      </c>
      <c r="BV301" s="189">
        <f>BV302+BV308+BV309</f>
        <v>15821.4</v>
      </c>
      <c r="BW301" s="186">
        <f t="shared" si="262"/>
        <v>0.19999999999999998</v>
      </c>
      <c r="BX301" s="189">
        <f>BX302+BX308+BX309</f>
        <v>23732.1</v>
      </c>
      <c r="BY301" s="186">
        <f t="shared" si="263"/>
        <v>0.3</v>
      </c>
      <c r="BZ301" s="189">
        <f>BZ302+BZ308+BZ309</f>
        <v>31642.799999999999</v>
      </c>
      <c r="CA301" s="186">
        <f t="shared" si="264"/>
        <v>0.39999999999999997</v>
      </c>
      <c r="CB301" s="189">
        <f>CB302+CB308+CB309</f>
        <v>39553.5</v>
      </c>
      <c r="CC301" s="186">
        <f t="shared" si="265"/>
        <v>0.5</v>
      </c>
      <c r="CD301" s="189">
        <f>CD302+CD308+CD309</f>
        <v>43508.85</v>
      </c>
      <c r="CE301" s="186">
        <f t="shared" si="266"/>
        <v>0.54999999999999993</v>
      </c>
      <c r="CF301" s="189">
        <f>CF302+CF308+CF309</f>
        <v>55374.9</v>
      </c>
      <c r="CG301" s="186">
        <f t="shared" si="267"/>
        <v>0.70000000000000007</v>
      </c>
      <c r="CH301" s="189">
        <f>CH302+CH308+CH309</f>
        <v>55374.9</v>
      </c>
      <c r="CI301" s="186">
        <f t="shared" si="268"/>
        <v>0.70000000000000007</v>
      </c>
      <c r="CJ301" s="189">
        <f>CJ302+CJ308+CJ309</f>
        <v>59330.25</v>
      </c>
      <c r="CK301" s="186">
        <f t="shared" si="269"/>
        <v>0.75</v>
      </c>
      <c r="CL301" s="189">
        <f>CL302+CL308+CL309</f>
        <v>59330.25</v>
      </c>
      <c r="CM301" s="186">
        <f t="shared" si="270"/>
        <v>0.75</v>
      </c>
      <c r="CN301" s="189">
        <f>CN302+CN308+CN309</f>
        <v>75151.649999999994</v>
      </c>
      <c r="CO301" s="186">
        <f t="shared" si="271"/>
        <v>0.95</v>
      </c>
      <c r="CP301" s="213" t="str">
        <f t="shared" si="276"/>
        <v>Không đạt</v>
      </c>
      <c r="CQ301" s="213" t="str">
        <f t="shared" si="277"/>
        <v>Không đạt</v>
      </c>
      <c r="CR301" s="213"/>
      <c r="CS301" s="213"/>
      <c r="CT301" s="231"/>
      <c r="CU301" s="163"/>
      <c r="CW301" s="195"/>
      <c r="CX301" s="196"/>
      <c r="CY301" s="196"/>
      <c r="CZ301" s="197"/>
      <c r="DA301" s="196"/>
      <c r="DB301" s="196"/>
      <c r="DC301" s="196"/>
      <c r="DE301" s="199"/>
      <c r="DF301" s="200"/>
      <c r="DG301" s="181"/>
      <c r="DH301" s="336"/>
      <c r="DI301" s="336"/>
    </row>
    <row r="302" spans="1:113" s="324" customFormat="1" hidden="1" outlineLevel="1" x14ac:dyDescent="0.25">
      <c r="A302" s="305" t="s">
        <v>34</v>
      </c>
      <c r="B302" s="318" t="s">
        <v>381</v>
      </c>
      <c r="C302" s="306"/>
      <c r="D302" s="317">
        <f t="shared" ref="D302:I302" si="290">SUM(D303:D307)</f>
        <v>8407</v>
      </c>
      <c r="E302" s="317">
        <f t="shared" si="290"/>
        <v>0</v>
      </c>
      <c r="F302" s="317">
        <f t="shared" si="290"/>
        <v>8407</v>
      </c>
      <c r="G302" s="317">
        <f t="shared" si="290"/>
        <v>0</v>
      </c>
      <c r="H302" s="317">
        <f t="shared" si="290"/>
        <v>8407</v>
      </c>
      <c r="I302" s="214">
        <f t="shared" si="290"/>
        <v>1717</v>
      </c>
      <c r="J302" s="214"/>
      <c r="K302" s="317">
        <f>SUM(K303:K307)</f>
        <v>0</v>
      </c>
      <c r="L302" s="214">
        <f>SUM(L303:L307)</f>
        <v>0</v>
      </c>
      <c r="M302" s="223"/>
      <c r="N302" s="223"/>
      <c r="O302" s="317">
        <f t="shared" si="285"/>
        <v>1717</v>
      </c>
      <c r="P302" s="317">
        <v>0</v>
      </c>
      <c r="Q302" s="319">
        <f t="shared" si="272"/>
        <v>0</v>
      </c>
      <c r="R302" s="317">
        <v>0</v>
      </c>
      <c r="S302" s="187">
        <v>0</v>
      </c>
      <c r="T302" s="187">
        <v>0</v>
      </c>
      <c r="U302" s="317">
        <v>0</v>
      </c>
      <c r="V302" s="187">
        <v>0</v>
      </c>
      <c r="W302" s="187">
        <v>0</v>
      </c>
      <c r="X302" s="317">
        <v>0</v>
      </c>
      <c r="Y302" s="187">
        <v>0</v>
      </c>
      <c r="Z302" s="187">
        <v>0</v>
      </c>
      <c r="AA302" s="317">
        <v>336</v>
      </c>
      <c r="AB302" s="187">
        <v>3.996669442131557E-2</v>
      </c>
      <c r="AC302" s="187">
        <v>4.207020465401639E-2</v>
      </c>
      <c r="AD302" s="317">
        <v>1518</v>
      </c>
      <c r="AE302" s="187">
        <v>0.18056381586772927</v>
      </c>
      <c r="AF302" s="187">
        <v>0.19006717459760977</v>
      </c>
      <c r="AG302" s="317">
        <v>1518</v>
      </c>
      <c r="AH302" s="187">
        <v>0.18056381586772927</v>
      </c>
      <c r="AI302" s="187">
        <v>0.19006717459760977</v>
      </c>
      <c r="AJ302" s="257">
        <v>1518</v>
      </c>
      <c r="AK302" s="187">
        <v>0.18056381586772927</v>
      </c>
      <c r="AL302" s="187">
        <v>0.19006717459760977</v>
      </c>
      <c r="AM302" s="317">
        <v>1518</v>
      </c>
      <c r="AN302" s="187">
        <v>0.18056381586772927</v>
      </c>
      <c r="AO302" s="187">
        <v>0.19006717459760977</v>
      </c>
      <c r="AP302" s="187"/>
      <c r="AQ302" s="317">
        <v>1540</v>
      </c>
      <c r="AR302" s="187">
        <v>0.18318068276436303</v>
      </c>
      <c r="AS302" s="187">
        <v>0.19282177133090847</v>
      </c>
      <c r="AT302" s="317">
        <v>1540</v>
      </c>
      <c r="AU302" s="187">
        <v>0.18318068276436303</v>
      </c>
      <c r="AV302" s="187">
        <v>0.19282177133090847</v>
      </c>
      <c r="AW302" s="187"/>
      <c r="AX302" s="187"/>
      <c r="AY302" s="187"/>
      <c r="AZ302" s="187"/>
      <c r="BA302" s="187"/>
      <c r="BB302" s="187"/>
      <c r="BC302" s="317">
        <v>1540</v>
      </c>
      <c r="BD302" s="187">
        <v>0.18318068276436303</v>
      </c>
      <c r="BE302" s="187">
        <v>0.19282177133090847</v>
      </c>
      <c r="BF302" s="317"/>
      <c r="BG302" s="317">
        <v>1588.498</v>
      </c>
      <c r="BH302" s="187">
        <v>0.18894944688949686</v>
      </c>
      <c r="BI302" s="187">
        <v>0.19889415462052301</v>
      </c>
      <c r="BJ302" s="317">
        <f t="shared" si="273"/>
        <v>7986.65</v>
      </c>
      <c r="BK302" s="317">
        <f>SUM(BK303:BK307)</f>
        <v>1588.498</v>
      </c>
      <c r="BL302" s="187">
        <f t="shared" si="258"/>
        <v>0.18894944688949686</v>
      </c>
      <c r="BM302" s="187">
        <f t="shared" si="275"/>
        <v>0.19889415462052301</v>
      </c>
      <c r="BN302" s="205">
        <f t="shared" si="256"/>
        <v>70.498000000000047</v>
      </c>
      <c r="BO302" s="205"/>
      <c r="BP302" s="307">
        <f>SUM(BP303:BP307)</f>
        <v>0</v>
      </c>
      <c r="BQ302" s="319">
        <f t="shared" si="259"/>
        <v>0</v>
      </c>
      <c r="BR302" s="307">
        <f>SUM(BR303:BR307)</f>
        <v>0</v>
      </c>
      <c r="BS302" s="319">
        <f t="shared" si="260"/>
        <v>0</v>
      </c>
      <c r="BT302" s="307">
        <f>SUM(BT303:BT307)</f>
        <v>840.7</v>
      </c>
      <c r="BU302" s="319">
        <f t="shared" si="261"/>
        <v>0.1</v>
      </c>
      <c r="BV302" s="307">
        <f>SUM(BV303:BV307)</f>
        <v>1681.4</v>
      </c>
      <c r="BW302" s="319">
        <f t="shared" si="262"/>
        <v>0.2</v>
      </c>
      <c r="BX302" s="307">
        <f>SUM(BX303:BX307)</f>
        <v>2522.1</v>
      </c>
      <c r="BY302" s="319">
        <f t="shared" si="263"/>
        <v>0.3</v>
      </c>
      <c r="BZ302" s="307">
        <f>SUM(BZ303:BZ307)</f>
        <v>3362.8</v>
      </c>
      <c r="CA302" s="319">
        <f t="shared" si="264"/>
        <v>0.4</v>
      </c>
      <c r="CB302" s="307">
        <f>SUM(CB303:CB307)</f>
        <v>4203.5</v>
      </c>
      <c r="CC302" s="319">
        <f t="shared" si="265"/>
        <v>0.5</v>
      </c>
      <c r="CD302" s="307">
        <f>SUM(CD303:CD307)</f>
        <v>4623.8500000000004</v>
      </c>
      <c r="CE302" s="319">
        <f t="shared" si="266"/>
        <v>0.55000000000000004</v>
      </c>
      <c r="CF302" s="307">
        <v>5884.9</v>
      </c>
      <c r="CG302" s="319">
        <f t="shared" si="267"/>
        <v>0.7</v>
      </c>
      <c r="CH302" s="307">
        <f>SUM(CH303:CH307)</f>
        <v>5884.9</v>
      </c>
      <c r="CI302" s="319">
        <f t="shared" si="268"/>
        <v>0.7</v>
      </c>
      <c r="CJ302" s="307">
        <f>SUM(CJ303:CJ307)</f>
        <v>6305.25</v>
      </c>
      <c r="CK302" s="319">
        <f t="shared" si="269"/>
        <v>0.75</v>
      </c>
      <c r="CL302" s="307">
        <f>SUM(CL303:CL307)</f>
        <v>6305.25</v>
      </c>
      <c r="CM302" s="319">
        <f t="shared" si="270"/>
        <v>0.75</v>
      </c>
      <c r="CN302" s="307">
        <f>SUM(CN303:CN307)</f>
        <v>7986.65</v>
      </c>
      <c r="CO302" s="319">
        <f t="shared" si="271"/>
        <v>0.95</v>
      </c>
      <c r="CP302" s="213" t="str">
        <f t="shared" si="276"/>
        <v>Không đạt</v>
      </c>
      <c r="CQ302" s="213" t="str">
        <f t="shared" si="277"/>
        <v>Không đạt</v>
      </c>
      <c r="CR302" s="312"/>
      <c r="CS302" s="312"/>
      <c r="CT302" s="235"/>
      <c r="CU302" s="163"/>
      <c r="CV302" s="323"/>
      <c r="CW302" s="195"/>
      <c r="CX302" s="196"/>
      <c r="CY302" s="196"/>
      <c r="CZ302" s="197"/>
      <c r="DA302" s="196"/>
      <c r="DB302" s="196"/>
      <c r="DC302" s="196"/>
      <c r="DE302" s="199"/>
      <c r="DF302" s="200"/>
      <c r="DG302" s="181"/>
    </row>
    <row r="303" spans="1:113" ht="38.25" hidden="1" outlineLevel="1" x14ac:dyDescent="0.25">
      <c r="A303" s="192">
        <v>1</v>
      </c>
      <c r="B303" s="325" t="s">
        <v>404</v>
      </c>
      <c r="C303" s="325"/>
      <c r="D303" s="214">
        <f t="shared" si="243"/>
        <v>1200</v>
      </c>
      <c r="E303" s="215"/>
      <c r="F303" s="214">
        <f t="shared" ref="F303:F308" si="291">G303+H303+K303+M303</f>
        <v>1200</v>
      </c>
      <c r="G303" s="223"/>
      <c r="H303" s="257">
        <v>1200</v>
      </c>
      <c r="I303" s="235">
        <v>1140</v>
      </c>
      <c r="J303" s="257">
        <v>1126</v>
      </c>
      <c r="K303" s="223"/>
      <c r="L303" s="235"/>
      <c r="M303" s="223"/>
      <c r="N303" s="223"/>
      <c r="O303" s="257">
        <f t="shared" si="285"/>
        <v>1140</v>
      </c>
      <c r="P303" s="257">
        <v>0</v>
      </c>
      <c r="Q303" s="224">
        <f t="shared" si="272"/>
        <v>0</v>
      </c>
      <c r="R303" s="257"/>
      <c r="S303" s="225">
        <v>0</v>
      </c>
      <c r="T303" s="225">
        <v>0</v>
      </c>
      <c r="U303" s="257"/>
      <c r="V303" s="225">
        <v>0</v>
      </c>
      <c r="W303" s="225">
        <v>0</v>
      </c>
      <c r="X303" s="257"/>
      <c r="Y303" s="225">
        <v>0</v>
      </c>
      <c r="Z303" s="225">
        <v>0</v>
      </c>
      <c r="AA303" s="257"/>
      <c r="AB303" s="225">
        <v>0</v>
      </c>
      <c r="AC303" s="225">
        <v>0</v>
      </c>
      <c r="AD303" s="257">
        <v>1104</v>
      </c>
      <c r="AE303" s="225">
        <v>0.92</v>
      </c>
      <c r="AF303" s="225">
        <v>0.96842105263157896</v>
      </c>
      <c r="AG303" s="257">
        <v>1104</v>
      </c>
      <c r="AH303" s="225">
        <v>0.92</v>
      </c>
      <c r="AI303" s="225">
        <v>0.96842105263157896</v>
      </c>
      <c r="AJ303" s="257">
        <v>1104</v>
      </c>
      <c r="AK303" s="225">
        <v>0.92</v>
      </c>
      <c r="AL303" s="225">
        <v>0.96842105263157896</v>
      </c>
      <c r="AM303" s="257">
        <v>1104</v>
      </c>
      <c r="AN303" s="225">
        <v>0.92</v>
      </c>
      <c r="AO303" s="225">
        <v>0.96842105263157896</v>
      </c>
      <c r="AP303" s="225"/>
      <c r="AQ303" s="257">
        <v>1126</v>
      </c>
      <c r="AR303" s="225">
        <v>0.93833333333333335</v>
      </c>
      <c r="AS303" s="225">
        <v>0.987719298245614</v>
      </c>
      <c r="AT303" s="257">
        <v>1126</v>
      </c>
      <c r="AU303" s="225">
        <v>0.93833333333333335</v>
      </c>
      <c r="AV303" s="225">
        <v>0.987719298245614</v>
      </c>
      <c r="AW303" s="225"/>
      <c r="AX303" s="225"/>
      <c r="AY303" s="225"/>
      <c r="AZ303" s="225"/>
      <c r="BA303" s="225"/>
      <c r="BB303" s="225"/>
      <c r="BC303" s="257">
        <v>1126</v>
      </c>
      <c r="BD303" s="225">
        <v>0.93833333333333335</v>
      </c>
      <c r="BE303" s="225">
        <v>0.987719298245614</v>
      </c>
      <c r="BF303" s="257">
        <v>1126</v>
      </c>
      <c r="BG303" s="257">
        <v>1126</v>
      </c>
      <c r="BH303" s="225">
        <v>0.93833333333333335</v>
      </c>
      <c r="BI303" s="225">
        <v>0.987719298245614</v>
      </c>
      <c r="BJ303" s="257">
        <f t="shared" si="273"/>
        <v>1140</v>
      </c>
      <c r="BK303" s="257">
        <v>1126</v>
      </c>
      <c r="BL303" s="225">
        <f t="shared" si="258"/>
        <v>0.93833333333333335</v>
      </c>
      <c r="BM303" s="225">
        <f t="shared" si="275"/>
        <v>0.987719298245614</v>
      </c>
      <c r="BN303" s="205">
        <f t="shared" si="256"/>
        <v>22</v>
      </c>
      <c r="BO303" s="205"/>
      <c r="BP303" s="227"/>
      <c r="BQ303" s="224">
        <f t="shared" si="259"/>
        <v>0</v>
      </c>
      <c r="BR303" s="227"/>
      <c r="BS303" s="224">
        <f t="shared" si="260"/>
        <v>0</v>
      </c>
      <c r="BT303" s="227">
        <f t="shared" ref="BT303:BT309" si="292">$F303*0.1</f>
        <v>120</v>
      </c>
      <c r="BU303" s="224">
        <f t="shared" si="261"/>
        <v>0.1</v>
      </c>
      <c r="BV303" s="227">
        <f t="shared" ref="BV303:BV309" si="293">$F303*0.2</f>
        <v>240</v>
      </c>
      <c r="BW303" s="308">
        <f t="shared" si="262"/>
        <v>0.2</v>
      </c>
      <c r="BX303" s="227">
        <f t="shared" ref="BX303:BX309" si="294">$F303*0.3</f>
        <v>360</v>
      </c>
      <c r="BY303" s="308">
        <f t="shared" si="263"/>
        <v>0.3</v>
      </c>
      <c r="BZ303" s="227">
        <f t="shared" ref="BZ303:BZ309" si="295">$F303*0.4</f>
        <v>480</v>
      </c>
      <c r="CA303" s="308">
        <f t="shared" si="264"/>
        <v>0.4</v>
      </c>
      <c r="CB303" s="227">
        <f t="shared" ref="CB303:CB309" si="296">$F303*0.5</f>
        <v>600</v>
      </c>
      <c r="CC303" s="308">
        <f t="shared" si="265"/>
        <v>0.5</v>
      </c>
      <c r="CD303" s="227">
        <f t="shared" ref="CD303:CD309" si="297">$F303*0.55</f>
        <v>660</v>
      </c>
      <c r="CE303" s="308">
        <f t="shared" si="266"/>
        <v>0.55000000000000004</v>
      </c>
      <c r="CF303" s="227">
        <v>840</v>
      </c>
      <c r="CG303" s="308">
        <f t="shared" si="267"/>
        <v>0.7</v>
      </c>
      <c r="CH303" s="227">
        <f t="shared" ref="CH303:CH309" si="298">$F303*0.7</f>
        <v>840</v>
      </c>
      <c r="CI303" s="308">
        <f t="shared" si="268"/>
        <v>0.7</v>
      </c>
      <c r="CJ303" s="227">
        <f t="shared" ref="CJ303:CJ309" si="299">$F303*0.75</f>
        <v>900</v>
      </c>
      <c r="CK303" s="308">
        <f t="shared" si="269"/>
        <v>0.75</v>
      </c>
      <c r="CL303" s="227">
        <f t="shared" ref="CL303:CL309" si="300">$F303*0.75</f>
        <v>900</v>
      </c>
      <c r="CM303" s="308">
        <f t="shared" si="270"/>
        <v>0.75</v>
      </c>
      <c r="CN303" s="227">
        <f t="shared" ref="CN303:CN309" si="301">$F303*0.95</f>
        <v>1140</v>
      </c>
      <c r="CO303" s="308">
        <f t="shared" si="271"/>
        <v>0.95</v>
      </c>
      <c r="CP303" s="213" t="str">
        <f t="shared" si="276"/>
        <v>Đạt</v>
      </c>
      <c r="CQ303" s="213" t="str">
        <f t="shared" si="277"/>
        <v>Đạt</v>
      </c>
      <c r="CR303" s="192"/>
      <c r="CS303" s="192"/>
      <c r="CT303" s="257"/>
      <c r="CU303" s="163"/>
      <c r="CW303" s="195"/>
      <c r="CX303" s="196"/>
      <c r="CY303" s="196"/>
      <c r="CZ303" s="197"/>
      <c r="DA303" s="196"/>
      <c r="DB303" s="196"/>
      <c r="DC303" s="196"/>
      <c r="DE303" s="199"/>
      <c r="DF303" s="200"/>
      <c r="DG303" s="181"/>
    </row>
    <row r="304" spans="1:113" ht="51" hidden="1" outlineLevel="1" x14ac:dyDescent="0.25">
      <c r="A304" s="192">
        <f>MAX(A302:B303)+1</f>
        <v>2</v>
      </c>
      <c r="B304" s="325" t="s">
        <v>405</v>
      </c>
      <c r="C304" s="325"/>
      <c r="D304" s="214">
        <f t="shared" si="243"/>
        <v>6600</v>
      </c>
      <c r="E304" s="215"/>
      <c r="F304" s="214">
        <f t="shared" si="291"/>
        <v>6600</v>
      </c>
      <c r="G304" s="223"/>
      <c r="H304" s="257">
        <v>6600</v>
      </c>
      <c r="I304" s="235"/>
      <c r="J304" s="257"/>
      <c r="K304" s="223"/>
      <c r="L304" s="235"/>
      <c r="M304" s="223"/>
      <c r="N304" s="223"/>
      <c r="O304" s="257">
        <f t="shared" si="285"/>
        <v>0</v>
      </c>
      <c r="P304" s="257">
        <v>0</v>
      </c>
      <c r="Q304" s="224">
        <f t="shared" si="272"/>
        <v>0</v>
      </c>
      <c r="R304" s="257"/>
      <c r="S304" s="225">
        <v>0</v>
      </c>
      <c r="T304" s="225">
        <v>0</v>
      </c>
      <c r="U304" s="257"/>
      <c r="V304" s="225">
        <v>0</v>
      </c>
      <c r="W304" s="225">
        <v>0</v>
      </c>
      <c r="X304" s="257"/>
      <c r="Y304" s="225">
        <v>0</v>
      </c>
      <c r="Z304" s="225">
        <v>0</v>
      </c>
      <c r="AA304" s="257"/>
      <c r="AB304" s="225">
        <v>0</v>
      </c>
      <c r="AC304" s="225">
        <v>0</v>
      </c>
      <c r="AD304" s="257"/>
      <c r="AE304" s="225">
        <v>0</v>
      </c>
      <c r="AF304" s="225">
        <v>0</v>
      </c>
      <c r="AG304" s="257"/>
      <c r="AH304" s="225">
        <v>0</v>
      </c>
      <c r="AI304" s="225">
        <v>0</v>
      </c>
      <c r="AJ304" s="257"/>
      <c r="AK304" s="225">
        <v>0</v>
      </c>
      <c r="AL304" s="225">
        <v>0</v>
      </c>
      <c r="AM304" s="257"/>
      <c r="AN304" s="225">
        <v>0</v>
      </c>
      <c r="AO304" s="225">
        <v>0</v>
      </c>
      <c r="AP304" s="225"/>
      <c r="AQ304" s="257"/>
      <c r="AR304" s="225">
        <v>0</v>
      </c>
      <c r="AS304" s="225">
        <v>0</v>
      </c>
      <c r="AT304" s="257"/>
      <c r="AU304" s="225">
        <v>0</v>
      </c>
      <c r="AV304" s="225">
        <v>0</v>
      </c>
      <c r="AW304" s="225"/>
      <c r="AX304" s="225"/>
      <c r="AY304" s="225"/>
      <c r="AZ304" s="225"/>
      <c r="BA304" s="225"/>
      <c r="BB304" s="225"/>
      <c r="BC304" s="257"/>
      <c r="BD304" s="225">
        <v>0</v>
      </c>
      <c r="BE304" s="225">
        <v>0</v>
      </c>
      <c r="BF304" s="257"/>
      <c r="BG304" s="257"/>
      <c r="BH304" s="225">
        <v>0</v>
      </c>
      <c r="BI304" s="225">
        <v>0</v>
      </c>
      <c r="BJ304" s="257">
        <f t="shared" si="273"/>
        <v>6270</v>
      </c>
      <c r="BK304" s="257"/>
      <c r="BL304" s="225">
        <f t="shared" si="258"/>
        <v>0</v>
      </c>
      <c r="BM304" s="225">
        <f t="shared" si="275"/>
        <v>0</v>
      </c>
      <c r="BN304" s="205">
        <f t="shared" si="256"/>
        <v>0</v>
      </c>
      <c r="BO304" s="205"/>
      <c r="BP304" s="227"/>
      <c r="BQ304" s="224">
        <f t="shared" si="259"/>
        <v>0</v>
      </c>
      <c r="BR304" s="227"/>
      <c r="BS304" s="224">
        <f t="shared" si="260"/>
        <v>0</v>
      </c>
      <c r="BT304" s="227">
        <f t="shared" si="292"/>
        <v>660</v>
      </c>
      <c r="BU304" s="224">
        <f t="shared" si="261"/>
        <v>0.1</v>
      </c>
      <c r="BV304" s="227">
        <f t="shared" si="293"/>
        <v>1320</v>
      </c>
      <c r="BW304" s="308">
        <f t="shared" si="262"/>
        <v>0.2</v>
      </c>
      <c r="BX304" s="227">
        <f t="shared" si="294"/>
        <v>1980</v>
      </c>
      <c r="BY304" s="308">
        <f t="shared" si="263"/>
        <v>0.3</v>
      </c>
      <c r="BZ304" s="227">
        <f t="shared" si="295"/>
        <v>2640</v>
      </c>
      <c r="CA304" s="308">
        <f t="shared" si="264"/>
        <v>0.4</v>
      </c>
      <c r="CB304" s="227">
        <f t="shared" si="296"/>
        <v>3300</v>
      </c>
      <c r="CC304" s="308">
        <f t="shared" si="265"/>
        <v>0.5</v>
      </c>
      <c r="CD304" s="227">
        <f t="shared" si="297"/>
        <v>3630.0000000000005</v>
      </c>
      <c r="CE304" s="308">
        <f t="shared" si="266"/>
        <v>0.55000000000000004</v>
      </c>
      <c r="CF304" s="227">
        <v>4620</v>
      </c>
      <c r="CG304" s="308">
        <f t="shared" si="267"/>
        <v>0.7</v>
      </c>
      <c r="CH304" s="227">
        <f t="shared" si="298"/>
        <v>4620</v>
      </c>
      <c r="CI304" s="308">
        <f t="shared" si="268"/>
        <v>0.7</v>
      </c>
      <c r="CJ304" s="227">
        <f t="shared" si="299"/>
        <v>4950</v>
      </c>
      <c r="CK304" s="308">
        <f t="shared" si="269"/>
        <v>0.75</v>
      </c>
      <c r="CL304" s="227">
        <f t="shared" si="300"/>
        <v>4950</v>
      </c>
      <c r="CM304" s="308">
        <f t="shared" si="270"/>
        <v>0.75</v>
      </c>
      <c r="CN304" s="227">
        <f t="shared" si="301"/>
        <v>6270</v>
      </c>
      <c r="CO304" s="308">
        <f t="shared" si="271"/>
        <v>0.95</v>
      </c>
      <c r="CP304" s="213" t="str">
        <f t="shared" si="276"/>
        <v>Không đạt</v>
      </c>
      <c r="CQ304" s="213" t="str">
        <f t="shared" si="277"/>
        <v>Không đạt</v>
      </c>
      <c r="CR304" s="192"/>
      <c r="CS304" s="192"/>
      <c r="CT304" s="257"/>
      <c r="CU304" s="163"/>
      <c r="CW304" s="195"/>
      <c r="CX304" s="196"/>
      <c r="CY304" s="196"/>
      <c r="CZ304" s="197"/>
      <c r="DA304" s="196"/>
      <c r="DB304" s="196"/>
      <c r="DC304" s="196"/>
      <c r="DE304" s="199"/>
      <c r="DF304" s="200"/>
      <c r="DG304" s="181"/>
    </row>
    <row r="305" spans="1:111" ht="25.5" hidden="1" outlineLevel="1" x14ac:dyDescent="0.25">
      <c r="A305" s="192">
        <f>MAX(A303:B304)+1</f>
        <v>3</v>
      </c>
      <c r="B305" s="325" t="s">
        <v>406</v>
      </c>
      <c r="C305" s="325"/>
      <c r="D305" s="214">
        <f t="shared" si="243"/>
        <v>82</v>
      </c>
      <c r="E305" s="215"/>
      <c r="F305" s="214">
        <f t="shared" si="291"/>
        <v>82</v>
      </c>
      <c r="G305" s="223"/>
      <c r="H305" s="257">
        <v>82</v>
      </c>
      <c r="I305" s="235">
        <v>78</v>
      </c>
      <c r="J305" s="257">
        <v>12</v>
      </c>
      <c r="K305" s="223"/>
      <c r="L305" s="235"/>
      <c r="M305" s="223"/>
      <c r="N305" s="223"/>
      <c r="O305" s="257">
        <f t="shared" si="285"/>
        <v>78</v>
      </c>
      <c r="P305" s="257">
        <v>0</v>
      </c>
      <c r="Q305" s="224">
        <f t="shared" si="272"/>
        <v>0</v>
      </c>
      <c r="R305" s="257"/>
      <c r="S305" s="225">
        <v>0</v>
      </c>
      <c r="T305" s="225">
        <v>0</v>
      </c>
      <c r="U305" s="257"/>
      <c r="V305" s="225">
        <v>0</v>
      </c>
      <c r="W305" s="225">
        <v>0</v>
      </c>
      <c r="X305" s="257"/>
      <c r="Y305" s="225">
        <v>0</v>
      </c>
      <c r="Z305" s="225">
        <v>0</v>
      </c>
      <c r="AA305" s="257"/>
      <c r="AB305" s="225">
        <v>0</v>
      </c>
      <c r="AC305" s="225">
        <v>0</v>
      </c>
      <c r="AD305" s="257">
        <v>12</v>
      </c>
      <c r="AE305" s="225">
        <v>0.14634146341463414</v>
      </c>
      <c r="AF305" s="225">
        <v>0.1540436456996149</v>
      </c>
      <c r="AG305" s="257">
        <v>12</v>
      </c>
      <c r="AH305" s="225">
        <v>0.14634146341463414</v>
      </c>
      <c r="AI305" s="225">
        <v>0.1540436456996149</v>
      </c>
      <c r="AJ305" s="257">
        <v>12</v>
      </c>
      <c r="AK305" s="225">
        <v>0.14634146341463414</v>
      </c>
      <c r="AL305" s="225">
        <v>0.1540436456996149</v>
      </c>
      <c r="AM305" s="257">
        <v>12</v>
      </c>
      <c r="AN305" s="225">
        <v>0.14634146341463414</v>
      </c>
      <c r="AO305" s="225">
        <v>0.1540436456996149</v>
      </c>
      <c r="AP305" s="225"/>
      <c r="AQ305" s="257">
        <v>12</v>
      </c>
      <c r="AR305" s="225">
        <v>0.14634146341463414</v>
      </c>
      <c r="AS305" s="225">
        <v>0.1540436456996149</v>
      </c>
      <c r="AT305" s="257">
        <v>12</v>
      </c>
      <c r="AU305" s="225">
        <v>0.14634146341463414</v>
      </c>
      <c r="AV305" s="225">
        <v>0.1540436456996149</v>
      </c>
      <c r="AW305" s="225"/>
      <c r="AX305" s="225"/>
      <c r="AY305" s="225"/>
      <c r="AZ305" s="225"/>
      <c r="BA305" s="225"/>
      <c r="BB305" s="225"/>
      <c r="BC305" s="257">
        <v>12</v>
      </c>
      <c r="BD305" s="225">
        <v>0.14634146341463414</v>
      </c>
      <c r="BE305" s="225">
        <v>0.1540436456996149</v>
      </c>
      <c r="BF305" s="257">
        <v>12</v>
      </c>
      <c r="BG305" s="257">
        <v>12</v>
      </c>
      <c r="BH305" s="225">
        <v>0.14634146341463414</v>
      </c>
      <c r="BI305" s="225">
        <v>0.1540436456996149</v>
      </c>
      <c r="BJ305" s="257">
        <f t="shared" si="273"/>
        <v>77.899999999999991</v>
      </c>
      <c r="BK305" s="257">
        <v>12</v>
      </c>
      <c r="BL305" s="225">
        <f t="shared" si="258"/>
        <v>0.14634146341463414</v>
      </c>
      <c r="BM305" s="225">
        <f t="shared" si="275"/>
        <v>0.1540436456996149</v>
      </c>
      <c r="BN305" s="205">
        <f t="shared" si="256"/>
        <v>0</v>
      </c>
      <c r="BO305" s="205"/>
      <c r="BP305" s="227"/>
      <c r="BQ305" s="224">
        <f t="shared" si="259"/>
        <v>0</v>
      </c>
      <c r="BR305" s="227"/>
      <c r="BS305" s="224">
        <f t="shared" si="260"/>
        <v>0</v>
      </c>
      <c r="BT305" s="227">
        <f t="shared" si="292"/>
        <v>8.2000000000000011</v>
      </c>
      <c r="BU305" s="224">
        <f t="shared" si="261"/>
        <v>0.10000000000000002</v>
      </c>
      <c r="BV305" s="227">
        <f t="shared" si="293"/>
        <v>16.400000000000002</v>
      </c>
      <c r="BW305" s="224">
        <f t="shared" si="262"/>
        <v>0.20000000000000004</v>
      </c>
      <c r="BX305" s="227">
        <f t="shared" si="294"/>
        <v>24.599999999999998</v>
      </c>
      <c r="BY305" s="224">
        <f t="shared" si="263"/>
        <v>0.3</v>
      </c>
      <c r="BZ305" s="227">
        <f t="shared" si="295"/>
        <v>32.800000000000004</v>
      </c>
      <c r="CA305" s="224">
        <f t="shared" si="264"/>
        <v>0.40000000000000008</v>
      </c>
      <c r="CB305" s="227">
        <f t="shared" si="296"/>
        <v>41</v>
      </c>
      <c r="CC305" s="224">
        <f t="shared" si="265"/>
        <v>0.5</v>
      </c>
      <c r="CD305" s="227">
        <f t="shared" si="297"/>
        <v>45.1</v>
      </c>
      <c r="CE305" s="224">
        <f t="shared" si="266"/>
        <v>0.55000000000000004</v>
      </c>
      <c r="CF305" s="227">
        <v>57.4</v>
      </c>
      <c r="CG305" s="224">
        <f t="shared" si="267"/>
        <v>0.7</v>
      </c>
      <c r="CH305" s="227">
        <f t="shared" si="298"/>
        <v>57.4</v>
      </c>
      <c r="CI305" s="224">
        <f t="shared" si="268"/>
        <v>0.7</v>
      </c>
      <c r="CJ305" s="227">
        <f t="shared" si="299"/>
        <v>61.5</v>
      </c>
      <c r="CK305" s="224">
        <f t="shared" si="269"/>
        <v>0.75</v>
      </c>
      <c r="CL305" s="227">
        <f t="shared" si="300"/>
        <v>61.5</v>
      </c>
      <c r="CM305" s="224">
        <f t="shared" si="270"/>
        <v>0.75</v>
      </c>
      <c r="CN305" s="227">
        <f t="shared" si="301"/>
        <v>77.899999999999991</v>
      </c>
      <c r="CO305" s="224">
        <f t="shared" si="271"/>
        <v>0.94999999999999984</v>
      </c>
      <c r="CP305" s="213" t="str">
        <f t="shared" si="276"/>
        <v>Không đạt</v>
      </c>
      <c r="CQ305" s="213" t="str">
        <f t="shared" si="277"/>
        <v>Không đạt</v>
      </c>
      <c r="CR305" s="192"/>
      <c r="CS305" s="192"/>
      <c r="CT305" s="257"/>
      <c r="CU305" s="163"/>
      <c r="CW305" s="195"/>
      <c r="CX305" s="196"/>
      <c r="CY305" s="196"/>
      <c r="CZ305" s="197"/>
      <c r="DA305" s="196"/>
      <c r="DB305" s="196"/>
      <c r="DC305" s="196"/>
      <c r="DE305" s="199"/>
      <c r="DF305" s="200"/>
      <c r="DG305" s="181"/>
    </row>
    <row r="306" spans="1:111" ht="25.5" hidden="1" outlineLevel="1" x14ac:dyDescent="0.25">
      <c r="A306" s="192">
        <f>MAX(A304:B305)+1</f>
        <v>4</v>
      </c>
      <c r="B306" s="325" t="s">
        <v>407</v>
      </c>
      <c r="C306" s="325"/>
      <c r="D306" s="214">
        <f t="shared" si="243"/>
        <v>175</v>
      </c>
      <c r="E306" s="215"/>
      <c r="F306" s="214">
        <f t="shared" si="291"/>
        <v>175</v>
      </c>
      <c r="G306" s="223"/>
      <c r="H306" s="257">
        <v>175</v>
      </c>
      <c r="I306" s="235">
        <v>166</v>
      </c>
      <c r="J306" s="257">
        <v>117</v>
      </c>
      <c r="K306" s="223"/>
      <c r="L306" s="235"/>
      <c r="M306" s="223"/>
      <c r="N306" s="223"/>
      <c r="O306" s="257">
        <f t="shared" si="285"/>
        <v>166</v>
      </c>
      <c r="P306" s="257">
        <v>0</v>
      </c>
      <c r="Q306" s="224">
        <f t="shared" si="272"/>
        <v>0</v>
      </c>
      <c r="R306" s="257"/>
      <c r="S306" s="225">
        <v>0</v>
      </c>
      <c r="T306" s="225">
        <v>0</v>
      </c>
      <c r="U306" s="257"/>
      <c r="V306" s="225">
        <v>0</v>
      </c>
      <c r="W306" s="225">
        <v>0</v>
      </c>
      <c r="X306" s="257"/>
      <c r="Y306" s="225">
        <v>0</v>
      </c>
      <c r="Z306" s="225">
        <v>0</v>
      </c>
      <c r="AA306" s="257">
        <v>96</v>
      </c>
      <c r="AB306" s="225">
        <v>0.5485714285714286</v>
      </c>
      <c r="AC306" s="225">
        <v>0.57744360902255643</v>
      </c>
      <c r="AD306" s="257">
        <v>117</v>
      </c>
      <c r="AE306" s="225">
        <v>0.66857142857142859</v>
      </c>
      <c r="AF306" s="225">
        <v>0.70375939849624058</v>
      </c>
      <c r="AG306" s="257">
        <v>117</v>
      </c>
      <c r="AH306" s="225">
        <v>0.66857142857142859</v>
      </c>
      <c r="AI306" s="225">
        <v>0.70375939849624058</v>
      </c>
      <c r="AJ306" s="257">
        <v>117</v>
      </c>
      <c r="AK306" s="225">
        <v>0.66857142857142859</v>
      </c>
      <c r="AL306" s="225">
        <v>0.70375939849624058</v>
      </c>
      <c r="AM306" s="257">
        <v>117</v>
      </c>
      <c r="AN306" s="225">
        <v>0.66857142857142859</v>
      </c>
      <c r="AO306" s="225">
        <v>0.70375939849624058</v>
      </c>
      <c r="AP306" s="225"/>
      <c r="AQ306" s="257">
        <v>117</v>
      </c>
      <c r="AR306" s="225">
        <v>0.66857142857142859</v>
      </c>
      <c r="AS306" s="225">
        <v>0.70375939849624058</v>
      </c>
      <c r="AT306" s="257">
        <v>117</v>
      </c>
      <c r="AU306" s="225">
        <v>0.66857142857142859</v>
      </c>
      <c r="AV306" s="225">
        <v>0.70375939849624058</v>
      </c>
      <c r="AW306" s="225"/>
      <c r="AX306" s="225"/>
      <c r="AY306" s="225"/>
      <c r="AZ306" s="225"/>
      <c r="BA306" s="225"/>
      <c r="BB306" s="225"/>
      <c r="BC306" s="257">
        <v>117</v>
      </c>
      <c r="BD306" s="225">
        <v>0.66857142857142859</v>
      </c>
      <c r="BE306" s="225">
        <v>0.70375939849624058</v>
      </c>
      <c r="BF306" s="257">
        <v>118.818</v>
      </c>
      <c r="BG306" s="257">
        <v>118.818</v>
      </c>
      <c r="BH306" s="225">
        <v>0.67896000000000001</v>
      </c>
      <c r="BI306" s="225">
        <v>0.71469473684210527</v>
      </c>
      <c r="BJ306" s="257">
        <f t="shared" si="273"/>
        <v>166.25</v>
      </c>
      <c r="BK306" s="257">
        <v>118.818</v>
      </c>
      <c r="BL306" s="225">
        <f t="shared" si="258"/>
        <v>0.67896000000000001</v>
      </c>
      <c r="BM306" s="225">
        <f t="shared" si="275"/>
        <v>0.71469473684210527</v>
      </c>
      <c r="BN306" s="205">
        <f t="shared" si="256"/>
        <v>1.8179999999999978</v>
      </c>
      <c r="BO306" s="205"/>
      <c r="BP306" s="227"/>
      <c r="BQ306" s="224">
        <f t="shared" si="259"/>
        <v>0</v>
      </c>
      <c r="BR306" s="227"/>
      <c r="BS306" s="224">
        <f t="shared" si="260"/>
        <v>0</v>
      </c>
      <c r="BT306" s="227">
        <f t="shared" si="292"/>
        <v>17.5</v>
      </c>
      <c r="BU306" s="224">
        <f t="shared" si="261"/>
        <v>0.1</v>
      </c>
      <c r="BV306" s="227">
        <f t="shared" si="293"/>
        <v>35</v>
      </c>
      <c r="BW306" s="224">
        <f t="shared" si="262"/>
        <v>0.2</v>
      </c>
      <c r="BX306" s="227">
        <f t="shared" si="294"/>
        <v>52.5</v>
      </c>
      <c r="BY306" s="224">
        <f t="shared" si="263"/>
        <v>0.3</v>
      </c>
      <c r="BZ306" s="227">
        <f t="shared" si="295"/>
        <v>70</v>
      </c>
      <c r="CA306" s="224">
        <f t="shared" si="264"/>
        <v>0.4</v>
      </c>
      <c r="CB306" s="227">
        <f t="shared" si="296"/>
        <v>87.5</v>
      </c>
      <c r="CC306" s="224">
        <f t="shared" si="265"/>
        <v>0.5</v>
      </c>
      <c r="CD306" s="227">
        <f t="shared" si="297"/>
        <v>96.250000000000014</v>
      </c>
      <c r="CE306" s="224">
        <f t="shared" si="266"/>
        <v>0.55000000000000004</v>
      </c>
      <c r="CF306" s="227">
        <v>122.49999999999999</v>
      </c>
      <c r="CG306" s="224">
        <f t="shared" si="267"/>
        <v>0.7</v>
      </c>
      <c r="CH306" s="227">
        <f t="shared" si="298"/>
        <v>122.49999999999999</v>
      </c>
      <c r="CI306" s="224">
        <f t="shared" si="268"/>
        <v>0.7</v>
      </c>
      <c r="CJ306" s="227">
        <f t="shared" si="299"/>
        <v>131.25</v>
      </c>
      <c r="CK306" s="224">
        <f t="shared" si="269"/>
        <v>0.75</v>
      </c>
      <c r="CL306" s="227">
        <f t="shared" si="300"/>
        <v>131.25</v>
      </c>
      <c r="CM306" s="224">
        <f t="shared" si="270"/>
        <v>0.75</v>
      </c>
      <c r="CN306" s="227">
        <f t="shared" si="301"/>
        <v>166.25</v>
      </c>
      <c r="CO306" s="224">
        <f t="shared" si="271"/>
        <v>0.95</v>
      </c>
      <c r="CP306" s="213" t="str">
        <f t="shared" si="276"/>
        <v>Đạt</v>
      </c>
      <c r="CQ306" s="213" t="str">
        <f t="shared" si="277"/>
        <v>Đạt</v>
      </c>
      <c r="CR306" s="192"/>
      <c r="CS306" s="192"/>
      <c r="CT306" s="257"/>
      <c r="CU306" s="163"/>
      <c r="CW306" s="195"/>
      <c r="CX306" s="196"/>
      <c r="CY306" s="196"/>
      <c r="CZ306" s="197"/>
      <c r="DA306" s="196"/>
      <c r="DB306" s="196"/>
      <c r="DC306" s="196"/>
      <c r="DE306" s="199"/>
      <c r="DF306" s="200"/>
      <c r="DG306" s="181"/>
    </row>
    <row r="307" spans="1:111" ht="25.5" hidden="1" outlineLevel="1" x14ac:dyDescent="0.25">
      <c r="A307" s="192">
        <f>MAX(A305:B306)+1</f>
        <v>5</v>
      </c>
      <c r="B307" s="325" t="s">
        <v>408</v>
      </c>
      <c r="C307" s="325"/>
      <c r="D307" s="214">
        <f t="shared" si="243"/>
        <v>350</v>
      </c>
      <c r="E307" s="215"/>
      <c r="F307" s="214">
        <f t="shared" si="291"/>
        <v>350</v>
      </c>
      <c r="G307" s="223"/>
      <c r="H307" s="257">
        <v>350</v>
      </c>
      <c r="I307" s="235">
        <v>333</v>
      </c>
      <c r="J307" s="257">
        <v>285</v>
      </c>
      <c r="K307" s="223"/>
      <c r="L307" s="235"/>
      <c r="M307" s="223"/>
      <c r="N307" s="223"/>
      <c r="O307" s="257">
        <f t="shared" si="285"/>
        <v>333</v>
      </c>
      <c r="P307" s="257">
        <v>0</v>
      </c>
      <c r="Q307" s="224">
        <f t="shared" si="272"/>
        <v>0</v>
      </c>
      <c r="R307" s="257"/>
      <c r="S307" s="225">
        <v>0</v>
      </c>
      <c r="T307" s="225">
        <v>0</v>
      </c>
      <c r="U307" s="257"/>
      <c r="V307" s="225">
        <v>0</v>
      </c>
      <c r="W307" s="225">
        <v>0</v>
      </c>
      <c r="X307" s="257"/>
      <c r="Y307" s="225">
        <v>0</v>
      </c>
      <c r="Z307" s="225">
        <v>0</v>
      </c>
      <c r="AA307" s="257">
        <v>240</v>
      </c>
      <c r="AB307" s="225">
        <v>0.68571428571428572</v>
      </c>
      <c r="AC307" s="225">
        <v>0.72180451127819545</v>
      </c>
      <c r="AD307" s="257">
        <v>285</v>
      </c>
      <c r="AE307" s="225">
        <v>0.81428571428571428</v>
      </c>
      <c r="AF307" s="225">
        <v>0.8571428571428571</v>
      </c>
      <c r="AG307" s="257">
        <v>285</v>
      </c>
      <c r="AH307" s="225">
        <v>0.81428571428571428</v>
      </c>
      <c r="AI307" s="225">
        <v>0.8571428571428571</v>
      </c>
      <c r="AJ307" s="307">
        <v>285</v>
      </c>
      <c r="AK307" s="225">
        <v>0.81428571428571428</v>
      </c>
      <c r="AL307" s="225">
        <v>0.8571428571428571</v>
      </c>
      <c r="AM307" s="257">
        <v>285</v>
      </c>
      <c r="AN307" s="225">
        <v>0.81428571428571428</v>
      </c>
      <c r="AO307" s="225">
        <v>0.8571428571428571</v>
      </c>
      <c r="AP307" s="225"/>
      <c r="AQ307" s="257">
        <v>285</v>
      </c>
      <c r="AR307" s="225">
        <v>0.81428571428571428</v>
      </c>
      <c r="AS307" s="225">
        <v>0.8571428571428571</v>
      </c>
      <c r="AT307" s="257">
        <v>285</v>
      </c>
      <c r="AU307" s="225">
        <v>0.81428571428571428</v>
      </c>
      <c r="AV307" s="225">
        <v>0.8571428571428571</v>
      </c>
      <c r="AW307" s="225"/>
      <c r="AX307" s="225"/>
      <c r="AY307" s="225"/>
      <c r="AZ307" s="225"/>
      <c r="BA307" s="225"/>
      <c r="BB307" s="225"/>
      <c r="BC307" s="257">
        <v>285</v>
      </c>
      <c r="BD307" s="225">
        <v>0.81428571428571428</v>
      </c>
      <c r="BE307" s="225">
        <v>0.8571428571428571</v>
      </c>
      <c r="BF307" s="257">
        <v>331.68</v>
      </c>
      <c r="BG307" s="257">
        <v>331.68</v>
      </c>
      <c r="BH307" s="225">
        <v>0.94765714285714286</v>
      </c>
      <c r="BI307" s="225">
        <v>0.99753383458646616</v>
      </c>
      <c r="BJ307" s="257">
        <f t="shared" si="273"/>
        <v>332.5</v>
      </c>
      <c r="BK307" s="257">
        <v>331.68</v>
      </c>
      <c r="BL307" s="225">
        <f t="shared" si="258"/>
        <v>0.94765714285714286</v>
      </c>
      <c r="BM307" s="225">
        <f t="shared" si="275"/>
        <v>0.99753383458646616</v>
      </c>
      <c r="BN307" s="205">
        <f t="shared" si="256"/>
        <v>46.680000000000007</v>
      </c>
      <c r="BO307" s="205"/>
      <c r="BP307" s="227"/>
      <c r="BQ307" s="224">
        <f t="shared" si="259"/>
        <v>0</v>
      </c>
      <c r="BR307" s="227"/>
      <c r="BS307" s="224">
        <f t="shared" si="260"/>
        <v>0</v>
      </c>
      <c r="BT307" s="227">
        <f t="shared" si="292"/>
        <v>35</v>
      </c>
      <c r="BU307" s="224">
        <f t="shared" si="261"/>
        <v>0.1</v>
      </c>
      <c r="BV307" s="227">
        <f t="shared" si="293"/>
        <v>70</v>
      </c>
      <c r="BW307" s="224">
        <f t="shared" si="262"/>
        <v>0.2</v>
      </c>
      <c r="BX307" s="227">
        <f t="shared" si="294"/>
        <v>105</v>
      </c>
      <c r="BY307" s="224">
        <f t="shared" si="263"/>
        <v>0.3</v>
      </c>
      <c r="BZ307" s="227">
        <f t="shared" si="295"/>
        <v>140</v>
      </c>
      <c r="CA307" s="224">
        <f t="shared" si="264"/>
        <v>0.4</v>
      </c>
      <c r="CB307" s="227">
        <f t="shared" si="296"/>
        <v>175</v>
      </c>
      <c r="CC307" s="224">
        <f t="shared" si="265"/>
        <v>0.5</v>
      </c>
      <c r="CD307" s="227">
        <f t="shared" si="297"/>
        <v>192.50000000000003</v>
      </c>
      <c r="CE307" s="224">
        <f t="shared" si="266"/>
        <v>0.55000000000000004</v>
      </c>
      <c r="CF307" s="227">
        <v>244.99999999999997</v>
      </c>
      <c r="CG307" s="224">
        <f t="shared" si="267"/>
        <v>0.7</v>
      </c>
      <c r="CH307" s="227">
        <f t="shared" si="298"/>
        <v>244.99999999999997</v>
      </c>
      <c r="CI307" s="224">
        <f t="shared" si="268"/>
        <v>0.7</v>
      </c>
      <c r="CJ307" s="227">
        <f t="shared" si="299"/>
        <v>262.5</v>
      </c>
      <c r="CK307" s="224">
        <f t="shared" si="269"/>
        <v>0.75</v>
      </c>
      <c r="CL307" s="227">
        <f t="shared" si="300"/>
        <v>262.5</v>
      </c>
      <c r="CM307" s="224">
        <f t="shared" si="270"/>
        <v>0.75</v>
      </c>
      <c r="CN307" s="227">
        <f t="shared" si="301"/>
        <v>332.5</v>
      </c>
      <c r="CO307" s="224">
        <f t="shared" si="271"/>
        <v>0.95</v>
      </c>
      <c r="CP307" s="213" t="str">
        <f t="shared" si="276"/>
        <v>Đạt</v>
      </c>
      <c r="CQ307" s="213" t="str">
        <f t="shared" si="277"/>
        <v>Đạt</v>
      </c>
      <c r="CR307" s="192"/>
      <c r="CS307" s="192"/>
      <c r="CT307" s="257"/>
      <c r="CU307" s="163"/>
      <c r="CW307" s="195"/>
      <c r="CX307" s="196"/>
      <c r="CY307" s="196"/>
      <c r="CZ307" s="197"/>
      <c r="DA307" s="196"/>
      <c r="DB307" s="196"/>
      <c r="DC307" s="196"/>
      <c r="DE307" s="199"/>
      <c r="DF307" s="200"/>
      <c r="DG307" s="181"/>
    </row>
    <row r="308" spans="1:111" s="324" customFormat="1" hidden="1" outlineLevel="1" x14ac:dyDescent="0.25">
      <c r="A308" s="305" t="s">
        <v>34</v>
      </c>
      <c r="B308" s="318" t="s">
        <v>376</v>
      </c>
      <c r="C308" s="306"/>
      <c r="D308" s="307">
        <f t="shared" si="243"/>
        <v>3000</v>
      </c>
      <c r="E308" s="307"/>
      <c r="F308" s="307">
        <f t="shared" si="291"/>
        <v>3000</v>
      </c>
      <c r="G308" s="303">
        <v>3000</v>
      </c>
      <c r="H308" s="307"/>
      <c r="I308" s="235"/>
      <c r="J308" s="235"/>
      <c r="K308" s="303"/>
      <c r="L308" s="235"/>
      <c r="M308" s="223"/>
      <c r="N308" s="223"/>
      <c r="O308" s="307">
        <f t="shared" si="285"/>
        <v>3000</v>
      </c>
      <c r="P308" s="307">
        <v>0</v>
      </c>
      <c r="Q308" s="308">
        <f t="shared" si="272"/>
        <v>0</v>
      </c>
      <c r="R308" s="307"/>
      <c r="S308" s="309">
        <v>0</v>
      </c>
      <c r="T308" s="309">
        <v>0</v>
      </c>
      <c r="U308" s="307"/>
      <c r="V308" s="309">
        <v>0</v>
      </c>
      <c r="W308" s="309">
        <v>0</v>
      </c>
      <c r="X308" s="307"/>
      <c r="Y308" s="309">
        <v>0</v>
      </c>
      <c r="Z308" s="309">
        <v>0</v>
      </c>
      <c r="AA308" s="307"/>
      <c r="AB308" s="309">
        <v>0</v>
      </c>
      <c r="AC308" s="309">
        <v>0</v>
      </c>
      <c r="AD308" s="307"/>
      <c r="AE308" s="309">
        <v>0</v>
      </c>
      <c r="AF308" s="309">
        <v>0</v>
      </c>
      <c r="AG308" s="307"/>
      <c r="AH308" s="309">
        <v>0</v>
      </c>
      <c r="AI308" s="309">
        <v>0</v>
      </c>
      <c r="AJ308" s="303"/>
      <c r="AK308" s="309">
        <v>0</v>
      </c>
      <c r="AL308" s="309">
        <v>0</v>
      </c>
      <c r="AM308" s="307"/>
      <c r="AN308" s="309">
        <v>0</v>
      </c>
      <c r="AO308" s="309">
        <v>0</v>
      </c>
      <c r="AP308" s="309"/>
      <c r="AQ308" s="307">
        <v>293</v>
      </c>
      <c r="AR308" s="309">
        <v>9.7666666666666666E-2</v>
      </c>
      <c r="AS308" s="309">
        <v>0.10280701754385965</v>
      </c>
      <c r="AT308" s="307">
        <v>293</v>
      </c>
      <c r="AU308" s="309">
        <v>9.7666666666666666E-2</v>
      </c>
      <c r="AV308" s="309">
        <v>0.10280701754385965</v>
      </c>
      <c r="AW308" s="309"/>
      <c r="AX308" s="309"/>
      <c r="AY308" s="309"/>
      <c r="AZ308" s="309"/>
      <c r="BA308" s="309"/>
      <c r="BB308" s="309"/>
      <c r="BC308" s="307">
        <v>293</v>
      </c>
      <c r="BD308" s="309">
        <v>9.7666666666666666E-2</v>
      </c>
      <c r="BE308" s="309">
        <v>0.10280701754385965</v>
      </c>
      <c r="BF308" s="307"/>
      <c r="BG308" s="307">
        <v>2850</v>
      </c>
      <c r="BH308" s="309">
        <v>0.95</v>
      </c>
      <c r="BI308" s="309">
        <v>1</v>
      </c>
      <c r="BJ308" s="307">
        <f t="shared" si="273"/>
        <v>2850</v>
      </c>
      <c r="BK308" s="307">
        <v>2850</v>
      </c>
      <c r="BL308" s="309">
        <f t="shared" si="258"/>
        <v>0.95</v>
      </c>
      <c r="BM308" s="309">
        <f t="shared" si="275"/>
        <v>1</v>
      </c>
      <c r="BN308" s="205">
        <f t="shared" si="256"/>
        <v>2850</v>
      </c>
      <c r="BO308" s="205"/>
      <c r="BP308" s="310"/>
      <c r="BQ308" s="308">
        <f t="shared" si="259"/>
        <v>0</v>
      </c>
      <c r="BR308" s="310"/>
      <c r="BS308" s="308">
        <f t="shared" si="260"/>
        <v>0</v>
      </c>
      <c r="BT308" s="310">
        <f t="shared" si="292"/>
        <v>300</v>
      </c>
      <c r="BU308" s="308">
        <f t="shared" si="261"/>
        <v>0.1</v>
      </c>
      <c r="BV308" s="310">
        <f t="shared" si="293"/>
        <v>600</v>
      </c>
      <c r="BW308" s="308">
        <f t="shared" si="262"/>
        <v>0.2</v>
      </c>
      <c r="BX308" s="310">
        <f t="shared" si="294"/>
        <v>900</v>
      </c>
      <c r="BY308" s="308">
        <f t="shared" si="263"/>
        <v>0.3</v>
      </c>
      <c r="BZ308" s="310">
        <f t="shared" si="295"/>
        <v>1200</v>
      </c>
      <c r="CA308" s="308">
        <f t="shared" si="264"/>
        <v>0.4</v>
      </c>
      <c r="CB308" s="310">
        <f t="shared" si="296"/>
        <v>1500</v>
      </c>
      <c r="CC308" s="308">
        <f t="shared" si="265"/>
        <v>0.5</v>
      </c>
      <c r="CD308" s="310">
        <f t="shared" si="297"/>
        <v>1650.0000000000002</v>
      </c>
      <c r="CE308" s="308">
        <f t="shared" si="266"/>
        <v>0.55000000000000004</v>
      </c>
      <c r="CF308" s="310">
        <v>2100</v>
      </c>
      <c r="CG308" s="308">
        <f t="shared" si="267"/>
        <v>0.7</v>
      </c>
      <c r="CH308" s="310">
        <f t="shared" si="298"/>
        <v>2100</v>
      </c>
      <c r="CI308" s="308">
        <f t="shared" si="268"/>
        <v>0.7</v>
      </c>
      <c r="CJ308" s="310">
        <f t="shared" si="299"/>
        <v>2250</v>
      </c>
      <c r="CK308" s="308">
        <f t="shared" si="269"/>
        <v>0.75</v>
      </c>
      <c r="CL308" s="310">
        <f t="shared" si="300"/>
        <v>2250</v>
      </c>
      <c r="CM308" s="308">
        <f t="shared" si="270"/>
        <v>0.75</v>
      </c>
      <c r="CN308" s="310">
        <f t="shared" si="301"/>
        <v>2850</v>
      </c>
      <c r="CO308" s="308">
        <f t="shared" si="271"/>
        <v>0.95</v>
      </c>
      <c r="CP308" s="213" t="str">
        <f t="shared" si="276"/>
        <v>Đạt</v>
      </c>
      <c r="CQ308" s="213" t="str">
        <f t="shared" si="277"/>
        <v>Đạt</v>
      </c>
      <c r="CR308" s="312"/>
      <c r="CS308" s="312"/>
      <c r="CT308" s="235"/>
      <c r="CU308" s="163"/>
      <c r="CV308" s="323"/>
      <c r="CW308" s="195"/>
      <c r="CX308" s="196"/>
      <c r="CY308" s="196"/>
      <c r="CZ308" s="197"/>
      <c r="DA308" s="196"/>
      <c r="DB308" s="196"/>
      <c r="DC308" s="196"/>
      <c r="DE308" s="199"/>
      <c r="DF308" s="200"/>
      <c r="DG308" s="181"/>
    </row>
    <row r="309" spans="1:111" ht="25.5" hidden="1" outlineLevel="1" x14ac:dyDescent="0.25">
      <c r="A309" s="305" t="s">
        <v>34</v>
      </c>
      <c r="B309" s="306" t="s">
        <v>377</v>
      </c>
      <c r="C309" s="306"/>
      <c r="D309" s="307">
        <f>E309+F309</f>
        <v>67700</v>
      </c>
      <c r="E309" s="307"/>
      <c r="F309" s="307">
        <f>G309+H309+K309+M309</f>
        <v>67700</v>
      </c>
      <c r="G309" s="307"/>
      <c r="H309" s="307">
        <v>67700</v>
      </c>
      <c r="I309" s="235"/>
      <c r="J309" s="235"/>
      <c r="K309" s="303"/>
      <c r="L309" s="235"/>
      <c r="M309" s="223"/>
      <c r="N309" s="223"/>
      <c r="O309" s="303"/>
      <c r="P309" s="303">
        <v>0</v>
      </c>
      <c r="Q309" s="308">
        <f t="shared" si="272"/>
        <v>0</v>
      </c>
      <c r="R309" s="303"/>
      <c r="S309" s="309">
        <v>0</v>
      </c>
      <c r="T309" s="309">
        <v>0</v>
      </c>
      <c r="U309" s="303"/>
      <c r="V309" s="309">
        <v>0</v>
      </c>
      <c r="W309" s="309">
        <v>0</v>
      </c>
      <c r="X309" s="303"/>
      <c r="Y309" s="309">
        <v>0</v>
      </c>
      <c r="Z309" s="309">
        <v>0</v>
      </c>
      <c r="AA309" s="303"/>
      <c r="AB309" s="309">
        <v>0</v>
      </c>
      <c r="AC309" s="309">
        <v>0</v>
      </c>
      <c r="AD309" s="303"/>
      <c r="AE309" s="309">
        <v>0</v>
      </c>
      <c r="AF309" s="309">
        <v>0</v>
      </c>
      <c r="AG309" s="303"/>
      <c r="AH309" s="309">
        <v>0</v>
      </c>
      <c r="AI309" s="309">
        <v>0</v>
      </c>
      <c r="AJ309" s="188"/>
      <c r="AK309" s="309">
        <v>0</v>
      </c>
      <c r="AL309" s="309">
        <v>0</v>
      </c>
      <c r="AM309" s="303"/>
      <c r="AN309" s="309">
        <v>0</v>
      </c>
      <c r="AO309" s="309">
        <v>0</v>
      </c>
      <c r="AP309" s="309"/>
      <c r="AQ309" s="303"/>
      <c r="AR309" s="309">
        <v>0</v>
      </c>
      <c r="AS309" s="309">
        <v>0</v>
      </c>
      <c r="AT309" s="303"/>
      <c r="AU309" s="309">
        <v>0</v>
      </c>
      <c r="AV309" s="309">
        <v>0</v>
      </c>
      <c r="AW309" s="309"/>
      <c r="AX309" s="309"/>
      <c r="AY309" s="309"/>
      <c r="AZ309" s="309"/>
      <c r="BA309" s="309"/>
      <c r="BB309" s="309"/>
      <c r="BC309" s="303"/>
      <c r="BD309" s="309">
        <v>0</v>
      </c>
      <c r="BE309" s="309">
        <v>0</v>
      </c>
      <c r="BF309" s="303"/>
      <c r="BG309" s="303">
        <v>264</v>
      </c>
      <c r="BH309" s="309">
        <v>3.899556868537666E-3</v>
      </c>
      <c r="BI309" s="309">
        <v>4.1047967037238595E-3</v>
      </c>
      <c r="BJ309" s="303">
        <f t="shared" si="273"/>
        <v>64315</v>
      </c>
      <c r="BK309" s="303">
        <v>464</v>
      </c>
      <c r="BL309" s="309">
        <f t="shared" si="258"/>
        <v>6.8537666174298371E-3</v>
      </c>
      <c r="BM309" s="309">
        <f t="shared" si="275"/>
        <v>7.2144911762419342E-3</v>
      </c>
      <c r="BN309" s="205">
        <f t="shared" si="256"/>
        <v>464</v>
      </c>
      <c r="BO309" s="205"/>
      <c r="BP309" s="310"/>
      <c r="BQ309" s="308">
        <f t="shared" si="259"/>
        <v>0</v>
      </c>
      <c r="BR309" s="310"/>
      <c r="BS309" s="308">
        <f t="shared" si="260"/>
        <v>0</v>
      </c>
      <c r="BT309" s="310">
        <f t="shared" si="292"/>
        <v>6770</v>
      </c>
      <c r="BU309" s="308">
        <f t="shared" si="261"/>
        <v>0.1</v>
      </c>
      <c r="BV309" s="310">
        <f t="shared" si="293"/>
        <v>13540</v>
      </c>
      <c r="BW309" s="308">
        <f t="shared" si="262"/>
        <v>0.2</v>
      </c>
      <c r="BX309" s="310">
        <f t="shared" si="294"/>
        <v>20310</v>
      </c>
      <c r="BY309" s="308">
        <f t="shared" si="263"/>
        <v>0.3</v>
      </c>
      <c r="BZ309" s="310">
        <f t="shared" si="295"/>
        <v>27080</v>
      </c>
      <c r="CA309" s="308">
        <f t="shared" si="264"/>
        <v>0.4</v>
      </c>
      <c r="CB309" s="310">
        <f t="shared" si="296"/>
        <v>33850</v>
      </c>
      <c r="CC309" s="308">
        <f t="shared" si="265"/>
        <v>0.5</v>
      </c>
      <c r="CD309" s="310">
        <f t="shared" si="297"/>
        <v>37235</v>
      </c>
      <c r="CE309" s="308">
        <f t="shared" si="266"/>
        <v>0.55000000000000004</v>
      </c>
      <c r="CF309" s="310">
        <v>47390</v>
      </c>
      <c r="CG309" s="308">
        <f t="shared" si="267"/>
        <v>0.7</v>
      </c>
      <c r="CH309" s="310">
        <f t="shared" si="298"/>
        <v>47390</v>
      </c>
      <c r="CI309" s="308">
        <f t="shared" si="268"/>
        <v>0.7</v>
      </c>
      <c r="CJ309" s="310">
        <f t="shared" si="299"/>
        <v>50775</v>
      </c>
      <c r="CK309" s="308">
        <f t="shared" si="269"/>
        <v>0.75</v>
      </c>
      <c r="CL309" s="310">
        <f t="shared" si="300"/>
        <v>50775</v>
      </c>
      <c r="CM309" s="308">
        <f t="shared" si="270"/>
        <v>0.75</v>
      </c>
      <c r="CN309" s="310">
        <f t="shared" si="301"/>
        <v>64315</v>
      </c>
      <c r="CO309" s="308">
        <f t="shared" si="271"/>
        <v>0.95</v>
      </c>
      <c r="CP309" s="213" t="str">
        <f t="shared" si="276"/>
        <v>Không đạt</v>
      </c>
      <c r="CQ309" s="213" t="str">
        <f t="shared" si="277"/>
        <v>Không đạt</v>
      </c>
      <c r="CR309" s="312"/>
      <c r="CS309" s="312"/>
      <c r="CT309" s="235"/>
      <c r="CU309" s="163"/>
      <c r="CW309" s="195"/>
      <c r="CX309" s="196"/>
      <c r="CY309" s="196"/>
      <c r="CZ309" s="197"/>
      <c r="DA309" s="196"/>
      <c r="DB309" s="196"/>
      <c r="DC309" s="196"/>
      <c r="DE309" s="199"/>
      <c r="DF309" s="200"/>
      <c r="DG309" s="181"/>
    </row>
    <row r="310" spans="1:111" ht="18" customHeight="1" collapsed="1" x14ac:dyDescent="0.25">
      <c r="A310" s="316">
        <f>MAX(A$239:A308)+1</f>
        <v>19</v>
      </c>
      <c r="B310" s="240" t="s">
        <v>409</v>
      </c>
      <c r="C310" s="240"/>
      <c r="D310" s="188">
        <f t="shared" ref="D310:I310" si="302">D311+D312</f>
        <v>3255</v>
      </c>
      <c r="E310" s="188">
        <f t="shared" si="302"/>
        <v>0</v>
      </c>
      <c r="F310" s="188">
        <f t="shared" si="302"/>
        <v>3255</v>
      </c>
      <c r="G310" s="188">
        <f t="shared" si="302"/>
        <v>3000</v>
      </c>
      <c r="H310" s="188">
        <f t="shared" si="302"/>
        <v>255</v>
      </c>
      <c r="I310" s="188">
        <f t="shared" si="302"/>
        <v>0</v>
      </c>
      <c r="J310" s="188"/>
      <c r="K310" s="188">
        <f>K311+K312</f>
        <v>0</v>
      </c>
      <c r="L310" s="188">
        <f>L311+L312</f>
        <v>0</v>
      </c>
      <c r="M310" s="188">
        <f>M311+M312</f>
        <v>0</v>
      </c>
      <c r="N310" s="188">
        <f>N311+N312</f>
        <v>0</v>
      </c>
      <c r="O310" s="188">
        <f>O311+O312</f>
        <v>3000</v>
      </c>
      <c r="P310" s="188">
        <v>0</v>
      </c>
      <c r="Q310" s="186">
        <f t="shared" si="272"/>
        <v>0</v>
      </c>
      <c r="R310" s="188">
        <v>0</v>
      </c>
      <c r="S310" s="185">
        <v>0</v>
      </c>
      <c r="T310" s="185">
        <v>0</v>
      </c>
      <c r="U310" s="188">
        <v>0</v>
      </c>
      <c r="V310" s="185">
        <v>0</v>
      </c>
      <c r="W310" s="185">
        <v>0</v>
      </c>
      <c r="X310" s="188">
        <v>0</v>
      </c>
      <c r="Y310" s="185">
        <v>0</v>
      </c>
      <c r="Z310" s="185">
        <v>0</v>
      </c>
      <c r="AA310" s="188">
        <v>0</v>
      </c>
      <c r="AB310" s="185">
        <v>0</v>
      </c>
      <c r="AC310" s="185">
        <v>0</v>
      </c>
      <c r="AD310" s="188">
        <v>146</v>
      </c>
      <c r="AE310" s="185">
        <v>4.4854070660522272E-2</v>
      </c>
      <c r="AF310" s="185">
        <v>4.7214811221602392E-2</v>
      </c>
      <c r="AG310" s="188">
        <v>146</v>
      </c>
      <c r="AH310" s="185">
        <v>4.4854070660522272E-2</v>
      </c>
      <c r="AI310" s="185">
        <v>4.7214811221602392E-2</v>
      </c>
      <c r="AJ310" s="303">
        <v>146</v>
      </c>
      <c r="AK310" s="185">
        <v>4.4854070660522272E-2</v>
      </c>
      <c r="AL310" s="185">
        <v>4.7214811221602392E-2</v>
      </c>
      <c r="AM310" s="188">
        <v>981.02799999999991</v>
      </c>
      <c r="AN310" s="185">
        <v>0.3013910906298003</v>
      </c>
      <c r="AO310" s="185">
        <v>0.31725377961031609</v>
      </c>
      <c r="AP310" s="185"/>
      <c r="AQ310" s="188">
        <v>1587</v>
      </c>
      <c r="AR310" s="185">
        <v>0.48755760368663592</v>
      </c>
      <c r="AS310" s="185">
        <v>0.51321853019645891</v>
      </c>
      <c r="AT310" s="188">
        <v>1587</v>
      </c>
      <c r="AU310" s="185">
        <v>0.48755760368663592</v>
      </c>
      <c r="AV310" s="185">
        <v>0.51321853019645891</v>
      </c>
      <c r="AW310" s="185"/>
      <c r="AX310" s="185"/>
      <c r="AY310" s="185"/>
      <c r="AZ310" s="185"/>
      <c r="BA310" s="185"/>
      <c r="BB310" s="185"/>
      <c r="BC310" s="188">
        <v>1587</v>
      </c>
      <c r="BD310" s="185">
        <v>0.48755760368663592</v>
      </c>
      <c r="BE310" s="185">
        <v>0.51321853019645891</v>
      </c>
      <c r="BF310" s="188"/>
      <c r="BG310" s="188">
        <v>1637</v>
      </c>
      <c r="BH310" s="185">
        <v>0.50291858678955448</v>
      </c>
      <c r="BI310" s="185">
        <v>0.52938798609426796</v>
      </c>
      <c r="BJ310" s="188">
        <f t="shared" si="273"/>
        <v>3092.25</v>
      </c>
      <c r="BK310" s="188">
        <v>2201</v>
      </c>
      <c r="BL310" s="185">
        <f t="shared" si="258"/>
        <v>0.67619047619047623</v>
      </c>
      <c r="BM310" s="185">
        <f t="shared" si="275"/>
        <v>0.71177944862155385</v>
      </c>
      <c r="BN310" s="205">
        <f t="shared" si="256"/>
        <v>2055</v>
      </c>
      <c r="BO310" s="205"/>
      <c r="BP310" s="189">
        <f>BP311+BP312</f>
        <v>0</v>
      </c>
      <c r="BQ310" s="186">
        <f t="shared" si="259"/>
        <v>0</v>
      </c>
      <c r="BR310" s="189">
        <f>BR311+BR312</f>
        <v>154.5</v>
      </c>
      <c r="BS310" s="186">
        <f t="shared" si="260"/>
        <v>4.7465437788018434E-2</v>
      </c>
      <c r="BT310" s="189">
        <f>BT311+BT312</f>
        <v>595</v>
      </c>
      <c r="BU310" s="186">
        <f t="shared" si="261"/>
        <v>0.18279569892473119</v>
      </c>
      <c r="BV310" s="189">
        <f>BV311+BV312</f>
        <v>897</v>
      </c>
      <c r="BW310" s="186">
        <f t="shared" si="262"/>
        <v>0.27557603686635945</v>
      </c>
      <c r="BX310" s="189">
        <f>BX311+BX312</f>
        <v>1212</v>
      </c>
      <c r="BY310" s="186">
        <f t="shared" si="263"/>
        <v>0.37235023041474652</v>
      </c>
      <c r="BZ310" s="189">
        <f>BZ311+BZ312</f>
        <v>1530</v>
      </c>
      <c r="CA310" s="186">
        <f t="shared" si="264"/>
        <v>0.47004608294930877</v>
      </c>
      <c r="CB310" s="189">
        <f>CB311+CB312</f>
        <v>1850</v>
      </c>
      <c r="CC310" s="186">
        <f t="shared" si="265"/>
        <v>0.56835637480798773</v>
      </c>
      <c r="CD310" s="189">
        <f>CD311+CD312</f>
        <v>2160</v>
      </c>
      <c r="CE310" s="186">
        <f t="shared" si="266"/>
        <v>0.66359447004608296</v>
      </c>
      <c r="CF310" s="189">
        <f>CF311+CF312</f>
        <v>2470</v>
      </c>
      <c r="CG310" s="186">
        <f t="shared" si="267"/>
        <v>0.7588325652841782</v>
      </c>
      <c r="CH310" s="189">
        <f>CH311+CH312</f>
        <v>2642.5</v>
      </c>
      <c r="CI310" s="186">
        <f t="shared" si="268"/>
        <v>0.81182795698924726</v>
      </c>
      <c r="CJ310" s="189">
        <f>CJ311+CJ312</f>
        <v>2795</v>
      </c>
      <c r="CK310" s="186">
        <f t="shared" si="269"/>
        <v>0.85867895545314898</v>
      </c>
      <c r="CL310" s="189">
        <f>CL311+CL312</f>
        <v>3091</v>
      </c>
      <c r="CM310" s="186">
        <f t="shared" si="270"/>
        <v>0.94961597542242704</v>
      </c>
      <c r="CN310" s="189">
        <f>CN311+CN312</f>
        <v>3091</v>
      </c>
      <c r="CO310" s="186">
        <f t="shared" si="271"/>
        <v>0.94961597542242704</v>
      </c>
      <c r="CP310" s="213" t="str">
        <f t="shared" si="276"/>
        <v>Đạt</v>
      </c>
      <c r="CQ310" s="213" t="str">
        <f t="shared" si="277"/>
        <v>Đạt</v>
      </c>
      <c r="CR310" s="213"/>
      <c r="CS310" s="213"/>
      <c r="CT310" s="231"/>
      <c r="CU310" s="163"/>
      <c r="CW310" s="195"/>
      <c r="CX310" s="196"/>
      <c r="CY310" s="196"/>
      <c r="CZ310" s="197"/>
      <c r="DA310" s="196"/>
      <c r="DB310" s="196"/>
      <c r="DC310" s="196"/>
      <c r="DE310" s="199"/>
      <c r="DF310" s="200"/>
      <c r="DG310" s="181"/>
    </row>
    <row r="311" spans="1:111" s="324" customFormat="1" hidden="1" outlineLevel="1" x14ac:dyDescent="0.25">
      <c r="A311" s="305" t="s">
        <v>34</v>
      </c>
      <c r="B311" s="318" t="s">
        <v>376</v>
      </c>
      <c r="C311" s="306"/>
      <c r="D311" s="307">
        <f t="shared" si="243"/>
        <v>3000</v>
      </c>
      <c r="E311" s="307"/>
      <c r="F311" s="307">
        <f>G311+H311+K311+M311</f>
        <v>3000</v>
      </c>
      <c r="G311" s="303">
        <v>3000</v>
      </c>
      <c r="H311" s="303"/>
      <c r="I311" s="235"/>
      <c r="J311" s="235"/>
      <c r="K311" s="303"/>
      <c r="L311" s="235"/>
      <c r="M311" s="223"/>
      <c r="N311" s="223"/>
      <c r="O311" s="303">
        <f t="shared" si="285"/>
        <v>3000</v>
      </c>
      <c r="P311" s="303">
        <v>0</v>
      </c>
      <c r="Q311" s="308">
        <f t="shared" si="272"/>
        <v>0</v>
      </c>
      <c r="R311" s="303"/>
      <c r="S311" s="313">
        <v>0</v>
      </c>
      <c r="T311" s="313">
        <v>0</v>
      </c>
      <c r="U311" s="303"/>
      <c r="V311" s="313">
        <v>0</v>
      </c>
      <c r="W311" s="313">
        <v>0</v>
      </c>
      <c r="X311" s="303"/>
      <c r="Y311" s="313">
        <v>0</v>
      </c>
      <c r="Z311" s="313">
        <v>0</v>
      </c>
      <c r="AA311" s="303"/>
      <c r="AB311" s="313">
        <v>0</v>
      </c>
      <c r="AC311" s="313">
        <v>0</v>
      </c>
      <c r="AD311" s="303">
        <v>146</v>
      </c>
      <c r="AE311" s="313">
        <v>4.8666666666666664E-2</v>
      </c>
      <c r="AF311" s="313">
        <v>5.1228070175438595E-2</v>
      </c>
      <c r="AG311" s="303">
        <v>146</v>
      </c>
      <c r="AH311" s="313">
        <v>4.8666666666666664E-2</v>
      </c>
      <c r="AI311" s="313">
        <v>5.1228070175438595E-2</v>
      </c>
      <c r="AJ311" s="303">
        <v>146</v>
      </c>
      <c r="AK311" s="313">
        <v>4.8666666666666664E-2</v>
      </c>
      <c r="AL311" s="313">
        <v>5.1228070175438595E-2</v>
      </c>
      <c r="AM311" s="303">
        <v>981.02799999999991</v>
      </c>
      <c r="AN311" s="313">
        <v>0.32700933333333332</v>
      </c>
      <c r="AO311" s="313">
        <v>0.34422035087719294</v>
      </c>
      <c r="AP311" s="313"/>
      <c r="AQ311" s="303">
        <v>1587</v>
      </c>
      <c r="AR311" s="313">
        <v>0.52900000000000003</v>
      </c>
      <c r="AS311" s="313">
        <v>0.55684210526315792</v>
      </c>
      <c r="AT311" s="303">
        <v>1587</v>
      </c>
      <c r="AU311" s="313">
        <v>0.52900000000000003</v>
      </c>
      <c r="AV311" s="313">
        <v>0.55684210526315792</v>
      </c>
      <c r="AW311" s="313"/>
      <c r="AX311" s="313"/>
      <c r="AY311" s="313"/>
      <c r="AZ311" s="313"/>
      <c r="BA311" s="313"/>
      <c r="BB311" s="313"/>
      <c r="BC311" s="303">
        <v>1587</v>
      </c>
      <c r="BD311" s="313">
        <v>0.52900000000000003</v>
      </c>
      <c r="BE311" s="313">
        <v>0.55684210526315792</v>
      </c>
      <c r="BF311" s="303"/>
      <c r="BG311" s="303">
        <v>1637</v>
      </c>
      <c r="BH311" s="313">
        <v>0.54566666666666663</v>
      </c>
      <c r="BI311" s="313">
        <v>0.57438596491228067</v>
      </c>
      <c r="BJ311" s="303">
        <f t="shared" si="273"/>
        <v>2850</v>
      </c>
      <c r="BK311" s="303">
        <v>1637</v>
      </c>
      <c r="BL311" s="313">
        <f t="shared" si="258"/>
        <v>0.54566666666666663</v>
      </c>
      <c r="BM311" s="313">
        <f t="shared" si="275"/>
        <v>0.57438596491228067</v>
      </c>
      <c r="BN311" s="205">
        <f t="shared" si="256"/>
        <v>1491</v>
      </c>
      <c r="BO311" s="205"/>
      <c r="BP311" s="310"/>
      <c r="BQ311" s="311">
        <f t="shared" si="259"/>
        <v>0</v>
      </c>
      <c r="BR311" s="310">
        <v>142.5</v>
      </c>
      <c r="BS311" s="311">
        <f t="shared" si="260"/>
        <v>4.7500000000000001E-2</v>
      </c>
      <c r="BT311" s="310">
        <v>570</v>
      </c>
      <c r="BU311" s="308">
        <f t="shared" si="261"/>
        <v>0.19</v>
      </c>
      <c r="BV311" s="310">
        <v>855</v>
      </c>
      <c r="BW311" s="311">
        <f t="shared" si="262"/>
        <v>0.28499999999999998</v>
      </c>
      <c r="BX311" s="310">
        <v>1140</v>
      </c>
      <c r="BY311" s="311">
        <f t="shared" si="263"/>
        <v>0.38</v>
      </c>
      <c r="BZ311" s="310">
        <v>1425</v>
      </c>
      <c r="CA311" s="311">
        <f t="shared" si="264"/>
        <v>0.47499999999999998</v>
      </c>
      <c r="CB311" s="310">
        <v>1710</v>
      </c>
      <c r="CC311" s="311">
        <f t="shared" si="265"/>
        <v>0.56999999999999995</v>
      </c>
      <c r="CD311" s="310">
        <v>1994.9999999999998</v>
      </c>
      <c r="CE311" s="311">
        <f t="shared" si="266"/>
        <v>0.66499999999999992</v>
      </c>
      <c r="CF311" s="310">
        <v>2280</v>
      </c>
      <c r="CG311" s="311">
        <f t="shared" si="267"/>
        <v>0.76</v>
      </c>
      <c r="CH311" s="310">
        <v>2422.5</v>
      </c>
      <c r="CI311" s="311">
        <f t="shared" si="268"/>
        <v>0.8075</v>
      </c>
      <c r="CJ311" s="310">
        <v>2565</v>
      </c>
      <c r="CK311" s="311">
        <f t="shared" si="269"/>
        <v>0.85499999999999998</v>
      </c>
      <c r="CL311" s="310">
        <v>2850</v>
      </c>
      <c r="CM311" s="311">
        <f t="shared" si="270"/>
        <v>0.95</v>
      </c>
      <c r="CN311" s="310">
        <v>2850</v>
      </c>
      <c r="CO311" s="311">
        <f t="shared" si="271"/>
        <v>0.95</v>
      </c>
      <c r="CP311" s="213" t="str">
        <f t="shared" si="276"/>
        <v>Đạt</v>
      </c>
      <c r="CQ311" s="213" t="str">
        <f t="shared" si="277"/>
        <v>Đạt</v>
      </c>
      <c r="CR311" s="312"/>
      <c r="CS311" s="312"/>
      <c r="CT311" s="235"/>
      <c r="CU311" s="163"/>
      <c r="CV311" s="323"/>
      <c r="CW311" s="195"/>
      <c r="CX311" s="196"/>
      <c r="CY311" s="196"/>
      <c r="CZ311" s="197"/>
      <c r="DA311" s="196"/>
      <c r="DB311" s="196"/>
      <c r="DC311" s="196"/>
      <c r="DE311" s="199"/>
      <c r="DF311" s="200"/>
      <c r="DG311" s="181"/>
    </row>
    <row r="312" spans="1:111" ht="25.5" hidden="1" outlineLevel="1" x14ac:dyDescent="0.25">
      <c r="A312" s="305" t="s">
        <v>34</v>
      </c>
      <c r="B312" s="306" t="s">
        <v>377</v>
      </c>
      <c r="C312" s="306"/>
      <c r="D312" s="307">
        <f>E312+F312</f>
        <v>255</v>
      </c>
      <c r="E312" s="307"/>
      <c r="F312" s="307">
        <f>G312+H312+K312+M312</f>
        <v>255</v>
      </c>
      <c r="G312" s="307"/>
      <c r="H312" s="307">
        <v>255</v>
      </c>
      <c r="I312" s="235"/>
      <c r="J312" s="235"/>
      <c r="K312" s="303"/>
      <c r="L312" s="235"/>
      <c r="M312" s="223"/>
      <c r="N312" s="223"/>
      <c r="O312" s="303"/>
      <c r="P312" s="303">
        <v>0</v>
      </c>
      <c r="Q312" s="308">
        <f t="shared" si="272"/>
        <v>0</v>
      </c>
      <c r="R312" s="303"/>
      <c r="S312" s="313">
        <v>0</v>
      </c>
      <c r="T312" s="313">
        <v>0</v>
      </c>
      <c r="U312" s="303"/>
      <c r="V312" s="313">
        <v>0</v>
      </c>
      <c r="W312" s="313">
        <v>0</v>
      </c>
      <c r="X312" s="303"/>
      <c r="Y312" s="313">
        <v>0</v>
      </c>
      <c r="Z312" s="313">
        <v>0</v>
      </c>
      <c r="AA312" s="303"/>
      <c r="AB312" s="313">
        <v>0</v>
      </c>
      <c r="AC312" s="313">
        <v>0</v>
      </c>
      <c r="AD312" s="303"/>
      <c r="AE312" s="313">
        <v>0</v>
      </c>
      <c r="AF312" s="313">
        <v>0</v>
      </c>
      <c r="AG312" s="303"/>
      <c r="AH312" s="313">
        <v>0</v>
      </c>
      <c r="AI312" s="313">
        <v>0</v>
      </c>
      <c r="AJ312" s="188"/>
      <c r="AK312" s="313">
        <v>0</v>
      </c>
      <c r="AL312" s="313">
        <v>0</v>
      </c>
      <c r="AM312" s="303"/>
      <c r="AN312" s="313">
        <v>0</v>
      </c>
      <c r="AO312" s="313">
        <v>0</v>
      </c>
      <c r="AP312" s="313"/>
      <c r="AQ312" s="303"/>
      <c r="AR312" s="313">
        <v>0</v>
      </c>
      <c r="AS312" s="313">
        <v>0</v>
      </c>
      <c r="AT312" s="303"/>
      <c r="AU312" s="313">
        <v>0</v>
      </c>
      <c r="AV312" s="313">
        <v>0</v>
      </c>
      <c r="AW312" s="313"/>
      <c r="AX312" s="313"/>
      <c r="AY312" s="313"/>
      <c r="AZ312" s="313"/>
      <c r="BA312" s="313"/>
      <c r="BB312" s="313"/>
      <c r="BC312" s="303"/>
      <c r="BD312" s="313">
        <v>0</v>
      </c>
      <c r="BE312" s="313">
        <v>0</v>
      </c>
      <c r="BF312" s="303"/>
      <c r="BG312" s="303"/>
      <c r="BH312" s="313">
        <v>0</v>
      </c>
      <c r="BI312" s="313">
        <v>0</v>
      </c>
      <c r="BJ312" s="303">
        <f t="shared" si="273"/>
        <v>242.25</v>
      </c>
      <c r="BK312" s="303"/>
      <c r="BL312" s="313">
        <f t="shared" si="258"/>
        <v>0</v>
      </c>
      <c r="BM312" s="313">
        <f t="shared" si="275"/>
        <v>0</v>
      </c>
      <c r="BN312" s="205">
        <f t="shared" si="256"/>
        <v>0</v>
      </c>
      <c r="BO312" s="205"/>
      <c r="BP312" s="310"/>
      <c r="BQ312" s="311">
        <f t="shared" si="259"/>
        <v>0</v>
      </c>
      <c r="BR312" s="310">
        <v>12</v>
      </c>
      <c r="BS312" s="311">
        <f t="shared" si="260"/>
        <v>4.7058823529411764E-2</v>
      </c>
      <c r="BT312" s="310">
        <v>25</v>
      </c>
      <c r="BU312" s="308">
        <f t="shared" si="261"/>
        <v>9.8039215686274508E-2</v>
      </c>
      <c r="BV312" s="310">
        <v>42</v>
      </c>
      <c r="BW312" s="311">
        <f t="shared" si="262"/>
        <v>0.16470588235294117</v>
      </c>
      <c r="BX312" s="310">
        <v>72</v>
      </c>
      <c r="BY312" s="311">
        <f t="shared" si="263"/>
        <v>0.28235294117647058</v>
      </c>
      <c r="BZ312" s="310">
        <v>105</v>
      </c>
      <c r="CA312" s="311">
        <f t="shared" si="264"/>
        <v>0.41176470588235292</v>
      </c>
      <c r="CB312" s="310">
        <v>140</v>
      </c>
      <c r="CC312" s="311">
        <f t="shared" si="265"/>
        <v>0.5490196078431373</v>
      </c>
      <c r="CD312" s="310">
        <v>165</v>
      </c>
      <c r="CE312" s="311">
        <f t="shared" si="266"/>
        <v>0.6470588235294118</v>
      </c>
      <c r="CF312" s="310">
        <v>190</v>
      </c>
      <c r="CG312" s="311">
        <f t="shared" si="267"/>
        <v>0.74509803921568629</v>
      </c>
      <c r="CH312" s="310">
        <v>220</v>
      </c>
      <c r="CI312" s="311">
        <f t="shared" si="268"/>
        <v>0.86274509803921573</v>
      </c>
      <c r="CJ312" s="310">
        <v>230</v>
      </c>
      <c r="CK312" s="311">
        <f t="shared" si="269"/>
        <v>0.90196078431372551</v>
      </c>
      <c r="CL312" s="310">
        <v>241</v>
      </c>
      <c r="CM312" s="311">
        <f t="shared" si="270"/>
        <v>0.94509803921568625</v>
      </c>
      <c r="CN312" s="310">
        <v>241</v>
      </c>
      <c r="CO312" s="311">
        <f t="shared" si="271"/>
        <v>0.94509803921568625</v>
      </c>
      <c r="CP312" s="213" t="str">
        <f t="shared" si="276"/>
        <v>Không đạt</v>
      </c>
      <c r="CQ312" s="213" t="str">
        <f t="shared" si="277"/>
        <v>Không đạt</v>
      </c>
      <c r="CR312" s="312"/>
      <c r="CS312" s="312"/>
      <c r="CT312" s="235"/>
      <c r="CU312" s="163"/>
      <c r="CW312" s="195"/>
      <c r="CX312" s="196"/>
      <c r="CY312" s="196"/>
      <c r="CZ312" s="197"/>
      <c r="DA312" s="196"/>
      <c r="DB312" s="196"/>
      <c r="DC312" s="196"/>
      <c r="DE312" s="199"/>
      <c r="DF312" s="200"/>
      <c r="DG312" s="181"/>
    </row>
    <row r="313" spans="1:111" ht="18" customHeight="1" collapsed="1" x14ac:dyDescent="0.25">
      <c r="A313" s="213">
        <f>MAX(A$239:A311)+1</f>
        <v>20</v>
      </c>
      <c r="B313" s="240" t="s">
        <v>410</v>
      </c>
      <c r="C313" s="240"/>
      <c r="D313" s="188">
        <f t="shared" ref="D313:I313" si="303">D314+D315</f>
        <v>3467</v>
      </c>
      <c r="E313" s="188">
        <f t="shared" si="303"/>
        <v>0</v>
      </c>
      <c r="F313" s="188">
        <f t="shared" si="303"/>
        <v>3467</v>
      </c>
      <c r="G313" s="188">
        <f t="shared" si="303"/>
        <v>3000</v>
      </c>
      <c r="H313" s="188">
        <f t="shared" si="303"/>
        <v>467</v>
      </c>
      <c r="I313" s="188">
        <f t="shared" si="303"/>
        <v>0</v>
      </c>
      <c r="J313" s="188"/>
      <c r="K313" s="188">
        <f>K314+K315</f>
        <v>0</v>
      </c>
      <c r="L313" s="188">
        <f>L314+L315</f>
        <v>0</v>
      </c>
      <c r="M313" s="188">
        <f>M314+M315</f>
        <v>0</v>
      </c>
      <c r="N313" s="188">
        <f>N314+N315</f>
        <v>0</v>
      </c>
      <c r="O313" s="188">
        <f>O314+O315</f>
        <v>3000</v>
      </c>
      <c r="P313" s="188">
        <v>0</v>
      </c>
      <c r="Q313" s="186">
        <f t="shared" si="272"/>
        <v>0</v>
      </c>
      <c r="R313" s="188">
        <v>0</v>
      </c>
      <c r="S313" s="185">
        <v>0</v>
      </c>
      <c r="T313" s="185">
        <v>0</v>
      </c>
      <c r="U313" s="188">
        <v>0</v>
      </c>
      <c r="V313" s="185">
        <v>0</v>
      </c>
      <c r="W313" s="185">
        <v>0</v>
      </c>
      <c r="X313" s="188">
        <v>0</v>
      </c>
      <c r="Y313" s="185">
        <v>0</v>
      </c>
      <c r="Z313" s="185">
        <v>0</v>
      </c>
      <c r="AA313" s="188">
        <v>0</v>
      </c>
      <c r="AB313" s="185">
        <v>0</v>
      </c>
      <c r="AC313" s="185">
        <v>0</v>
      </c>
      <c r="AD313" s="188">
        <v>271</v>
      </c>
      <c r="AE313" s="185">
        <v>7.8165561003749634E-2</v>
      </c>
      <c r="AF313" s="185">
        <v>8.2279537898683835E-2</v>
      </c>
      <c r="AG313" s="188">
        <v>271</v>
      </c>
      <c r="AH313" s="185">
        <v>7.8165561003749634E-2</v>
      </c>
      <c r="AI313" s="185">
        <v>8.2279537898683835E-2</v>
      </c>
      <c r="AJ313" s="303">
        <v>271</v>
      </c>
      <c r="AK313" s="185">
        <v>7.8165561003749634E-2</v>
      </c>
      <c r="AL313" s="185">
        <v>8.2279537898683835E-2</v>
      </c>
      <c r="AM313" s="314">
        <v>271</v>
      </c>
      <c r="AN313" s="185">
        <v>7.8165561003749634E-2</v>
      </c>
      <c r="AO313" s="185">
        <v>8.2279537898683835E-2</v>
      </c>
      <c r="AP313" s="185"/>
      <c r="AQ313" s="188">
        <v>271</v>
      </c>
      <c r="AR313" s="185">
        <v>7.8165561003749634E-2</v>
      </c>
      <c r="AS313" s="185">
        <v>8.2279537898683835E-2</v>
      </c>
      <c r="AT313" s="188">
        <v>271</v>
      </c>
      <c r="AU313" s="185">
        <v>7.8165561003749634E-2</v>
      </c>
      <c r="AV313" s="185">
        <v>8.2279537898683835E-2</v>
      </c>
      <c r="AW313" s="185"/>
      <c r="AX313" s="185"/>
      <c r="AY313" s="185"/>
      <c r="AZ313" s="185"/>
      <c r="BA313" s="185"/>
      <c r="BB313" s="185"/>
      <c r="BC313" s="188">
        <v>271</v>
      </c>
      <c r="BD313" s="185">
        <v>7.8165561003749634E-2</v>
      </c>
      <c r="BE313" s="185">
        <v>8.2279537898683835E-2</v>
      </c>
      <c r="BF313" s="188"/>
      <c r="BG313" s="188">
        <v>1884</v>
      </c>
      <c r="BH313" s="185">
        <v>0.54340928756850304</v>
      </c>
      <c r="BI313" s="185">
        <v>0.57200977638789796</v>
      </c>
      <c r="BJ313" s="188">
        <f t="shared" si="273"/>
        <v>3293.6499999999996</v>
      </c>
      <c r="BK313" s="188">
        <v>2624</v>
      </c>
      <c r="BL313" s="185">
        <f t="shared" si="258"/>
        <v>0.75685030285549471</v>
      </c>
      <c r="BM313" s="185">
        <f t="shared" si="275"/>
        <v>0.79668452932157341</v>
      </c>
      <c r="BN313" s="205">
        <f t="shared" si="256"/>
        <v>2353</v>
      </c>
      <c r="BO313" s="205"/>
      <c r="BP313" s="189">
        <f>BP314+BP315</f>
        <v>0</v>
      </c>
      <c r="BQ313" s="186">
        <f t="shared" si="259"/>
        <v>0</v>
      </c>
      <c r="BR313" s="189">
        <f>BR314+BR315</f>
        <v>0</v>
      </c>
      <c r="BS313" s="186">
        <f t="shared" si="260"/>
        <v>0</v>
      </c>
      <c r="BT313" s="189">
        <f>BT314+BT315</f>
        <v>346.7</v>
      </c>
      <c r="BU313" s="186">
        <f t="shared" si="261"/>
        <v>9.9999999999999992E-2</v>
      </c>
      <c r="BV313" s="189">
        <f>BV314+BV315</f>
        <v>693.4</v>
      </c>
      <c r="BW313" s="186">
        <f t="shared" si="262"/>
        <v>0.19999999999999998</v>
      </c>
      <c r="BX313" s="189">
        <f>BX314+BX315</f>
        <v>1040.0999999999999</v>
      </c>
      <c r="BY313" s="186">
        <f t="shared" si="263"/>
        <v>0.3</v>
      </c>
      <c r="BZ313" s="189">
        <f>BZ314+BZ315</f>
        <v>1386.8</v>
      </c>
      <c r="CA313" s="186">
        <f t="shared" si="264"/>
        <v>0.39999999999999997</v>
      </c>
      <c r="CB313" s="189">
        <f>CB314+CB315</f>
        <v>1733.5</v>
      </c>
      <c r="CC313" s="186">
        <f t="shared" si="265"/>
        <v>0.5</v>
      </c>
      <c r="CD313" s="189">
        <f>CD314+CD315</f>
        <v>1906.8500000000004</v>
      </c>
      <c r="CE313" s="186">
        <f t="shared" si="266"/>
        <v>0.55000000000000016</v>
      </c>
      <c r="CF313" s="189">
        <f>CF314+CF315</f>
        <v>2426.9</v>
      </c>
      <c r="CG313" s="186">
        <f t="shared" si="267"/>
        <v>0.70000000000000007</v>
      </c>
      <c r="CH313" s="189">
        <f>CH314+CH315</f>
        <v>2426.9</v>
      </c>
      <c r="CI313" s="186">
        <f t="shared" si="268"/>
        <v>0.70000000000000007</v>
      </c>
      <c r="CJ313" s="189">
        <f>CJ314+CJ315</f>
        <v>2600.25</v>
      </c>
      <c r="CK313" s="186">
        <f t="shared" si="269"/>
        <v>0.75</v>
      </c>
      <c r="CL313" s="189">
        <f>CL314+CL315</f>
        <v>2600.25</v>
      </c>
      <c r="CM313" s="186">
        <f t="shared" si="270"/>
        <v>0.75</v>
      </c>
      <c r="CN313" s="189">
        <f>CN314+CN315</f>
        <v>3293.65</v>
      </c>
      <c r="CO313" s="186">
        <f t="shared" si="271"/>
        <v>0.95000000000000007</v>
      </c>
      <c r="CP313" s="213" t="str">
        <f t="shared" si="276"/>
        <v>Đạt</v>
      </c>
      <c r="CQ313" s="213" t="str">
        <f t="shared" si="277"/>
        <v>Đạt</v>
      </c>
      <c r="CR313" s="213"/>
      <c r="CS313" s="213"/>
      <c r="CT313" s="231"/>
      <c r="CU313" s="163"/>
      <c r="CW313" s="195"/>
      <c r="CX313" s="196"/>
      <c r="CY313" s="196"/>
      <c r="CZ313" s="197"/>
      <c r="DA313" s="196"/>
      <c r="DB313" s="196"/>
      <c r="DC313" s="196"/>
      <c r="DE313" s="199"/>
      <c r="DF313" s="200"/>
      <c r="DG313" s="181"/>
    </row>
    <row r="314" spans="1:111" s="324" customFormat="1" hidden="1" outlineLevel="1" x14ac:dyDescent="0.25">
      <c r="A314" s="305" t="s">
        <v>34</v>
      </c>
      <c r="B314" s="318" t="s">
        <v>376</v>
      </c>
      <c r="C314" s="306"/>
      <c r="D314" s="307">
        <f t="shared" si="243"/>
        <v>3000</v>
      </c>
      <c r="E314" s="307"/>
      <c r="F314" s="307">
        <f>G314+H314+K314+M314</f>
        <v>3000</v>
      </c>
      <c r="G314" s="303">
        <v>3000</v>
      </c>
      <c r="H314" s="303"/>
      <c r="I314" s="235"/>
      <c r="J314" s="235"/>
      <c r="K314" s="303"/>
      <c r="L314" s="235"/>
      <c r="M314" s="223"/>
      <c r="N314" s="223"/>
      <c r="O314" s="303">
        <f t="shared" si="285"/>
        <v>3000</v>
      </c>
      <c r="P314" s="303">
        <v>0</v>
      </c>
      <c r="Q314" s="308">
        <f t="shared" si="272"/>
        <v>0</v>
      </c>
      <c r="R314" s="303"/>
      <c r="S314" s="309">
        <v>0</v>
      </c>
      <c r="T314" s="309">
        <v>0</v>
      </c>
      <c r="U314" s="303"/>
      <c r="V314" s="309">
        <v>0</v>
      </c>
      <c r="W314" s="309">
        <v>0</v>
      </c>
      <c r="X314" s="303"/>
      <c r="Y314" s="309">
        <v>0</v>
      </c>
      <c r="Z314" s="309">
        <v>0</v>
      </c>
      <c r="AA314" s="303"/>
      <c r="AB314" s="309">
        <v>0</v>
      </c>
      <c r="AC314" s="309">
        <v>0</v>
      </c>
      <c r="AD314" s="303">
        <v>271</v>
      </c>
      <c r="AE314" s="309">
        <v>9.0333333333333335E-2</v>
      </c>
      <c r="AF314" s="309">
        <v>9.508771929824561E-2</v>
      </c>
      <c r="AG314" s="303">
        <v>271</v>
      </c>
      <c r="AH314" s="309">
        <v>9.0333333333333335E-2</v>
      </c>
      <c r="AI314" s="309">
        <v>9.508771929824561E-2</v>
      </c>
      <c r="AJ314" s="303">
        <v>271</v>
      </c>
      <c r="AK314" s="309">
        <v>9.0333333333333335E-2</v>
      </c>
      <c r="AL314" s="309">
        <v>9.508771929824561E-2</v>
      </c>
      <c r="AM314" s="303">
        <v>271</v>
      </c>
      <c r="AN314" s="309">
        <v>9.0333333333333335E-2</v>
      </c>
      <c r="AO314" s="309">
        <v>9.508771929824561E-2</v>
      </c>
      <c r="AP314" s="309"/>
      <c r="AQ314" s="303">
        <v>271</v>
      </c>
      <c r="AR314" s="309">
        <v>9.0333333333333335E-2</v>
      </c>
      <c r="AS314" s="309">
        <v>9.508771929824561E-2</v>
      </c>
      <c r="AT314" s="303">
        <v>271</v>
      </c>
      <c r="AU314" s="309">
        <v>9.0333333333333335E-2</v>
      </c>
      <c r="AV314" s="309">
        <v>9.508771929824561E-2</v>
      </c>
      <c r="AW314" s="309"/>
      <c r="AX314" s="309"/>
      <c r="AY314" s="309"/>
      <c r="AZ314" s="309"/>
      <c r="BA314" s="309"/>
      <c r="BB314" s="309"/>
      <c r="BC314" s="303">
        <v>271</v>
      </c>
      <c r="BD314" s="309">
        <v>9.0333333333333335E-2</v>
      </c>
      <c r="BE314" s="309">
        <v>9.508771929824561E-2</v>
      </c>
      <c r="BF314" s="303"/>
      <c r="BG314" s="303">
        <v>1884</v>
      </c>
      <c r="BH314" s="309">
        <v>0.628</v>
      </c>
      <c r="BI314" s="309">
        <v>0.66105263157894734</v>
      </c>
      <c r="BJ314" s="303">
        <f t="shared" si="273"/>
        <v>2850</v>
      </c>
      <c r="BK314" s="303">
        <v>2584.0475750000001</v>
      </c>
      <c r="BL314" s="309">
        <f t="shared" si="258"/>
        <v>0.86134919166666668</v>
      </c>
      <c r="BM314" s="309">
        <f t="shared" si="275"/>
        <v>0.90668335964912283</v>
      </c>
      <c r="BN314" s="205">
        <f t="shared" si="256"/>
        <v>2313.0475750000001</v>
      </c>
      <c r="BO314" s="205"/>
      <c r="BP314" s="310"/>
      <c r="BQ314" s="308">
        <f t="shared" si="259"/>
        <v>0</v>
      </c>
      <c r="BR314" s="310"/>
      <c r="BS314" s="308">
        <f t="shared" si="260"/>
        <v>0</v>
      </c>
      <c r="BT314" s="310">
        <f>$F314*0.1</f>
        <v>300</v>
      </c>
      <c r="BU314" s="308">
        <f t="shared" si="261"/>
        <v>0.1</v>
      </c>
      <c r="BV314" s="310">
        <f>$F314*0.2</f>
        <v>600</v>
      </c>
      <c r="BW314" s="308">
        <f t="shared" si="262"/>
        <v>0.2</v>
      </c>
      <c r="BX314" s="310">
        <f>$F314*0.3</f>
        <v>900</v>
      </c>
      <c r="BY314" s="308">
        <f t="shared" si="263"/>
        <v>0.3</v>
      </c>
      <c r="BZ314" s="310">
        <f>$F314*0.4</f>
        <v>1200</v>
      </c>
      <c r="CA314" s="308">
        <f t="shared" si="264"/>
        <v>0.4</v>
      </c>
      <c r="CB314" s="310">
        <f>$F314*0.5</f>
        <v>1500</v>
      </c>
      <c r="CC314" s="308">
        <f t="shared" si="265"/>
        <v>0.5</v>
      </c>
      <c r="CD314" s="310">
        <f>$F314*0.55</f>
        <v>1650.0000000000002</v>
      </c>
      <c r="CE314" s="308">
        <f t="shared" si="266"/>
        <v>0.55000000000000004</v>
      </c>
      <c r="CF314" s="310">
        <v>2100</v>
      </c>
      <c r="CG314" s="308">
        <f t="shared" si="267"/>
        <v>0.7</v>
      </c>
      <c r="CH314" s="310">
        <f>$F314*0.7</f>
        <v>2100</v>
      </c>
      <c r="CI314" s="308">
        <f t="shared" si="268"/>
        <v>0.7</v>
      </c>
      <c r="CJ314" s="310">
        <f>$F314*0.75</f>
        <v>2250</v>
      </c>
      <c r="CK314" s="308">
        <f t="shared" si="269"/>
        <v>0.75</v>
      </c>
      <c r="CL314" s="310">
        <f>$F314*0.75</f>
        <v>2250</v>
      </c>
      <c r="CM314" s="308">
        <f t="shared" si="270"/>
        <v>0.75</v>
      </c>
      <c r="CN314" s="310">
        <f>$F314*0.95</f>
        <v>2850</v>
      </c>
      <c r="CO314" s="308">
        <f t="shared" si="271"/>
        <v>0.95</v>
      </c>
      <c r="CP314" s="213" t="str">
        <f t="shared" si="276"/>
        <v>Đạt</v>
      </c>
      <c r="CQ314" s="213" t="str">
        <f t="shared" si="277"/>
        <v>Đạt</v>
      </c>
      <c r="CR314" s="312"/>
      <c r="CS314" s="312"/>
      <c r="CT314" s="235"/>
      <c r="CU314" s="163"/>
      <c r="CV314" s="323"/>
      <c r="CW314" s="195"/>
      <c r="CX314" s="196"/>
      <c r="CY314" s="196"/>
      <c r="CZ314" s="197"/>
      <c r="DA314" s="196"/>
      <c r="DB314" s="196"/>
      <c r="DC314" s="196"/>
      <c r="DE314" s="199"/>
      <c r="DF314" s="200"/>
      <c r="DG314" s="181"/>
    </row>
    <row r="315" spans="1:111" ht="25.5" hidden="1" outlineLevel="1" x14ac:dyDescent="0.25">
      <c r="A315" s="305" t="s">
        <v>34</v>
      </c>
      <c r="B315" s="306" t="s">
        <v>377</v>
      </c>
      <c r="C315" s="306"/>
      <c r="D315" s="307">
        <f>E315+F315</f>
        <v>467</v>
      </c>
      <c r="E315" s="307"/>
      <c r="F315" s="307">
        <f>G315+H315+K315+M315</f>
        <v>467</v>
      </c>
      <c r="G315" s="307"/>
      <c r="H315" s="307">
        <v>467</v>
      </c>
      <c r="I315" s="235"/>
      <c r="J315" s="235"/>
      <c r="K315" s="303"/>
      <c r="L315" s="235"/>
      <c r="M315" s="223"/>
      <c r="N315" s="223"/>
      <c r="O315" s="303"/>
      <c r="P315" s="303">
        <v>0</v>
      </c>
      <c r="Q315" s="308">
        <f t="shared" si="272"/>
        <v>0</v>
      </c>
      <c r="R315" s="303"/>
      <c r="S315" s="309">
        <v>0</v>
      </c>
      <c r="T315" s="309">
        <v>0</v>
      </c>
      <c r="U315" s="303"/>
      <c r="V315" s="309">
        <v>0</v>
      </c>
      <c r="W315" s="309">
        <v>0</v>
      </c>
      <c r="X315" s="303"/>
      <c r="Y315" s="309">
        <v>0</v>
      </c>
      <c r="Z315" s="309">
        <v>0</v>
      </c>
      <c r="AA315" s="303"/>
      <c r="AB315" s="309">
        <v>0</v>
      </c>
      <c r="AC315" s="309">
        <v>0</v>
      </c>
      <c r="AD315" s="303"/>
      <c r="AE315" s="309">
        <v>0</v>
      </c>
      <c r="AF315" s="309">
        <v>0</v>
      </c>
      <c r="AG315" s="303"/>
      <c r="AH315" s="309">
        <v>0</v>
      </c>
      <c r="AI315" s="309">
        <v>0</v>
      </c>
      <c r="AJ315" s="189"/>
      <c r="AK315" s="309">
        <v>0</v>
      </c>
      <c r="AL315" s="309">
        <v>0</v>
      </c>
      <c r="AM315" s="303"/>
      <c r="AN315" s="309">
        <v>0</v>
      </c>
      <c r="AO315" s="309">
        <v>0</v>
      </c>
      <c r="AP315" s="309"/>
      <c r="AQ315" s="303"/>
      <c r="AR315" s="309">
        <v>0</v>
      </c>
      <c r="AS315" s="309">
        <v>0</v>
      </c>
      <c r="AT315" s="303"/>
      <c r="AU315" s="309">
        <v>0</v>
      </c>
      <c r="AV315" s="309">
        <v>0</v>
      </c>
      <c r="AW315" s="309"/>
      <c r="AX315" s="309"/>
      <c r="AY315" s="309"/>
      <c r="AZ315" s="309"/>
      <c r="BA315" s="309"/>
      <c r="BB315" s="309"/>
      <c r="BC315" s="303"/>
      <c r="BD315" s="309">
        <v>0</v>
      </c>
      <c r="BE315" s="309">
        <v>0</v>
      </c>
      <c r="BF315" s="303"/>
      <c r="BG315" s="303"/>
      <c r="BH315" s="309">
        <v>0</v>
      </c>
      <c r="BI315" s="309">
        <v>0</v>
      </c>
      <c r="BJ315" s="303">
        <f t="shared" si="273"/>
        <v>443.65</v>
      </c>
      <c r="BK315" s="303"/>
      <c r="BL315" s="309">
        <f t="shared" si="258"/>
        <v>0</v>
      </c>
      <c r="BM315" s="309">
        <f t="shared" si="275"/>
        <v>0</v>
      </c>
      <c r="BN315" s="205">
        <f t="shared" si="256"/>
        <v>0</v>
      </c>
      <c r="BO315" s="205"/>
      <c r="BP315" s="310"/>
      <c r="BQ315" s="308">
        <f t="shared" si="259"/>
        <v>0</v>
      </c>
      <c r="BR315" s="310"/>
      <c r="BS315" s="308">
        <f t="shared" si="260"/>
        <v>0</v>
      </c>
      <c r="BT315" s="310">
        <f>$F315*0.1</f>
        <v>46.7</v>
      </c>
      <c r="BU315" s="308">
        <f t="shared" si="261"/>
        <v>0.1</v>
      </c>
      <c r="BV315" s="310">
        <f>$F315*0.2</f>
        <v>93.4</v>
      </c>
      <c r="BW315" s="308">
        <f t="shared" si="262"/>
        <v>0.2</v>
      </c>
      <c r="BX315" s="310">
        <f>$F315*0.3</f>
        <v>140.1</v>
      </c>
      <c r="BY315" s="308">
        <f t="shared" si="263"/>
        <v>0.3</v>
      </c>
      <c r="BZ315" s="310">
        <f>$F315*0.4</f>
        <v>186.8</v>
      </c>
      <c r="CA315" s="308">
        <f t="shared" si="264"/>
        <v>0.4</v>
      </c>
      <c r="CB315" s="310">
        <f>$F315*0.5</f>
        <v>233.5</v>
      </c>
      <c r="CC315" s="308">
        <f t="shared" si="265"/>
        <v>0.5</v>
      </c>
      <c r="CD315" s="310">
        <f>$F315*0.55</f>
        <v>256.85000000000002</v>
      </c>
      <c r="CE315" s="308">
        <f t="shared" si="266"/>
        <v>0.55000000000000004</v>
      </c>
      <c r="CF315" s="310">
        <v>326.89999999999998</v>
      </c>
      <c r="CG315" s="308">
        <f t="shared" si="267"/>
        <v>0.7</v>
      </c>
      <c r="CH315" s="310">
        <f>$F315*0.7</f>
        <v>326.89999999999998</v>
      </c>
      <c r="CI315" s="308">
        <f t="shared" si="268"/>
        <v>0.7</v>
      </c>
      <c r="CJ315" s="310">
        <f>$F315*0.75</f>
        <v>350.25</v>
      </c>
      <c r="CK315" s="308">
        <f t="shared" si="269"/>
        <v>0.75</v>
      </c>
      <c r="CL315" s="310">
        <f>$F315*0.75</f>
        <v>350.25</v>
      </c>
      <c r="CM315" s="308">
        <f t="shared" si="270"/>
        <v>0.75</v>
      </c>
      <c r="CN315" s="310">
        <f>$F315*0.95</f>
        <v>443.65</v>
      </c>
      <c r="CO315" s="308">
        <f t="shared" si="271"/>
        <v>0.95</v>
      </c>
      <c r="CP315" s="213" t="str">
        <f t="shared" si="276"/>
        <v>Không đạt</v>
      </c>
      <c r="CQ315" s="213" t="str">
        <f t="shared" si="277"/>
        <v>Không đạt</v>
      </c>
      <c r="CR315" s="312"/>
      <c r="CS315" s="312"/>
      <c r="CT315" s="235"/>
      <c r="CU315" s="163"/>
      <c r="CW315" s="195"/>
      <c r="CX315" s="196"/>
      <c r="CY315" s="196"/>
      <c r="CZ315" s="197"/>
      <c r="DA315" s="196"/>
      <c r="DB315" s="196"/>
      <c r="DC315" s="196"/>
      <c r="DE315" s="199"/>
      <c r="DF315" s="200"/>
      <c r="DG315" s="181"/>
    </row>
    <row r="316" spans="1:111" ht="18" customHeight="1" collapsed="1" x14ac:dyDescent="0.25">
      <c r="A316" s="316">
        <f>MAX(A$239:A314)+1</f>
        <v>21</v>
      </c>
      <c r="B316" s="240" t="s">
        <v>411</v>
      </c>
      <c r="C316" s="240"/>
      <c r="D316" s="188">
        <f t="shared" ref="D316:I316" si="304">D317+D318</f>
        <v>8350</v>
      </c>
      <c r="E316" s="188">
        <f t="shared" si="304"/>
        <v>0</v>
      </c>
      <c r="F316" s="188">
        <f t="shared" si="304"/>
        <v>8350</v>
      </c>
      <c r="G316" s="188">
        <f t="shared" si="304"/>
        <v>3000</v>
      </c>
      <c r="H316" s="188">
        <f t="shared" si="304"/>
        <v>5350</v>
      </c>
      <c r="I316" s="188">
        <f t="shared" si="304"/>
        <v>0</v>
      </c>
      <c r="J316" s="188"/>
      <c r="K316" s="188">
        <f>K317+K318</f>
        <v>0</v>
      </c>
      <c r="L316" s="188">
        <f>L317+L318</f>
        <v>0</v>
      </c>
      <c r="M316" s="188">
        <f>M317+M318</f>
        <v>0</v>
      </c>
      <c r="N316" s="188">
        <f>N317+N318</f>
        <v>0</v>
      </c>
      <c r="O316" s="188">
        <f>O317+O318</f>
        <v>3000</v>
      </c>
      <c r="P316" s="188">
        <v>477.78</v>
      </c>
      <c r="Q316" s="186">
        <f t="shared" si="272"/>
        <v>5.7219161676646701E-2</v>
      </c>
      <c r="R316" s="189">
        <v>478</v>
      </c>
      <c r="S316" s="185">
        <v>5.7245508982035925E-2</v>
      </c>
      <c r="T316" s="185">
        <v>6.0258430507406237E-2</v>
      </c>
      <c r="U316" s="189">
        <v>478</v>
      </c>
      <c r="V316" s="185">
        <v>5.7245508982035925E-2</v>
      </c>
      <c r="W316" s="185">
        <v>6.0258430507406237E-2</v>
      </c>
      <c r="X316" s="189">
        <v>478</v>
      </c>
      <c r="Y316" s="185">
        <v>5.7245508982035925E-2</v>
      </c>
      <c r="Z316" s="185">
        <v>6.0258430507406237E-2</v>
      </c>
      <c r="AA316" s="189">
        <v>478</v>
      </c>
      <c r="AB316" s="185">
        <v>5.7245508982035925E-2</v>
      </c>
      <c r="AC316" s="185">
        <v>6.0258430507406237E-2</v>
      </c>
      <c r="AD316" s="189">
        <v>495</v>
      </c>
      <c r="AE316" s="185">
        <v>5.9281437125748501E-2</v>
      </c>
      <c r="AF316" s="185">
        <v>6.2401512763945795E-2</v>
      </c>
      <c r="AG316" s="189">
        <v>495</v>
      </c>
      <c r="AH316" s="185">
        <v>5.9281437125748501E-2</v>
      </c>
      <c r="AI316" s="185">
        <v>6.2401512763945795E-2</v>
      </c>
      <c r="AJ316" s="303">
        <v>495</v>
      </c>
      <c r="AK316" s="185">
        <v>5.9281437125748501E-2</v>
      </c>
      <c r="AL316" s="185">
        <v>6.2401512763945795E-2</v>
      </c>
      <c r="AM316" s="189">
        <v>779.75390000000004</v>
      </c>
      <c r="AN316" s="185">
        <v>9.3383700598802397E-2</v>
      </c>
      <c r="AO316" s="185">
        <v>9.8298632209265685E-2</v>
      </c>
      <c r="AP316" s="185"/>
      <c r="AQ316" s="189">
        <v>1764.9458999999999</v>
      </c>
      <c r="AR316" s="185">
        <v>0.21137076646706587</v>
      </c>
      <c r="AS316" s="185">
        <v>0.22249554364954302</v>
      </c>
      <c r="AT316" s="189">
        <v>1849</v>
      </c>
      <c r="AU316" s="185">
        <v>0.22143712574850299</v>
      </c>
      <c r="AV316" s="185">
        <v>0.23309171131421369</v>
      </c>
      <c r="AW316" s="185"/>
      <c r="AX316" s="185"/>
      <c r="AY316" s="185"/>
      <c r="AZ316" s="185"/>
      <c r="BA316" s="185"/>
      <c r="BB316" s="185"/>
      <c r="BC316" s="189">
        <v>1849</v>
      </c>
      <c r="BD316" s="185">
        <v>0.22143712574850299</v>
      </c>
      <c r="BE316" s="185">
        <v>0.23309171131421369</v>
      </c>
      <c r="BF316" s="189"/>
      <c r="BG316" s="189">
        <v>4558</v>
      </c>
      <c r="BH316" s="185">
        <v>0.54586826347305384</v>
      </c>
      <c r="BI316" s="185">
        <v>0.57459817207689878</v>
      </c>
      <c r="BJ316" s="189">
        <f t="shared" si="273"/>
        <v>7932.5</v>
      </c>
      <c r="BK316" s="189">
        <v>5797</v>
      </c>
      <c r="BL316" s="185">
        <f t="shared" si="258"/>
        <v>0.69425149700598798</v>
      </c>
      <c r="BM316" s="185">
        <f t="shared" si="275"/>
        <v>0.73079104947998741</v>
      </c>
      <c r="BN316" s="205">
        <f t="shared" si="256"/>
        <v>5302</v>
      </c>
      <c r="BO316" s="205"/>
      <c r="BP316" s="189">
        <f>BP317+BP318</f>
        <v>0</v>
      </c>
      <c r="BQ316" s="186">
        <f t="shared" si="259"/>
        <v>0</v>
      </c>
      <c r="BR316" s="189">
        <f>BR317+BR318</f>
        <v>410</v>
      </c>
      <c r="BS316" s="186">
        <f t="shared" si="260"/>
        <v>4.9101796407185629E-2</v>
      </c>
      <c r="BT316" s="189">
        <f>BT317+BT318</f>
        <v>1640</v>
      </c>
      <c r="BU316" s="186">
        <f t="shared" si="261"/>
        <v>0.19640718562874251</v>
      </c>
      <c r="BV316" s="189">
        <f>BV317+BV318</f>
        <v>2460</v>
      </c>
      <c r="BW316" s="186">
        <f t="shared" si="262"/>
        <v>0.29461077844311379</v>
      </c>
      <c r="BX316" s="189">
        <f>BX317+BX318</f>
        <v>3280</v>
      </c>
      <c r="BY316" s="186">
        <f t="shared" si="263"/>
        <v>0.39281437125748503</v>
      </c>
      <c r="BZ316" s="189">
        <f>BZ317+BZ318</f>
        <v>4100</v>
      </c>
      <c r="CA316" s="186">
        <f t="shared" si="264"/>
        <v>0.49101796407185627</v>
      </c>
      <c r="CB316" s="189">
        <f>CB317+CB318</f>
        <v>4920</v>
      </c>
      <c r="CC316" s="186">
        <f t="shared" si="265"/>
        <v>0.58922155688622757</v>
      </c>
      <c r="CD316" s="189">
        <f>CD317+CD318</f>
        <v>5739.9999999999991</v>
      </c>
      <c r="CE316" s="186">
        <f t="shared" si="266"/>
        <v>0.68742514970059865</v>
      </c>
      <c r="CF316" s="189">
        <f>CF317+CF318</f>
        <v>6560</v>
      </c>
      <c r="CG316" s="186">
        <f t="shared" si="267"/>
        <v>0.78562874251497006</v>
      </c>
      <c r="CH316" s="189">
        <f>CH317+CH318</f>
        <v>6970</v>
      </c>
      <c r="CI316" s="186">
        <f t="shared" si="268"/>
        <v>0.83473053892215565</v>
      </c>
      <c r="CJ316" s="189">
        <f>CJ317+CJ318</f>
        <v>7647.5</v>
      </c>
      <c r="CK316" s="186">
        <f t="shared" si="269"/>
        <v>0.91586826347305395</v>
      </c>
      <c r="CL316" s="189">
        <f>CL317+CL318</f>
        <v>7790</v>
      </c>
      <c r="CM316" s="186">
        <f t="shared" si="270"/>
        <v>0.93293413173652695</v>
      </c>
      <c r="CN316" s="189">
        <f>CN317+CN318</f>
        <v>7932.5</v>
      </c>
      <c r="CO316" s="186">
        <f t="shared" si="271"/>
        <v>0.95</v>
      </c>
      <c r="CP316" s="213" t="str">
        <f t="shared" si="276"/>
        <v>Đạt</v>
      </c>
      <c r="CQ316" s="213" t="str">
        <f t="shared" si="277"/>
        <v>Đạt</v>
      </c>
      <c r="CR316" s="213"/>
      <c r="CS316" s="213"/>
      <c r="CT316" s="231"/>
      <c r="CU316" s="163"/>
      <c r="CW316" s="195"/>
      <c r="CX316" s="196"/>
      <c r="CY316" s="196"/>
      <c r="CZ316" s="197"/>
      <c r="DA316" s="196"/>
      <c r="DB316" s="196"/>
      <c r="DC316" s="196"/>
      <c r="DE316" s="199"/>
      <c r="DF316" s="200"/>
      <c r="DG316" s="181"/>
    </row>
    <row r="317" spans="1:111" s="324" customFormat="1" hidden="1" outlineLevel="1" x14ac:dyDescent="0.25">
      <c r="A317" s="305" t="s">
        <v>34</v>
      </c>
      <c r="B317" s="318" t="s">
        <v>376</v>
      </c>
      <c r="C317" s="306"/>
      <c r="D317" s="307">
        <f t="shared" si="243"/>
        <v>3000</v>
      </c>
      <c r="E317" s="307"/>
      <c r="F317" s="307">
        <f>G317+H317+K317+M317</f>
        <v>3000</v>
      </c>
      <c r="G317" s="303">
        <v>3000</v>
      </c>
      <c r="H317" s="303"/>
      <c r="I317" s="235"/>
      <c r="J317" s="235"/>
      <c r="K317" s="303"/>
      <c r="L317" s="235"/>
      <c r="M317" s="223"/>
      <c r="N317" s="223"/>
      <c r="O317" s="303">
        <f t="shared" si="285"/>
        <v>3000</v>
      </c>
      <c r="P317" s="303">
        <v>0</v>
      </c>
      <c r="Q317" s="308">
        <f t="shared" si="272"/>
        <v>0</v>
      </c>
      <c r="R317" s="303">
        <v>478</v>
      </c>
      <c r="S317" s="309">
        <v>0.15933333333333333</v>
      </c>
      <c r="T317" s="309">
        <v>0.16771929824561405</v>
      </c>
      <c r="U317" s="303">
        <v>478</v>
      </c>
      <c r="V317" s="309">
        <v>0.15933333333333333</v>
      </c>
      <c r="W317" s="309">
        <v>0.16771929824561405</v>
      </c>
      <c r="X317" s="303">
        <v>478</v>
      </c>
      <c r="Y317" s="309">
        <v>0.15933333333333333</v>
      </c>
      <c r="Z317" s="309">
        <v>0.16771929824561405</v>
      </c>
      <c r="AA317" s="303">
        <v>478</v>
      </c>
      <c r="AB317" s="309">
        <v>0.15933333333333333</v>
      </c>
      <c r="AC317" s="309">
        <v>0.16771929824561405</v>
      </c>
      <c r="AD317" s="303">
        <v>495</v>
      </c>
      <c r="AE317" s="309">
        <v>0.16500000000000001</v>
      </c>
      <c r="AF317" s="309">
        <v>0.1736842105263158</v>
      </c>
      <c r="AG317" s="303">
        <v>495</v>
      </c>
      <c r="AH317" s="309">
        <v>0.16500000000000001</v>
      </c>
      <c r="AI317" s="309">
        <v>0.1736842105263158</v>
      </c>
      <c r="AJ317" s="303">
        <v>495</v>
      </c>
      <c r="AK317" s="309">
        <v>0.16500000000000001</v>
      </c>
      <c r="AL317" s="309">
        <v>0.1736842105263158</v>
      </c>
      <c r="AM317" s="303">
        <v>779.75390000000004</v>
      </c>
      <c r="AN317" s="309">
        <v>0.25991796666666667</v>
      </c>
      <c r="AO317" s="309">
        <v>0.27359785964912281</v>
      </c>
      <c r="AP317" s="309"/>
      <c r="AQ317" s="303">
        <v>1764.9458999999999</v>
      </c>
      <c r="AR317" s="309">
        <v>0.58831529999999999</v>
      </c>
      <c r="AS317" s="309">
        <v>0.61927926315789472</v>
      </c>
      <c r="AT317" s="303">
        <v>1785</v>
      </c>
      <c r="AU317" s="309">
        <v>0.59499999999999997</v>
      </c>
      <c r="AV317" s="309">
        <v>0.62631578947368416</v>
      </c>
      <c r="AW317" s="309"/>
      <c r="AX317" s="309"/>
      <c r="AY317" s="309"/>
      <c r="AZ317" s="309"/>
      <c r="BA317" s="309"/>
      <c r="BB317" s="309"/>
      <c r="BC317" s="303">
        <v>1785</v>
      </c>
      <c r="BD317" s="309">
        <v>0.59499999999999997</v>
      </c>
      <c r="BE317" s="309">
        <v>0.62631578947368416</v>
      </c>
      <c r="BF317" s="303"/>
      <c r="BG317" s="303">
        <v>2377</v>
      </c>
      <c r="BH317" s="309">
        <v>0.79233333333333333</v>
      </c>
      <c r="BI317" s="309">
        <v>0.83403508771929824</v>
      </c>
      <c r="BJ317" s="303">
        <f t="shared" si="273"/>
        <v>2850</v>
      </c>
      <c r="BK317" s="303">
        <v>2850</v>
      </c>
      <c r="BL317" s="309">
        <f t="shared" si="258"/>
        <v>0.95</v>
      </c>
      <c r="BM317" s="309">
        <f t="shared" si="275"/>
        <v>1</v>
      </c>
      <c r="BN317" s="205">
        <f t="shared" si="256"/>
        <v>2355</v>
      </c>
      <c r="BO317" s="205"/>
      <c r="BP317" s="310"/>
      <c r="BQ317" s="308">
        <f t="shared" si="259"/>
        <v>0</v>
      </c>
      <c r="BR317" s="310">
        <v>142.5</v>
      </c>
      <c r="BS317" s="308">
        <f t="shared" si="260"/>
        <v>4.7500000000000001E-2</v>
      </c>
      <c r="BT317" s="310">
        <v>570</v>
      </c>
      <c r="BU317" s="308">
        <f t="shared" si="261"/>
        <v>0.19</v>
      </c>
      <c r="BV317" s="310">
        <v>855</v>
      </c>
      <c r="BW317" s="308">
        <f t="shared" si="262"/>
        <v>0.28499999999999998</v>
      </c>
      <c r="BX317" s="310">
        <v>1140</v>
      </c>
      <c r="BY317" s="308">
        <f t="shared" si="263"/>
        <v>0.38</v>
      </c>
      <c r="BZ317" s="310">
        <v>1425</v>
      </c>
      <c r="CA317" s="308">
        <f t="shared" si="264"/>
        <v>0.47499999999999998</v>
      </c>
      <c r="CB317" s="310">
        <v>1710</v>
      </c>
      <c r="CC317" s="308">
        <f t="shared" si="265"/>
        <v>0.56999999999999995</v>
      </c>
      <c r="CD317" s="310">
        <v>1994.9999999999998</v>
      </c>
      <c r="CE317" s="308">
        <f t="shared" si="266"/>
        <v>0.66499999999999992</v>
      </c>
      <c r="CF317" s="310">
        <v>2280</v>
      </c>
      <c r="CG317" s="308">
        <f t="shared" si="267"/>
        <v>0.76</v>
      </c>
      <c r="CH317" s="310">
        <v>2422.5</v>
      </c>
      <c r="CI317" s="308">
        <f t="shared" si="268"/>
        <v>0.8075</v>
      </c>
      <c r="CJ317" s="310">
        <v>2565</v>
      </c>
      <c r="CK317" s="308">
        <f t="shared" si="269"/>
        <v>0.85499999999999998</v>
      </c>
      <c r="CL317" s="310">
        <v>2707.5</v>
      </c>
      <c r="CM317" s="308">
        <f t="shared" si="270"/>
        <v>0.90249999999999997</v>
      </c>
      <c r="CN317" s="310">
        <v>2850</v>
      </c>
      <c r="CO317" s="308">
        <f t="shared" si="271"/>
        <v>0.95</v>
      </c>
      <c r="CP317" s="213" t="str">
        <f t="shared" si="276"/>
        <v>Đạt</v>
      </c>
      <c r="CQ317" s="213" t="str">
        <f t="shared" si="277"/>
        <v>Đạt</v>
      </c>
      <c r="CR317" s="312"/>
      <c r="CS317" s="312"/>
      <c r="CT317" s="235"/>
      <c r="CU317" s="163"/>
      <c r="CV317" s="323"/>
      <c r="CW317" s="195"/>
      <c r="CX317" s="196"/>
      <c r="CY317" s="196"/>
      <c r="CZ317" s="197"/>
      <c r="DA317" s="196"/>
      <c r="DB317" s="196"/>
      <c r="DC317" s="196"/>
      <c r="DE317" s="199"/>
      <c r="DF317" s="200"/>
      <c r="DG317" s="181"/>
    </row>
    <row r="318" spans="1:111" ht="25.5" hidden="1" outlineLevel="1" x14ac:dyDescent="0.25">
      <c r="A318" s="305" t="s">
        <v>34</v>
      </c>
      <c r="B318" s="306" t="s">
        <v>377</v>
      </c>
      <c r="C318" s="306"/>
      <c r="D318" s="307">
        <f>E318+F318</f>
        <v>5350</v>
      </c>
      <c r="E318" s="307"/>
      <c r="F318" s="307">
        <f>G318+H318+K318+M318</f>
        <v>5350</v>
      </c>
      <c r="G318" s="307"/>
      <c r="H318" s="307">
        <v>5350</v>
      </c>
      <c r="I318" s="235"/>
      <c r="J318" s="235"/>
      <c r="K318" s="303"/>
      <c r="L318" s="235"/>
      <c r="M318" s="223"/>
      <c r="N318" s="223"/>
      <c r="O318" s="303"/>
      <c r="P318" s="303">
        <v>0</v>
      </c>
      <c r="Q318" s="308">
        <f t="shared" si="272"/>
        <v>0</v>
      </c>
      <c r="R318" s="303"/>
      <c r="S318" s="309">
        <v>0</v>
      </c>
      <c r="T318" s="309">
        <v>0</v>
      </c>
      <c r="U318" s="303"/>
      <c r="V318" s="309">
        <v>0</v>
      </c>
      <c r="W318" s="309">
        <v>0</v>
      </c>
      <c r="X318" s="303"/>
      <c r="Y318" s="309">
        <v>0</v>
      </c>
      <c r="Z318" s="309">
        <v>0</v>
      </c>
      <c r="AA318" s="303"/>
      <c r="AB318" s="309">
        <v>0</v>
      </c>
      <c r="AC318" s="309">
        <v>0</v>
      </c>
      <c r="AD318" s="303"/>
      <c r="AE318" s="309">
        <v>0</v>
      </c>
      <c r="AF318" s="309">
        <v>0</v>
      </c>
      <c r="AG318" s="303"/>
      <c r="AH318" s="309">
        <v>0</v>
      </c>
      <c r="AI318" s="309">
        <v>0</v>
      </c>
      <c r="AJ318" s="189"/>
      <c r="AK318" s="309">
        <v>0</v>
      </c>
      <c r="AL318" s="309">
        <v>0</v>
      </c>
      <c r="AM318" s="303"/>
      <c r="AN318" s="309">
        <v>0</v>
      </c>
      <c r="AO318" s="309">
        <v>0</v>
      </c>
      <c r="AP318" s="309"/>
      <c r="AQ318" s="303"/>
      <c r="AR318" s="309">
        <v>0</v>
      </c>
      <c r="AS318" s="309">
        <v>0</v>
      </c>
      <c r="AT318" s="303">
        <v>64</v>
      </c>
      <c r="AU318" s="309">
        <v>1.1962616822429906E-2</v>
      </c>
      <c r="AV318" s="309">
        <v>1.2592228234136743E-2</v>
      </c>
      <c r="AW318" s="309"/>
      <c r="AX318" s="309"/>
      <c r="AY318" s="309"/>
      <c r="AZ318" s="309"/>
      <c r="BA318" s="309"/>
      <c r="BB318" s="309"/>
      <c r="BC318" s="303">
        <v>64</v>
      </c>
      <c r="BD318" s="309">
        <v>1.1962616822429906E-2</v>
      </c>
      <c r="BE318" s="309">
        <v>1.2592228234136743E-2</v>
      </c>
      <c r="BF318" s="303"/>
      <c r="BG318" s="303">
        <v>2181</v>
      </c>
      <c r="BH318" s="309">
        <v>0.40766355140186916</v>
      </c>
      <c r="BI318" s="309">
        <v>0.42911952779144125</v>
      </c>
      <c r="BJ318" s="303">
        <f t="shared" si="273"/>
        <v>5082.5</v>
      </c>
      <c r="BK318" s="303">
        <v>2889</v>
      </c>
      <c r="BL318" s="309">
        <f t="shared" si="258"/>
        <v>0.54</v>
      </c>
      <c r="BM318" s="309">
        <f t="shared" si="275"/>
        <v>0.56842105263157894</v>
      </c>
      <c r="BN318" s="205">
        <f t="shared" si="256"/>
        <v>2889</v>
      </c>
      <c r="BO318" s="205"/>
      <c r="BP318" s="310"/>
      <c r="BQ318" s="308">
        <f t="shared" si="259"/>
        <v>0</v>
      </c>
      <c r="BR318" s="310">
        <v>267.5</v>
      </c>
      <c r="BS318" s="308">
        <f t="shared" si="260"/>
        <v>0.05</v>
      </c>
      <c r="BT318" s="310">
        <v>1070</v>
      </c>
      <c r="BU318" s="308">
        <f t="shared" si="261"/>
        <v>0.2</v>
      </c>
      <c r="BV318" s="310">
        <v>1605</v>
      </c>
      <c r="BW318" s="308">
        <f t="shared" si="262"/>
        <v>0.3</v>
      </c>
      <c r="BX318" s="310">
        <v>2140</v>
      </c>
      <c r="BY318" s="308">
        <f t="shared" si="263"/>
        <v>0.4</v>
      </c>
      <c r="BZ318" s="310">
        <v>2675</v>
      </c>
      <c r="CA318" s="308">
        <f t="shared" si="264"/>
        <v>0.5</v>
      </c>
      <c r="CB318" s="310">
        <v>3210</v>
      </c>
      <c r="CC318" s="308">
        <f t="shared" si="265"/>
        <v>0.6</v>
      </c>
      <c r="CD318" s="310">
        <v>3744.9999999999995</v>
      </c>
      <c r="CE318" s="308">
        <f t="shared" si="266"/>
        <v>0.7</v>
      </c>
      <c r="CF318" s="310">
        <v>4280</v>
      </c>
      <c r="CG318" s="308">
        <f t="shared" si="267"/>
        <v>0.8</v>
      </c>
      <c r="CH318" s="310">
        <v>4547.5</v>
      </c>
      <c r="CI318" s="308">
        <f t="shared" si="268"/>
        <v>0.85</v>
      </c>
      <c r="CJ318" s="310">
        <v>5082.5</v>
      </c>
      <c r="CK318" s="308">
        <f t="shared" si="269"/>
        <v>0.95</v>
      </c>
      <c r="CL318" s="310">
        <v>5082.5</v>
      </c>
      <c r="CM318" s="308">
        <f t="shared" si="270"/>
        <v>0.95</v>
      </c>
      <c r="CN318" s="310">
        <v>5082.5</v>
      </c>
      <c r="CO318" s="308">
        <f t="shared" si="271"/>
        <v>0.95</v>
      </c>
      <c r="CP318" s="213" t="str">
        <f t="shared" si="276"/>
        <v>Đạt</v>
      </c>
      <c r="CQ318" s="213" t="str">
        <f t="shared" si="277"/>
        <v>Đạt</v>
      </c>
      <c r="CR318" s="312"/>
      <c r="CS318" s="312"/>
      <c r="CT318" s="235"/>
      <c r="CU318" s="163"/>
      <c r="CW318" s="195"/>
      <c r="CX318" s="196"/>
      <c r="CY318" s="196"/>
      <c r="CZ318" s="197"/>
      <c r="DA318" s="196"/>
      <c r="DB318" s="196"/>
      <c r="DC318" s="196"/>
      <c r="DE318" s="199"/>
      <c r="DF318" s="200"/>
      <c r="DG318" s="181"/>
    </row>
    <row r="319" spans="1:111" ht="18" customHeight="1" collapsed="1" x14ac:dyDescent="0.25">
      <c r="A319" s="213">
        <f>MAX(A$239:A317)+1</f>
        <v>22</v>
      </c>
      <c r="B319" s="240" t="s">
        <v>412</v>
      </c>
      <c r="C319" s="240"/>
      <c r="D319" s="188">
        <f t="shared" ref="D319:I319" si="305">D320+D321</f>
        <v>10150</v>
      </c>
      <c r="E319" s="188">
        <f t="shared" si="305"/>
        <v>0</v>
      </c>
      <c r="F319" s="188">
        <f t="shared" si="305"/>
        <v>10150</v>
      </c>
      <c r="G319" s="188">
        <f t="shared" si="305"/>
        <v>3000</v>
      </c>
      <c r="H319" s="188">
        <f t="shared" si="305"/>
        <v>7150</v>
      </c>
      <c r="I319" s="188">
        <f t="shared" si="305"/>
        <v>0</v>
      </c>
      <c r="J319" s="188"/>
      <c r="K319" s="188">
        <f>K320+K321</f>
        <v>0</v>
      </c>
      <c r="L319" s="188">
        <f>L320+L321</f>
        <v>0</v>
      </c>
      <c r="M319" s="188">
        <f>M320+M321</f>
        <v>0</v>
      </c>
      <c r="N319" s="188">
        <f>N320+N321</f>
        <v>0</v>
      </c>
      <c r="O319" s="188">
        <f>O320+O321</f>
        <v>3000</v>
      </c>
      <c r="P319" s="188">
        <v>0</v>
      </c>
      <c r="Q319" s="186">
        <f t="shared" si="272"/>
        <v>0</v>
      </c>
      <c r="R319" s="189">
        <v>342</v>
      </c>
      <c r="S319" s="185">
        <v>3.3694581280788179E-2</v>
      </c>
      <c r="T319" s="185">
        <v>3.5467980295566505E-2</v>
      </c>
      <c r="U319" s="189">
        <v>380</v>
      </c>
      <c r="V319" s="185">
        <v>3.7438423645320199E-2</v>
      </c>
      <c r="W319" s="185">
        <v>3.9408866995073892E-2</v>
      </c>
      <c r="X319" s="189">
        <v>380</v>
      </c>
      <c r="Y319" s="185">
        <v>3.7438423645320199E-2</v>
      </c>
      <c r="Z319" s="185">
        <v>3.9408866995073892E-2</v>
      </c>
      <c r="AA319" s="189">
        <v>380</v>
      </c>
      <c r="AB319" s="185">
        <v>3.7438423645320199E-2</v>
      </c>
      <c r="AC319" s="185">
        <v>3.9408866995073892E-2</v>
      </c>
      <c r="AD319" s="189">
        <v>380</v>
      </c>
      <c r="AE319" s="185">
        <v>3.7438423645320199E-2</v>
      </c>
      <c r="AF319" s="185">
        <v>3.9408866995073892E-2</v>
      </c>
      <c r="AG319" s="189">
        <v>380</v>
      </c>
      <c r="AH319" s="185">
        <v>3.7438423645320199E-2</v>
      </c>
      <c r="AI319" s="185">
        <v>3.9408866995073892E-2</v>
      </c>
      <c r="AJ319" s="303">
        <v>380</v>
      </c>
      <c r="AK319" s="185">
        <v>3.7438423645320199E-2</v>
      </c>
      <c r="AL319" s="185">
        <v>3.9408866995073892E-2</v>
      </c>
      <c r="AM319" s="189">
        <v>1400</v>
      </c>
      <c r="AN319" s="185">
        <v>0.13793103448275862</v>
      </c>
      <c r="AO319" s="185">
        <v>0.14519056261343014</v>
      </c>
      <c r="AP319" s="185"/>
      <c r="AQ319" s="189">
        <v>1400</v>
      </c>
      <c r="AR319" s="185">
        <v>0.13793103448275862</v>
      </c>
      <c r="AS319" s="185">
        <v>0.14519056261343014</v>
      </c>
      <c r="AT319" s="189">
        <v>1400</v>
      </c>
      <c r="AU319" s="185">
        <v>0.13793103448275862</v>
      </c>
      <c r="AV319" s="185">
        <v>0.14519056261343014</v>
      </c>
      <c r="AW319" s="185"/>
      <c r="AX319" s="185"/>
      <c r="AY319" s="185"/>
      <c r="AZ319" s="185"/>
      <c r="BA319" s="185"/>
      <c r="BB319" s="185"/>
      <c r="BC319" s="189">
        <v>1400</v>
      </c>
      <c r="BD319" s="185">
        <v>0.13793103448275862</v>
      </c>
      <c r="BE319" s="185">
        <v>0.14519056261343014</v>
      </c>
      <c r="BF319" s="189"/>
      <c r="BG319" s="189">
        <v>4389</v>
      </c>
      <c r="BH319" s="185">
        <v>0.4324137931034483</v>
      </c>
      <c r="BI319" s="185">
        <v>0.45517241379310347</v>
      </c>
      <c r="BJ319" s="189">
        <f t="shared" si="273"/>
        <v>9642.5</v>
      </c>
      <c r="BK319" s="189">
        <v>5605</v>
      </c>
      <c r="BL319" s="185">
        <f t="shared" si="258"/>
        <v>0.55221674876847293</v>
      </c>
      <c r="BM319" s="185">
        <f t="shared" si="275"/>
        <v>0.58128078817733986</v>
      </c>
      <c r="BN319" s="205">
        <f t="shared" si="256"/>
        <v>5225</v>
      </c>
      <c r="BO319" s="205"/>
      <c r="BP319" s="189">
        <f>BP320+BP321</f>
        <v>0</v>
      </c>
      <c r="BQ319" s="186">
        <f t="shared" si="259"/>
        <v>0</v>
      </c>
      <c r="BR319" s="189">
        <f>BR320+BR321</f>
        <v>0</v>
      </c>
      <c r="BS319" s="186">
        <f t="shared" si="260"/>
        <v>0</v>
      </c>
      <c r="BT319" s="189">
        <f>BT320+BT321</f>
        <v>1015</v>
      </c>
      <c r="BU319" s="186">
        <f t="shared" si="261"/>
        <v>0.1</v>
      </c>
      <c r="BV319" s="189">
        <f>BV320+BV321</f>
        <v>2030</v>
      </c>
      <c r="BW319" s="186">
        <f t="shared" si="262"/>
        <v>0.2</v>
      </c>
      <c r="BX319" s="189">
        <f>BX320+BX321</f>
        <v>3045</v>
      </c>
      <c r="BY319" s="186">
        <f t="shared" si="263"/>
        <v>0.3</v>
      </c>
      <c r="BZ319" s="189">
        <f>BZ320+BZ321</f>
        <v>4060</v>
      </c>
      <c r="CA319" s="186">
        <f t="shared" si="264"/>
        <v>0.4</v>
      </c>
      <c r="CB319" s="189">
        <f>CB320+CB321</f>
        <v>5075</v>
      </c>
      <c r="CC319" s="186">
        <f t="shared" si="265"/>
        <v>0.5</v>
      </c>
      <c r="CD319" s="189">
        <f>CD320+CD321</f>
        <v>5582.5000000000009</v>
      </c>
      <c r="CE319" s="186">
        <f t="shared" si="266"/>
        <v>0.55000000000000004</v>
      </c>
      <c r="CF319" s="189">
        <f>CF320+CF321</f>
        <v>7105</v>
      </c>
      <c r="CG319" s="186">
        <f t="shared" si="267"/>
        <v>0.7</v>
      </c>
      <c r="CH319" s="189">
        <f>CH320+CH321</f>
        <v>7105</v>
      </c>
      <c r="CI319" s="186">
        <f t="shared" si="268"/>
        <v>0.7</v>
      </c>
      <c r="CJ319" s="189">
        <f>CJ320+CJ321</f>
        <v>7612.5</v>
      </c>
      <c r="CK319" s="186">
        <f t="shared" si="269"/>
        <v>0.75</v>
      </c>
      <c r="CL319" s="189">
        <f>CL320+CL321</f>
        <v>7612.5</v>
      </c>
      <c r="CM319" s="186">
        <f t="shared" si="270"/>
        <v>0.75</v>
      </c>
      <c r="CN319" s="189">
        <f>CN320+CN321</f>
        <v>9642.5</v>
      </c>
      <c r="CO319" s="186">
        <f t="shared" si="271"/>
        <v>0.95</v>
      </c>
      <c r="CP319" s="213" t="str">
        <f t="shared" si="276"/>
        <v>Đạt</v>
      </c>
      <c r="CQ319" s="213" t="str">
        <f t="shared" si="277"/>
        <v>Đạt</v>
      </c>
      <c r="CR319" s="213"/>
      <c r="CS319" s="213"/>
      <c r="CT319" s="231"/>
      <c r="CU319" s="163"/>
      <c r="CW319" s="195"/>
      <c r="CX319" s="196"/>
      <c r="CY319" s="196"/>
      <c r="CZ319" s="197"/>
      <c r="DA319" s="196"/>
      <c r="DB319" s="196"/>
      <c r="DC319" s="196"/>
      <c r="DE319" s="199"/>
      <c r="DF319" s="200"/>
      <c r="DG319" s="181"/>
    </row>
    <row r="320" spans="1:111" s="324" customFormat="1" hidden="1" outlineLevel="1" x14ac:dyDescent="0.25">
      <c r="A320" s="305" t="s">
        <v>34</v>
      </c>
      <c r="B320" s="318" t="s">
        <v>376</v>
      </c>
      <c r="C320" s="306"/>
      <c r="D320" s="307">
        <f>E320+F320</f>
        <v>3000</v>
      </c>
      <c r="E320" s="307"/>
      <c r="F320" s="307">
        <f>G320+H320+K320+M320</f>
        <v>3000</v>
      </c>
      <c r="G320" s="303">
        <v>3000</v>
      </c>
      <c r="H320" s="303"/>
      <c r="I320" s="235"/>
      <c r="J320" s="235"/>
      <c r="K320" s="303"/>
      <c r="L320" s="235"/>
      <c r="M320" s="223"/>
      <c r="N320" s="223"/>
      <c r="O320" s="303">
        <f t="shared" si="285"/>
        <v>3000</v>
      </c>
      <c r="P320" s="303">
        <v>0</v>
      </c>
      <c r="Q320" s="308">
        <f t="shared" si="272"/>
        <v>0</v>
      </c>
      <c r="R320" s="303">
        <v>342</v>
      </c>
      <c r="S320" s="309">
        <v>0.114</v>
      </c>
      <c r="T320" s="309">
        <v>0.12</v>
      </c>
      <c r="U320" s="303">
        <v>380</v>
      </c>
      <c r="V320" s="309">
        <v>0.12666666666666668</v>
      </c>
      <c r="W320" s="309">
        <v>0.13333333333333333</v>
      </c>
      <c r="X320" s="303">
        <v>380</v>
      </c>
      <c r="Y320" s="309">
        <v>0.12666666666666668</v>
      </c>
      <c r="Z320" s="309">
        <v>0.13333333333333333</v>
      </c>
      <c r="AA320" s="303">
        <v>380</v>
      </c>
      <c r="AB320" s="309">
        <v>0.12666666666666668</v>
      </c>
      <c r="AC320" s="309">
        <v>0.13333333333333333</v>
      </c>
      <c r="AD320" s="303">
        <v>380</v>
      </c>
      <c r="AE320" s="309">
        <v>0.12666666666666668</v>
      </c>
      <c r="AF320" s="309">
        <v>0.13333333333333333</v>
      </c>
      <c r="AG320" s="303">
        <v>380</v>
      </c>
      <c r="AH320" s="309">
        <v>0.12666666666666668</v>
      </c>
      <c r="AI320" s="309">
        <v>0.13333333333333333</v>
      </c>
      <c r="AJ320" s="303">
        <v>380</v>
      </c>
      <c r="AK320" s="309">
        <v>0.12666666666666668</v>
      </c>
      <c r="AL320" s="309">
        <v>0.13333333333333333</v>
      </c>
      <c r="AM320" s="303">
        <v>1400</v>
      </c>
      <c r="AN320" s="309">
        <v>0.46666666666666667</v>
      </c>
      <c r="AO320" s="309">
        <v>0.49122807017543857</v>
      </c>
      <c r="AP320" s="309"/>
      <c r="AQ320" s="303">
        <v>1400</v>
      </c>
      <c r="AR320" s="309">
        <v>0.46666666666666667</v>
      </c>
      <c r="AS320" s="309">
        <v>0.49122807017543857</v>
      </c>
      <c r="AT320" s="303">
        <v>1400</v>
      </c>
      <c r="AU320" s="309">
        <v>0.46666666666666667</v>
      </c>
      <c r="AV320" s="309">
        <v>0.49122807017543857</v>
      </c>
      <c r="AW320" s="309"/>
      <c r="AX320" s="309"/>
      <c r="AY320" s="309"/>
      <c r="AZ320" s="309"/>
      <c r="BA320" s="309"/>
      <c r="BB320" s="309"/>
      <c r="BC320" s="303">
        <v>1400</v>
      </c>
      <c r="BD320" s="309">
        <v>0.46666666666666667</v>
      </c>
      <c r="BE320" s="309">
        <v>0.49122807017543857</v>
      </c>
      <c r="BF320" s="303"/>
      <c r="BG320" s="303">
        <v>2662</v>
      </c>
      <c r="BH320" s="309">
        <v>0.88733333333333331</v>
      </c>
      <c r="BI320" s="309">
        <v>0.93403508771929822</v>
      </c>
      <c r="BJ320" s="303">
        <f t="shared" si="273"/>
        <v>2850</v>
      </c>
      <c r="BK320" s="303">
        <v>2850</v>
      </c>
      <c r="BL320" s="309">
        <f t="shared" si="258"/>
        <v>0.95</v>
      </c>
      <c r="BM320" s="309">
        <f t="shared" si="275"/>
        <v>1</v>
      </c>
      <c r="BN320" s="205">
        <f t="shared" si="256"/>
        <v>2470</v>
      </c>
      <c r="BO320" s="205"/>
      <c r="BP320" s="310"/>
      <c r="BQ320" s="308">
        <f t="shared" si="259"/>
        <v>0</v>
      </c>
      <c r="BR320" s="310"/>
      <c r="BS320" s="308">
        <f t="shared" si="260"/>
        <v>0</v>
      </c>
      <c r="BT320" s="310">
        <f>$F320*0.1</f>
        <v>300</v>
      </c>
      <c r="BU320" s="308">
        <f t="shared" si="261"/>
        <v>0.1</v>
      </c>
      <c r="BV320" s="310">
        <f>$F320*0.2</f>
        <v>600</v>
      </c>
      <c r="BW320" s="308">
        <f t="shared" si="262"/>
        <v>0.2</v>
      </c>
      <c r="BX320" s="310">
        <f>$F320*0.3</f>
        <v>900</v>
      </c>
      <c r="BY320" s="308">
        <f t="shared" si="263"/>
        <v>0.3</v>
      </c>
      <c r="BZ320" s="310">
        <f>$F320*0.4</f>
        <v>1200</v>
      </c>
      <c r="CA320" s="308">
        <f t="shared" si="264"/>
        <v>0.4</v>
      </c>
      <c r="CB320" s="310">
        <f>$F320*0.5</f>
        <v>1500</v>
      </c>
      <c r="CC320" s="308">
        <f t="shared" si="265"/>
        <v>0.5</v>
      </c>
      <c r="CD320" s="310">
        <f>$F320*0.55</f>
        <v>1650.0000000000002</v>
      </c>
      <c r="CE320" s="308">
        <f t="shared" si="266"/>
        <v>0.55000000000000004</v>
      </c>
      <c r="CF320" s="310">
        <v>2100</v>
      </c>
      <c r="CG320" s="308">
        <f t="shared" si="267"/>
        <v>0.7</v>
      </c>
      <c r="CH320" s="310">
        <f>$F320*0.7</f>
        <v>2100</v>
      </c>
      <c r="CI320" s="308">
        <f t="shared" si="268"/>
        <v>0.7</v>
      </c>
      <c r="CJ320" s="310">
        <f>$F320*0.75</f>
        <v>2250</v>
      </c>
      <c r="CK320" s="308">
        <f t="shared" si="269"/>
        <v>0.75</v>
      </c>
      <c r="CL320" s="310">
        <f>$F320*0.75</f>
        <v>2250</v>
      </c>
      <c r="CM320" s="308">
        <f t="shared" si="270"/>
        <v>0.75</v>
      </c>
      <c r="CN320" s="310">
        <f>$F320*0.95</f>
        <v>2850</v>
      </c>
      <c r="CO320" s="308">
        <f t="shared" si="271"/>
        <v>0.95</v>
      </c>
      <c r="CP320" s="213" t="str">
        <f t="shared" si="276"/>
        <v>Đạt</v>
      </c>
      <c r="CQ320" s="213" t="str">
        <f t="shared" si="277"/>
        <v>Đạt</v>
      </c>
      <c r="CR320" s="312"/>
      <c r="CS320" s="312"/>
      <c r="CT320" s="235"/>
      <c r="CU320" s="163"/>
      <c r="CV320" s="323"/>
      <c r="CW320" s="195"/>
      <c r="CX320" s="196"/>
      <c r="CY320" s="196"/>
      <c r="CZ320" s="197"/>
      <c r="DA320" s="196"/>
      <c r="DB320" s="196"/>
      <c r="DC320" s="196"/>
      <c r="DE320" s="199"/>
      <c r="DF320" s="200"/>
      <c r="DG320" s="181"/>
    </row>
    <row r="321" spans="1:112" ht="25.5" hidden="1" outlineLevel="1" x14ac:dyDescent="0.25">
      <c r="A321" s="305" t="s">
        <v>34</v>
      </c>
      <c r="B321" s="306" t="s">
        <v>377</v>
      </c>
      <c r="C321" s="306"/>
      <c r="D321" s="307">
        <f>E321+F321</f>
        <v>7150</v>
      </c>
      <c r="E321" s="307"/>
      <c r="F321" s="307">
        <f>G321+H321+K321+M321</f>
        <v>7150</v>
      </c>
      <c r="G321" s="307"/>
      <c r="H321" s="307">
        <v>7150</v>
      </c>
      <c r="I321" s="235"/>
      <c r="J321" s="235"/>
      <c r="K321" s="303"/>
      <c r="L321" s="235"/>
      <c r="M321" s="223"/>
      <c r="N321" s="223"/>
      <c r="O321" s="303"/>
      <c r="P321" s="303">
        <v>0</v>
      </c>
      <c r="Q321" s="308">
        <f t="shared" si="272"/>
        <v>0</v>
      </c>
      <c r="R321" s="303"/>
      <c r="S321" s="309">
        <v>0</v>
      </c>
      <c r="T321" s="309">
        <v>0</v>
      </c>
      <c r="U321" s="303"/>
      <c r="V321" s="309">
        <v>0</v>
      </c>
      <c r="W321" s="309">
        <v>0</v>
      </c>
      <c r="X321" s="303"/>
      <c r="Y321" s="309">
        <v>0</v>
      </c>
      <c r="Z321" s="309">
        <v>0</v>
      </c>
      <c r="AA321" s="303"/>
      <c r="AB321" s="309">
        <v>0</v>
      </c>
      <c r="AC321" s="309">
        <v>0</v>
      </c>
      <c r="AD321" s="303"/>
      <c r="AE321" s="309">
        <v>0</v>
      </c>
      <c r="AF321" s="309">
        <v>0</v>
      </c>
      <c r="AG321" s="303"/>
      <c r="AH321" s="309">
        <v>0</v>
      </c>
      <c r="AI321" s="309">
        <v>0</v>
      </c>
      <c r="AJ321" s="188"/>
      <c r="AK321" s="309">
        <v>0</v>
      </c>
      <c r="AL321" s="309">
        <v>0</v>
      </c>
      <c r="AM321" s="303"/>
      <c r="AN321" s="309">
        <v>0</v>
      </c>
      <c r="AO321" s="309">
        <v>0</v>
      </c>
      <c r="AP321" s="309"/>
      <c r="AQ321" s="303"/>
      <c r="AR321" s="309">
        <v>0</v>
      </c>
      <c r="AS321" s="309">
        <v>0</v>
      </c>
      <c r="AT321" s="303"/>
      <c r="AU321" s="309">
        <v>0</v>
      </c>
      <c r="AV321" s="309">
        <v>0</v>
      </c>
      <c r="AW321" s="309"/>
      <c r="AX321" s="309"/>
      <c r="AY321" s="309"/>
      <c r="AZ321" s="309"/>
      <c r="BA321" s="309"/>
      <c r="BB321" s="309"/>
      <c r="BC321" s="303"/>
      <c r="BD321" s="309">
        <v>0</v>
      </c>
      <c r="BE321" s="309">
        <v>0</v>
      </c>
      <c r="BF321" s="303"/>
      <c r="BG321" s="303">
        <v>1727</v>
      </c>
      <c r="BH321" s="309">
        <v>0.24153846153846154</v>
      </c>
      <c r="BI321" s="309">
        <v>0.25425101214574897</v>
      </c>
      <c r="BJ321" s="303">
        <f t="shared" si="273"/>
        <v>6792.5</v>
      </c>
      <c r="BK321" s="303">
        <v>2001</v>
      </c>
      <c r="BL321" s="309">
        <f t="shared" si="258"/>
        <v>0.27986013986013986</v>
      </c>
      <c r="BM321" s="309">
        <f t="shared" si="275"/>
        <v>0.29458962090541035</v>
      </c>
      <c r="BN321" s="205">
        <f t="shared" si="256"/>
        <v>2001</v>
      </c>
      <c r="BO321" s="205"/>
      <c r="BP321" s="310"/>
      <c r="BQ321" s="308">
        <f t="shared" si="259"/>
        <v>0</v>
      </c>
      <c r="BR321" s="310"/>
      <c r="BS321" s="308">
        <f t="shared" si="260"/>
        <v>0</v>
      </c>
      <c r="BT321" s="310">
        <f>$F321*0.1</f>
        <v>715</v>
      </c>
      <c r="BU321" s="308">
        <f t="shared" si="261"/>
        <v>0.1</v>
      </c>
      <c r="BV321" s="310">
        <f>$F321*0.2</f>
        <v>1430</v>
      </c>
      <c r="BW321" s="308">
        <f t="shared" si="262"/>
        <v>0.2</v>
      </c>
      <c r="BX321" s="310">
        <f>$F321*0.3</f>
        <v>2145</v>
      </c>
      <c r="BY321" s="308">
        <f t="shared" si="263"/>
        <v>0.3</v>
      </c>
      <c r="BZ321" s="310">
        <f>$F321*0.4</f>
        <v>2860</v>
      </c>
      <c r="CA321" s="308">
        <f t="shared" si="264"/>
        <v>0.4</v>
      </c>
      <c r="CB321" s="310">
        <f>$F321*0.5</f>
        <v>3575</v>
      </c>
      <c r="CC321" s="308">
        <f t="shared" si="265"/>
        <v>0.5</v>
      </c>
      <c r="CD321" s="310">
        <f>$F321*0.55</f>
        <v>3932.5000000000005</v>
      </c>
      <c r="CE321" s="308">
        <f t="shared" si="266"/>
        <v>0.55000000000000004</v>
      </c>
      <c r="CF321" s="310">
        <v>5005</v>
      </c>
      <c r="CG321" s="308">
        <f t="shared" si="267"/>
        <v>0.7</v>
      </c>
      <c r="CH321" s="310">
        <f>$F321*0.7</f>
        <v>5005</v>
      </c>
      <c r="CI321" s="308">
        <f t="shared" si="268"/>
        <v>0.7</v>
      </c>
      <c r="CJ321" s="310">
        <f>$F321*0.75</f>
        <v>5362.5</v>
      </c>
      <c r="CK321" s="308">
        <f t="shared" si="269"/>
        <v>0.75</v>
      </c>
      <c r="CL321" s="310">
        <f>$F321*0.75</f>
        <v>5362.5</v>
      </c>
      <c r="CM321" s="308">
        <f t="shared" si="270"/>
        <v>0.75</v>
      </c>
      <c r="CN321" s="310">
        <f>$F321*0.95</f>
        <v>6792.5</v>
      </c>
      <c r="CO321" s="308">
        <f t="shared" si="271"/>
        <v>0.95</v>
      </c>
      <c r="CP321" s="213" t="str">
        <f t="shared" si="276"/>
        <v>Không đạt</v>
      </c>
      <c r="CQ321" s="213" t="str">
        <f t="shared" si="277"/>
        <v>Không đạt</v>
      </c>
      <c r="CR321" s="312"/>
      <c r="CS321" s="312"/>
      <c r="CT321" s="235"/>
      <c r="CU321" s="163"/>
      <c r="CW321" s="195"/>
      <c r="CX321" s="196"/>
      <c r="CY321" s="196"/>
      <c r="CZ321" s="197"/>
      <c r="DA321" s="196"/>
      <c r="DB321" s="196"/>
      <c r="DC321" s="196"/>
      <c r="DE321" s="199"/>
      <c r="DF321" s="200"/>
      <c r="DG321" s="181"/>
    </row>
    <row r="322" spans="1:112" ht="18" customHeight="1" collapsed="1" x14ac:dyDescent="0.25">
      <c r="A322" s="213">
        <f>MAX(A$239:A320)+1</f>
        <v>23</v>
      </c>
      <c r="B322" s="240" t="s">
        <v>413</v>
      </c>
      <c r="C322" s="240"/>
      <c r="D322" s="188">
        <f t="shared" ref="D322:I322" si="306">D323+D324</f>
        <v>36100</v>
      </c>
      <c r="E322" s="188">
        <f t="shared" si="306"/>
        <v>0</v>
      </c>
      <c r="F322" s="188">
        <f t="shared" si="306"/>
        <v>36100</v>
      </c>
      <c r="G322" s="188">
        <f t="shared" si="306"/>
        <v>3000</v>
      </c>
      <c r="H322" s="188">
        <f t="shared" si="306"/>
        <v>33100</v>
      </c>
      <c r="I322" s="188">
        <f t="shared" si="306"/>
        <v>0</v>
      </c>
      <c r="J322" s="188"/>
      <c r="K322" s="188">
        <f>K323+K324</f>
        <v>0</v>
      </c>
      <c r="L322" s="188">
        <f>L323+L324</f>
        <v>0</v>
      </c>
      <c r="M322" s="188">
        <f>M323+M324</f>
        <v>0</v>
      </c>
      <c r="N322" s="188">
        <f>N323+N324</f>
        <v>0</v>
      </c>
      <c r="O322" s="188">
        <f>O323+O324</f>
        <v>3000</v>
      </c>
      <c r="P322" s="188">
        <v>0</v>
      </c>
      <c r="Q322" s="186">
        <f t="shared" si="272"/>
        <v>0</v>
      </c>
      <c r="R322" s="188">
        <v>0</v>
      </c>
      <c r="S322" s="185">
        <v>0</v>
      </c>
      <c r="T322" s="185">
        <v>0</v>
      </c>
      <c r="U322" s="188">
        <v>0</v>
      </c>
      <c r="V322" s="185">
        <v>0</v>
      </c>
      <c r="W322" s="185">
        <v>0</v>
      </c>
      <c r="X322" s="188">
        <v>0</v>
      </c>
      <c r="Y322" s="185">
        <v>0</v>
      </c>
      <c r="Z322" s="185">
        <v>0</v>
      </c>
      <c r="AA322" s="188">
        <v>0</v>
      </c>
      <c r="AB322" s="185">
        <v>0</v>
      </c>
      <c r="AC322" s="185">
        <v>0</v>
      </c>
      <c r="AD322" s="188">
        <v>475</v>
      </c>
      <c r="AE322" s="185">
        <v>1.3157894736842105E-2</v>
      </c>
      <c r="AF322" s="185">
        <v>1.3850415512465374E-2</v>
      </c>
      <c r="AG322" s="188">
        <v>475</v>
      </c>
      <c r="AH322" s="185">
        <v>1.3157894736842105E-2</v>
      </c>
      <c r="AI322" s="185">
        <v>1.3850415512465374E-2</v>
      </c>
      <c r="AJ322" s="303">
        <v>475</v>
      </c>
      <c r="AK322" s="185">
        <v>1.3157894736842105E-2</v>
      </c>
      <c r="AL322" s="185">
        <v>1.3850415512465374E-2</v>
      </c>
      <c r="AM322" s="188">
        <v>1719.4</v>
      </c>
      <c r="AN322" s="185">
        <v>4.7628808864265931E-2</v>
      </c>
      <c r="AO322" s="185">
        <v>5.0135588278174666E-2</v>
      </c>
      <c r="AP322" s="185"/>
      <c r="AQ322" s="188">
        <v>2724</v>
      </c>
      <c r="AR322" s="185">
        <v>7.5457063711911354E-2</v>
      </c>
      <c r="AS322" s="185">
        <v>7.9428488117801427E-2</v>
      </c>
      <c r="AT322" s="188">
        <v>3685.6</v>
      </c>
      <c r="AU322" s="185">
        <v>0.10209418282548476</v>
      </c>
      <c r="AV322" s="185">
        <v>0.10746756086893133</v>
      </c>
      <c r="AW322" s="185"/>
      <c r="AX322" s="185"/>
      <c r="AY322" s="185"/>
      <c r="AZ322" s="185"/>
      <c r="BA322" s="185"/>
      <c r="BB322" s="185"/>
      <c r="BC322" s="188">
        <v>3685.6</v>
      </c>
      <c r="BD322" s="185">
        <v>0.10209418282548476</v>
      </c>
      <c r="BE322" s="185">
        <v>0.10746756086893133</v>
      </c>
      <c r="BF322" s="188"/>
      <c r="BG322" s="188">
        <v>12548</v>
      </c>
      <c r="BH322" s="185">
        <v>0.34759002770083103</v>
      </c>
      <c r="BI322" s="185">
        <v>0.36588423968508527</v>
      </c>
      <c r="BJ322" s="188">
        <f t="shared" si="273"/>
        <v>34295</v>
      </c>
      <c r="BK322" s="188">
        <v>16534</v>
      </c>
      <c r="BL322" s="185">
        <f t="shared" si="258"/>
        <v>0.45800554016620498</v>
      </c>
      <c r="BM322" s="185">
        <f t="shared" si="275"/>
        <v>0.48211109491179471</v>
      </c>
      <c r="BN322" s="205">
        <f t="shared" si="256"/>
        <v>16059</v>
      </c>
      <c r="BO322" s="205"/>
      <c r="BP322" s="189">
        <f>BP323+BP324</f>
        <v>0</v>
      </c>
      <c r="BQ322" s="186">
        <f t="shared" si="259"/>
        <v>0</v>
      </c>
      <c r="BR322" s="189">
        <f>BR323+BR324</f>
        <v>0</v>
      </c>
      <c r="BS322" s="186">
        <f t="shared" si="260"/>
        <v>0</v>
      </c>
      <c r="BT322" s="189">
        <f>BT323+BT324</f>
        <v>3610</v>
      </c>
      <c r="BU322" s="186">
        <f t="shared" si="261"/>
        <v>0.1</v>
      </c>
      <c r="BV322" s="189">
        <f>BV323+BV324</f>
        <v>7220</v>
      </c>
      <c r="BW322" s="186">
        <f t="shared" si="262"/>
        <v>0.2</v>
      </c>
      <c r="BX322" s="189">
        <f>BX323+BX324</f>
        <v>10830</v>
      </c>
      <c r="BY322" s="186">
        <f t="shared" si="263"/>
        <v>0.3</v>
      </c>
      <c r="BZ322" s="189">
        <f>BZ323+BZ324</f>
        <v>14440</v>
      </c>
      <c r="CA322" s="186">
        <f t="shared" si="264"/>
        <v>0.4</v>
      </c>
      <c r="CB322" s="189">
        <f>CB323+CB324</f>
        <v>18050</v>
      </c>
      <c r="CC322" s="186">
        <f t="shared" si="265"/>
        <v>0.5</v>
      </c>
      <c r="CD322" s="189">
        <f>CD323+CD324</f>
        <v>19855</v>
      </c>
      <c r="CE322" s="186">
        <f t="shared" si="266"/>
        <v>0.55000000000000004</v>
      </c>
      <c r="CF322" s="189">
        <f>CF323+CF324</f>
        <v>25270</v>
      </c>
      <c r="CG322" s="186">
        <f t="shared" si="267"/>
        <v>0.7</v>
      </c>
      <c r="CH322" s="189">
        <f>CH323+CH324</f>
        <v>25270</v>
      </c>
      <c r="CI322" s="186">
        <f t="shared" si="268"/>
        <v>0.7</v>
      </c>
      <c r="CJ322" s="189">
        <f>CJ323+CJ324</f>
        <v>27075</v>
      </c>
      <c r="CK322" s="186">
        <f t="shared" si="269"/>
        <v>0.75</v>
      </c>
      <c r="CL322" s="189">
        <f>CL323+CL324</f>
        <v>27075</v>
      </c>
      <c r="CM322" s="186">
        <f t="shared" si="270"/>
        <v>0.75</v>
      </c>
      <c r="CN322" s="189">
        <f>CN323+CN324</f>
        <v>34295</v>
      </c>
      <c r="CO322" s="186">
        <f t="shared" si="271"/>
        <v>0.95</v>
      </c>
      <c r="CP322" s="213" t="str">
        <f t="shared" si="276"/>
        <v>Đạt</v>
      </c>
      <c r="CQ322" s="213" t="str">
        <f t="shared" si="277"/>
        <v>Đạt</v>
      </c>
      <c r="CR322" s="213"/>
      <c r="CS322" s="213"/>
      <c r="CT322" s="231"/>
      <c r="CU322" s="163"/>
      <c r="CW322" s="195"/>
      <c r="CX322" s="196"/>
      <c r="CY322" s="196"/>
      <c r="CZ322" s="197"/>
      <c r="DA322" s="196"/>
      <c r="DB322" s="196"/>
      <c r="DC322" s="196"/>
      <c r="DE322" s="199"/>
      <c r="DF322" s="200"/>
      <c r="DG322" s="181"/>
    </row>
    <row r="323" spans="1:112" s="324" customFormat="1" hidden="1" outlineLevel="1" x14ac:dyDescent="0.25">
      <c r="A323" s="305" t="s">
        <v>34</v>
      </c>
      <c r="B323" s="318" t="s">
        <v>376</v>
      </c>
      <c r="C323" s="306"/>
      <c r="D323" s="307">
        <f>E323+F323</f>
        <v>3000</v>
      </c>
      <c r="E323" s="307"/>
      <c r="F323" s="307">
        <f>G323+H323+K323+M323</f>
        <v>3000</v>
      </c>
      <c r="G323" s="303">
        <v>3000</v>
      </c>
      <c r="H323" s="303"/>
      <c r="I323" s="235"/>
      <c r="J323" s="235"/>
      <c r="K323" s="303"/>
      <c r="L323" s="235"/>
      <c r="M323" s="223"/>
      <c r="N323" s="223"/>
      <c r="O323" s="303">
        <f t="shared" si="285"/>
        <v>3000</v>
      </c>
      <c r="P323" s="303">
        <v>0</v>
      </c>
      <c r="Q323" s="308">
        <f t="shared" si="272"/>
        <v>0</v>
      </c>
      <c r="R323" s="303"/>
      <c r="S323" s="309">
        <v>0</v>
      </c>
      <c r="T323" s="309">
        <v>0</v>
      </c>
      <c r="U323" s="303"/>
      <c r="V323" s="309">
        <v>0</v>
      </c>
      <c r="W323" s="309">
        <v>0</v>
      </c>
      <c r="X323" s="303"/>
      <c r="Y323" s="309">
        <v>0</v>
      </c>
      <c r="Z323" s="309">
        <v>0</v>
      </c>
      <c r="AA323" s="303"/>
      <c r="AB323" s="309">
        <v>0</v>
      </c>
      <c r="AC323" s="309">
        <v>0</v>
      </c>
      <c r="AD323" s="303">
        <v>475</v>
      </c>
      <c r="AE323" s="309">
        <v>0.15833333333333333</v>
      </c>
      <c r="AF323" s="309">
        <v>0.16666666666666666</v>
      </c>
      <c r="AG323" s="303">
        <v>475</v>
      </c>
      <c r="AH323" s="309">
        <v>0.15833333333333333</v>
      </c>
      <c r="AI323" s="309">
        <v>0.16666666666666666</v>
      </c>
      <c r="AJ323" s="303">
        <v>475</v>
      </c>
      <c r="AK323" s="309">
        <v>0.15833333333333333</v>
      </c>
      <c r="AL323" s="309">
        <v>0.16666666666666666</v>
      </c>
      <c r="AM323" s="303">
        <v>1719.4</v>
      </c>
      <c r="AN323" s="309">
        <v>0.57313333333333338</v>
      </c>
      <c r="AO323" s="309">
        <v>0.60329824561403511</v>
      </c>
      <c r="AP323" s="309"/>
      <c r="AQ323" s="303">
        <v>2724</v>
      </c>
      <c r="AR323" s="309">
        <v>0.90800000000000003</v>
      </c>
      <c r="AS323" s="309">
        <v>0.95578947368421052</v>
      </c>
      <c r="AT323" s="303">
        <v>2850</v>
      </c>
      <c r="AU323" s="309">
        <v>0.95</v>
      </c>
      <c r="AV323" s="309">
        <v>1</v>
      </c>
      <c r="AW323" s="309"/>
      <c r="AX323" s="309"/>
      <c r="AY323" s="309"/>
      <c r="AZ323" s="309"/>
      <c r="BA323" s="309"/>
      <c r="BB323" s="309"/>
      <c r="BC323" s="303">
        <v>2850</v>
      </c>
      <c r="BD323" s="309">
        <v>0.95</v>
      </c>
      <c r="BE323" s="309">
        <v>1</v>
      </c>
      <c r="BF323" s="303"/>
      <c r="BG323" s="303">
        <v>2410</v>
      </c>
      <c r="BH323" s="309">
        <v>0.80333333333333334</v>
      </c>
      <c r="BI323" s="309">
        <v>0.84561403508771926</v>
      </c>
      <c r="BJ323" s="303">
        <f t="shared" si="273"/>
        <v>2850</v>
      </c>
      <c r="BK323" s="303">
        <v>2410</v>
      </c>
      <c r="BL323" s="309">
        <f t="shared" si="258"/>
        <v>0.80333333333333334</v>
      </c>
      <c r="BM323" s="309">
        <f t="shared" si="275"/>
        <v>0.84561403508771926</v>
      </c>
      <c r="BN323" s="205">
        <f t="shared" si="256"/>
        <v>1935</v>
      </c>
      <c r="BO323" s="205"/>
      <c r="BP323" s="310"/>
      <c r="BQ323" s="308">
        <f t="shared" si="259"/>
        <v>0</v>
      </c>
      <c r="BR323" s="310"/>
      <c r="BS323" s="308">
        <f t="shared" si="260"/>
        <v>0</v>
      </c>
      <c r="BT323" s="310">
        <f>$F323*0.1</f>
        <v>300</v>
      </c>
      <c r="BU323" s="308">
        <f t="shared" si="261"/>
        <v>0.1</v>
      </c>
      <c r="BV323" s="310">
        <f>$F323*0.2</f>
        <v>600</v>
      </c>
      <c r="BW323" s="308">
        <f t="shared" si="262"/>
        <v>0.2</v>
      </c>
      <c r="BX323" s="310">
        <f>$F323*0.3</f>
        <v>900</v>
      </c>
      <c r="BY323" s="308">
        <f t="shared" si="263"/>
        <v>0.3</v>
      </c>
      <c r="BZ323" s="310">
        <f>$F323*0.4</f>
        <v>1200</v>
      </c>
      <c r="CA323" s="308">
        <f t="shared" si="264"/>
        <v>0.4</v>
      </c>
      <c r="CB323" s="310">
        <f>$F323*0.5</f>
        <v>1500</v>
      </c>
      <c r="CC323" s="308">
        <f t="shared" si="265"/>
        <v>0.5</v>
      </c>
      <c r="CD323" s="310">
        <f>$F323*0.55</f>
        <v>1650.0000000000002</v>
      </c>
      <c r="CE323" s="308">
        <f t="shared" si="266"/>
        <v>0.55000000000000004</v>
      </c>
      <c r="CF323" s="310">
        <v>2100</v>
      </c>
      <c r="CG323" s="308">
        <f t="shared" si="267"/>
        <v>0.7</v>
      </c>
      <c r="CH323" s="310">
        <f>$F323*0.7</f>
        <v>2100</v>
      </c>
      <c r="CI323" s="308">
        <f t="shared" si="268"/>
        <v>0.7</v>
      </c>
      <c r="CJ323" s="310">
        <f>$F323*0.75</f>
        <v>2250</v>
      </c>
      <c r="CK323" s="308">
        <f t="shared" si="269"/>
        <v>0.75</v>
      </c>
      <c r="CL323" s="310">
        <f>$F323*0.75</f>
        <v>2250</v>
      </c>
      <c r="CM323" s="308">
        <f t="shared" si="270"/>
        <v>0.75</v>
      </c>
      <c r="CN323" s="310">
        <f>$F323*0.95</f>
        <v>2850</v>
      </c>
      <c r="CO323" s="308">
        <f t="shared" si="271"/>
        <v>0.95</v>
      </c>
      <c r="CP323" s="213" t="str">
        <f t="shared" si="276"/>
        <v>Đạt</v>
      </c>
      <c r="CQ323" s="213" t="str">
        <f t="shared" si="277"/>
        <v>Đạt</v>
      </c>
      <c r="CR323" s="312"/>
      <c r="CS323" s="312"/>
      <c r="CT323" s="235"/>
      <c r="CU323" s="163"/>
      <c r="CV323" s="323"/>
      <c r="CW323" s="195"/>
      <c r="CX323" s="196"/>
      <c r="CY323" s="196"/>
      <c r="CZ323" s="197"/>
      <c r="DA323" s="196"/>
      <c r="DB323" s="196"/>
      <c r="DC323" s="196"/>
      <c r="DE323" s="199"/>
      <c r="DF323" s="200"/>
      <c r="DG323" s="181"/>
      <c r="DH323" s="337"/>
    </row>
    <row r="324" spans="1:112" ht="25.5" hidden="1" outlineLevel="1" x14ac:dyDescent="0.25">
      <c r="A324" s="305" t="s">
        <v>34</v>
      </c>
      <c r="B324" s="306" t="s">
        <v>377</v>
      </c>
      <c r="C324" s="306"/>
      <c r="D324" s="307">
        <f>E324+F324</f>
        <v>33100</v>
      </c>
      <c r="E324" s="307"/>
      <c r="F324" s="307">
        <f>G324+H324+K324+M324</f>
        <v>33100</v>
      </c>
      <c r="G324" s="307"/>
      <c r="H324" s="307">
        <v>33100</v>
      </c>
      <c r="I324" s="235"/>
      <c r="J324" s="235"/>
      <c r="K324" s="303"/>
      <c r="L324" s="235"/>
      <c r="M324" s="223"/>
      <c r="N324" s="223"/>
      <c r="O324" s="303"/>
      <c r="P324" s="303">
        <v>0</v>
      </c>
      <c r="Q324" s="308">
        <f t="shared" si="272"/>
        <v>0</v>
      </c>
      <c r="R324" s="303"/>
      <c r="S324" s="309">
        <v>0</v>
      </c>
      <c r="T324" s="309">
        <v>0</v>
      </c>
      <c r="U324" s="303"/>
      <c r="V324" s="309">
        <v>0</v>
      </c>
      <c r="W324" s="309">
        <v>0</v>
      </c>
      <c r="X324" s="303"/>
      <c r="Y324" s="309">
        <v>0</v>
      </c>
      <c r="Z324" s="309">
        <v>0</v>
      </c>
      <c r="AA324" s="303"/>
      <c r="AB324" s="309">
        <v>0</v>
      </c>
      <c r="AC324" s="309">
        <v>0</v>
      </c>
      <c r="AD324" s="303"/>
      <c r="AE324" s="309">
        <v>0</v>
      </c>
      <c r="AF324" s="309">
        <v>0</v>
      </c>
      <c r="AG324" s="303"/>
      <c r="AH324" s="309">
        <v>0</v>
      </c>
      <c r="AI324" s="309">
        <v>0</v>
      </c>
      <c r="AJ324" s="188"/>
      <c r="AK324" s="309">
        <v>0</v>
      </c>
      <c r="AL324" s="309">
        <v>0</v>
      </c>
      <c r="AM324" s="303"/>
      <c r="AN324" s="309">
        <v>0</v>
      </c>
      <c r="AO324" s="309">
        <v>0</v>
      </c>
      <c r="AP324" s="309"/>
      <c r="AQ324" s="303"/>
      <c r="AR324" s="309">
        <v>0</v>
      </c>
      <c r="AS324" s="309">
        <v>0</v>
      </c>
      <c r="AT324" s="303">
        <v>835.59999999999991</v>
      </c>
      <c r="AU324" s="309">
        <v>2.5244712990936554E-2</v>
      </c>
      <c r="AV324" s="309">
        <v>2.6573382095722686E-2</v>
      </c>
      <c r="AW324" s="309"/>
      <c r="AX324" s="309"/>
      <c r="AY324" s="309"/>
      <c r="AZ324" s="309"/>
      <c r="BA324" s="309"/>
      <c r="BB324" s="309"/>
      <c r="BC324" s="303">
        <v>835.59999999999991</v>
      </c>
      <c r="BD324" s="309">
        <v>2.5244712990936554E-2</v>
      </c>
      <c r="BE324" s="309">
        <v>2.6573382095722686E-2</v>
      </c>
      <c r="BF324" s="303"/>
      <c r="BG324" s="303">
        <v>10138</v>
      </c>
      <c r="BH324" s="309">
        <v>0.30628398791540784</v>
      </c>
      <c r="BI324" s="309">
        <v>0.32240419780569246</v>
      </c>
      <c r="BJ324" s="303">
        <f t="shared" si="273"/>
        <v>31445</v>
      </c>
      <c r="BK324" s="303">
        <v>12806.286800000002</v>
      </c>
      <c r="BL324" s="309">
        <f t="shared" si="258"/>
        <v>0.38689688217522666</v>
      </c>
      <c r="BM324" s="309">
        <f t="shared" si="275"/>
        <v>0.40725987597392277</v>
      </c>
      <c r="BN324" s="205">
        <f t="shared" si="256"/>
        <v>12806.286800000002</v>
      </c>
      <c r="BO324" s="205"/>
      <c r="BP324" s="310"/>
      <c r="BQ324" s="308">
        <f t="shared" si="259"/>
        <v>0</v>
      </c>
      <c r="BR324" s="310"/>
      <c r="BS324" s="308">
        <f t="shared" si="260"/>
        <v>0</v>
      </c>
      <c r="BT324" s="310">
        <f>$F324*0.1</f>
        <v>3310</v>
      </c>
      <c r="BU324" s="308">
        <f t="shared" si="261"/>
        <v>0.1</v>
      </c>
      <c r="BV324" s="310">
        <f>$F324*0.2</f>
        <v>6620</v>
      </c>
      <c r="BW324" s="308">
        <f t="shared" si="262"/>
        <v>0.2</v>
      </c>
      <c r="BX324" s="310">
        <f>$F324*0.3</f>
        <v>9930</v>
      </c>
      <c r="BY324" s="308">
        <f t="shared" si="263"/>
        <v>0.3</v>
      </c>
      <c r="BZ324" s="310">
        <f>$F324*0.4</f>
        <v>13240</v>
      </c>
      <c r="CA324" s="308">
        <f t="shared" si="264"/>
        <v>0.4</v>
      </c>
      <c r="CB324" s="310">
        <f>$F324*0.5</f>
        <v>16550</v>
      </c>
      <c r="CC324" s="308">
        <f t="shared" si="265"/>
        <v>0.5</v>
      </c>
      <c r="CD324" s="310">
        <f>$F324*0.55</f>
        <v>18205</v>
      </c>
      <c r="CE324" s="308">
        <f t="shared" si="266"/>
        <v>0.55000000000000004</v>
      </c>
      <c r="CF324" s="310">
        <v>23170</v>
      </c>
      <c r="CG324" s="308">
        <f t="shared" si="267"/>
        <v>0.7</v>
      </c>
      <c r="CH324" s="310">
        <f>$F324*0.7</f>
        <v>23170</v>
      </c>
      <c r="CI324" s="308">
        <f t="shared" si="268"/>
        <v>0.7</v>
      </c>
      <c r="CJ324" s="310">
        <f>$F324*0.75</f>
        <v>24825</v>
      </c>
      <c r="CK324" s="308">
        <f t="shared" si="269"/>
        <v>0.75</v>
      </c>
      <c r="CL324" s="310">
        <f>$F324*0.75</f>
        <v>24825</v>
      </c>
      <c r="CM324" s="308">
        <f t="shared" si="270"/>
        <v>0.75</v>
      </c>
      <c r="CN324" s="310">
        <f>$F324*0.95</f>
        <v>31445</v>
      </c>
      <c r="CO324" s="308">
        <f t="shared" si="271"/>
        <v>0.95</v>
      </c>
      <c r="CP324" s="213" t="str">
        <f t="shared" si="276"/>
        <v>Đạt</v>
      </c>
      <c r="CQ324" s="213" t="str">
        <f t="shared" si="277"/>
        <v>Không đạt</v>
      </c>
      <c r="CR324" s="312"/>
      <c r="CS324" s="312"/>
      <c r="CT324" s="235"/>
      <c r="CU324" s="163"/>
      <c r="CW324" s="195"/>
      <c r="CX324" s="196"/>
      <c r="CY324" s="196"/>
      <c r="CZ324" s="197"/>
      <c r="DA324" s="196"/>
      <c r="DB324" s="196"/>
      <c r="DC324" s="196"/>
      <c r="DE324" s="199"/>
      <c r="DF324" s="200"/>
      <c r="DG324" s="181"/>
      <c r="DH324" s="338"/>
    </row>
    <row r="325" spans="1:112" ht="18" customHeight="1" collapsed="1" x14ac:dyDescent="0.25">
      <c r="A325" s="316">
        <f>MAX(A$239:A323)+1</f>
        <v>24</v>
      </c>
      <c r="B325" s="240" t="s">
        <v>414</v>
      </c>
      <c r="C325" s="240"/>
      <c r="D325" s="188">
        <f t="shared" ref="D325:I325" si="307">D326+D327</f>
        <v>6200</v>
      </c>
      <c r="E325" s="188">
        <f t="shared" si="307"/>
        <v>0</v>
      </c>
      <c r="F325" s="188">
        <f t="shared" si="307"/>
        <v>6200</v>
      </c>
      <c r="G325" s="188">
        <f t="shared" si="307"/>
        <v>3000</v>
      </c>
      <c r="H325" s="188">
        <f t="shared" si="307"/>
        <v>3200</v>
      </c>
      <c r="I325" s="188">
        <f t="shared" si="307"/>
        <v>0</v>
      </c>
      <c r="J325" s="188"/>
      <c r="K325" s="188">
        <f>K326+K327</f>
        <v>0</v>
      </c>
      <c r="L325" s="188">
        <f>L326+L327</f>
        <v>0</v>
      </c>
      <c r="M325" s="188">
        <f>M326+M327</f>
        <v>0</v>
      </c>
      <c r="N325" s="188">
        <f>N326+N327</f>
        <v>0</v>
      </c>
      <c r="O325" s="188">
        <f>O326+O327</f>
        <v>3000</v>
      </c>
      <c r="P325" s="188">
        <v>0</v>
      </c>
      <c r="Q325" s="186">
        <f t="shared" si="272"/>
        <v>0</v>
      </c>
      <c r="R325" s="188">
        <v>0</v>
      </c>
      <c r="S325" s="185">
        <v>0</v>
      </c>
      <c r="T325" s="185">
        <v>0</v>
      </c>
      <c r="U325" s="188">
        <v>0</v>
      </c>
      <c r="V325" s="185">
        <v>0</v>
      </c>
      <c r="W325" s="185">
        <v>0</v>
      </c>
      <c r="X325" s="188">
        <v>0</v>
      </c>
      <c r="Y325" s="185">
        <v>0</v>
      </c>
      <c r="Z325" s="185">
        <v>0</v>
      </c>
      <c r="AA325" s="188">
        <v>0</v>
      </c>
      <c r="AB325" s="185">
        <v>0</v>
      </c>
      <c r="AC325" s="185">
        <v>0</v>
      </c>
      <c r="AD325" s="188">
        <v>0</v>
      </c>
      <c r="AE325" s="185">
        <v>0</v>
      </c>
      <c r="AF325" s="185">
        <v>0</v>
      </c>
      <c r="AG325" s="188">
        <v>0</v>
      </c>
      <c r="AH325" s="185">
        <v>0</v>
      </c>
      <c r="AI325" s="185">
        <v>0</v>
      </c>
      <c r="AJ325" s="303">
        <v>0</v>
      </c>
      <c r="AK325" s="185">
        <v>0</v>
      </c>
      <c r="AL325" s="185">
        <v>0</v>
      </c>
      <c r="AM325" s="188">
        <v>2609</v>
      </c>
      <c r="AN325" s="185">
        <v>0.4208064516129032</v>
      </c>
      <c r="AO325" s="185">
        <v>0.44295415959252971</v>
      </c>
      <c r="AP325" s="185"/>
      <c r="AQ325" s="188">
        <v>2609</v>
      </c>
      <c r="AR325" s="185">
        <v>0.4208064516129032</v>
      </c>
      <c r="AS325" s="185">
        <v>0.44295415959252971</v>
      </c>
      <c r="AT325" s="188">
        <v>2609.4</v>
      </c>
      <c r="AU325" s="185">
        <v>0.4208709677419355</v>
      </c>
      <c r="AV325" s="185">
        <v>0.44302207130730054</v>
      </c>
      <c r="AW325" s="185"/>
      <c r="AX325" s="185"/>
      <c r="AY325" s="185"/>
      <c r="AZ325" s="185"/>
      <c r="BA325" s="185"/>
      <c r="BB325" s="185"/>
      <c r="BC325" s="188">
        <v>2609.4</v>
      </c>
      <c r="BD325" s="185">
        <v>0.4208709677419355</v>
      </c>
      <c r="BE325" s="185">
        <v>0.44302207130730054</v>
      </c>
      <c r="BF325" s="188"/>
      <c r="BG325" s="188">
        <v>2764</v>
      </c>
      <c r="BH325" s="185">
        <v>0.44580645161290322</v>
      </c>
      <c r="BI325" s="185">
        <v>0.46926994906621394</v>
      </c>
      <c r="BJ325" s="188">
        <f t="shared" si="273"/>
        <v>5890</v>
      </c>
      <c r="BK325" s="188">
        <v>2957</v>
      </c>
      <c r="BL325" s="185">
        <f t="shared" si="258"/>
        <v>0.47693548387096774</v>
      </c>
      <c r="BM325" s="185">
        <f t="shared" si="275"/>
        <v>0.50203735144312389</v>
      </c>
      <c r="BN325" s="205">
        <f t="shared" si="256"/>
        <v>2957</v>
      </c>
      <c r="BO325" s="205"/>
      <c r="BP325" s="189">
        <f>BP326+BP327</f>
        <v>0</v>
      </c>
      <c r="BQ325" s="186">
        <f t="shared" si="259"/>
        <v>0</v>
      </c>
      <c r="BR325" s="189">
        <f>BR326+BR327</f>
        <v>0</v>
      </c>
      <c r="BS325" s="186">
        <f t="shared" si="260"/>
        <v>0</v>
      </c>
      <c r="BT325" s="189">
        <f>BT326+BT327</f>
        <v>0</v>
      </c>
      <c r="BU325" s="186">
        <f t="shared" si="261"/>
        <v>0</v>
      </c>
      <c r="BV325" s="189">
        <f>BV326+BV327</f>
        <v>1860</v>
      </c>
      <c r="BW325" s="186">
        <f t="shared" si="262"/>
        <v>0.3</v>
      </c>
      <c r="BX325" s="189">
        <f>BX326+BX327</f>
        <v>2056</v>
      </c>
      <c r="BY325" s="186">
        <f t="shared" si="263"/>
        <v>0.33161290322580644</v>
      </c>
      <c r="BZ325" s="189">
        <f>BZ326+BZ327</f>
        <v>3100</v>
      </c>
      <c r="CA325" s="186">
        <f t="shared" si="264"/>
        <v>0.5</v>
      </c>
      <c r="CB325" s="189">
        <f>CB326+CB327</f>
        <v>3524</v>
      </c>
      <c r="CC325" s="186">
        <f t="shared" si="265"/>
        <v>0.56838709677419352</v>
      </c>
      <c r="CD325" s="189">
        <f>CD326+CD327</f>
        <v>4536</v>
      </c>
      <c r="CE325" s="186">
        <f t="shared" si="266"/>
        <v>0.73161290322580641</v>
      </c>
      <c r="CF325" s="189">
        <f>CF326+CF327</f>
        <v>5156</v>
      </c>
      <c r="CG325" s="186">
        <f t="shared" si="267"/>
        <v>0.8316129032258065</v>
      </c>
      <c r="CH325" s="189">
        <f>CH326+CH327</f>
        <v>5890</v>
      </c>
      <c r="CI325" s="186">
        <f t="shared" si="268"/>
        <v>0.95</v>
      </c>
      <c r="CJ325" s="189">
        <f>CJ326+CJ327</f>
        <v>5890</v>
      </c>
      <c r="CK325" s="186">
        <f t="shared" si="269"/>
        <v>0.95</v>
      </c>
      <c r="CL325" s="189">
        <f>CL326+CL327</f>
        <v>5890</v>
      </c>
      <c r="CM325" s="186">
        <f t="shared" si="270"/>
        <v>0.95</v>
      </c>
      <c r="CN325" s="189">
        <f>CN326+CN327</f>
        <v>5890</v>
      </c>
      <c r="CO325" s="186">
        <f t="shared" si="271"/>
        <v>0.95</v>
      </c>
      <c r="CP325" s="213" t="str">
        <f t="shared" si="276"/>
        <v>Đạt</v>
      </c>
      <c r="CQ325" s="213" t="str">
        <f t="shared" si="277"/>
        <v>Đạt</v>
      </c>
      <c r="CR325" s="213"/>
      <c r="CS325" s="213"/>
      <c r="CT325" s="231"/>
      <c r="CU325" s="163"/>
      <c r="CW325" s="195"/>
      <c r="CX325" s="196"/>
      <c r="CY325" s="196"/>
      <c r="CZ325" s="197"/>
      <c r="DA325" s="196"/>
      <c r="DB325" s="196"/>
      <c r="DC325" s="196"/>
      <c r="DE325" s="199"/>
      <c r="DF325" s="200"/>
      <c r="DG325" s="181"/>
    </row>
    <row r="326" spans="1:112" s="324" customFormat="1" hidden="1" outlineLevel="1" x14ac:dyDescent="0.25">
      <c r="A326" s="305" t="s">
        <v>34</v>
      </c>
      <c r="B326" s="318" t="s">
        <v>376</v>
      </c>
      <c r="C326" s="306"/>
      <c r="D326" s="307">
        <f>E326+F326</f>
        <v>3000</v>
      </c>
      <c r="E326" s="307"/>
      <c r="F326" s="307">
        <f>G326+H326+K326+M326</f>
        <v>3000</v>
      </c>
      <c r="G326" s="303">
        <v>3000</v>
      </c>
      <c r="H326" s="303"/>
      <c r="I326" s="235"/>
      <c r="J326" s="235"/>
      <c r="K326" s="303"/>
      <c r="L326" s="235"/>
      <c r="M326" s="223"/>
      <c r="N326" s="223"/>
      <c r="O326" s="303">
        <f t="shared" si="285"/>
        <v>3000</v>
      </c>
      <c r="P326" s="303">
        <v>0</v>
      </c>
      <c r="Q326" s="308">
        <f t="shared" si="272"/>
        <v>0</v>
      </c>
      <c r="R326" s="303"/>
      <c r="S326" s="313">
        <v>0</v>
      </c>
      <c r="T326" s="313">
        <v>0</v>
      </c>
      <c r="U326" s="303"/>
      <c r="V326" s="313">
        <v>0</v>
      </c>
      <c r="W326" s="313">
        <v>0</v>
      </c>
      <c r="X326" s="303"/>
      <c r="Y326" s="313">
        <v>0</v>
      </c>
      <c r="Z326" s="313">
        <v>0</v>
      </c>
      <c r="AA326" s="303"/>
      <c r="AB326" s="313">
        <v>0</v>
      </c>
      <c r="AC326" s="313">
        <v>0</v>
      </c>
      <c r="AD326" s="303"/>
      <c r="AE326" s="313">
        <v>0</v>
      </c>
      <c r="AF326" s="313">
        <v>0</v>
      </c>
      <c r="AG326" s="303"/>
      <c r="AH326" s="313">
        <v>0</v>
      </c>
      <c r="AI326" s="313">
        <v>0</v>
      </c>
      <c r="AJ326" s="303"/>
      <c r="AK326" s="313">
        <v>0</v>
      </c>
      <c r="AL326" s="313">
        <v>0</v>
      </c>
      <c r="AM326" s="303">
        <v>2489</v>
      </c>
      <c r="AN326" s="313">
        <v>0.82966666666666666</v>
      </c>
      <c r="AO326" s="313">
        <v>0.87333333333333329</v>
      </c>
      <c r="AP326" s="313"/>
      <c r="AQ326" s="303">
        <v>2489</v>
      </c>
      <c r="AR326" s="313">
        <v>0.82966666666666666</v>
      </c>
      <c r="AS326" s="313">
        <v>0.87333333333333329</v>
      </c>
      <c r="AT326" s="303">
        <v>2489.4</v>
      </c>
      <c r="AU326" s="313">
        <v>0.82979999999999998</v>
      </c>
      <c r="AV326" s="313">
        <v>0.8734736842105264</v>
      </c>
      <c r="AW326" s="313"/>
      <c r="AX326" s="313"/>
      <c r="AY326" s="313"/>
      <c r="AZ326" s="313"/>
      <c r="BA326" s="313"/>
      <c r="BB326" s="313"/>
      <c r="BC326" s="303">
        <v>2489.4</v>
      </c>
      <c r="BD326" s="313">
        <v>0.82979999999999998</v>
      </c>
      <c r="BE326" s="313">
        <v>0.8734736842105264</v>
      </c>
      <c r="BF326" s="303"/>
      <c r="BG326" s="303">
        <v>2644</v>
      </c>
      <c r="BH326" s="313">
        <v>0.8813333333333333</v>
      </c>
      <c r="BI326" s="313">
        <v>0.92771929824561405</v>
      </c>
      <c r="BJ326" s="303">
        <f t="shared" si="273"/>
        <v>2850</v>
      </c>
      <c r="BK326" s="303">
        <v>2643.7345</v>
      </c>
      <c r="BL326" s="313">
        <f t="shared" si="258"/>
        <v>0.88124483333333337</v>
      </c>
      <c r="BM326" s="313">
        <f t="shared" si="275"/>
        <v>0.9276261403508772</v>
      </c>
      <c r="BN326" s="205">
        <f t="shared" si="256"/>
        <v>2643.7345</v>
      </c>
      <c r="BO326" s="205"/>
      <c r="BP326" s="310"/>
      <c r="BQ326" s="311">
        <f t="shared" si="259"/>
        <v>0</v>
      </c>
      <c r="BR326" s="310"/>
      <c r="BS326" s="311">
        <f t="shared" si="260"/>
        <v>0</v>
      </c>
      <c r="BT326" s="310"/>
      <c r="BU326" s="308">
        <f t="shared" si="261"/>
        <v>0</v>
      </c>
      <c r="BV326" s="310">
        <v>900</v>
      </c>
      <c r="BW326" s="311">
        <f t="shared" si="262"/>
        <v>0.3</v>
      </c>
      <c r="BX326" s="310">
        <v>1000</v>
      </c>
      <c r="BY326" s="311">
        <f t="shared" si="263"/>
        <v>0.33333333333333331</v>
      </c>
      <c r="BZ326" s="310">
        <v>1500</v>
      </c>
      <c r="CA326" s="311">
        <f t="shared" si="264"/>
        <v>0.5</v>
      </c>
      <c r="CB326" s="310">
        <v>1700</v>
      </c>
      <c r="CC326" s="311">
        <f t="shared" si="265"/>
        <v>0.56666666666666665</v>
      </c>
      <c r="CD326" s="310">
        <v>2200</v>
      </c>
      <c r="CE326" s="311">
        <f t="shared" si="266"/>
        <v>0.73333333333333328</v>
      </c>
      <c r="CF326" s="310">
        <v>2500</v>
      </c>
      <c r="CG326" s="311">
        <f t="shared" si="267"/>
        <v>0.83333333333333337</v>
      </c>
      <c r="CH326" s="310">
        <v>2850</v>
      </c>
      <c r="CI326" s="311">
        <f t="shared" si="268"/>
        <v>0.95</v>
      </c>
      <c r="CJ326" s="310">
        <v>2850</v>
      </c>
      <c r="CK326" s="311">
        <f t="shared" si="269"/>
        <v>0.95</v>
      </c>
      <c r="CL326" s="310">
        <v>2850</v>
      </c>
      <c r="CM326" s="311">
        <f t="shared" si="270"/>
        <v>0.95</v>
      </c>
      <c r="CN326" s="310">
        <v>2850</v>
      </c>
      <c r="CO326" s="311">
        <f t="shared" si="271"/>
        <v>0.95</v>
      </c>
      <c r="CP326" s="213" t="str">
        <f t="shared" si="276"/>
        <v>Đạt</v>
      </c>
      <c r="CQ326" s="213" t="str">
        <f t="shared" si="277"/>
        <v>Đạt</v>
      </c>
      <c r="CR326" s="312"/>
      <c r="CS326" s="312"/>
      <c r="CT326" s="235"/>
      <c r="CU326" s="163"/>
      <c r="CV326" s="323"/>
      <c r="CW326" s="195"/>
      <c r="CX326" s="196"/>
      <c r="CY326" s="196"/>
      <c r="CZ326" s="197"/>
      <c r="DA326" s="196"/>
      <c r="DB326" s="196"/>
      <c r="DC326" s="196"/>
      <c r="DE326" s="199"/>
      <c r="DF326" s="200"/>
      <c r="DG326" s="181"/>
    </row>
    <row r="327" spans="1:112" ht="25.5" hidden="1" outlineLevel="1" x14ac:dyDescent="0.25">
      <c r="A327" s="305" t="s">
        <v>34</v>
      </c>
      <c r="B327" s="306" t="s">
        <v>377</v>
      </c>
      <c r="C327" s="306"/>
      <c r="D327" s="307">
        <f>E327+F327</f>
        <v>3200</v>
      </c>
      <c r="E327" s="307"/>
      <c r="F327" s="307">
        <f>G327+H327+K327+M327</f>
        <v>3200</v>
      </c>
      <c r="G327" s="307"/>
      <c r="H327" s="307">
        <v>3200</v>
      </c>
      <c r="I327" s="235"/>
      <c r="J327" s="235"/>
      <c r="K327" s="303"/>
      <c r="L327" s="235"/>
      <c r="M327" s="223"/>
      <c r="N327" s="223"/>
      <c r="O327" s="303"/>
      <c r="P327" s="303">
        <v>0</v>
      </c>
      <c r="Q327" s="308">
        <f t="shared" si="272"/>
        <v>0</v>
      </c>
      <c r="R327" s="303"/>
      <c r="S327" s="313">
        <v>0</v>
      </c>
      <c r="T327" s="313">
        <v>0</v>
      </c>
      <c r="U327" s="303"/>
      <c r="V327" s="313">
        <v>0</v>
      </c>
      <c r="W327" s="313">
        <v>0</v>
      </c>
      <c r="X327" s="303"/>
      <c r="Y327" s="313">
        <v>0</v>
      </c>
      <c r="Z327" s="313">
        <v>0</v>
      </c>
      <c r="AA327" s="303"/>
      <c r="AB327" s="313">
        <v>0</v>
      </c>
      <c r="AC327" s="313">
        <v>0</v>
      </c>
      <c r="AD327" s="303"/>
      <c r="AE327" s="313">
        <v>0</v>
      </c>
      <c r="AF327" s="313">
        <v>0</v>
      </c>
      <c r="AG327" s="303"/>
      <c r="AH327" s="313">
        <v>0</v>
      </c>
      <c r="AI327" s="313">
        <v>0</v>
      </c>
      <c r="AJ327" s="188"/>
      <c r="AK327" s="313">
        <v>0</v>
      </c>
      <c r="AL327" s="313">
        <v>0</v>
      </c>
      <c r="AM327" s="303">
        <v>120</v>
      </c>
      <c r="AN327" s="313">
        <v>3.7499999999999999E-2</v>
      </c>
      <c r="AO327" s="313">
        <v>3.9473684210526314E-2</v>
      </c>
      <c r="AP327" s="313"/>
      <c r="AQ327" s="303">
        <v>120</v>
      </c>
      <c r="AR327" s="313">
        <v>3.7499999999999999E-2</v>
      </c>
      <c r="AS327" s="313">
        <v>3.9473684210526314E-2</v>
      </c>
      <c r="AT327" s="303">
        <v>120</v>
      </c>
      <c r="AU327" s="313">
        <v>3.7499999999999999E-2</v>
      </c>
      <c r="AV327" s="313">
        <v>3.9473684210526314E-2</v>
      </c>
      <c r="AW327" s="313"/>
      <c r="AX327" s="313"/>
      <c r="AY327" s="313"/>
      <c r="AZ327" s="313"/>
      <c r="BA327" s="313"/>
      <c r="BB327" s="313"/>
      <c r="BC327" s="303">
        <v>120</v>
      </c>
      <c r="BD327" s="313">
        <v>3.7499999999999999E-2</v>
      </c>
      <c r="BE327" s="313">
        <v>3.9473684210526314E-2</v>
      </c>
      <c r="BF327" s="303"/>
      <c r="BG327" s="303">
        <v>120</v>
      </c>
      <c r="BH327" s="313">
        <v>3.7499999999999999E-2</v>
      </c>
      <c r="BI327" s="313">
        <v>3.9473684210526314E-2</v>
      </c>
      <c r="BJ327" s="303">
        <f t="shared" si="273"/>
        <v>3040</v>
      </c>
      <c r="BK327" s="303">
        <v>120</v>
      </c>
      <c r="BL327" s="313">
        <f t="shared" si="258"/>
        <v>3.7499999999999999E-2</v>
      </c>
      <c r="BM327" s="313">
        <f t="shared" si="275"/>
        <v>3.9473684210526314E-2</v>
      </c>
      <c r="BN327" s="205">
        <f t="shared" ref="BN327:BN390" si="308">BK327-AD327</f>
        <v>120</v>
      </c>
      <c r="BO327" s="205"/>
      <c r="BP327" s="310"/>
      <c r="BQ327" s="311">
        <f t="shared" si="259"/>
        <v>0</v>
      </c>
      <c r="BR327" s="310"/>
      <c r="BS327" s="311">
        <f t="shared" si="260"/>
        <v>0</v>
      </c>
      <c r="BT327" s="310"/>
      <c r="BU327" s="308">
        <f t="shared" si="261"/>
        <v>0</v>
      </c>
      <c r="BV327" s="310">
        <v>960</v>
      </c>
      <c r="BW327" s="311">
        <f t="shared" si="262"/>
        <v>0.3</v>
      </c>
      <c r="BX327" s="310">
        <f>3200*0.33</f>
        <v>1056</v>
      </c>
      <c r="BY327" s="311">
        <f t="shared" si="263"/>
        <v>0.33</v>
      </c>
      <c r="BZ327" s="310">
        <f>3200*0.5</f>
        <v>1600</v>
      </c>
      <c r="CA327" s="311">
        <f t="shared" si="264"/>
        <v>0.5</v>
      </c>
      <c r="CB327" s="310">
        <f>3200*0.57</f>
        <v>1823.9999999999998</v>
      </c>
      <c r="CC327" s="311">
        <f t="shared" si="265"/>
        <v>0.56999999999999995</v>
      </c>
      <c r="CD327" s="310">
        <f>3200*0.73</f>
        <v>2336</v>
      </c>
      <c r="CE327" s="311">
        <f t="shared" si="266"/>
        <v>0.73</v>
      </c>
      <c r="CF327" s="310">
        <f>3200*0.83</f>
        <v>2656</v>
      </c>
      <c r="CG327" s="311">
        <f t="shared" si="267"/>
        <v>0.83</v>
      </c>
      <c r="CH327" s="310">
        <f>3200*0.95</f>
        <v>3040</v>
      </c>
      <c r="CI327" s="311">
        <f t="shared" si="268"/>
        <v>0.95</v>
      </c>
      <c r="CJ327" s="310">
        <v>3040</v>
      </c>
      <c r="CK327" s="311">
        <f t="shared" si="269"/>
        <v>0.95</v>
      </c>
      <c r="CL327" s="310">
        <v>3040</v>
      </c>
      <c r="CM327" s="311">
        <f t="shared" si="270"/>
        <v>0.95</v>
      </c>
      <c r="CN327" s="310">
        <v>3040</v>
      </c>
      <c r="CO327" s="311">
        <f t="shared" si="271"/>
        <v>0.95</v>
      </c>
      <c r="CP327" s="213" t="str">
        <f t="shared" si="276"/>
        <v>Không đạt</v>
      </c>
      <c r="CQ327" s="213" t="str">
        <f t="shared" si="277"/>
        <v>Không đạt</v>
      </c>
      <c r="CR327" s="312"/>
      <c r="CS327" s="312"/>
      <c r="CT327" s="235"/>
      <c r="CU327" s="163"/>
      <c r="CW327" s="195"/>
      <c r="CX327" s="196"/>
      <c r="CY327" s="196"/>
      <c r="CZ327" s="197"/>
      <c r="DA327" s="196"/>
      <c r="DB327" s="196"/>
      <c r="DC327" s="196"/>
      <c r="DE327" s="199"/>
      <c r="DF327" s="200"/>
      <c r="DG327" s="181"/>
    </row>
    <row r="328" spans="1:112" ht="18" customHeight="1" collapsed="1" x14ac:dyDescent="0.25">
      <c r="A328" s="316">
        <f>MAX(A$239:A326)+1</f>
        <v>25</v>
      </c>
      <c r="B328" s="240" t="s">
        <v>415</v>
      </c>
      <c r="C328" s="240"/>
      <c r="D328" s="188">
        <f t="shared" ref="D328:I328" si="309">D329+D330</f>
        <v>11228</v>
      </c>
      <c r="E328" s="188">
        <f t="shared" si="309"/>
        <v>0</v>
      </c>
      <c r="F328" s="188">
        <f t="shared" si="309"/>
        <v>11228</v>
      </c>
      <c r="G328" s="188">
        <f t="shared" si="309"/>
        <v>3000</v>
      </c>
      <c r="H328" s="188">
        <f t="shared" si="309"/>
        <v>8228</v>
      </c>
      <c r="I328" s="188">
        <f t="shared" si="309"/>
        <v>0</v>
      </c>
      <c r="J328" s="188"/>
      <c r="K328" s="188">
        <f>K329+K330</f>
        <v>0</v>
      </c>
      <c r="L328" s="188">
        <f>L329+L330</f>
        <v>0</v>
      </c>
      <c r="M328" s="188">
        <f>M329+M330</f>
        <v>0</v>
      </c>
      <c r="N328" s="188">
        <f>N329+N330</f>
        <v>0</v>
      </c>
      <c r="O328" s="188">
        <f>O329+O330</f>
        <v>3000</v>
      </c>
      <c r="P328" s="188">
        <v>0</v>
      </c>
      <c r="Q328" s="186">
        <f t="shared" si="272"/>
        <v>0</v>
      </c>
      <c r="R328" s="188">
        <v>0</v>
      </c>
      <c r="S328" s="185">
        <v>0</v>
      </c>
      <c r="T328" s="185">
        <v>0</v>
      </c>
      <c r="U328" s="188">
        <v>0</v>
      </c>
      <c r="V328" s="185">
        <v>0</v>
      </c>
      <c r="W328" s="185">
        <v>0</v>
      </c>
      <c r="X328" s="188">
        <v>0</v>
      </c>
      <c r="Y328" s="185">
        <v>0</v>
      </c>
      <c r="Z328" s="185">
        <v>0</v>
      </c>
      <c r="AA328" s="188">
        <v>0</v>
      </c>
      <c r="AB328" s="185">
        <v>0</v>
      </c>
      <c r="AC328" s="185">
        <v>0</v>
      </c>
      <c r="AD328" s="188">
        <v>962</v>
      </c>
      <c r="AE328" s="185">
        <v>8.5678660491628075E-2</v>
      </c>
      <c r="AF328" s="185">
        <v>9.0188063675397973E-2</v>
      </c>
      <c r="AG328" s="188">
        <v>962</v>
      </c>
      <c r="AH328" s="185">
        <v>8.5678660491628075E-2</v>
      </c>
      <c r="AI328" s="185">
        <v>9.0188063675397973E-2</v>
      </c>
      <c r="AJ328" s="303">
        <v>962</v>
      </c>
      <c r="AK328" s="185">
        <v>8.5678660491628075E-2</v>
      </c>
      <c r="AL328" s="185">
        <v>9.0188063675397973E-2</v>
      </c>
      <c r="AM328" s="314">
        <v>962</v>
      </c>
      <c r="AN328" s="185">
        <v>8.5678660491628075E-2</v>
      </c>
      <c r="AO328" s="185">
        <v>9.0188063675397973E-2</v>
      </c>
      <c r="AP328" s="185"/>
      <c r="AQ328" s="188">
        <v>962</v>
      </c>
      <c r="AR328" s="185">
        <v>8.5678660491628075E-2</v>
      </c>
      <c r="AS328" s="185">
        <v>9.0188063675397973E-2</v>
      </c>
      <c r="AT328" s="188">
        <v>4566.8389999999999</v>
      </c>
      <c r="AU328" s="185">
        <v>0.40673664054150338</v>
      </c>
      <c r="AV328" s="185">
        <v>0.42814383214895091</v>
      </c>
      <c r="AW328" s="185"/>
      <c r="AX328" s="185"/>
      <c r="AY328" s="185"/>
      <c r="AZ328" s="185"/>
      <c r="BA328" s="185"/>
      <c r="BB328" s="185"/>
      <c r="BC328" s="188">
        <v>4566.8389999999999</v>
      </c>
      <c r="BD328" s="185">
        <v>0.40673664054150338</v>
      </c>
      <c r="BE328" s="185">
        <v>0.42814383214895091</v>
      </c>
      <c r="BF328" s="188"/>
      <c r="BG328" s="188">
        <v>7223</v>
      </c>
      <c r="BH328" s="185">
        <v>0.64330245814036335</v>
      </c>
      <c r="BI328" s="185">
        <v>0.67716048225301406</v>
      </c>
      <c r="BJ328" s="188">
        <f t="shared" si="273"/>
        <v>10666.6</v>
      </c>
      <c r="BK328" s="188">
        <v>7958.3</v>
      </c>
      <c r="BL328" s="185">
        <f t="shared" si="258"/>
        <v>0.70879052369077311</v>
      </c>
      <c r="BM328" s="185">
        <f t="shared" si="275"/>
        <v>0.74609528809555059</v>
      </c>
      <c r="BN328" s="205">
        <f t="shared" si="308"/>
        <v>6996.3</v>
      </c>
      <c r="BO328" s="205"/>
      <c r="BP328" s="189">
        <f>BP329+BP330</f>
        <v>150</v>
      </c>
      <c r="BQ328" s="186">
        <f t="shared" si="259"/>
        <v>1.3359458496615604E-2</v>
      </c>
      <c r="BR328" s="189">
        <f>BR329+BR330</f>
        <v>150</v>
      </c>
      <c r="BS328" s="186">
        <f t="shared" si="260"/>
        <v>1.3359458496615604E-2</v>
      </c>
      <c r="BT328" s="189">
        <f>BT329+BT330</f>
        <v>150</v>
      </c>
      <c r="BU328" s="186">
        <f t="shared" si="261"/>
        <v>1.3359458496615604E-2</v>
      </c>
      <c r="BV328" s="189">
        <f>BV329+BV330</f>
        <v>650</v>
      </c>
      <c r="BW328" s="186">
        <f t="shared" si="262"/>
        <v>5.7890986818667618E-2</v>
      </c>
      <c r="BX328" s="189">
        <f>BX329+BX330</f>
        <v>3500</v>
      </c>
      <c r="BY328" s="186">
        <f t="shared" si="263"/>
        <v>0.3117206982543641</v>
      </c>
      <c r="BZ328" s="189">
        <f>BZ329+BZ330</f>
        <v>3500</v>
      </c>
      <c r="CA328" s="186">
        <f t="shared" si="264"/>
        <v>0.3117206982543641</v>
      </c>
      <c r="CB328" s="189">
        <f>CB329+CB330</f>
        <v>5500</v>
      </c>
      <c r="CC328" s="186">
        <f t="shared" si="265"/>
        <v>0.48984681154257215</v>
      </c>
      <c r="CD328" s="189">
        <f>CD329+CD330</f>
        <v>5500</v>
      </c>
      <c r="CE328" s="186">
        <f t="shared" si="266"/>
        <v>0.48984681154257215</v>
      </c>
      <c r="CF328" s="189">
        <f>CF329+CF330</f>
        <v>7850</v>
      </c>
      <c r="CG328" s="186">
        <f t="shared" si="267"/>
        <v>0.6991449946562166</v>
      </c>
      <c r="CH328" s="189">
        <f>CH329+CH330</f>
        <v>8850</v>
      </c>
      <c r="CI328" s="186">
        <f t="shared" si="268"/>
        <v>0.78820805130032068</v>
      </c>
      <c r="CJ328" s="189">
        <f>CJ329+CJ330</f>
        <v>9850</v>
      </c>
      <c r="CK328" s="186">
        <f t="shared" si="269"/>
        <v>0.87727110794442464</v>
      </c>
      <c r="CL328" s="189">
        <f>CL329+CL330</f>
        <v>9850</v>
      </c>
      <c r="CM328" s="186">
        <f t="shared" si="270"/>
        <v>0.87727110794442464</v>
      </c>
      <c r="CN328" s="189">
        <f>CN329+CN330</f>
        <v>10666.599999999999</v>
      </c>
      <c r="CO328" s="186">
        <f t="shared" si="271"/>
        <v>0.94999999999999984</v>
      </c>
      <c r="CP328" s="213" t="str">
        <f t="shared" si="276"/>
        <v>Đạt</v>
      </c>
      <c r="CQ328" s="213" t="str">
        <f t="shared" si="277"/>
        <v>Đạt</v>
      </c>
      <c r="CR328" s="213"/>
      <c r="CS328" s="213"/>
      <c r="CT328" s="231"/>
      <c r="CU328" s="163"/>
      <c r="CW328" s="195"/>
      <c r="CX328" s="196"/>
      <c r="CY328" s="196"/>
      <c r="CZ328" s="197"/>
      <c r="DA328" s="196"/>
      <c r="DB328" s="196"/>
      <c r="DC328" s="196"/>
      <c r="DE328" s="199"/>
      <c r="DF328" s="200"/>
      <c r="DG328" s="181"/>
    </row>
    <row r="329" spans="1:112" s="324" customFormat="1" hidden="1" outlineLevel="1" x14ac:dyDescent="0.25">
      <c r="A329" s="305" t="s">
        <v>34</v>
      </c>
      <c r="B329" s="318" t="s">
        <v>376</v>
      </c>
      <c r="C329" s="306"/>
      <c r="D329" s="307">
        <f>E329+F329</f>
        <v>3000</v>
      </c>
      <c r="E329" s="307"/>
      <c r="F329" s="307">
        <f>G329+H329+K329+M329</f>
        <v>3000</v>
      </c>
      <c r="G329" s="303">
        <v>3000</v>
      </c>
      <c r="H329" s="303"/>
      <c r="I329" s="235"/>
      <c r="J329" s="235"/>
      <c r="K329" s="303"/>
      <c r="L329" s="235"/>
      <c r="M329" s="223"/>
      <c r="N329" s="223"/>
      <c r="O329" s="303">
        <f t="shared" si="285"/>
        <v>3000</v>
      </c>
      <c r="P329" s="303">
        <v>0</v>
      </c>
      <c r="Q329" s="308">
        <f t="shared" si="272"/>
        <v>0</v>
      </c>
      <c r="R329" s="303"/>
      <c r="S329" s="313">
        <v>0</v>
      </c>
      <c r="T329" s="313">
        <v>0</v>
      </c>
      <c r="U329" s="303"/>
      <c r="V329" s="313">
        <v>0</v>
      </c>
      <c r="W329" s="313">
        <v>0</v>
      </c>
      <c r="X329" s="303"/>
      <c r="Y329" s="313">
        <v>0</v>
      </c>
      <c r="Z329" s="313">
        <v>0</v>
      </c>
      <c r="AA329" s="303"/>
      <c r="AB329" s="313">
        <v>0</v>
      </c>
      <c r="AC329" s="313">
        <v>0</v>
      </c>
      <c r="AD329" s="303">
        <v>962</v>
      </c>
      <c r="AE329" s="313">
        <v>0.32066666666666666</v>
      </c>
      <c r="AF329" s="313">
        <v>0.33754385964912281</v>
      </c>
      <c r="AG329" s="303">
        <v>962</v>
      </c>
      <c r="AH329" s="313">
        <v>0.32066666666666666</v>
      </c>
      <c r="AI329" s="313">
        <v>0.33754385964912281</v>
      </c>
      <c r="AJ329" s="303">
        <v>962</v>
      </c>
      <c r="AK329" s="313">
        <v>0.32066666666666666</v>
      </c>
      <c r="AL329" s="313">
        <v>0.33754385964912281</v>
      </c>
      <c r="AM329" s="303">
        <v>962</v>
      </c>
      <c r="AN329" s="313">
        <v>0.32066666666666666</v>
      </c>
      <c r="AO329" s="313">
        <v>0.33754385964912281</v>
      </c>
      <c r="AP329" s="313"/>
      <c r="AQ329" s="303">
        <v>962</v>
      </c>
      <c r="AR329" s="313">
        <v>0.32066666666666666</v>
      </c>
      <c r="AS329" s="313">
        <v>0.33754385964912281</v>
      </c>
      <c r="AT329" s="303">
        <v>1794.423</v>
      </c>
      <c r="AU329" s="313">
        <v>0.59814100000000003</v>
      </c>
      <c r="AV329" s="313">
        <v>0.62962210526315787</v>
      </c>
      <c r="AW329" s="313"/>
      <c r="AX329" s="313"/>
      <c r="AY329" s="313"/>
      <c r="AZ329" s="313"/>
      <c r="BA329" s="313"/>
      <c r="BB329" s="313"/>
      <c r="BC329" s="303">
        <v>1794.423</v>
      </c>
      <c r="BD329" s="313">
        <v>0.59814100000000003</v>
      </c>
      <c r="BE329" s="313">
        <v>0.62962210526315787</v>
      </c>
      <c r="BF329" s="303"/>
      <c r="BG329" s="303">
        <v>2671</v>
      </c>
      <c r="BH329" s="313">
        <v>0.89033333333333331</v>
      </c>
      <c r="BI329" s="313">
        <v>0.93719298245614036</v>
      </c>
      <c r="BJ329" s="303">
        <f t="shared" si="273"/>
        <v>2850</v>
      </c>
      <c r="BK329" s="303">
        <v>2670.9650000000001</v>
      </c>
      <c r="BL329" s="313">
        <f t="shared" si="258"/>
        <v>0.89032166666666668</v>
      </c>
      <c r="BM329" s="313">
        <f t="shared" si="275"/>
        <v>0.93718070175438606</v>
      </c>
      <c r="BN329" s="205">
        <f t="shared" si="308"/>
        <v>1708.9650000000001</v>
      </c>
      <c r="BO329" s="205"/>
      <c r="BP329" s="310">
        <v>150</v>
      </c>
      <c r="BQ329" s="311">
        <f t="shared" si="259"/>
        <v>0.05</v>
      </c>
      <c r="BR329" s="310">
        <v>150</v>
      </c>
      <c r="BS329" s="311">
        <f t="shared" si="260"/>
        <v>0.05</v>
      </c>
      <c r="BT329" s="310">
        <v>150</v>
      </c>
      <c r="BU329" s="308">
        <f t="shared" si="261"/>
        <v>0.05</v>
      </c>
      <c r="BV329" s="310">
        <v>150</v>
      </c>
      <c r="BW329" s="311">
        <f t="shared" si="262"/>
        <v>0.05</v>
      </c>
      <c r="BX329" s="310">
        <v>1500</v>
      </c>
      <c r="BY329" s="311">
        <f t="shared" si="263"/>
        <v>0.5</v>
      </c>
      <c r="BZ329" s="310">
        <v>1500</v>
      </c>
      <c r="CA329" s="311">
        <f t="shared" si="264"/>
        <v>0.5</v>
      </c>
      <c r="CB329" s="310">
        <v>1500</v>
      </c>
      <c r="CC329" s="311">
        <f t="shared" si="265"/>
        <v>0.5</v>
      </c>
      <c r="CD329" s="310">
        <v>1500</v>
      </c>
      <c r="CE329" s="311">
        <f t="shared" si="266"/>
        <v>0.5</v>
      </c>
      <c r="CF329" s="310">
        <f>3000*0.95</f>
        <v>2850</v>
      </c>
      <c r="CG329" s="311">
        <f t="shared" si="267"/>
        <v>0.95</v>
      </c>
      <c r="CH329" s="310">
        <f>3000*0.95</f>
        <v>2850</v>
      </c>
      <c r="CI329" s="311">
        <f t="shared" si="268"/>
        <v>0.95</v>
      </c>
      <c r="CJ329" s="310">
        <f>3000*0.95</f>
        <v>2850</v>
      </c>
      <c r="CK329" s="311">
        <f t="shared" si="269"/>
        <v>0.95</v>
      </c>
      <c r="CL329" s="310">
        <f>3000*0.95</f>
        <v>2850</v>
      </c>
      <c r="CM329" s="311">
        <f t="shared" si="270"/>
        <v>0.95</v>
      </c>
      <c r="CN329" s="310">
        <f>3000*0.95</f>
        <v>2850</v>
      </c>
      <c r="CO329" s="311">
        <f t="shared" si="271"/>
        <v>0.95</v>
      </c>
      <c r="CP329" s="213" t="str">
        <f t="shared" si="276"/>
        <v>Đạt</v>
      </c>
      <c r="CQ329" s="213" t="str">
        <f t="shared" si="277"/>
        <v>Đạt</v>
      </c>
      <c r="CR329" s="312"/>
      <c r="CS329" s="312"/>
      <c r="CT329" s="235"/>
      <c r="CU329" s="163"/>
      <c r="CV329" s="323"/>
      <c r="CW329" s="195"/>
      <c r="CX329" s="196"/>
      <c r="CY329" s="196"/>
      <c r="CZ329" s="197"/>
      <c r="DA329" s="196"/>
      <c r="DB329" s="196"/>
      <c r="DC329" s="196"/>
      <c r="DE329" s="199"/>
      <c r="DF329" s="200"/>
      <c r="DG329" s="181"/>
    </row>
    <row r="330" spans="1:112" ht="25.5" hidden="1" outlineLevel="1" x14ac:dyDescent="0.25">
      <c r="A330" s="305" t="s">
        <v>34</v>
      </c>
      <c r="B330" s="306" t="s">
        <v>377</v>
      </c>
      <c r="C330" s="306"/>
      <c r="D330" s="307">
        <f>E330+F330</f>
        <v>8228</v>
      </c>
      <c r="E330" s="307"/>
      <c r="F330" s="307">
        <f>G330+H330+K330+M330</f>
        <v>8228</v>
      </c>
      <c r="G330" s="307"/>
      <c r="H330" s="307">
        <v>8228</v>
      </c>
      <c r="I330" s="235"/>
      <c r="J330" s="235"/>
      <c r="K330" s="303"/>
      <c r="L330" s="235"/>
      <c r="M330" s="223"/>
      <c r="N330" s="223"/>
      <c r="O330" s="303"/>
      <c r="P330" s="303">
        <v>0</v>
      </c>
      <c r="Q330" s="308">
        <f t="shared" si="272"/>
        <v>0</v>
      </c>
      <c r="R330" s="303">
        <v>0</v>
      </c>
      <c r="S330" s="313">
        <v>0</v>
      </c>
      <c r="T330" s="313">
        <v>0</v>
      </c>
      <c r="U330" s="303">
        <v>0</v>
      </c>
      <c r="V330" s="313">
        <v>0</v>
      </c>
      <c r="W330" s="313">
        <v>0</v>
      </c>
      <c r="X330" s="303">
        <v>0</v>
      </c>
      <c r="Y330" s="313">
        <v>0</v>
      </c>
      <c r="Z330" s="313">
        <v>0</v>
      </c>
      <c r="AA330" s="303">
        <v>0</v>
      </c>
      <c r="AB330" s="313">
        <v>0</v>
      </c>
      <c r="AC330" s="313">
        <v>0</v>
      </c>
      <c r="AD330" s="303">
        <v>0</v>
      </c>
      <c r="AE330" s="313">
        <v>0</v>
      </c>
      <c r="AF330" s="313">
        <v>0</v>
      </c>
      <c r="AG330" s="303">
        <v>0</v>
      </c>
      <c r="AH330" s="313">
        <v>0</v>
      </c>
      <c r="AI330" s="313">
        <v>0</v>
      </c>
      <c r="AJ330" s="188">
        <v>0</v>
      </c>
      <c r="AK330" s="313">
        <v>0</v>
      </c>
      <c r="AL330" s="313">
        <v>0</v>
      </c>
      <c r="AM330" s="303">
        <v>0</v>
      </c>
      <c r="AN330" s="313">
        <v>0</v>
      </c>
      <c r="AO330" s="313">
        <v>0</v>
      </c>
      <c r="AP330" s="313"/>
      <c r="AQ330" s="303">
        <v>0</v>
      </c>
      <c r="AR330" s="313">
        <v>0</v>
      </c>
      <c r="AS330" s="313">
        <v>0</v>
      </c>
      <c r="AT330" s="303">
        <v>2772.4160000000002</v>
      </c>
      <c r="AU330" s="313">
        <v>0.33694895478852699</v>
      </c>
      <c r="AV330" s="313">
        <v>0.35468311030371263</v>
      </c>
      <c r="AW330" s="313"/>
      <c r="AX330" s="313"/>
      <c r="AY330" s="313"/>
      <c r="AZ330" s="313"/>
      <c r="BA330" s="313"/>
      <c r="BB330" s="313"/>
      <c r="BC330" s="303">
        <v>2772.4160000000002</v>
      </c>
      <c r="BD330" s="313">
        <v>0.33694895478852699</v>
      </c>
      <c r="BE330" s="313">
        <v>0.35468311030371263</v>
      </c>
      <c r="BF330" s="303"/>
      <c r="BG330" s="303">
        <v>4552</v>
      </c>
      <c r="BH330" s="313">
        <v>0.55323286339329125</v>
      </c>
      <c r="BI330" s="313">
        <v>0.58235038251925397</v>
      </c>
      <c r="BJ330" s="303">
        <f t="shared" si="273"/>
        <v>7816.5999999999995</v>
      </c>
      <c r="BK330" s="303">
        <v>4714.9219999999996</v>
      </c>
      <c r="BL330" s="313">
        <f t="shared" si="258"/>
        <v>0.57303378706854635</v>
      </c>
      <c r="BM330" s="313">
        <f t="shared" si="275"/>
        <v>0.60319346007215413</v>
      </c>
      <c r="BN330" s="205">
        <f t="shared" si="308"/>
        <v>4714.9219999999996</v>
      </c>
      <c r="BO330" s="205"/>
      <c r="BP330" s="310">
        <v>0</v>
      </c>
      <c r="BQ330" s="311">
        <f t="shared" si="259"/>
        <v>0</v>
      </c>
      <c r="BR330" s="310">
        <v>0</v>
      </c>
      <c r="BS330" s="311">
        <f t="shared" si="260"/>
        <v>0</v>
      </c>
      <c r="BT330" s="310">
        <v>0</v>
      </c>
      <c r="BU330" s="308">
        <f t="shared" si="261"/>
        <v>0</v>
      </c>
      <c r="BV330" s="310">
        <v>500</v>
      </c>
      <c r="BW330" s="311">
        <f t="shared" si="262"/>
        <v>6.0768108896451144E-2</v>
      </c>
      <c r="BX330" s="310">
        <v>2000</v>
      </c>
      <c r="BY330" s="311">
        <f t="shared" si="263"/>
        <v>0.24307243558580457</v>
      </c>
      <c r="BZ330" s="310">
        <v>2000</v>
      </c>
      <c r="CA330" s="311">
        <f t="shared" si="264"/>
        <v>0.24307243558580457</v>
      </c>
      <c r="CB330" s="310">
        <v>4000</v>
      </c>
      <c r="CC330" s="311">
        <f t="shared" si="265"/>
        <v>0.48614487117160915</v>
      </c>
      <c r="CD330" s="310">
        <v>4000</v>
      </c>
      <c r="CE330" s="311">
        <f t="shared" si="266"/>
        <v>0.48614487117160915</v>
      </c>
      <c r="CF330" s="310">
        <v>5000</v>
      </c>
      <c r="CG330" s="311">
        <f t="shared" si="267"/>
        <v>0.60768108896451145</v>
      </c>
      <c r="CH330" s="310">
        <v>6000</v>
      </c>
      <c r="CI330" s="311">
        <f t="shared" si="268"/>
        <v>0.7292173067574137</v>
      </c>
      <c r="CJ330" s="310">
        <v>7000</v>
      </c>
      <c r="CK330" s="311">
        <f t="shared" si="269"/>
        <v>0.85075352455031594</v>
      </c>
      <c r="CL330" s="310">
        <v>7000</v>
      </c>
      <c r="CM330" s="311">
        <f t="shared" si="270"/>
        <v>0.85075352455031594</v>
      </c>
      <c r="CN330" s="310">
        <f>8228*0.95</f>
        <v>7816.5999999999995</v>
      </c>
      <c r="CO330" s="311">
        <f t="shared" si="271"/>
        <v>0.95</v>
      </c>
      <c r="CP330" s="213" t="str">
        <f t="shared" si="276"/>
        <v>Đạt</v>
      </c>
      <c r="CQ330" s="213" t="str">
        <f t="shared" si="277"/>
        <v>Đạt</v>
      </c>
      <c r="CR330" s="312"/>
      <c r="CS330" s="312"/>
      <c r="CT330" s="235"/>
      <c r="CU330" s="163"/>
      <c r="CW330" s="195"/>
      <c r="CX330" s="196"/>
      <c r="CY330" s="196"/>
      <c r="CZ330" s="197"/>
      <c r="DA330" s="196"/>
      <c r="DB330" s="196"/>
      <c r="DC330" s="196"/>
      <c r="DE330" s="199"/>
      <c r="DF330" s="200"/>
      <c r="DG330" s="181"/>
    </row>
    <row r="331" spans="1:112" ht="18" customHeight="1" collapsed="1" x14ac:dyDescent="0.25">
      <c r="A331" s="316">
        <f>MAX(A$239:A329)+1</f>
        <v>26</v>
      </c>
      <c r="B331" s="240" t="s">
        <v>416</v>
      </c>
      <c r="C331" s="240"/>
      <c r="D331" s="188">
        <f t="shared" ref="D331:I331" si="310">D332+D333</f>
        <v>6400</v>
      </c>
      <c r="E331" s="188">
        <f t="shared" si="310"/>
        <v>0</v>
      </c>
      <c r="F331" s="188">
        <f t="shared" si="310"/>
        <v>6400</v>
      </c>
      <c r="G331" s="188">
        <f t="shared" si="310"/>
        <v>3000</v>
      </c>
      <c r="H331" s="188">
        <f t="shared" si="310"/>
        <v>3400</v>
      </c>
      <c r="I331" s="188">
        <f t="shared" si="310"/>
        <v>0</v>
      </c>
      <c r="J331" s="188"/>
      <c r="K331" s="188">
        <f>K332+K333</f>
        <v>0</v>
      </c>
      <c r="L331" s="188">
        <f>L332+L333</f>
        <v>0</v>
      </c>
      <c r="M331" s="188">
        <f>M332+M333</f>
        <v>0</v>
      </c>
      <c r="N331" s="188">
        <f>N332+N333</f>
        <v>0</v>
      </c>
      <c r="O331" s="188">
        <f>O332+O333</f>
        <v>3000</v>
      </c>
      <c r="P331" s="188">
        <v>0</v>
      </c>
      <c r="Q331" s="186">
        <f t="shared" si="272"/>
        <v>0</v>
      </c>
      <c r="R331" s="188">
        <v>0</v>
      </c>
      <c r="S331" s="185">
        <v>0</v>
      </c>
      <c r="T331" s="185">
        <v>0</v>
      </c>
      <c r="U331" s="188">
        <v>0</v>
      </c>
      <c r="V331" s="185">
        <v>0</v>
      </c>
      <c r="W331" s="185">
        <v>0</v>
      </c>
      <c r="X331" s="188">
        <v>0</v>
      </c>
      <c r="Y331" s="185">
        <v>0</v>
      </c>
      <c r="Z331" s="185">
        <v>0</v>
      </c>
      <c r="AA331" s="188">
        <v>0</v>
      </c>
      <c r="AB331" s="185">
        <v>0</v>
      </c>
      <c r="AC331" s="185">
        <v>0</v>
      </c>
      <c r="AD331" s="188">
        <v>0</v>
      </c>
      <c r="AE331" s="185">
        <v>0</v>
      </c>
      <c r="AF331" s="185">
        <v>0</v>
      </c>
      <c r="AG331" s="188">
        <v>0</v>
      </c>
      <c r="AH331" s="185">
        <v>0</v>
      </c>
      <c r="AI331" s="185">
        <v>0</v>
      </c>
      <c r="AJ331" s="303">
        <v>0</v>
      </c>
      <c r="AK331" s="185">
        <v>0</v>
      </c>
      <c r="AL331" s="185">
        <v>0</v>
      </c>
      <c r="AM331" s="188">
        <v>0</v>
      </c>
      <c r="AN331" s="185">
        <v>0</v>
      </c>
      <c r="AO331" s="185">
        <v>0</v>
      </c>
      <c r="AP331" s="185"/>
      <c r="AQ331" s="188">
        <v>2464.4430000000002</v>
      </c>
      <c r="AR331" s="185">
        <v>0.38506921875000005</v>
      </c>
      <c r="AS331" s="185">
        <v>0.40533601973684213</v>
      </c>
      <c r="AT331" s="188">
        <v>2630</v>
      </c>
      <c r="AU331" s="185">
        <v>0.41093750000000001</v>
      </c>
      <c r="AV331" s="185">
        <v>0.43256578947368424</v>
      </c>
      <c r="AW331" s="185"/>
      <c r="AX331" s="185"/>
      <c r="AY331" s="185"/>
      <c r="AZ331" s="185"/>
      <c r="BA331" s="185"/>
      <c r="BB331" s="185"/>
      <c r="BC331" s="188">
        <v>2630</v>
      </c>
      <c r="BD331" s="185">
        <v>0.41093750000000001</v>
      </c>
      <c r="BE331" s="185">
        <v>0.43256578947368424</v>
      </c>
      <c r="BF331" s="188"/>
      <c r="BG331" s="188">
        <v>2948</v>
      </c>
      <c r="BH331" s="185">
        <v>0.46062500000000001</v>
      </c>
      <c r="BI331" s="185">
        <v>0.48486842105263156</v>
      </c>
      <c r="BJ331" s="188">
        <f t="shared" si="273"/>
        <v>6080</v>
      </c>
      <c r="BK331" s="188">
        <f>BK332+BK333</f>
        <v>3821</v>
      </c>
      <c r="BL331" s="185">
        <f t="shared" ref="BL331:BL394" si="311">BK331/$D331</f>
        <v>0.59703125000000001</v>
      </c>
      <c r="BM331" s="185">
        <f t="shared" si="275"/>
        <v>0.62845394736842108</v>
      </c>
      <c r="BN331" s="205">
        <f t="shared" si="308"/>
        <v>3821</v>
      </c>
      <c r="BO331" s="205"/>
      <c r="BP331" s="189">
        <f>BP332+BP333</f>
        <v>0</v>
      </c>
      <c r="BQ331" s="186">
        <f t="shared" ref="BQ331:BQ394" si="312">BP331/$D331</f>
        <v>0</v>
      </c>
      <c r="BR331" s="189">
        <f>BR332+BR333</f>
        <v>0</v>
      </c>
      <c r="BS331" s="186">
        <f t="shared" ref="BS331:BS394" si="313">BR331/$D331</f>
        <v>0</v>
      </c>
      <c r="BT331" s="189">
        <f>BT332+BT333</f>
        <v>640</v>
      </c>
      <c r="BU331" s="186">
        <f t="shared" ref="BU331:BU394" si="314">BT331/$D331</f>
        <v>0.1</v>
      </c>
      <c r="BV331" s="189">
        <f>BV332+BV333</f>
        <v>1280</v>
      </c>
      <c r="BW331" s="186">
        <f t="shared" ref="BW331:BW394" si="315">BV331/$D331</f>
        <v>0.2</v>
      </c>
      <c r="BX331" s="189">
        <f>BX332+BX333</f>
        <v>1920</v>
      </c>
      <c r="BY331" s="186">
        <f t="shared" ref="BY331:BY394" si="316">BX331/$D331</f>
        <v>0.3</v>
      </c>
      <c r="BZ331" s="189">
        <f>BZ332+BZ333</f>
        <v>2560</v>
      </c>
      <c r="CA331" s="186">
        <f t="shared" ref="CA331:CA394" si="317">BZ331/$D331</f>
        <v>0.4</v>
      </c>
      <c r="CB331" s="189">
        <f>CB332+CB333</f>
        <v>3200</v>
      </c>
      <c r="CC331" s="186">
        <f t="shared" ref="CC331:CC394" si="318">CB331/$D331</f>
        <v>0.5</v>
      </c>
      <c r="CD331" s="189">
        <f>CD332+CD333</f>
        <v>3520.0000000000005</v>
      </c>
      <c r="CE331" s="186">
        <f t="shared" ref="CE331:CE363" si="319">CD331/$D331</f>
        <v>0.55000000000000004</v>
      </c>
      <c r="CF331" s="189">
        <f>CF332+CF333</f>
        <v>4480</v>
      </c>
      <c r="CG331" s="186">
        <f t="shared" ref="CG331:CG394" si="320">CF331/$D331</f>
        <v>0.7</v>
      </c>
      <c r="CH331" s="189">
        <f>CH332+CH333</f>
        <v>4480</v>
      </c>
      <c r="CI331" s="186">
        <f t="shared" ref="CI331:CI363" si="321">CH331/$D331</f>
        <v>0.7</v>
      </c>
      <c r="CJ331" s="189">
        <f>CJ332+CJ333</f>
        <v>4800</v>
      </c>
      <c r="CK331" s="186">
        <f t="shared" ref="CK331:CK394" si="322">CJ331/$D331</f>
        <v>0.75</v>
      </c>
      <c r="CL331" s="189">
        <f>CL332+CL333</f>
        <v>4800</v>
      </c>
      <c r="CM331" s="186">
        <f t="shared" ref="CM331:CM394" si="323">CL331/$D331</f>
        <v>0.75</v>
      </c>
      <c r="CN331" s="189">
        <f>CN332+CN333</f>
        <v>6080</v>
      </c>
      <c r="CO331" s="186">
        <f t="shared" ref="CO331:CO394" si="324">CN331/$D331</f>
        <v>0.95</v>
      </c>
      <c r="CP331" s="213" t="str">
        <f t="shared" si="276"/>
        <v>Đạt</v>
      </c>
      <c r="CQ331" s="213" t="str">
        <f t="shared" si="277"/>
        <v>Đạt</v>
      </c>
      <c r="CR331" s="213"/>
      <c r="CS331" s="213"/>
      <c r="CT331" s="231"/>
      <c r="CU331" s="163"/>
      <c r="CW331" s="195"/>
      <c r="CX331" s="196"/>
      <c r="CY331" s="196"/>
      <c r="CZ331" s="197"/>
      <c r="DA331" s="196"/>
      <c r="DB331" s="196"/>
      <c r="DC331" s="196"/>
      <c r="DE331" s="199"/>
      <c r="DF331" s="200"/>
      <c r="DG331" s="181"/>
      <c r="DH331" s="336"/>
    </row>
    <row r="332" spans="1:112" s="324" customFormat="1" hidden="1" outlineLevel="1" x14ac:dyDescent="0.25">
      <c r="A332" s="305" t="s">
        <v>34</v>
      </c>
      <c r="B332" s="318" t="s">
        <v>376</v>
      </c>
      <c r="C332" s="306"/>
      <c r="D332" s="307">
        <f>E332+F332</f>
        <v>3000</v>
      </c>
      <c r="E332" s="307"/>
      <c r="F332" s="307">
        <f>G332+H332+K332+M332</f>
        <v>3000</v>
      </c>
      <c r="G332" s="303">
        <v>3000</v>
      </c>
      <c r="H332" s="303"/>
      <c r="I332" s="235"/>
      <c r="J332" s="235"/>
      <c r="K332" s="303"/>
      <c r="L332" s="235"/>
      <c r="M332" s="223"/>
      <c r="N332" s="223"/>
      <c r="O332" s="303">
        <f>G332+I332+L332+N332</f>
        <v>3000</v>
      </c>
      <c r="P332" s="303">
        <v>0</v>
      </c>
      <c r="Q332" s="308">
        <f t="shared" ref="Q332:Q395" si="325">P332/$D332</f>
        <v>0</v>
      </c>
      <c r="R332" s="303"/>
      <c r="S332" s="309">
        <v>0</v>
      </c>
      <c r="T332" s="309">
        <v>0</v>
      </c>
      <c r="U332" s="303"/>
      <c r="V332" s="309">
        <v>0</v>
      </c>
      <c r="W332" s="309">
        <v>0</v>
      </c>
      <c r="X332" s="303"/>
      <c r="Y332" s="309">
        <v>0</v>
      </c>
      <c r="Z332" s="309">
        <v>0</v>
      </c>
      <c r="AA332" s="303"/>
      <c r="AB332" s="309">
        <v>0</v>
      </c>
      <c r="AC332" s="309">
        <v>0</v>
      </c>
      <c r="AD332" s="303"/>
      <c r="AE332" s="309">
        <v>0</v>
      </c>
      <c r="AF332" s="309">
        <v>0</v>
      </c>
      <c r="AG332" s="303"/>
      <c r="AH332" s="309">
        <v>0</v>
      </c>
      <c r="AI332" s="309">
        <v>0</v>
      </c>
      <c r="AJ332" s="303"/>
      <c r="AK332" s="309">
        <v>0</v>
      </c>
      <c r="AL332" s="309">
        <v>0</v>
      </c>
      <c r="AM332" s="303"/>
      <c r="AN332" s="309">
        <v>0</v>
      </c>
      <c r="AO332" s="309">
        <v>0</v>
      </c>
      <c r="AP332" s="309"/>
      <c r="AQ332" s="303">
        <v>2461</v>
      </c>
      <c r="AR332" s="309">
        <v>0.82033333333333336</v>
      </c>
      <c r="AS332" s="309">
        <v>0.86350877192982456</v>
      </c>
      <c r="AT332" s="303">
        <v>2564</v>
      </c>
      <c r="AU332" s="309">
        <v>0.85466666666666669</v>
      </c>
      <c r="AV332" s="309">
        <v>0.89964912280701759</v>
      </c>
      <c r="AW332" s="309"/>
      <c r="AX332" s="309"/>
      <c r="AY332" s="309"/>
      <c r="AZ332" s="309"/>
      <c r="BA332" s="309"/>
      <c r="BB332" s="309"/>
      <c r="BC332" s="303">
        <v>2564</v>
      </c>
      <c r="BD332" s="309">
        <v>0.85466666666666669</v>
      </c>
      <c r="BE332" s="309">
        <v>0.89964912280701759</v>
      </c>
      <c r="BF332" s="303"/>
      <c r="BG332" s="303">
        <v>2834</v>
      </c>
      <c r="BH332" s="309">
        <v>0.94466666666666665</v>
      </c>
      <c r="BI332" s="309">
        <v>0.99438596491228071</v>
      </c>
      <c r="BJ332" s="303">
        <f t="shared" ref="BJ332:BJ395" si="326">E332+(F332*0.95)</f>
        <v>2850</v>
      </c>
      <c r="BK332" s="303">
        <v>2834</v>
      </c>
      <c r="BL332" s="309">
        <f t="shared" si="311"/>
        <v>0.94466666666666665</v>
      </c>
      <c r="BM332" s="309">
        <f t="shared" si="275"/>
        <v>0.99438596491228071</v>
      </c>
      <c r="BN332" s="205">
        <f t="shared" si="308"/>
        <v>2834</v>
      </c>
      <c r="BO332" s="205"/>
      <c r="BP332" s="310"/>
      <c r="BQ332" s="308">
        <f t="shared" si="312"/>
        <v>0</v>
      </c>
      <c r="BR332" s="310"/>
      <c r="BS332" s="308">
        <f t="shared" si="313"/>
        <v>0</v>
      </c>
      <c r="BT332" s="310">
        <f>$F332*0.1</f>
        <v>300</v>
      </c>
      <c r="BU332" s="308">
        <f t="shared" si="314"/>
        <v>0.1</v>
      </c>
      <c r="BV332" s="310">
        <f>$F332*0.2</f>
        <v>600</v>
      </c>
      <c r="BW332" s="308">
        <f t="shared" si="315"/>
        <v>0.2</v>
      </c>
      <c r="BX332" s="310">
        <f>$F332*0.3</f>
        <v>900</v>
      </c>
      <c r="BY332" s="308">
        <f t="shared" si="316"/>
        <v>0.3</v>
      </c>
      <c r="BZ332" s="310">
        <f>$F332*0.4</f>
        <v>1200</v>
      </c>
      <c r="CA332" s="308">
        <f t="shared" si="317"/>
        <v>0.4</v>
      </c>
      <c r="CB332" s="310">
        <f>$F332*0.5</f>
        <v>1500</v>
      </c>
      <c r="CC332" s="308">
        <f t="shared" si="318"/>
        <v>0.5</v>
      </c>
      <c r="CD332" s="310">
        <f>$F332*0.55</f>
        <v>1650.0000000000002</v>
      </c>
      <c r="CE332" s="308">
        <f t="shared" si="319"/>
        <v>0.55000000000000004</v>
      </c>
      <c r="CF332" s="310">
        <v>2100</v>
      </c>
      <c r="CG332" s="308">
        <f t="shared" si="320"/>
        <v>0.7</v>
      </c>
      <c r="CH332" s="310">
        <f>$F332*0.7</f>
        <v>2100</v>
      </c>
      <c r="CI332" s="308">
        <f t="shared" si="321"/>
        <v>0.7</v>
      </c>
      <c r="CJ332" s="310">
        <f>$F332*0.75</f>
        <v>2250</v>
      </c>
      <c r="CK332" s="308">
        <f t="shared" si="322"/>
        <v>0.75</v>
      </c>
      <c r="CL332" s="310">
        <f>$F332*0.75</f>
        <v>2250</v>
      </c>
      <c r="CM332" s="308">
        <f t="shared" si="323"/>
        <v>0.75</v>
      </c>
      <c r="CN332" s="310">
        <f>$F332*0.95</f>
        <v>2850</v>
      </c>
      <c r="CO332" s="308">
        <f t="shared" si="324"/>
        <v>0.95</v>
      </c>
      <c r="CP332" s="213" t="str">
        <f t="shared" si="276"/>
        <v>Đạt</v>
      </c>
      <c r="CQ332" s="213" t="str">
        <f t="shared" si="277"/>
        <v>Đạt</v>
      </c>
      <c r="CR332" s="312"/>
      <c r="CS332" s="312"/>
      <c r="CT332" s="235"/>
      <c r="CU332" s="163"/>
      <c r="CV332" s="323"/>
      <c r="CW332" s="195"/>
      <c r="CX332" s="196"/>
      <c r="CY332" s="196"/>
      <c r="CZ332" s="197"/>
      <c r="DA332" s="196"/>
      <c r="DB332" s="196"/>
      <c r="DC332" s="196"/>
      <c r="DE332" s="199"/>
      <c r="DF332" s="200"/>
      <c r="DG332" s="181"/>
      <c r="DH332" s="339"/>
    </row>
    <row r="333" spans="1:112" ht="25.5" hidden="1" outlineLevel="1" x14ac:dyDescent="0.25">
      <c r="A333" s="305" t="s">
        <v>34</v>
      </c>
      <c r="B333" s="306" t="s">
        <v>377</v>
      </c>
      <c r="C333" s="306"/>
      <c r="D333" s="307">
        <f>E333+F333</f>
        <v>3400</v>
      </c>
      <c r="E333" s="307"/>
      <c r="F333" s="307">
        <f>G333+H333+K333+M333</f>
        <v>3400</v>
      </c>
      <c r="G333" s="307"/>
      <c r="H333" s="307">
        <v>3400</v>
      </c>
      <c r="I333" s="235"/>
      <c r="J333" s="235"/>
      <c r="K333" s="303"/>
      <c r="L333" s="235"/>
      <c r="M333" s="223"/>
      <c r="N333" s="223"/>
      <c r="O333" s="303"/>
      <c r="P333" s="303">
        <v>0</v>
      </c>
      <c r="Q333" s="308">
        <f t="shared" si="325"/>
        <v>0</v>
      </c>
      <c r="R333" s="303"/>
      <c r="S333" s="309">
        <v>0</v>
      </c>
      <c r="T333" s="309">
        <v>0</v>
      </c>
      <c r="U333" s="303"/>
      <c r="V333" s="309">
        <v>0</v>
      </c>
      <c r="W333" s="309">
        <v>0</v>
      </c>
      <c r="X333" s="303"/>
      <c r="Y333" s="309">
        <v>0</v>
      </c>
      <c r="Z333" s="309">
        <v>0</v>
      </c>
      <c r="AA333" s="303"/>
      <c r="AB333" s="309">
        <v>0</v>
      </c>
      <c r="AC333" s="309">
        <v>0</v>
      </c>
      <c r="AD333" s="303"/>
      <c r="AE333" s="309">
        <v>0</v>
      </c>
      <c r="AF333" s="309">
        <v>0</v>
      </c>
      <c r="AG333" s="303"/>
      <c r="AH333" s="309">
        <v>0</v>
      </c>
      <c r="AI333" s="309">
        <v>0</v>
      </c>
      <c r="AJ333" s="188"/>
      <c r="AK333" s="309">
        <v>0</v>
      </c>
      <c r="AL333" s="309">
        <v>0</v>
      </c>
      <c r="AM333" s="303"/>
      <c r="AN333" s="309">
        <v>0</v>
      </c>
      <c r="AO333" s="309">
        <v>0</v>
      </c>
      <c r="AP333" s="309"/>
      <c r="AQ333" s="303">
        <v>3.4430000000000001</v>
      </c>
      <c r="AR333" s="309">
        <v>1.0126470588235294E-3</v>
      </c>
      <c r="AS333" s="309">
        <v>1.0659442724458206E-3</v>
      </c>
      <c r="AT333" s="303">
        <v>66</v>
      </c>
      <c r="AU333" s="309">
        <v>1.9411764705882354E-2</v>
      </c>
      <c r="AV333" s="309">
        <v>2.0433436532507739E-2</v>
      </c>
      <c r="AW333" s="309"/>
      <c r="AX333" s="309"/>
      <c r="AY333" s="309"/>
      <c r="AZ333" s="309"/>
      <c r="BA333" s="309"/>
      <c r="BB333" s="309"/>
      <c r="BC333" s="303">
        <v>66</v>
      </c>
      <c r="BD333" s="309">
        <v>1.9411764705882354E-2</v>
      </c>
      <c r="BE333" s="309">
        <v>2.0433436532507739E-2</v>
      </c>
      <c r="BF333" s="303"/>
      <c r="BG333" s="303">
        <v>114</v>
      </c>
      <c r="BH333" s="309">
        <v>3.3529411764705884E-2</v>
      </c>
      <c r="BI333" s="309">
        <v>3.5294117647058823E-2</v>
      </c>
      <c r="BJ333" s="303">
        <f t="shared" si="326"/>
        <v>3230</v>
      </c>
      <c r="BK333" s="303">
        <v>987</v>
      </c>
      <c r="BL333" s="309">
        <f t="shared" si="311"/>
        <v>0.29029411764705881</v>
      </c>
      <c r="BM333" s="309">
        <f t="shared" si="275"/>
        <v>0.30557275541795664</v>
      </c>
      <c r="BN333" s="205">
        <f t="shared" si="308"/>
        <v>987</v>
      </c>
      <c r="BO333" s="205"/>
      <c r="BP333" s="310"/>
      <c r="BQ333" s="308">
        <f t="shared" si="312"/>
        <v>0</v>
      </c>
      <c r="BR333" s="310"/>
      <c r="BS333" s="308">
        <f t="shared" si="313"/>
        <v>0</v>
      </c>
      <c r="BT333" s="310">
        <f>$F333*0.1</f>
        <v>340</v>
      </c>
      <c r="BU333" s="308">
        <f t="shared" si="314"/>
        <v>0.1</v>
      </c>
      <c r="BV333" s="310">
        <f>$F333*0.2</f>
        <v>680</v>
      </c>
      <c r="BW333" s="308">
        <f t="shared" si="315"/>
        <v>0.2</v>
      </c>
      <c r="BX333" s="310">
        <f>$F333*0.3</f>
        <v>1020</v>
      </c>
      <c r="BY333" s="308">
        <f t="shared" si="316"/>
        <v>0.3</v>
      </c>
      <c r="BZ333" s="310">
        <f>$F333*0.4</f>
        <v>1360</v>
      </c>
      <c r="CA333" s="308">
        <f t="shared" si="317"/>
        <v>0.4</v>
      </c>
      <c r="CB333" s="310">
        <f>$F333*0.5</f>
        <v>1700</v>
      </c>
      <c r="CC333" s="308">
        <f t="shared" si="318"/>
        <v>0.5</v>
      </c>
      <c r="CD333" s="310">
        <f>$F333*0.55</f>
        <v>1870.0000000000002</v>
      </c>
      <c r="CE333" s="308">
        <f t="shared" si="319"/>
        <v>0.55000000000000004</v>
      </c>
      <c r="CF333" s="310">
        <v>2380</v>
      </c>
      <c r="CG333" s="308">
        <f t="shared" si="320"/>
        <v>0.7</v>
      </c>
      <c r="CH333" s="310">
        <f>$F333*0.7</f>
        <v>2380</v>
      </c>
      <c r="CI333" s="308">
        <f t="shared" si="321"/>
        <v>0.7</v>
      </c>
      <c r="CJ333" s="310">
        <f>$F333*0.75</f>
        <v>2550</v>
      </c>
      <c r="CK333" s="308">
        <f t="shared" si="322"/>
        <v>0.75</v>
      </c>
      <c r="CL333" s="310">
        <f>$F333*0.75</f>
        <v>2550</v>
      </c>
      <c r="CM333" s="308">
        <f t="shared" si="323"/>
        <v>0.75</v>
      </c>
      <c r="CN333" s="310">
        <f>$F333*0.95</f>
        <v>3230</v>
      </c>
      <c r="CO333" s="308">
        <f t="shared" si="324"/>
        <v>0.95</v>
      </c>
      <c r="CP333" s="213" t="str">
        <f t="shared" si="276"/>
        <v>Không đạt</v>
      </c>
      <c r="CQ333" s="213" t="str">
        <f t="shared" si="277"/>
        <v>Không đạt</v>
      </c>
      <c r="CR333" s="312"/>
      <c r="CS333" s="312"/>
      <c r="CT333" s="235"/>
      <c r="CU333" s="163"/>
      <c r="CW333" s="195"/>
      <c r="CX333" s="196"/>
      <c r="CY333" s="196"/>
      <c r="CZ333" s="197"/>
      <c r="DA333" s="196"/>
      <c r="DB333" s="196"/>
      <c r="DC333" s="196"/>
      <c r="DE333" s="199"/>
      <c r="DF333" s="200"/>
      <c r="DG333" s="181"/>
    </row>
    <row r="334" spans="1:112" ht="18" customHeight="1" collapsed="1" x14ac:dyDescent="0.25">
      <c r="A334" s="213">
        <f>MAX(A$239:A332)+1</f>
        <v>27</v>
      </c>
      <c r="B334" s="240" t="s">
        <v>417</v>
      </c>
      <c r="C334" s="240"/>
      <c r="D334" s="188">
        <f t="shared" ref="D334:I334" si="327">D335+D336</f>
        <v>8750</v>
      </c>
      <c r="E334" s="188">
        <f t="shared" si="327"/>
        <v>0</v>
      </c>
      <c r="F334" s="188">
        <f t="shared" si="327"/>
        <v>8750</v>
      </c>
      <c r="G334" s="188">
        <f t="shared" si="327"/>
        <v>3000</v>
      </c>
      <c r="H334" s="188">
        <f t="shared" si="327"/>
        <v>5750</v>
      </c>
      <c r="I334" s="188">
        <f t="shared" si="327"/>
        <v>0</v>
      </c>
      <c r="J334" s="188"/>
      <c r="K334" s="188">
        <f>K335+K336</f>
        <v>0</v>
      </c>
      <c r="L334" s="188">
        <f>L335+L336</f>
        <v>0</v>
      </c>
      <c r="M334" s="188">
        <f>M335+M336</f>
        <v>0</v>
      </c>
      <c r="N334" s="188">
        <f>N335+N336</f>
        <v>0</v>
      </c>
      <c r="O334" s="188">
        <f>O335+O336</f>
        <v>3000</v>
      </c>
      <c r="P334" s="188">
        <v>0</v>
      </c>
      <c r="Q334" s="186">
        <f t="shared" si="325"/>
        <v>0</v>
      </c>
      <c r="R334" s="188">
        <v>0</v>
      </c>
      <c r="S334" s="185">
        <v>0</v>
      </c>
      <c r="T334" s="185">
        <v>0</v>
      </c>
      <c r="U334" s="188">
        <v>0</v>
      </c>
      <c r="V334" s="185">
        <v>0</v>
      </c>
      <c r="W334" s="185">
        <v>0</v>
      </c>
      <c r="X334" s="188">
        <v>0</v>
      </c>
      <c r="Y334" s="185">
        <v>0</v>
      </c>
      <c r="Z334" s="185">
        <v>0</v>
      </c>
      <c r="AA334" s="188">
        <v>0</v>
      </c>
      <c r="AB334" s="185">
        <v>0</v>
      </c>
      <c r="AC334" s="185">
        <v>0</v>
      </c>
      <c r="AD334" s="188">
        <v>103</v>
      </c>
      <c r="AE334" s="185">
        <v>1.1771428571428572E-2</v>
      </c>
      <c r="AF334" s="185">
        <v>1.2390977443609022E-2</v>
      </c>
      <c r="AG334" s="188">
        <v>103</v>
      </c>
      <c r="AH334" s="185">
        <v>1.1771428571428572E-2</v>
      </c>
      <c r="AI334" s="185">
        <v>1.2390977443609022E-2</v>
      </c>
      <c r="AJ334" s="303">
        <v>103</v>
      </c>
      <c r="AK334" s="185">
        <v>1.1771428571428572E-2</v>
      </c>
      <c r="AL334" s="185">
        <v>1.2390977443609022E-2</v>
      </c>
      <c r="AM334" s="188">
        <v>2332</v>
      </c>
      <c r="AN334" s="185">
        <v>0.2665142857142857</v>
      </c>
      <c r="AO334" s="185">
        <v>0.28054135338345865</v>
      </c>
      <c r="AP334" s="185"/>
      <c r="AQ334" s="188">
        <v>2880.3220000000001</v>
      </c>
      <c r="AR334" s="185">
        <v>0.32917965714285713</v>
      </c>
      <c r="AS334" s="185">
        <v>0.34650490225563912</v>
      </c>
      <c r="AT334" s="188">
        <v>3205.3220000000001</v>
      </c>
      <c r="AU334" s="185">
        <v>0.36632251428571427</v>
      </c>
      <c r="AV334" s="185">
        <v>0.38560264661654137</v>
      </c>
      <c r="AW334" s="185"/>
      <c r="AX334" s="185"/>
      <c r="AY334" s="185"/>
      <c r="AZ334" s="185"/>
      <c r="BA334" s="185"/>
      <c r="BB334" s="185"/>
      <c r="BC334" s="188">
        <v>3205.3220000000001</v>
      </c>
      <c r="BD334" s="185">
        <v>0.36632251428571427</v>
      </c>
      <c r="BE334" s="185">
        <v>0.38560264661654137</v>
      </c>
      <c r="BF334" s="188"/>
      <c r="BG334" s="188">
        <v>3578</v>
      </c>
      <c r="BH334" s="185">
        <v>0.40891428571428573</v>
      </c>
      <c r="BI334" s="185">
        <v>0.43043609022556389</v>
      </c>
      <c r="BJ334" s="188">
        <f t="shared" si="326"/>
        <v>8312.5</v>
      </c>
      <c r="BK334" s="188">
        <f>BK335+BK336</f>
        <v>3821</v>
      </c>
      <c r="BL334" s="185">
        <f t="shared" si="311"/>
        <v>0.43668571428571429</v>
      </c>
      <c r="BM334" s="185">
        <f t="shared" ref="BM334:BM397" si="328">BK334/(E334+0.95*F334)</f>
        <v>0.45966917293233084</v>
      </c>
      <c r="BN334" s="205">
        <f t="shared" si="308"/>
        <v>3718</v>
      </c>
      <c r="BO334" s="205"/>
      <c r="BP334" s="189">
        <f>BP335+BP336</f>
        <v>0</v>
      </c>
      <c r="BQ334" s="186">
        <f t="shared" si="312"/>
        <v>0</v>
      </c>
      <c r="BR334" s="189">
        <f>BR335+BR336</f>
        <v>0</v>
      </c>
      <c r="BS334" s="186">
        <f t="shared" si="313"/>
        <v>0</v>
      </c>
      <c r="BT334" s="189">
        <f>BT335+BT336</f>
        <v>875</v>
      </c>
      <c r="BU334" s="186">
        <f t="shared" si="314"/>
        <v>0.1</v>
      </c>
      <c r="BV334" s="189">
        <f>BV335+BV336</f>
        <v>1750</v>
      </c>
      <c r="BW334" s="186">
        <f t="shared" si="315"/>
        <v>0.2</v>
      </c>
      <c r="BX334" s="189">
        <f>BX335+BX336</f>
        <v>2625</v>
      </c>
      <c r="BY334" s="186">
        <f t="shared" si="316"/>
        <v>0.3</v>
      </c>
      <c r="BZ334" s="189">
        <f>BZ335+BZ336</f>
        <v>3500</v>
      </c>
      <c r="CA334" s="186">
        <f t="shared" si="317"/>
        <v>0.4</v>
      </c>
      <c r="CB334" s="189">
        <f>CB335+CB336</f>
        <v>4375</v>
      </c>
      <c r="CC334" s="186">
        <f t="shared" si="318"/>
        <v>0.5</v>
      </c>
      <c r="CD334" s="189">
        <f>CD335+CD336</f>
        <v>4812.5000000000009</v>
      </c>
      <c r="CE334" s="186">
        <f t="shared" si="319"/>
        <v>0.55000000000000016</v>
      </c>
      <c r="CF334" s="189">
        <f>CF335+CF336</f>
        <v>6125</v>
      </c>
      <c r="CG334" s="186">
        <f t="shared" si="320"/>
        <v>0.7</v>
      </c>
      <c r="CH334" s="189">
        <f>CH335+CH336</f>
        <v>6125</v>
      </c>
      <c r="CI334" s="186">
        <f t="shared" si="321"/>
        <v>0.7</v>
      </c>
      <c r="CJ334" s="189">
        <f>CJ335+CJ336</f>
        <v>6562.5</v>
      </c>
      <c r="CK334" s="186">
        <f t="shared" si="322"/>
        <v>0.75</v>
      </c>
      <c r="CL334" s="189">
        <f>CL335+CL336</f>
        <v>6562.5</v>
      </c>
      <c r="CM334" s="186">
        <f t="shared" si="323"/>
        <v>0.75</v>
      </c>
      <c r="CN334" s="189">
        <f>CN335+CN336</f>
        <v>8312.5</v>
      </c>
      <c r="CO334" s="186">
        <f t="shared" si="324"/>
        <v>0.95</v>
      </c>
      <c r="CP334" s="213" t="str">
        <f t="shared" ref="CP334:CP397" si="329">IF(BM334&gt;34.7%,"Đạt","Không đạt")</f>
        <v>Đạt</v>
      </c>
      <c r="CQ334" s="213" t="str">
        <f t="shared" ref="CQ334:CQ397" si="330">IF(BM334&gt;43.8%,"Đạt","Không đạt")</f>
        <v>Đạt</v>
      </c>
      <c r="CR334" s="213"/>
      <c r="CS334" s="213"/>
      <c r="CT334" s="231"/>
      <c r="CU334" s="163"/>
      <c r="CW334" s="195"/>
      <c r="CX334" s="196"/>
      <c r="CY334" s="196"/>
      <c r="CZ334" s="197"/>
      <c r="DA334" s="196"/>
      <c r="DB334" s="196"/>
      <c r="DC334" s="196"/>
      <c r="DE334" s="199"/>
      <c r="DF334" s="200"/>
      <c r="DG334" s="181"/>
    </row>
    <row r="335" spans="1:112" s="324" customFormat="1" hidden="1" outlineLevel="1" x14ac:dyDescent="0.25">
      <c r="A335" s="305" t="s">
        <v>34</v>
      </c>
      <c r="B335" s="318" t="s">
        <v>376</v>
      </c>
      <c r="C335" s="306"/>
      <c r="D335" s="307">
        <f>E335+F335</f>
        <v>3000</v>
      </c>
      <c r="E335" s="307"/>
      <c r="F335" s="307">
        <f>G335+H335+K335+M335</f>
        <v>3000</v>
      </c>
      <c r="G335" s="303">
        <v>3000</v>
      </c>
      <c r="H335" s="303"/>
      <c r="I335" s="235"/>
      <c r="J335" s="235"/>
      <c r="K335" s="303"/>
      <c r="L335" s="235"/>
      <c r="M335" s="223"/>
      <c r="N335" s="223"/>
      <c r="O335" s="303">
        <f>G335+I335+L335+N335</f>
        <v>3000</v>
      </c>
      <c r="P335" s="303">
        <v>0</v>
      </c>
      <c r="Q335" s="308">
        <f t="shared" si="325"/>
        <v>0</v>
      </c>
      <c r="R335" s="303"/>
      <c r="S335" s="309">
        <v>0</v>
      </c>
      <c r="T335" s="309">
        <v>0</v>
      </c>
      <c r="U335" s="303"/>
      <c r="V335" s="309">
        <v>0</v>
      </c>
      <c r="W335" s="309">
        <v>0</v>
      </c>
      <c r="X335" s="303"/>
      <c r="Y335" s="309">
        <v>0</v>
      </c>
      <c r="Z335" s="309">
        <v>0</v>
      </c>
      <c r="AA335" s="303"/>
      <c r="AB335" s="309">
        <v>0</v>
      </c>
      <c r="AC335" s="309">
        <v>0</v>
      </c>
      <c r="AD335" s="303">
        <v>103</v>
      </c>
      <c r="AE335" s="309">
        <v>3.4333333333333334E-2</v>
      </c>
      <c r="AF335" s="309">
        <v>3.614035087719298E-2</v>
      </c>
      <c r="AG335" s="303">
        <v>103</v>
      </c>
      <c r="AH335" s="309">
        <v>3.4333333333333334E-2</v>
      </c>
      <c r="AI335" s="309">
        <v>3.614035087719298E-2</v>
      </c>
      <c r="AJ335" s="303">
        <v>103</v>
      </c>
      <c r="AK335" s="309">
        <v>3.4333333333333334E-2</v>
      </c>
      <c r="AL335" s="309">
        <v>3.614035087719298E-2</v>
      </c>
      <c r="AM335" s="303">
        <v>2332</v>
      </c>
      <c r="AN335" s="309">
        <v>0.77733333333333332</v>
      </c>
      <c r="AO335" s="309">
        <v>0.81824561403508766</v>
      </c>
      <c r="AP335" s="309"/>
      <c r="AQ335" s="303">
        <v>2094.3510000000001</v>
      </c>
      <c r="AR335" s="309">
        <v>0.69811699999999999</v>
      </c>
      <c r="AS335" s="309">
        <v>0.73486000000000007</v>
      </c>
      <c r="AT335" s="303">
        <v>2419.3510000000001</v>
      </c>
      <c r="AU335" s="309">
        <v>0.80645033333333338</v>
      </c>
      <c r="AV335" s="309">
        <v>0.84889508771929834</v>
      </c>
      <c r="AW335" s="309"/>
      <c r="AX335" s="309"/>
      <c r="AY335" s="309"/>
      <c r="AZ335" s="309"/>
      <c r="BA335" s="309"/>
      <c r="BB335" s="309"/>
      <c r="BC335" s="303">
        <v>2419.3510000000001</v>
      </c>
      <c r="BD335" s="309">
        <v>0.80645033333333338</v>
      </c>
      <c r="BE335" s="309">
        <v>0.84889508771929834</v>
      </c>
      <c r="BF335" s="303"/>
      <c r="BG335" s="303">
        <v>2737</v>
      </c>
      <c r="BH335" s="309">
        <v>0.91233333333333333</v>
      </c>
      <c r="BI335" s="309">
        <v>0.96035087719298251</v>
      </c>
      <c r="BJ335" s="303">
        <f t="shared" si="326"/>
        <v>2850</v>
      </c>
      <c r="BK335" s="303">
        <v>2850</v>
      </c>
      <c r="BL335" s="309">
        <f t="shared" si="311"/>
        <v>0.95</v>
      </c>
      <c r="BM335" s="309">
        <f t="shared" si="328"/>
        <v>1</v>
      </c>
      <c r="BN335" s="205">
        <f t="shared" si="308"/>
        <v>2747</v>
      </c>
      <c r="BO335" s="205"/>
      <c r="BP335" s="310"/>
      <c r="BQ335" s="308">
        <f t="shared" si="312"/>
        <v>0</v>
      </c>
      <c r="BR335" s="310"/>
      <c r="BS335" s="308">
        <f t="shared" si="313"/>
        <v>0</v>
      </c>
      <c r="BT335" s="310">
        <f>$F335*0.1</f>
        <v>300</v>
      </c>
      <c r="BU335" s="308">
        <f t="shared" si="314"/>
        <v>0.1</v>
      </c>
      <c r="BV335" s="310">
        <f>$F335*0.2</f>
        <v>600</v>
      </c>
      <c r="BW335" s="308">
        <f t="shared" si="315"/>
        <v>0.2</v>
      </c>
      <c r="BX335" s="310">
        <f>$F335*0.3</f>
        <v>900</v>
      </c>
      <c r="BY335" s="308">
        <f t="shared" si="316"/>
        <v>0.3</v>
      </c>
      <c r="BZ335" s="310">
        <f>$F335*0.4</f>
        <v>1200</v>
      </c>
      <c r="CA335" s="308">
        <f t="shared" si="317"/>
        <v>0.4</v>
      </c>
      <c r="CB335" s="310">
        <f>$F335*0.5</f>
        <v>1500</v>
      </c>
      <c r="CC335" s="308">
        <f t="shared" si="318"/>
        <v>0.5</v>
      </c>
      <c r="CD335" s="310">
        <f>$F335*0.55</f>
        <v>1650.0000000000002</v>
      </c>
      <c r="CE335" s="308">
        <f t="shared" si="319"/>
        <v>0.55000000000000004</v>
      </c>
      <c r="CF335" s="310">
        <v>2100</v>
      </c>
      <c r="CG335" s="308">
        <f t="shared" si="320"/>
        <v>0.7</v>
      </c>
      <c r="CH335" s="310">
        <f>$F335*0.7</f>
        <v>2100</v>
      </c>
      <c r="CI335" s="308">
        <f t="shared" si="321"/>
        <v>0.7</v>
      </c>
      <c r="CJ335" s="310">
        <f>$F335*0.75</f>
        <v>2250</v>
      </c>
      <c r="CK335" s="308">
        <f t="shared" si="322"/>
        <v>0.75</v>
      </c>
      <c r="CL335" s="310">
        <f>$F335*0.75</f>
        <v>2250</v>
      </c>
      <c r="CM335" s="308">
        <f t="shared" si="323"/>
        <v>0.75</v>
      </c>
      <c r="CN335" s="310">
        <f>$F335*0.95</f>
        <v>2850</v>
      </c>
      <c r="CO335" s="308">
        <f t="shared" si="324"/>
        <v>0.95</v>
      </c>
      <c r="CP335" s="213" t="str">
        <f t="shared" si="329"/>
        <v>Đạt</v>
      </c>
      <c r="CQ335" s="213" t="str">
        <f t="shared" si="330"/>
        <v>Đạt</v>
      </c>
      <c r="CR335" s="312"/>
      <c r="CS335" s="312"/>
      <c r="CT335" s="235"/>
      <c r="CU335" s="163"/>
      <c r="CV335" s="323"/>
      <c r="CW335" s="195"/>
      <c r="CX335" s="196"/>
      <c r="CY335" s="196"/>
      <c r="CZ335" s="197"/>
      <c r="DA335" s="196"/>
      <c r="DB335" s="196"/>
      <c r="DC335" s="196"/>
      <c r="DE335" s="199"/>
      <c r="DF335" s="200"/>
      <c r="DG335" s="181"/>
    </row>
    <row r="336" spans="1:112" ht="25.5" hidden="1" outlineLevel="1" x14ac:dyDescent="0.25">
      <c r="A336" s="305" t="s">
        <v>34</v>
      </c>
      <c r="B336" s="306" t="s">
        <v>377</v>
      </c>
      <c r="C336" s="306"/>
      <c r="D336" s="307">
        <f>E336+F336</f>
        <v>5750</v>
      </c>
      <c r="E336" s="307"/>
      <c r="F336" s="307">
        <f>G336+H336+K336+M336</f>
        <v>5750</v>
      </c>
      <c r="G336" s="307"/>
      <c r="H336" s="307">
        <v>5750</v>
      </c>
      <c r="I336" s="235"/>
      <c r="J336" s="235"/>
      <c r="K336" s="303"/>
      <c r="L336" s="235"/>
      <c r="M336" s="223"/>
      <c r="N336" s="223"/>
      <c r="O336" s="303"/>
      <c r="P336" s="303">
        <v>0</v>
      </c>
      <c r="Q336" s="308">
        <f t="shared" si="325"/>
        <v>0</v>
      </c>
      <c r="R336" s="303"/>
      <c r="S336" s="309">
        <v>0</v>
      </c>
      <c r="T336" s="309">
        <v>0</v>
      </c>
      <c r="U336" s="303"/>
      <c r="V336" s="309">
        <v>0</v>
      </c>
      <c r="W336" s="309">
        <v>0</v>
      </c>
      <c r="X336" s="303"/>
      <c r="Y336" s="309">
        <v>0</v>
      </c>
      <c r="Z336" s="309">
        <v>0</v>
      </c>
      <c r="AA336" s="303"/>
      <c r="AB336" s="309">
        <v>0</v>
      </c>
      <c r="AC336" s="309">
        <v>0</v>
      </c>
      <c r="AD336" s="303"/>
      <c r="AE336" s="309">
        <v>0</v>
      </c>
      <c r="AF336" s="309">
        <v>0</v>
      </c>
      <c r="AG336" s="303"/>
      <c r="AH336" s="309">
        <v>0</v>
      </c>
      <c r="AI336" s="309">
        <v>0</v>
      </c>
      <c r="AJ336" s="188"/>
      <c r="AK336" s="309">
        <v>0</v>
      </c>
      <c r="AL336" s="309">
        <v>0</v>
      </c>
      <c r="AM336" s="303"/>
      <c r="AN336" s="309">
        <v>0</v>
      </c>
      <c r="AO336" s="309">
        <v>0</v>
      </c>
      <c r="AP336" s="309"/>
      <c r="AQ336" s="303">
        <v>785.971</v>
      </c>
      <c r="AR336" s="309">
        <v>0.13669060869565217</v>
      </c>
      <c r="AS336" s="309">
        <v>0.14388485125858125</v>
      </c>
      <c r="AT336" s="303">
        <v>785.971</v>
      </c>
      <c r="AU336" s="309">
        <v>0.13669060869565217</v>
      </c>
      <c r="AV336" s="309">
        <v>0.14388485125858125</v>
      </c>
      <c r="AW336" s="309"/>
      <c r="AX336" s="309"/>
      <c r="AY336" s="309"/>
      <c r="AZ336" s="309"/>
      <c r="BA336" s="309"/>
      <c r="BB336" s="309"/>
      <c r="BC336" s="303">
        <v>785.971</v>
      </c>
      <c r="BD336" s="309">
        <v>0.13669060869565217</v>
      </c>
      <c r="BE336" s="309">
        <v>0.14388485125858125</v>
      </c>
      <c r="BF336" s="303"/>
      <c r="BG336" s="303">
        <v>841</v>
      </c>
      <c r="BH336" s="309">
        <v>0.14626086956521739</v>
      </c>
      <c r="BI336" s="309">
        <v>0.15395881006864989</v>
      </c>
      <c r="BJ336" s="303">
        <f t="shared" si="326"/>
        <v>5462.5</v>
      </c>
      <c r="BK336" s="303">
        <v>971</v>
      </c>
      <c r="BL336" s="309">
        <f t="shared" si="311"/>
        <v>0.1688695652173913</v>
      </c>
      <c r="BM336" s="309">
        <f t="shared" si="328"/>
        <v>0.17775743707093822</v>
      </c>
      <c r="BN336" s="205">
        <f t="shared" si="308"/>
        <v>971</v>
      </c>
      <c r="BO336" s="205"/>
      <c r="BP336" s="310"/>
      <c r="BQ336" s="308">
        <f t="shared" si="312"/>
        <v>0</v>
      </c>
      <c r="BR336" s="310"/>
      <c r="BS336" s="308">
        <f t="shared" si="313"/>
        <v>0</v>
      </c>
      <c r="BT336" s="310">
        <f>$F336*0.1</f>
        <v>575</v>
      </c>
      <c r="BU336" s="308">
        <f t="shared" si="314"/>
        <v>0.1</v>
      </c>
      <c r="BV336" s="310">
        <f>$F336*0.2</f>
        <v>1150</v>
      </c>
      <c r="BW336" s="308">
        <f t="shared" si="315"/>
        <v>0.2</v>
      </c>
      <c r="BX336" s="310">
        <f>$F336*0.3</f>
        <v>1725</v>
      </c>
      <c r="BY336" s="308">
        <f t="shared" si="316"/>
        <v>0.3</v>
      </c>
      <c r="BZ336" s="310">
        <f>$F336*0.4</f>
        <v>2300</v>
      </c>
      <c r="CA336" s="308">
        <f t="shared" si="317"/>
        <v>0.4</v>
      </c>
      <c r="CB336" s="310">
        <f>$F336*0.5</f>
        <v>2875</v>
      </c>
      <c r="CC336" s="308">
        <f t="shared" si="318"/>
        <v>0.5</v>
      </c>
      <c r="CD336" s="310">
        <f>$F336*0.55</f>
        <v>3162.5000000000005</v>
      </c>
      <c r="CE336" s="308">
        <f t="shared" si="319"/>
        <v>0.55000000000000004</v>
      </c>
      <c r="CF336" s="310">
        <v>4024.9999999999995</v>
      </c>
      <c r="CG336" s="308">
        <f t="shared" si="320"/>
        <v>0.7</v>
      </c>
      <c r="CH336" s="310">
        <f>$F336*0.7</f>
        <v>4024.9999999999995</v>
      </c>
      <c r="CI336" s="308">
        <f t="shared" si="321"/>
        <v>0.7</v>
      </c>
      <c r="CJ336" s="310">
        <f>$F336*0.75</f>
        <v>4312.5</v>
      </c>
      <c r="CK336" s="308">
        <f t="shared" si="322"/>
        <v>0.75</v>
      </c>
      <c r="CL336" s="310">
        <f>$F336*0.75</f>
        <v>4312.5</v>
      </c>
      <c r="CM336" s="308">
        <f t="shared" si="323"/>
        <v>0.75</v>
      </c>
      <c r="CN336" s="310">
        <f>$F336*0.95</f>
        <v>5462.5</v>
      </c>
      <c r="CO336" s="308">
        <f t="shared" si="324"/>
        <v>0.95</v>
      </c>
      <c r="CP336" s="213" t="str">
        <f t="shared" si="329"/>
        <v>Không đạt</v>
      </c>
      <c r="CQ336" s="213" t="str">
        <f t="shared" si="330"/>
        <v>Không đạt</v>
      </c>
      <c r="CR336" s="312"/>
      <c r="CS336" s="312"/>
      <c r="CT336" s="235"/>
      <c r="CU336" s="163"/>
      <c r="CW336" s="195"/>
      <c r="CX336" s="196"/>
      <c r="CY336" s="196"/>
      <c r="CZ336" s="197"/>
      <c r="DA336" s="196"/>
      <c r="DB336" s="196"/>
      <c r="DC336" s="196"/>
      <c r="DE336" s="199"/>
      <c r="DF336" s="200"/>
      <c r="DG336" s="181"/>
    </row>
    <row r="337" spans="1:112" ht="18" customHeight="1" collapsed="1" x14ac:dyDescent="0.25">
      <c r="A337" s="316">
        <f>MAX(A$239:A335)+1</f>
        <v>28</v>
      </c>
      <c r="B337" s="240" t="s">
        <v>418</v>
      </c>
      <c r="C337" s="240"/>
      <c r="D337" s="188">
        <f t="shared" ref="D337:I337" si="331">D338+D339</f>
        <v>3850</v>
      </c>
      <c r="E337" s="188">
        <f t="shared" si="331"/>
        <v>0</v>
      </c>
      <c r="F337" s="188">
        <f t="shared" si="331"/>
        <v>3850</v>
      </c>
      <c r="G337" s="188">
        <f t="shared" si="331"/>
        <v>3000</v>
      </c>
      <c r="H337" s="188">
        <f t="shared" si="331"/>
        <v>850</v>
      </c>
      <c r="I337" s="188">
        <f t="shared" si="331"/>
        <v>0</v>
      </c>
      <c r="J337" s="188"/>
      <c r="K337" s="188">
        <f>K338+K339</f>
        <v>0</v>
      </c>
      <c r="L337" s="188">
        <f>L338+L339</f>
        <v>0</v>
      </c>
      <c r="M337" s="188">
        <f>M338+M339</f>
        <v>0</v>
      </c>
      <c r="N337" s="188">
        <f>N338+N339</f>
        <v>0</v>
      </c>
      <c r="O337" s="188">
        <f>O338+O339</f>
        <v>3000</v>
      </c>
      <c r="P337" s="188">
        <v>0</v>
      </c>
      <c r="Q337" s="186">
        <f t="shared" si="325"/>
        <v>0</v>
      </c>
      <c r="R337" s="188">
        <v>0</v>
      </c>
      <c r="S337" s="185">
        <v>0</v>
      </c>
      <c r="T337" s="185">
        <v>0</v>
      </c>
      <c r="U337" s="188">
        <v>0</v>
      </c>
      <c r="V337" s="185">
        <v>0</v>
      </c>
      <c r="W337" s="185">
        <v>0</v>
      </c>
      <c r="X337" s="188">
        <v>0</v>
      </c>
      <c r="Y337" s="185">
        <v>0</v>
      </c>
      <c r="Z337" s="185">
        <v>0</v>
      </c>
      <c r="AA337" s="188">
        <v>0</v>
      </c>
      <c r="AB337" s="185">
        <v>0</v>
      </c>
      <c r="AC337" s="185">
        <v>0</v>
      </c>
      <c r="AD337" s="188">
        <v>0</v>
      </c>
      <c r="AE337" s="185">
        <v>0</v>
      </c>
      <c r="AF337" s="185">
        <v>0</v>
      </c>
      <c r="AG337" s="188">
        <v>0</v>
      </c>
      <c r="AH337" s="185">
        <v>0</v>
      </c>
      <c r="AI337" s="185">
        <v>0</v>
      </c>
      <c r="AJ337" s="303">
        <v>0</v>
      </c>
      <c r="AK337" s="185">
        <v>0</v>
      </c>
      <c r="AL337" s="185">
        <v>0</v>
      </c>
      <c r="AM337" s="188">
        <v>217</v>
      </c>
      <c r="AN337" s="185">
        <v>5.6363636363636366E-2</v>
      </c>
      <c r="AO337" s="185">
        <v>5.9330143540669858E-2</v>
      </c>
      <c r="AP337" s="185"/>
      <c r="AQ337" s="188">
        <v>612</v>
      </c>
      <c r="AR337" s="185">
        <v>0.15896103896103897</v>
      </c>
      <c r="AS337" s="185">
        <v>0.1673274094326726</v>
      </c>
      <c r="AT337" s="188">
        <v>753</v>
      </c>
      <c r="AU337" s="185">
        <v>0.19558441558441558</v>
      </c>
      <c r="AV337" s="185">
        <v>0.20587833219412166</v>
      </c>
      <c r="AW337" s="185"/>
      <c r="AX337" s="185"/>
      <c r="AY337" s="185"/>
      <c r="AZ337" s="185"/>
      <c r="BA337" s="185"/>
      <c r="BB337" s="185"/>
      <c r="BC337" s="188">
        <v>753</v>
      </c>
      <c r="BD337" s="185">
        <v>0.19558441558441558</v>
      </c>
      <c r="BE337" s="185">
        <v>0.20587833219412166</v>
      </c>
      <c r="BF337" s="188"/>
      <c r="BG337" s="188">
        <v>1209</v>
      </c>
      <c r="BH337" s="185">
        <v>0.31402597402597404</v>
      </c>
      <c r="BI337" s="185">
        <v>0.33055365686944632</v>
      </c>
      <c r="BJ337" s="188">
        <f t="shared" si="326"/>
        <v>3657.5</v>
      </c>
      <c r="BK337" s="188">
        <f>BK338+BK339</f>
        <v>1209</v>
      </c>
      <c r="BL337" s="185">
        <f t="shared" si="311"/>
        <v>0.31402597402597404</v>
      </c>
      <c r="BM337" s="185">
        <f t="shared" si="328"/>
        <v>0.33055365686944632</v>
      </c>
      <c r="BN337" s="205">
        <f t="shared" si="308"/>
        <v>1209</v>
      </c>
      <c r="BO337" s="205"/>
      <c r="BP337" s="189">
        <f>BP338+BP339</f>
        <v>0</v>
      </c>
      <c r="BQ337" s="186">
        <f t="shared" si="312"/>
        <v>0</v>
      </c>
      <c r="BR337" s="189">
        <f>BR338+BR339</f>
        <v>0</v>
      </c>
      <c r="BS337" s="186">
        <f t="shared" si="313"/>
        <v>0</v>
      </c>
      <c r="BT337" s="189">
        <f>BT338+BT339</f>
        <v>300</v>
      </c>
      <c r="BU337" s="186">
        <f t="shared" si="314"/>
        <v>7.792207792207792E-2</v>
      </c>
      <c r="BV337" s="189">
        <f>BV338+BV339</f>
        <v>300</v>
      </c>
      <c r="BW337" s="186">
        <f t="shared" si="315"/>
        <v>7.792207792207792E-2</v>
      </c>
      <c r="BX337" s="189">
        <f>BX338+BX339</f>
        <v>300</v>
      </c>
      <c r="BY337" s="186">
        <f t="shared" si="316"/>
        <v>7.792207792207792E-2</v>
      </c>
      <c r="BZ337" s="189">
        <f>BZ338+BZ339</f>
        <v>300</v>
      </c>
      <c r="CA337" s="186">
        <f t="shared" si="317"/>
        <v>7.792207792207792E-2</v>
      </c>
      <c r="CB337" s="189">
        <f>CB338+CB339</f>
        <v>1100</v>
      </c>
      <c r="CC337" s="186">
        <f t="shared" si="318"/>
        <v>0.2857142857142857</v>
      </c>
      <c r="CD337" s="189">
        <f>CD338+CD339</f>
        <v>2850</v>
      </c>
      <c r="CE337" s="186">
        <f t="shared" si="319"/>
        <v>0.74025974025974028</v>
      </c>
      <c r="CF337" s="189">
        <f>CF338+CF339</f>
        <v>2850</v>
      </c>
      <c r="CG337" s="186">
        <f t="shared" si="320"/>
        <v>0.74025974025974028</v>
      </c>
      <c r="CH337" s="189">
        <f>CH338+CH339</f>
        <v>2850</v>
      </c>
      <c r="CI337" s="186">
        <f t="shared" si="321"/>
        <v>0.74025974025974028</v>
      </c>
      <c r="CJ337" s="189">
        <f>CJ338+CJ339</f>
        <v>2850</v>
      </c>
      <c r="CK337" s="186">
        <f t="shared" si="322"/>
        <v>0.74025974025974028</v>
      </c>
      <c r="CL337" s="189">
        <f>CL338+CL339</f>
        <v>3657.5</v>
      </c>
      <c r="CM337" s="186">
        <f t="shared" si="323"/>
        <v>0.95</v>
      </c>
      <c r="CN337" s="189">
        <f>CN338+CN339</f>
        <v>3657.5</v>
      </c>
      <c r="CO337" s="186">
        <f t="shared" si="324"/>
        <v>0.95</v>
      </c>
      <c r="CP337" s="213" t="str">
        <f t="shared" si="329"/>
        <v>Không đạt</v>
      </c>
      <c r="CQ337" s="213" t="str">
        <f t="shared" si="330"/>
        <v>Không đạt</v>
      </c>
      <c r="CR337" s="213"/>
      <c r="CS337" s="213"/>
      <c r="CT337" s="231"/>
      <c r="CU337" s="163"/>
      <c r="CW337" s="195"/>
      <c r="CX337" s="196"/>
      <c r="CY337" s="196"/>
      <c r="CZ337" s="197"/>
      <c r="DA337" s="196"/>
      <c r="DB337" s="196"/>
      <c r="DC337" s="196"/>
      <c r="DE337" s="199"/>
      <c r="DF337" s="200"/>
      <c r="DG337" s="181"/>
    </row>
    <row r="338" spans="1:112" s="324" customFormat="1" hidden="1" outlineLevel="1" x14ac:dyDescent="0.25">
      <c r="A338" s="305" t="s">
        <v>34</v>
      </c>
      <c r="B338" s="318" t="s">
        <v>376</v>
      </c>
      <c r="C338" s="306"/>
      <c r="D338" s="307">
        <f>E338+F338</f>
        <v>3000</v>
      </c>
      <c r="E338" s="307"/>
      <c r="F338" s="307">
        <f>G338+H338+K338+M338</f>
        <v>3000</v>
      </c>
      <c r="G338" s="303">
        <v>3000</v>
      </c>
      <c r="H338" s="303"/>
      <c r="I338" s="235"/>
      <c r="J338" s="235"/>
      <c r="K338" s="303"/>
      <c r="L338" s="235"/>
      <c r="M338" s="223"/>
      <c r="N338" s="223"/>
      <c r="O338" s="303">
        <f>G338+I338+L338+N338</f>
        <v>3000</v>
      </c>
      <c r="P338" s="303">
        <v>0</v>
      </c>
      <c r="Q338" s="308">
        <f t="shared" si="325"/>
        <v>0</v>
      </c>
      <c r="R338" s="303"/>
      <c r="S338" s="313">
        <v>0</v>
      </c>
      <c r="T338" s="313">
        <v>0</v>
      </c>
      <c r="U338" s="303"/>
      <c r="V338" s="313">
        <v>0</v>
      </c>
      <c r="W338" s="313">
        <v>0</v>
      </c>
      <c r="X338" s="303"/>
      <c r="Y338" s="313">
        <v>0</v>
      </c>
      <c r="Z338" s="313">
        <v>0</v>
      </c>
      <c r="AA338" s="303"/>
      <c r="AB338" s="313">
        <v>0</v>
      </c>
      <c r="AC338" s="313">
        <v>0</v>
      </c>
      <c r="AD338" s="303"/>
      <c r="AE338" s="313">
        <v>0</v>
      </c>
      <c r="AF338" s="313">
        <v>0</v>
      </c>
      <c r="AG338" s="303"/>
      <c r="AH338" s="313">
        <v>0</v>
      </c>
      <c r="AI338" s="313">
        <v>0</v>
      </c>
      <c r="AJ338" s="303"/>
      <c r="AK338" s="313">
        <v>0</v>
      </c>
      <c r="AL338" s="313">
        <v>0</v>
      </c>
      <c r="AM338" s="303">
        <v>217</v>
      </c>
      <c r="AN338" s="313">
        <v>7.2333333333333333E-2</v>
      </c>
      <c r="AO338" s="313">
        <v>7.614035087719298E-2</v>
      </c>
      <c r="AP338" s="313"/>
      <c r="AQ338" s="303">
        <v>327</v>
      </c>
      <c r="AR338" s="313">
        <v>0.109</v>
      </c>
      <c r="AS338" s="313">
        <v>0.11473684210526315</v>
      </c>
      <c r="AT338" s="303">
        <v>468</v>
      </c>
      <c r="AU338" s="313">
        <v>0.156</v>
      </c>
      <c r="AV338" s="313">
        <v>0.16421052631578947</v>
      </c>
      <c r="AW338" s="313"/>
      <c r="AX338" s="313"/>
      <c r="AY338" s="313"/>
      <c r="AZ338" s="313"/>
      <c r="BA338" s="313"/>
      <c r="BB338" s="313"/>
      <c r="BC338" s="303">
        <v>468</v>
      </c>
      <c r="BD338" s="313">
        <v>0.156</v>
      </c>
      <c r="BE338" s="313">
        <v>0.16421052631578947</v>
      </c>
      <c r="BF338" s="303"/>
      <c r="BG338" s="303">
        <v>899</v>
      </c>
      <c r="BH338" s="313">
        <v>0.29966666666666669</v>
      </c>
      <c r="BI338" s="313">
        <v>0.31543859649122807</v>
      </c>
      <c r="BJ338" s="303">
        <f t="shared" si="326"/>
        <v>2850</v>
      </c>
      <c r="BK338" s="303">
        <v>899</v>
      </c>
      <c r="BL338" s="313">
        <f t="shared" si="311"/>
        <v>0.29966666666666669</v>
      </c>
      <c r="BM338" s="313">
        <f t="shared" si="328"/>
        <v>0.31543859649122807</v>
      </c>
      <c r="BN338" s="205">
        <f t="shared" si="308"/>
        <v>899</v>
      </c>
      <c r="BO338" s="205"/>
      <c r="BP338" s="310"/>
      <c r="BQ338" s="311">
        <f t="shared" si="312"/>
        <v>0</v>
      </c>
      <c r="BR338" s="310"/>
      <c r="BS338" s="311">
        <f t="shared" si="313"/>
        <v>0</v>
      </c>
      <c r="BT338" s="310">
        <v>300</v>
      </c>
      <c r="BU338" s="308">
        <f t="shared" si="314"/>
        <v>0.1</v>
      </c>
      <c r="BV338" s="310">
        <f>BT338</f>
        <v>300</v>
      </c>
      <c r="BW338" s="311">
        <f t="shared" si="315"/>
        <v>0.1</v>
      </c>
      <c r="BX338" s="310">
        <f>BV338</f>
        <v>300</v>
      </c>
      <c r="BY338" s="311">
        <f t="shared" si="316"/>
        <v>0.1</v>
      </c>
      <c r="BZ338" s="310">
        <f>BX338</f>
        <v>300</v>
      </c>
      <c r="CA338" s="311">
        <f t="shared" si="317"/>
        <v>0.1</v>
      </c>
      <c r="CB338" s="310">
        <v>1100</v>
      </c>
      <c r="CC338" s="311">
        <f t="shared" si="318"/>
        <v>0.36666666666666664</v>
      </c>
      <c r="CD338" s="310">
        <v>2850</v>
      </c>
      <c r="CE338" s="311">
        <f t="shared" si="319"/>
        <v>0.95</v>
      </c>
      <c r="CF338" s="310">
        <v>2850</v>
      </c>
      <c r="CG338" s="311">
        <f t="shared" si="320"/>
        <v>0.95</v>
      </c>
      <c r="CH338" s="310">
        <v>2850</v>
      </c>
      <c r="CI338" s="311">
        <f t="shared" si="321"/>
        <v>0.95</v>
      </c>
      <c r="CJ338" s="310">
        <v>2850</v>
      </c>
      <c r="CK338" s="311">
        <f t="shared" si="322"/>
        <v>0.95</v>
      </c>
      <c r="CL338" s="310">
        <v>2850</v>
      </c>
      <c r="CM338" s="311">
        <f t="shared" si="323"/>
        <v>0.95</v>
      </c>
      <c r="CN338" s="310">
        <v>2850</v>
      </c>
      <c r="CO338" s="311">
        <f t="shared" si="324"/>
        <v>0.95</v>
      </c>
      <c r="CP338" s="213" t="str">
        <f t="shared" si="329"/>
        <v>Không đạt</v>
      </c>
      <c r="CQ338" s="213" t="str">
        <f t="shared" si="330"/>
        <v>Không đạt</v>
      </c>
      <c r="CR338" s="312"/>
      <c r="CS338" s="312"/>
      <c r="CT338" s="235"/>
      <c r="CU338" s="163"/>
      <c r="CV338" s="323"/>
      <c r="CW338" s="340"/>
      <c r="CX338" s="341"/>
      <c r="CY338" s="341"/>
      <c r="CZ338" s="342"/>
      <c r="DA338" s="341"/>
      <c r="DB338" s="341"/>
      <c r="DC338" s="341"/>
      <c r="DE338" s="199"/>
      <c r="DF338" s="200"/>
      <c r="DG338" s="181"/>
    </row>
    <row r="339" spans="1:112" ht="25.5" hidden="1" outlineLevel="1" x14ac:dyDescent="0.25">
      <c r="A339" s="305" t="s">
        <v>34</v>
      </c>
      <c r="B339" s="306" t="s">
        <v>377</v>
      </c>
      <c r="C339" s="306"/>
      <c r="D339" s="307">
        <f>E339+F339</f>
        <v>850</v>
      </c>
      <c r="E339" s="307"/>
      <c r="F339" s="307">
        <f>G339+H339+K339+M339</f>
        <v>850</v>
      </c>
      <c r="G339" s="307"/>
      <c r="H339" s="307">
        <v>850</v>
      </c>
      <c r="I339" s="235"/>
      <c r="J339" s="235"/>
      <c r="K339" s="303"/>
      <c r="L339" s="235"/>
      <c r="M339" s="223"/>
      <c r="N339" s="223"/>
      <c r="O339" s="303"/>
      <c r="P339" s="303">
        <v>0</v>
      </c>
      <c r="Q339" s="308">
        <f t="shared" si="325"/>
        <v>0</v>
      </c>
      <c r="R339" s="303"/>
      <c r="S339" s="313">
        <v>0</v>
      </c>
      <c r="T339" s="313">
        <v>0</v>
      </c>
      <c r="U339" s="303"/>
      <c r="V339" s="313">
        <v>0</v>
      </c>
      <c r="W339" s="313">
        <v>0</v>
      </c>
      <c r="X339" s="303"/>
      <c r="Y339" s="313">
        <v>0</v>
      </c>
      <c r="Z339" s="313">
        <v>0</v>
      </c>
      <c r="AA339" s="303"/>
      <c r="AB339" s="313">
        <v>0</v>
      </c>
      <c r="AC339" s="313">
        <v>0</v>
      </c>
      <c r="AD339" s="303"/>
      <c r="AE339" s="313">
        <v>0</v>
      </c>
      <c r="AF339" s="313">
        <v>0</v>
      </c>
      <c r="AG339" s="303"/>
      <c r="AH339" s="313">
        <v>0</v>
      </c>
      <c r="AI339" s="313">
        <v>0</v>
      </c>
      <c r="AJ339" s="188"/>
      <c r="AK339" s="313">
        <v>0</v>
      </c>
      <c r="AL339" s="313">
        <v>0</v>
      </c>
      <c r="AM339" s="303"/>
      <c r="AN339" s="313">
        <v>0</v>
      </c>
      <c r="AO339" s="313">
        <v>0</v>
      </c>
      <c r="AP339" s="313"/>
      <c r="AQ339" s="303">
        <v>285</v>
      </c>
      <c r="AR339" s="313">
        <v>0.3352941176470588</v>
      </c>
      <c r="AS339" s="313">
        <v>0.35294117647058826</v>
      </c>
      <c r="AT339" s="303">
        <v>285</v>
      </c>
      <c r="AU339" s="313">
        <v>0.3352941176470588</v>
      </c>
      <c r="AV339" s="313">
        <v>0.35294117647058826</v>
      </c>
      <c r="AW339" s="313"/>
      <c r="AX339" s="313"/>
      <c r="AY339" s="313"/>
      <c r="AZ339" s="313"/>
      <c r="BA339" s="313"/>
      <c r="BB339" s="313"/>
      <c r="BC339" s="303">
        <v>285</v>
      </c>
      <c r="BD339" s="313">
        <v>0.3352941176470588</v>
      </c>
      <c r="BE339" s="313">
        <v>0.35294117647058826</v>
      </c>
      <c r="BF339" s="303"/>
      <c r="BG339" s="303">
        <v>310</v>
      </c>
      <c r="BH339" s="313">
        <v>0.36470588235294116</v>
      </c>
      <c r="BI339" s="313">
        <v>0.38390092879256965</v>
      </c>
      <c r="BJ339" s="303">
        <f t="shared" si="326"/>
        <v>807.5</v>
      </c>
      <c r="BK339" s="303">
        <v>310</v>
      </c>
      <c r="BL339" s="313">
        <f t="shared" si="311"/>
        <v>0.36470588235294116</v>
      </c>
      <c r="BM339" s="313">
        <f t="shared" si="328"/>
        <v>0.38390092879256965</v>
      </c>
      <c r="BN339" s="205">
        <f t="shared" si="308"/>
        <v>310</v>
      </c>
      <c r="BO339" s="205"/>
      <c r="BP339" s="310"/>
      <c r="BQ339" s="311">
        <f t="shared" si="312"/>
        <v>0</v>
      </c>
      <c r="BR339" s="310"/>
      <c r="BS339" s="311">
        <f t="shared" si="313"/>
        <v>0</v>
      </c>
      <c r="BT339" s="310"/>
      <c r="BU339" s="308">
        <f t="shared" si="314"/>
        <v>0</v>
      </c>
      <c r="BV339" s="310"/>
      <c r="BW339" s="311">
        <f t="shared" si="315"/>
        <v>0</v>
      </c>
      <c r="BX339" s="310"/>
      <c r="BY339" s="311">
        <f t="shared" si="316"/>
        <v>0</v>
      </c>
      <c r="BZ339" s="310"/>
      <c r="CA339" s="311">
        <f t="shared" si="317"/>
        <v>0</v>
      </c>
      <c r="CB339" s="310"/>
      <c r="CC339" s="311">
        <f t="shared" si="318"/>
        <v>0</v>
      </c>
      <c r="CD339" s="310"/>
      <c r="CE339" s="311">
        <f t="shared" si="319"/>
        <v>0</v>
      </c>
      <c r="CF339" s="310"/>
      <c r="CG339" s="311">
        <f t="shared" si="320"/>
        <v>0</v>
      </c>
      <c r="CH339" s="310"/>
      <c r="CI339" s="311">
        <f t="shared" si="321"/>
        <v>0</v>
      </c>
      <c r="CJ339" s="310"/>
      <c r="CK339" s="311">
        <f t="shared" si="322"/>
        <v>0</v>
      </c>
      <c r="CL339" s="310">
        <f>850*0.95</f>
        <v>807.5</v>
      </c>
      <c r="CM339" s="311">
        <f t="shared" si="323"/>
        <v>0.95</v>
      </c>
      <c r="CN339" s="310">
        <f>850*0.95</f>
        <v>807.5</v>
      </c>
      <c r="CO339" s="311">
        <f t="shared" si="324"/>
        <v>0.95</v>
      </c>
      <c r="CP339" s="213" t="str">
        <f t="shared" si="329"/>
        <v>Đạt</v>
      </c>
      <c r="CQ339" s="213" t="str">
        <f t="shared" si="330"/>
        <v>Không đạt</v>
      </c>
      <c r="CR339" s="312"/>
      <c r="CS339" s="312"/>
      <c r="CT339" s="235"/>
      <c r="CU339" s="163"/>
      <c r="CW339" s="195"/>
      <c r="CX339" s="196"/>
      <c r="CY339" s="196"/>
      <c r="CZ339" s="197"/>
      <c r="DA339" s="196"/>
      <c r="DB339" s="196"/>
      <c r="DC339" s="196"/>
      <c r="DE339" s="199"/>
      <c r="DF339" s="200"/>
      <c r="DG339" s="181"/>
    </row>
    <row r="340" spans="1:112" ht="18" customHeight="1" collapsed="1" x14ac:dyDescent="0.25">
      <c r="A340" s="213">
        <f>MAX(A$239:A338)+1</f>
        <v>29</v>
      </c>
      <c r="B340" s="240" t="s">
        <v>419</v>
      </c>
      <c r="C340" s="240"/>
      <c r="D340" s="188">
        <f t="shared" ref="D340:I340" si="332">D341+D342</f>
        <v>3850</v>
      </c>
      <c r="E340" s="188">
        <f t="shared" si="332"/>
        <v>0</v>
      </c>
      <c r="F340" s="188">
        <f t="shared" si="332"/>
        <v>3850</v>
      </c>
      <c r="G340" s="188">
        <f t="shared" si="332"/>
        <v>3000</v>
      </c>
      <c r="H340" s="188">
        <f t="shared" si="332"/>
        <v>850</v>
      </c>
      <c r="I340" s="188">
        <f t="shared" si="332"/>
        <v>0</v>
      </c>
      <c r="J340" s="188"/>
      <c r="K340" s="188">
        <f>K341+K342</f>
        <v>0</v>
      </c>
      <c r="L340" s="188">
        <f>L341+L342</f>
        <v>0</v>
      </c>
      <c r="M340" s="188">
        <f>M341+M342</f>
        <v>0</v>
      </c>
      <c r="N340" s="188">
        <f>N341+N342</f>
        <v>0</v>
      </c>
      <c r="O340" s="188">
        <f>O341+O342</f>
        <v>3000</v>
      </c>
      <c r="P340" s="188">
        <v>0</v>
      </c>
      <c r="Q340" s="186">
        <f t="shared" si="325"/>
        <v>0</v>
      </c>
      <c r="R340" s="188">
        <v>0</v>
      </c>
      <c r="S340" s="185">
        <v>0</v>
      </c>
      <c r="T340" s="185">
        <v>0</v>
      </c>
      <c r="U340" s="188">
        <v>0</v>
      </c>
      <c r="V340" s="185">
        <v>0</v>
      </c>
      <c r="W340" s="185">
        <v>0</v>
      </c>
      <c r="X340" s="188">
        <v>0</v>
      </c>
      <c r="Y340" s="185">
        <v>0</v>
      </c>
      <c r="Z340" s="185">
        <v>0</v>
      </c>
      <c r="AA340" s="188">
        <v>0</v>
      </c>
      <c r="AB340" s="185">
        <v>0</v>
      </c>
      <c r="AC340" s="185">
        <v>0</v>
      </c>
      <c r="AD340" s="188">
        <v>1956</v>
      </c>
      <c r="AE340" s="185">
        <v>0.50805194805194809</v>
      </c>
      <c r="AF340" s="185">
        <v>0.53479152426520848</v>
      </c>
      <c r="AG340" s="188">
        <v>1956</v>
      </c>
      <c r="AH340" s="185">
        <v>0.50805194805194809</v>
      </c>
      <c r="AI340" s="185">
        <v>0.53479152426520848</v>
      </c>
      <c r="AJ340" s="303">
        <v>1956</v>
      </c>
      <c r="AK340" s="185">
        <v>0.50805194805194809</v>
      </c>
      <c r="AL340" s="185">
        <v>0.53479152426520848</v>
      </c>
      <c r="AM340" s="314">
        <v>1956</v>
      </c>
      <c r="AN340" s="185">
        <v>0.50805194805194809</v>
      </c>
      <c r="AO340" s="185">
        <v>0.53479152426520848</v>
      </c>
      <c r="AP340" s="185"/>
      <c r="AQ340" s="188">
        <v>2533.5</v>
      </c>
      <c r="AR340" s="185">
        <v>0.658051948051948</v>
      </c>
      <c r="AS340" s="185">
        <v>0.69268626110731379</v>
      </c>
      <c r="AT340" s="188">
        <v>2533.5</v>
      </c>
      <c r="AU340" s="185">
        <v>0.658051948051948</v>
      </c>
      <c r="AV340" s="185">
        <v>0.69268626110731379</v>
      </c>
      <c r="AW340" s="185"/>
      <c r="AX340" s="185"/>
      <c r="AY340" s="185"/>
      <c r="AZ340" s="185"/>
      <c r="BA340" s="185"/>
      <c r="BB340" s="185"/>
      <c r="BC340" s="188">
        <v>2533.5</v>
      </c>
      <c r="BD340" s="185">
        <v>0.658051948051948</v>
      </c>
      <c r="BE340" s="185">
        <v>0.69268626110731379</v>
      </c>
      <c r="BF340" s="188"/>
      <c r="BG340" s="188">
        <v>2676</v>
      </c>
      <c r="BH340" s="185">
        <v>0.69506493506493505</v>
      </c>
      <c r="BI340" s="185">
        <v>0.73164730006835266</v>
      </c>
      <c r="BJ340" s="188">
        <f t="shared" si="326"/>
        <v>3657.5</v>
      </c>
      <c r="BK340" s="188">
        <f>BK341+BK342</f>
        <v>2788</v>
      </c>
      <c r="BL340" s="185">
        <f t="shared" si="311"/>
        <v>0.72415584415584411</v>
      </c>
      <c r="BM340" s="185">
        <f t="shared" si="328"/>
        <v>0.76226930963773065</v>
      </c>
      <c r="BN340" s="205">
        <f t="shared" si="308"/>
        <v>832</v>
      </c>
      <c r="BO340" s="205"/>
      <c r="BP340" s="189">
        <f>BP341+BP342</f>
        <v>0</v>
      </c>
      <c r="BQ340" s="186">
        <f t="shared" si="312"/>
        <v>0</v>
      </c>
      <c r="BR340" s="189">
        <f>BR341+BR342</f>
        <v>0</v>
      </c>
      <c r="BS340" s="186">
        <f t="shared" si="313"/>
        <v>0</v>
      </c>
      <c r="BT340" s="189">
        <f>BT341+BT342</f>
        <v>385</v>
      </c>
      <c r="BU340" s="186">
        <f t="shared" si="314"/>
        <v>0.1</v>
      </c>
      <c r="BV340" s="189">
        <f>BV341+BV342</f>
        <v>770</v>
      </c>
      <c r="BW340" s="186">
        <f t="shared" si="315"/>
        <v>0.2</v>
      </c>
      <c r="BX340" s="189">
        <f>BX341+BX342</f>
        <v>1155</v>
      </c>
      <c r="BY340" s="186">
        <f t="shared" si="316"/>
        <v>0.3</v>
      </c>
      <c r="BZ340" s="189">
        <f>BZ341+BZ342</f>
        <v>1540</v>
      </c>
      <c r="CA340" s="186">
        <f t="shared" si="317"/>
        <v>0.4</v>
      </c>
      <c r="CB340" s="189">
        <f>CB341+CB342</f>
        <v>1925</v>
      </c>
      <c r="CC340" s="186">
        <f t="shared" si="318"/>
        <v>0.5</v>
      </c>
      <c r="CD340" s="189">
        <f>CD341+CD342</f>
        <v>2117.5000000000005</v>
      </c>
      <c r="CE340" s="186">
        <f t="shared" si="319"/>
        <v>0.55000000000000016</v>
      </c>
      <c r="CF340" s="189">
        <f>CF341+CF342</f>
        <v>2695</v>
      </c>
      <c r="CG340" s="186">
        <f t="shared" si="320"/>
        <v>0.7</v>
      </c>
      <c r="CH340" s="189">
        <f>CH341+CH342</f>
        <v>2695</v>
      </c>
      <c r="CI340" s="186">
        <f t="shared" si="321"/>
        <v>0.7</v>
      </c>
      <c r="CJ340" s="189">
        <f>CJ341+CJ342</f>
        <v>2887.5</v>
      </c>
      <c r="CK340" s="186">
        <f t="shared" si="322"/>
        <v>0.75</v>
      </c>
      <c r="CL340" s="189">
        <f>CL341+CL342</f>
        <v>2887.5</v>
      </c>
      <c r="CM340" s="186">
        <f t="shared" si="323"/>
        <v>0.75</v>
      </c>
      <c r="CN340" s="189">
        <f>CN341+CN342</f>
        <v>3657.5</v>
      </c>
      <c r="CO340" s="186">
        <f t="shared" si="324"/>
        <v>0.95</v>
      </c>
      <c r="CP340" s="213" t="str">
        <f t="shared" si="329"/>
        <v>Đạt</v>
      </c>
      <c r="CQ340" s="213" t="str">
        <f t="shared" si="330"/>
        <v>Đạt</v>
      </c>
      <c r="CR340" s="213"/>
      <c r="CS340" s="213"/>
      <c r="CT340" s="231"/>
      <c r="CU340" s="163"/>
      <c r="CW340" s="195"/>
      <c r="CX340" s="196"/>
      <c r="CY340" s="196"/>
      <c r="CZ340" s="197"/>
      <c r="DA340" s="196"/>
      <c r="DB340" s="196"/>
      <c r="DC340" s="196"/>
      <c r="DE340" s="199"/>
      <c r="DF340" s="200"/>
      <c r="DG340" s="181"/>
    </row>
    <row r="341" spans="1:112" s="324" customFormat="1" hidden="1" outlineLevel="1" x14ac:dyDescent="0.25">
      <c r="A341" s="305" t="s">
        <v>34</v>
      </c>
      <c r="B341" s="318" t="s">
        <v>376</v>
      </c>
      <c r="C341" s="306"/>
      <c r="D341" s="307">
        <f>E341+F341</f>
        <v>3000</v>
      </c>
      <c r="E341" s="307"/>
      <c r="F341" s="307">
        <f>G341+H341+K341+M341</f>
        <v>3000</v>
      </c>
      <c r="G341" s="303">
        <v>3000</v>
      </c>
      <c r="H341" s="303"/>
      <c r="I341" s="235"/>
      <c r="J341" s="235"/>
      <c r="K341" s="303"/>
      <c r="L341" s="235"/>
      <c r="M341" s="223"/>
      <c r="N341" s="223"/>
      <c r="O341" s="303">
        <f>G341+I341+L341+N341</f>
        <v>3000</v>
      </c>
      <c r="P341" s="303">
        <v>0</v>
      </c>
      <c r="Q341" s="308">
        <f t="shared" si="325"/>
        <v>0</v>
      </c>
      <c r="R341" s="303"/>
      <c r="S341" s="309">
        <v>0</v>
      </c>
      <c r="T341" s="309">
        <v>0</v>
      </c>
      <c r="U341" s="303"/>
      <c r="V341" s="309">
        <v>0</v>
      </c>
      <c r="W341" s="309">
        <v>0</v>
      </c>
      <c r="X341" s="303"/>
      <c r="Y341" s="309">
        <v>0</v>
      </c>
      <c r="Z341" s="309">
        <v>0</v>
      </c>
      <c r="AA341" s="303"/>
      <c r="AB341" s="309">
        <v>0</v>
      </c>
      <c r="AC341" s="309">
        <v>0</v>
      </c>
      <c r="AD341" s="303">
        <v>1956</v>
      </c>
      <c r="AE341" s="309">
        <v>0.65200000000000002</v>
      </c>
      <c r="AF341" s="309">
        <v>0.68631578947368421</v>
      </c>
      <c r="AG341" s="303">
        <v>1956</v>
      </c>
      <c r="AH341" s="309">
        <v>0.65200000000000002</v>
      </c>
      <c r="AI341" s="309">
        <v>0.68631578947368421</v>
      </c>
      <c r="AJ341" s="303">
        <v>1956</v>
      </c>
      <c r="AK341" s="309">
        <v>0.65200000000000002</v>
      </c>
      <c r="AL341" s="309">
        <v>0.68631578947368421</v>
      </c>
      <c r="AM341" s="303">
        <v>1956</v>
      </c>
      <c r="AN341" s="309">
        <v>0.65200000000000002</v>
      </c>
      <c r="AO341" s="309">
        <v>0.68631578947368421</v>
      </c>
      <c r="AP341" s="309"/>
      <c r="AQ341" s="303">
        <v>2533.5</v>
      </c>
      <c r="AR341" s="309">
        <v>0.84450000000000003</v>
      </c>
      <c r="AS341" s="309">
        <v>0.8889473684210526</v>
      </c>
      <c r="AT341" s="303">
        <v>2533.5</v>
      </c>
      <c r="AU341" s="309">
        <v>0.84450000000000003</v>
      </c>
      <c r="AV341" s="309">
        <v>0.8889473684210526</v>
      </c>
      <c r="AW341" s="309"/>
      <c r="AX341" s="309"/>
      <c r="AY341" s="309"/>
      <c r="AZ341" s="309"/>
      <c r="BA341" s="309"/>
      <c r="BB341" s="309"/>
      <c r="BC341" s="303">
        <v>2533.5</v>
      </c>
      <c r="BD341" s="309">
        <v>0.84450000000000003</v>
      </c>
      <c r="BE341" s="309">
        <v>0.8889473684210526</v>
      </c>
      <c r="BF341" s="303"/>
      <c r="BG341" s="303">
        <v>2676</v>
      </c>
      <c r="BH341" s="309">
        <v>0.89200000000000002</v>
      </c>
      <c r="BI341" s="309">
        <v>0.93894736842105264</v>
      </c>
      <c r="BJ341" s="303">
        <f t="shared" si="326"/>
        <v>2850</v>
      </c>
      <c r="BK341" s="303">
        <v>2788</v>
      </c>
      <c r="BL341" s="309">
        <f t="shared" si="311"/>
        <v>0.92933333333333334</v>
      </c>
      <c r="BM341" s="309">
        <f t="shared" si="328"/>
        <v>0.9782456140350877</v>
      </c>
      <c r="BN341" s="205">
        <f t="shared" si="308"/>
        <v>832</v>
      </c>
      <c r="BO341" s="205"/>
      <c r="BP341" s="310"/>
      <c r="BQ341" s="308">
        <f t="shared" si="312"/>
        <v>0</v>
      </c>
      <c r="BR341" s="310"/>
      <c r="BS341" s="308">
        <f t="shared" si="313"/>
        <v>0</v>
      </c>
      <c r="BT341" s="310">
        <f>$F341*0.1</f>
        <v>300</v>
      </c>
      <c r="BU341" s="308">
        <f t="shared" si="314"/>
        <v>0.1</v>
      </c>
      <c r="BV341" s="310">
        <f>$F341*0.2</f>
        <v>600</v>
      </c>
      <c r="BW341" s="308">
        <f t="shared" si="315"/>
        <v>0.2</v>
      </c>
      <c r="BX341" s="310">
        <f>$F341*0.3</f>
        <v>900</v>
      </c>
      <c r="BY341" s="308">
        <f t="shared" si="316"/>
        <v>0.3</v>
      </c>
      <c r="BZ341" s="310">
        <f>$F341*0.4</f>
        <v>1200</v>
      </c>
      <c r="CA341" s="308">
        <f t="shared" si="317"/>
        <v>0.4</v>
      </c>
      <c r="CB341" s="310">
        <f>$F341*0.5</f>
        <v>1500</v>
      </c>
      <c r="CC341" s="308">
        <f t="shared" si="318"/>
        <v>0.5</v>
      </c>
      <c r="CD341" s="310">
        <f>$F341*0.55</f>
        <v>1650.0000000000002</v>
      </c>
      <c r="CE341" s="308">
        <f t="shared" si="319"/>
        <v>0.55000000000000004</v>
      </c>
      <c r="CF341" s="310">
        <v>2100</v>
      </c>
      <c r="CG341" s="308">
        <f t="shared" si="320"/>
        <v>0.7</v>
      </c>
      <c r="CH341" s="310">
        <f>$F341*0.7</f>
        <v>2100</v>
      </c>
      <c r="CI341" s="308">
        <f t="shared" si="321"/>
        <v>0.7</v>
      </c>
      <c r="CJ341" s="310">
        <f>$F341*0.75</f>
        <v>2250</v>
      </c>
      <c r="CK341" s="308">
        <f t="shared" si="322"/>
        <v>0.75</v>
      </c>
      <c r="CL341" s="310">
        <f>$F341*0.75</f>
        <v>2250</v>
      </c>
      <c r="CM341" s="308">
        <f t="shared" si="323"/>
        <v>0.75</v>
      </c>
      <c r="CN341" s="310">
        <f>$F341*0.95</f>
        <v>2850</v>
      </c>
      <c r="CO341" s="308">
        <f t="shared" si="324"/>
        <v>0.95</v>
      </c>
      <c r="CP341" s="213" t="str">
        <f t="shared" si="329"/>
        <v>Đạt</v>
      </c>
      <c r="CQ341" s="213" t="str">
        <f t="shared" si="330"/>
        <v>Đạt</v>
      </c>
      <c r="CR341" s="312"/>
      <c r="CS341" s="312"/>
      <c r="CT341" s="235"/>
      <c r="CU341" s="163"/>
      <c r="CV341" s="323"/>
      <c r="CW341" s="195"/>
      <c r="CX341" s="196"/>
      <c r="CY341" s="196"/>
      <c r="CZ341" s="197"/>
      <c r="DA341" s="196"/>
      <c r="DB341" s="196"/>
      <c r="DC341" s="196"/>
      <c r="DE341" s="199"/>
      <c r="DF341" s="200"/>
      <c r="DG341" s="181"/>
    </row>
    <row r="342" spans="1:112" ht="25.5" hidden="1" outlineLevel="1" x14ac:dyDescent="0.25">
      <c r="A342" s="305" t="s">
        <v>34</v>
      </c>
      <c r="B342" s="306" t="s">
        <v>377</v>
      </c>
      <c r="C342" s="306"/>
      <c r="D342" s="307">
        <f>E342+F342</f>
        <v>850</v>
      </c>
      <c r="E342" s="307"/>
      <c r="F342" s="307">
        <f>G342+H342+K342+M342</f>
        <v>850</v>
      </c>
      <c r="G342" s="307"/>
      <c r="H342" s="307">
        <v>850</v>
      </c>
      <c r="I342" s="235"/>
      <c r="J342" s="235"/>
      <c r="K342" s="303"/>
      <c r="L342" s="235"/>
      <c r="M342" s="223"/>
      <c r="N342" s="223"/>
      <c r="O342" s="303"/>
      <c r="P342" s="303">
        <v>0</v>
      </c>
      <c r="Q342" s="308">
        <f t="shared" si="325"/>
        <v>0</v>
      </c>
      <c r="R342" s="303"/>
      <c r="S342" s="309">
        <v>0</v>
      </c>
      <c r="T342" s="309">
        <v>0</v>
      </c>
      <c r="U342" s="303"/>
      <c r="V342" s="309">
        <v>0</v>
      </c>
      <c r="W342" s="309">
        <v>0</v>
      </c>
      <c r="X342" s="303"/>
      <c r="Y342" s="309">
        <v>0</v>
      </c>
      <c r="Z342" s="309">
        <v>0</v>
      </c>
      <c r="AA342" s="303"/>
      <c r="AB342" s="309">
        <v>0</v>
      </c>
      <c r="AC342" s="309">
        <v>0</v>
      </c>
      <c r="AD342" s="303"/>
      <c r="AE342" s="309">
        <v>0</v>
      </c>
      <c r="AF342" s="309">
        <v>0</v>
      </c>
      <c r="AG342" s="303"/>
      <c r="AH342" s="309">
        <v>0</v>
      </c>
      <c r="AI342" s="309">
        <v>0</v>
      </c>
      <c r="AJ342" s="188"/>
      <c r="AK342" s="309">
        <v>0</v>
      </c>
      <c r="AL342" s="309">
        <v>0</v>
      </c>
      <c r="AM342" s="303"/>
      <c r="AN342" s="309">
        <v>0</v>
      </c>
      <c r="AO342" s="309">
        <v>0</v>
      </c>
      <c r="AP342" s="309"/>
      <c r="AQ342" s="303"/>
      <c r="AR342" s="309">
        <v>0</v>
      </c>
      <c r="AS342" s="309">
        <v>0</v>
      </c>
      <c r="AT342" s="303"/>
      <c r="AU342" s="309">
        <v>0</v>
      </c>
      <c r="AV342" s="309">
        <v>0</v>
      </c>
      <c r="AW342" s="309"/>
      <c r="AX342" s="309"/>
      <c r="AY342" s="309"/>
      <c r="AZ342" s="309"/>
      <c r="BA342" s="309"/>
      <c r="BB342" s="309"/>
      <c r="BC342" s="303"/>
      <c r="BD342" s="309">
        <v>0</v>
      </c>
      <c r="BE342" s="309">
        <v>0</v>
      </c>
      <c r="BF342" s="303"/>
      <c r="BG342" s="303"/>
      <c r="BH342" s="309">
        <v>0</v>
      </c>
      <c r="BI342" s="309">
        <v>0</v>
      </c>
      <c r="BJ342" s="303">
        <f t="shared" si="326"/>
        <v>807.5</v>
      </c>
      <c r="BK342" s="303"/>
      <c r="BL342" s="309">
        <f t="shared" si="311"/>
        <v>0</v>
      </c>
      <c r="BM342" s="309">
        <f t="shared" si="328"/>
        <v>0</v>
      </c>
      <c r="BN342" s="205">
        <f t="shared" si="308"/>
        <v>0</v>
      </c>
      <c r="BO342" s="205"/>
      <c r="BP342" s="310"/>
      <c r="BQ342" s="308">
        <f t="shared" si="312"/>
        <v>0</v>
      </c>
      <c r="BR342" s="310"/>
      <c r="BS342" s="308">
        <f t="shared" si="313"/>
        <v>0</v>
      </c>
      <c r="BT342" s="310">
        <f>$F342*0.1</f>
        <v>85</v>
      </c>
      <c r="BU342" s="308">
        <f t="shared" si="314"/>
        <v>0.1</v>
      </c>
      <c r="BV342" s="310">
        <f>$F342*0.2</f>
        <v>170</v>
      </c>
      <c r="BW342" s="308">
        <f t="shared" si="315"/>
        <v>0.2</v>
      </c>
      <c r="BX342" s="310">
        <f>$F342*0.3</f>
        <v>255</v>
      </c>
      <c r="BY342" s="308">
        <f t="shared" si="316"/>
        <v>0.3</v>
      </c>
      <c r="BZ342" s="310">
        <f>$F342*0.4</f>
        <v>340</v>
      </c>
      <c r="CA342" s="308">
        <f t="shared" si="317"/>
        <v>0.4</v>
      </c>
      <c r="CB342" s="310">
        <f>$F342*0.5</f>
        <v>425</v>
      </c>
      <c r="CC342" s="308">
        <f t="shared" si="318"/>
        <v>0.5</v>
      </c>
      <c r="CD342" s="310">
        <f>$F342*0.55</f>
        <v>467.50000000000006</v>
      </c>
      <c r="CE342" s="308">
        <f t="shared" si="319"/>
        <v>0.55000000000000004</v>
      </c>
      <c r="CF342" s="310">
        <v>595</v>
      </c>
      <c r="CG342" s="308">
        <f t="shared" si="320"/>
        <v>0.7</v>
      </c>
      <c r="CH342" s="310">
        <f>$F342*0.7</f>
        <v>595</v>
      </c>
      <c r="CI342" s="308">
        <f t="shared" si="321"/>
        <v>0.7</v>
      </c>
      <c r="CJ342" s="310">
        <f>$F342*0.75</f>
        <v>637.5</v>
      </c>
      <c r="CK342" s="308">
        <f t="shared" si="322"/>
        <v>0.75</v>
      </c>
      <c r="CL342" s="310">
        <f>$F342*0.75</f>
        <v>637.5</v>
      </c>
      <c r="CM342" s="308">
        <f t="shared" si="323"/>
        <v>0.75</v>
      </c>
      <c r="CN342" s="310">
        <f>$F342*0.95</f>
        <v>807.5</v>
      </c>
      <c r="CO342" s="308">
        <f t="shared" si="324"/>
        <v>0.95</v>
      </c>
      <c r="CP342" s="213" t="str">
        <f t="shared" si="329"/>
        <v>Không đạt</v>
      </c>
      <c r="CQ342" s="213" t="str">
        <f t="shared" si="330"/>
        <v>Không đạt</v>
      </c>
      <c r="CR342" s="312"/>
      <c r="CS342" s="312"/>
      <c r="CT342" s="235"/>
      <c r="CU342" s="163"/>
      <c r="CW342" s="195"/>
      <c r="CX342" s="196"/>
      <c r="CY342" s="196"/>
      <c r="CZ342" s="197"/>
      <c r="DA342" s="196"/>
      <c r="DB342" s="196"/>
      <c r="DC342" s="196"/>
      <c r="DE342" s="199"/>
      <c r="DF342" s="200"/>
      <c r="DG342" s="181"/>
    </row>
    <row r="343" spans="1:112" ht="18" customHeight="1" collapsed="1" x14ac:dyDescent="0.25">
      <c r="A343" s="316">
        <f>MAX(A$239:A341)+1</f>
        <v>30</v>
      </c>
      <c r="B343" s="240" t="s">
        <v>420</v>
      </c>
      <c r="C343" s="240"/>
      <c r="D343" s="188">
        <f t="shared" ref="D343:I343" si="333">D344+D345</f>
        <v>8100</v>
      </c>
      <c r="E343" s="188">
        <f t="shared" si="333"/>
        <v>0</v>
      </c>
      <c r="F343" s="188">
        <f t="shared" si="333"/>
        <v>8100</v>
      </c>
      <c r="G343" s="188">
        <f t="shared" si="333"/>
        <v>3000</v>
      </c>
      <c r="H343" s="188">
        <f t="shared" si="333"/>
        <v>5100</v>
      </c>
      <c r="I343" s="188">
        <f t="shared" si="333"/>
        <v>0</v>
      </c>
      <c r="J343" s="188"/>
      <c r="K343" s="188">
        <f>K344+K345</f>
        <v>0</v>
      </c>
      <c r="L343" s="188">
        <f>L344+L345</f>
        <v>0</v>
      </c>
      <c r="M343" s="188">
        <f>M344+M345</f>
        <v>0</v>
      </c>
      <c r="N343" s="188">
        <f>N344+N345</f>
        <v>0</v>
      </c>
      <c r="O343" s="188">
        <f>O344+O345</f>
        <v>3000</v>
      </c>
      <c r="P343" s="188">
        <v>0</v>
      </c>
      <c r="Q343" s="186">
        <f t="shared" si="325"/>
        <v>0</v>
      </c>
      <c r="R343" s="188">
        <v>0</v>
      </c>
      <c r="S343" s="185">
        <v>0</v>
      </c>
      <c r="T343" s="185">
        <v>0</v>
      </c>
      <c r="U343" s="188">
        <v>0</v>
      </c>
      <c r="V343" s="185">
        <v>0</v>
      </c>
      <c r="W343" s="185">
        <v>0</v>
      </c>
      <c r="X343" s="188">
        <v>0</v>
      </c>
      <c r="Y343" s="185">
        <v>0</v>
      </c>
      <c r="Z343" s="185">
        <v>0</v>
      </c>
      <c r="AA343" s="188">
        <v>0</v>
      </c>
      <c r="AB343" s="185">
        <v>0</v>
      </c>
      <c r="AC343" s="185">
        <v>0</v>
      </c>
      <c r="AD343" s="188">
        <v>1122</v>
      </c>
      <c r="AE343" s="185">
        <v>0.13851851851851851</v>
      </c>
      <c r="AF343" s="185">
        <v>0.14580896686159844</v>
      </c>
      <c r="AG343" s="188">
        <v>1122</v>
      </c>
      <c r="AH343" s="185">
        <v>0.13851851851851851</v>
      </c>
      <c r="AI343" s="185">
        <v>0.14580896686159844</v>
      </c>
      <c r="AJ343" s="303">
        <v>1122</v>
      </c>
      <c r="AK343" s="185">
        <v>0.13851851851851851</v>
      </c>
      <c r="AL343" s="185">
        <v>0.14580896686159844</v>
      </c>
      <c r="AM343" s="188">
        <v>1484</v>
      </c>
      <c r="AN343" s="185">
        <v>0.18320987654320989</v>
      </c>
      <c r="AO343" s="185">
        <v>0.19285250162443146</v>
      </c>
      <c r="AP343" s="185"/>
      <c r="AQ343" s="188">
        <v>1484</v>
      </c>
      <c r="AR343" s="185">
        <v>0.18320987654320989</v>
      </c>
      <c r="AS343" s="185">
        <v>0.19285250162443146</v>
      </c>
      <c r="AT343" s="188">
        <v>1955.328</v>
      </c>
      <c r="AU343" s="185">
        <v>0.24139851851851851</v>
      </c>
      <c r="AV343" s="185">
        <v>0.25410370370370372</v>
      </c>
      <c r="AW343" s="185"/>
      <c r="AX343" s="185"/>
      <c r="AY343" s="185"/>
      <c r="AZ343" s="185"/>
      <c r="BA343" s="185"/>
      <c r="BB343" s="185"/>
      <c r="BC343" s="188">
        <v>1955.328</v>
      </c>
      <c r="BD343" s="185">
        <v>0.24139851851851851</v>
      </c>
      <c r="BE343" s="185">
        <v>0.25410370370370372</v>
      </c>
      <c r="BF343" s="188"/>
      <c r="BG343" s="188">
        <v>2768</v>
      </c>
      <c r="BH343" s="185">
        <v>0.34172839506172842</v>
      </c>
      <c r="BI343" s="185">
        <v>0.35971410006497728</v>
      </c>
      <c r="BJ343" s="188">
        <f t="shared" si="326"/>
        <v>7695</v>
      </c>
      <c r="BK343" s="188">
        <f>BK344+BK345</f>
        <v>4075.9832000000001</v>
      </c>
      <c r="BL343" s="185">
        <f t="shared" si="311"/>
        <v>0.50320780246913577</v>
      </c>
      <c r="BM343" s="185">
        <f t="shared" si="328"/>
        <v>0.52969242365172187</v>
      </c>
      <c r="BN343" s="205">
        <f t="shared" si="308"/>
        <v>2953.9832000000001</v>
      </c>
      <c r="BO343" s="205"/>
      <c r="BP343" s="189">
        <f>BP344+BP345</f>
        <v>0</v>
      </c>
      <c r="BQ343" s="186">
        <f t="shared" si="312"/>
        <v>0</v>
      </c>
      <c r="BR343" s="189">
        <f>BR344+BR345</f>
        <v>0</v>
      </c>
      <c r="BS343" s="186">
        <f t="shared" si="313"/>
        <v>0</v>
      </c>
      <c r="BT343" s="189">
        <f>BT344+BT345</f>
        <v>810</v>
      </c>
      <c r="BU343" s="186">
        <f t="shared" si="314"/>
        <v>0.1</v>
      </c>
      <c r="BV343" s="189">
        <f>BV344+BV345</f>
        <v>1620</v>
      </c>
      <c r="BW343" s="186">
        <f t="shared" si="315"/>
        <v>0.2</v>
      </c>
      <c r="BX343" s="189">
        <f>BX344+BX345</f>
        <v>2430</v>
      </c>
      <c r="BY343" s="186">
        <f t="shared" si="316"/>
        <v>0.3</v>
      </c>
      <c r="BZ343" s="189">
        <f>BZ344+BZ345</f>
        <v>3240</v>
      </c>
      <c r="CA343" s="186">
        <f t="shared" si="317"/>
        <v>0.4</v>
      </c>
      <c r="CB343" s="189">
        <f>CB344+CB345</f>
        <v>4050</v>
      </c>
      <c r="CC343" s="186">
        <f t="shared" si="318"/>
        <v>0.5</v>
      </c>
      <c r="CD343" s="189">
        <f>CD344+CD345</f>
        <v>4455</v>
      </c>
      <c r="CE343" s="186">
        <f t="shared" si="319"/>
        <v>0.55000000000000004</v>
      </c>
      <c r="CF343" s="189">
        <f>CF344+CF345</f>
        <v>5670</v>
      </c>
      <c r="CG343" s="186">
        <f t="shared" si="320"/>
        <v>0.7</v>
      </c>
      <c r="CH343" s="189">
        <f>CH344+CH345</f>
        <v>5670</v>
      </c>
      <c r="CI343" s="186">
        <f t="shared" si="321"/>
        <v>0.7</v>
      </c>
      <c r="CJ343" s="189">
        <f>CJ344+CJ345</f>
        <v>6075</v>
      </c>
      <c r="CK343" s="186">
        <f t="shared" si="322"/>
        <v>0.75</v>
      </c>
      <c r="CL343" s="189">
        <f>CL344+CL345</f>
        <v>6075</v>
      </c>
      <c r="CM343" s="186">
        <f t="shared" si="323"/>
        <v>0.75</v>
      </c>
      <c r="CN343" s="189">
        <f>CN344+CN345</f>
        <v>7695</v>
      </c>
      <c r="CO343" s="186">
        <f t="shared" si="324"/>
        <v>0.95</v>
      </c>
      <c r="CP343" s="213" t="str">
        <f t="shared" si="329"/>
        <v>Đạt</v>
      </c>
      <c r="CQ343" s="213" t="str">
        <f t="shared" si="330"/>
        <v>Đạt</v>
      </c>
      <c r="CR343" s="213"/>
      <c r="CS343" s="213"/>
      <c r="CT343" s="231"/>
      <c r="CU343" s="163"/>
      <c r="CW343" s="195"/>
      <c r="CX343" s="196"/>
      <c r="CY343" s="196"/>
      <c r="CZ343" s="197"/>
      <c r="DA343" s="196"/>
      <c r="DB343" s="196"/>
      <c r="DC343" s="196"/>
      <c r="DE343" s="199"/>
      <c r="DF343" s="200"/>
      <c r="DG343" s="181"/>
    </row>
    <row r="344" spans="1:112" s="324" customFormat="1" hidden="1" outlineLevel="1" x14ac:dyDescent="0.25">
      <c r="A344" s="305" t="s">
        <v>34</v>
      </c>
      <c r="B344" s="318" t="s">
        <v>376</v>
      </c>
      <c r="C344" s="306"/>
      <c r="D344" s="307">
        <f>E344+F344</f>
        <v>3000</v>
      </c>
      <c r="E344" s="307"/>
      <c r="F344" s="307">
        <f>G344+H344+K344+M344</f>
        <v>3000</v>
      </c>
      <c r="G344" s="303">
        <v>3000</v>
      </c>
      <c r="H344" s="303"/>
      <c r="I344" s="235"/>
      <c r="J344" s="235"/>
      <c r="K344" s="303"/>
      <c r="L344" s="235"/>
      <c r="M344" s="223"/>
      <c r="N344" s="223"/>
      <c r="O344" s="303">
        <f>G344+I344+L344+N344</f>
        <v>3000</v>
      </c>
      <c r="P344" s="303">
        <v>0</v>
      </c>
      <c r="Q344" s="308">
        <f t="shared" si="325"/>
        <v>0</v>
      </c>
      <c r="R344" s="303"/>
      <c r="S344" s="309">
        <v>0</v>
      </c>
      <c r="T344" s="309">
        <v>0</v>
      </c>
      <c r="U344" s="303"/>
      <c r="V344" s="309">
        <v>0</v>
      </c>
      <c r="W344" s="309">
        <v>0</v>
      </c>
      <c r="X344" s="303"/>
      <c r="Y344" s="309">
        <v>0</v>
      </c>
      <c r="Z344" s="309">
        <v>0</v>
      </c>
      <c r="AA344" s="303"/>
      <c r="AB344" s="309">
        <v>0</v>
      </c>
      <c r="AC344" s="309">
        <v>0</v>
      </c>
      <c r="AD344" s="303">
        <v>1122</v>
      </c>
      <c r="AE344" s="309">
        <v>0.374</v>
      </c>
      <c r="AF344" s="309">
        <v>0.3936842105263158</v>
      </c>
      <c r="AG344" s="303">
        <v>1122</v>
      </c>
      <c r="AH344" s="309">
        <v>0.374</v>
      </c>
      <c r="AI344" s="309">
        <v>0.3936842105263158</v>
      </c>
      <c r="AJ344" s="303">
        <v>1122</v>
      </c>
      <c r="AK344" s="309">
        <v>0.374</v>
      </c>
      <c r="AL344" s="309">
        <v>0.3936842105263158</v>
      </c>
      <c r="AM344" s="303">
        <v>1484</v>
      </c>
      <c r="AN344" s="309">
        <v>0.49466666666666664</v>
      </c>
      <c r="AO344" s="309">
        <v>0.52070175438596489</v>
      </c>
      <c r="AP344" s="309"/>
      <c r="AQ344" s="303">
        <v>1484</v>
      </c>
      <c r="AR344" s="309">
        <v>0.49466666666666664</v>
      </c>
      <c r="AS344" s="309">
        <v>0.52070175438596489</v>
      </c>
      <c r="AT344" s="303">
        <v>1955.328</v>
      </c>
      <c r="AU344" s="309">
        <v>0.65177600000000002</v>
      </c>
      <c r="AV344" s="309">
        <v>0.68608000000000002</v>
      </c>
      <c r="AW344" s="309"/>
      <c r="AX344" s="309"/>
      <c r="AY344" s="309"/>
      <c r="AZ344" s="309"/>
      <c r="BA344" s="309"/>
      <c r="BB344" s="309"/>
      <c r="BC344" s="303">
        <v>1955.328</v>
      </c>
      <c r="BD344" s="309">
        <v>0.65177600000000002</v>
      </c>
      <c r="BE344" s="309">
        <v>0.68608000000000002</v>
      </c>
      <c r="BF344" s="303"/>
      <c r="BG344" s="303">
        <v>963</v>
      </c>
      <c r="BH344" s="309">
        <v>0.32100000000000001</v>
      </c>
      <c r="BI344" s="309">
        <v>0.33789473684210525</v>
      </c>
      <c r="BJ344" s="303">
        <f t="shared" si="326"/>
        <v>2850</v>
      </c>
      <c r="BK344" s="303">
        <v>1419.509</v>
      </c>
      <c r="BL344" s="309">
        <f t="shared" si="311"/>
        <v>0.47316966666666666</v>
      </c>
      <c r="BM344" s="309">
        <f t="shared" si="328"/>
        <v>0.49807333333333331</v>
      </c>
      <c r="BN344" s="205">
        <f t="shared" si="308"/>
        <v>297.50900000000001</v>
      </c>
      <c r="BO344" s="205"/>
      <c r="BP344" s="310"/>
      <c r="BQ344" s="308">
        <f t="shared" si="312"/>
        <v>0</v>
      </c>
      <c r="BR344" s="310"/>
      <c r="BS344" s="308">
        <f t="shared" si="313"/>
        <v>0</v>
      </c>
      <c r="BT344" s="310">
        <f>$F344*0.1</f>
        <v>300</v>
      </c>
      <c r="BU344" s="308">
        <f t="shared" si="314"/>
        <v>0.1</v>
      </c>
      <c r="BV344" s="310">
        <f>$F344*0.2</f>
        <v>600</v>
      </c>
      <c r="BW344" s="308">
        <f t="shared" si="315"/>
        <v>0.2</v>
      </c>
      <c r="BX344" s="310">
        <f>$F344*0.3</f>
        <v>900</v>
      </c>
      <c r="BY344" s="308">
        <f t="shared" si="316"/>
        <v>0.3</v>
      </c>
      <c r="BZ344" s="310">
        <f>$F344*0.4</f>
        <v>1200</v>
      </c>
      <c r="CA344" s="308">
        <f t="shared" si="317"/>
        <v>0.4</v>
      </c>
      <c r="CB344" s="310">
        <f>$F344*0.5</f>
        <v>1500</v>
      </c>
      <c r="CC344" s="308">
        <f t="shared" si="318"/>
        <v>0.5</v>
      </c>
      <c r="CD344" s="310">
        <f>$F344*0.55</f>
        <v>1650.0000000000002</v>
      </c>
      <c r="CE344" s="308">
        <f t="shared" si="319"/>
        <v>0.55000000000000004</v>
      </c>
      <c r="CF344" s="310">
        <v>2100</v>
      </c>
      <c r="CG344" s="308">
        <f t="shared" si="320"/>
        <v>0.7</v>
      </c>
      <c r="CH344" s="310">
        <f>$F344*0.7</f>
        <v>2100</v>
      </c>
      <c r="CI344" s="308">
        <f t="shared" si="321"/>
        <v>0.7</v>
      </c>
      <c r="CJ344" s="310">
        <f>$F344*0.75</f>
        <v>2250</v>
      </c>
      <c r="CK344" s="308">
        <f t="shared" si="322"/>
        <v>0.75</v>
      </c>
      <c r="CL344" s="310">
        <f>$F344*0.75</f>
        <v>2250</v>
      </c>
      <c r="CM344" s="308">
        <f t="shared" si="323"/>
        <v>0.75</v>
      </c>
      <c r="CN344" s="310">
        <f>$F344*0.95</f>
        <v>2850</v>
      </c>
      <c r="CO344" s="308">
        <f t="shared" si="324"/>
        <v>0.95</v>
      </c>
      <c r="CP344" s="213" t="str">
        <f t="shared" si="329"/>
        <v>Đạt</v>
      </c>
      <c r="CQ344" s="213" t="str">
        <f t="shared" si="330"/>
        <v>Đạt</v>
      </c>
      <c r="CR344" s="312"/>
      <c r="CS344" s="312"/>
      <c r="CT344" s="235"/>
      <c r="CU344" s="163"/>
      <c r="CV344" s="323"/>
      <c r="CW344" s="195"/>
      <c r="CX344" s="196"/>
      <c r="CY344" s="196"/>
      <c r="CZ344" s="197"/>
      <c r="DA344" s="196"/>
      <c r="DB344" s="196"/>
      <c r="DC344" s="196"/>
      <c r="DE344" s="199"/>
      <c r="DF344" s="200"/>
      <c r="DG344" s="181"/>
    </row>
    <row r="345" spans="1:112" ht="25.5" hidden="1" outlineLevel="1" x14ac:dyDescent="0.25">
      <c r="A345" s="305" t="s">
        <v>34</v>
      </c>
      <c r="B345" s="306" t="s">
        <v>377</v>
      </c>
      <c r="C345" s="306"/>
      <c r="D345" s="307">
        <f>E345+F345</f>
        <v>5100</v>
      </c>
      <c r="E345" s="307"/>
      <c r="F345" s="307">
        <f>G345+H345+K345+M345</f>
        <v>5100</v>
      </c>
      <c r="G345" s="307"/>
      <c r="H345" s="307">
        <v>5100</v>
      </c>
      <c r="I345" s="235"/>
      <c r="J345" s="235"/>
      <c r="K345" s="303"/>
      <c r="L345" s="235"/>
      <c r="M345" s="223"/>
      <c r="N345" s="223"/>
      <c r="O345" s="303"/>
      <c r="P345" s="303">
        <v>0</v>
      </c>
      <c r="Q345" s="308">
        <f t="shared" si="325"/>
        <v>0</v>
      </c>
      <c r="R345" s="303"/>
      <c r="S345" s="309">
        <v>0</v>
      </c>
      <c r="T345" s="309">
        <v>0</v>
      </c>
      <c r="U345" s="303"/>
      <c r="V345" s="309">
        <v>0</v>
      </c>
      <c r="W345" s="309">
        <v>0</v>
      </c>
      <c r="X345" s="303"/>
      <c r="Y345" s="309">
        <v>0</v>
      </c>
      <c r="Z345" s="309">
        <v>0</v>
      </c>
      <c r="AA345" s="303"/>
      <c r="AB345" s="309">
        <v>0</v>
      </c>
      <c r="AC345" s="309">
        <v>0</v>
      </c>
      <c r="AD345" s="303"/>
      <c r="AE345" s="309">
        <v>0</v>
      </c>
      <c r="AF345" s="309">
        <v>0</v>
      </c>
      <c r="AG345" s="303"/>
      <c r="AH345" s="309">
        <v>0</v>
      </c>
      <c r="AI345" s="309">
        <v>0</v>
      </c>
      <c r="AJ345" s="188"/>
      <c r="AK345" s="309">
        <v>0</v>
      </c>
      <c r="AL345" s="309">
        <v>0</v>
      </c>
      <c r="AM345" s="303"/>
      <c r="AN345" s="309">
        <v>0</v>
      </c>
      <c r="AO345" s="309">
        <v>0</v>
      </c>
      <c r="AP345" s="309"/>
      <c r="AQ345" s="303"/>
      <c r="AR345" s="309">
        <v>0</v>
      </c>
      <c r="AS345" s="309">
        <v>0</v>
      </c>
      <c r="AT345" s="303"/>
      <c r="AU345" s="309">
        <v>0</v>
      </c>
      <c r="AV345" s="309">
        <v>0</v>
      </c>
      <c r="AW345" s="309"/>
      <c r="AX345" s="309"/>
      <c r="AY345" s="309"/>
      <c r="AZ345" s="309"/>
      <c r="BA345" s="309"/>
      <c r="BB345" s="309"/>
      <c r="BC345" s="303"/>
      <c r="BD345" s="309">
        <v>0</v>
      </c>
      <c r="BE345" s="309">
        <v>0</v>
      </c>
      <c r="BF345" s="303"/>
      <c r="BG345" s="303">
        <v>1805</v>
      </c>
      <c r="BH345" s="309">
        <v>0.353921568627451</v>
      </c>
      <c r="BI345" s="309">
        <v>0.37254901960784315</v>
      </c>
      <c r="BJ345" s="303">
        <f t="shared" si="326"/>
        <v>4845</v>
      </c>
      <c r="BK345" s="303">
        <v>2656.4742000000001</v>
      </c>
      <c r="BL345" s="309">
        <f t="shared" si="311"/>
        <v>0.52087729411764705</v>
      </c>
      <c r="BM345" s="309">
        <f t="shared" si="328"/>
        <v>0.54829188854489164</v>
      </c>
      <c r="BN345" s="205">
        <f t="shared" si="308"/>
        <v>2656.4742000000001</v>
      </c>
      <c r="BO345" s="205"/>
      <c r="BP345" s="310"/>
      <c r="BQ345" s="308">
        <f t="shared" si="312"/>
        <v>0</v>
      </c>
      <c r="BR345" s="310"/>
      <c r="BS345" s="308">
        <f t="shared" si="313"/>
        <v>0</v>
      </c>
      <c r="BT345" s="310">
        <f>$F345*0.1</f>
        <v>510</v>
      </c>
      <c r="BU345" s="308">
        <f t="shared" si="314"/>
        <v>0.1</v>
      </c>
      <c r="BV345" s="310">
        <f>$F345*0.2</f>
        <v>1020</v>
      </c>
      <c r="BW345" s="308">
        <f t="shared" si="315"/>
        <v>0.2</v>
      </c>
      <c r="BX345" s="310">
        <f>$F345*0.3</f>
        <v>1530</v>
      </c>
      <c r="BY345" s="308">
        <f t="shared" si="316"/>
        <v>0.3</v>
      </c>
      <c r="BZ345" s="310">
        <f>$F345*0.4</f>
        <v>2040</v>
      </c>
      <c r="CA345" s="308">
        <f t="shared" si="317"/>
        <v>0.4</v>
      </c>
      <c r="CB345" s="310">
        <f>$F345*0.5</f>
        <v>2550</v>
      </c>
      <c r="CC345" s="308">
        <f t="shared" si="318"/>
        <v>0.5</v>
      </c>
      <c r="CD345" s="310">
        <f>$F345*0.55</f>
        <v>2805</v>
      </c>
      <c r="CE345" s="308">
        <f t="shared" si="319"/>
        <v>0.55000000000000004</v>
      </c>
      <c r="CF345" s="310">
        <v>3570</v>
      </c>
      <c r="CG345" s="308">
        <f t="shared" si="320"/>
        <v>0.7</v>
      </c>
      <c r="CH345" s="310">
        <f>$F345*0.7</f>
        <v>3570</v>
      </c>
      <c r="CI345" s="308">
        <f t="shared" si="321"/>
        <v>0.7</v>
      </c>
      <c r="CJ345" s="310">
        <f>$F345*0.75</f>
        <v>3825</v>
      </c>
      <c r="CK345" s="308">
        <f t="shared" si="322"/>
        <v>0.75</v>
      </c>
      <c r="CL345" s="310">
        <f>$F345*0.75</f>
        <v>3825</v>
      </c>
      <c r="CM345" s="308">
        <f t="shared" si="323"/>
        <v>0.75</v>
      </c>
      <c r="CN345" s="310">
        <f>$F345*0.95</f>
        <v>4845</v>
      </c>
      <c r="CO345" s="308">
        <f t="shared" si="324"/>
        <v>0.95</v>
      </c>
      <c r="CP345" s="213" t="str">
        <f t="shared" si="329"/>
        <v>Đạt</v>
      </c>
      <c r="CQ345" s="213" t="str">
        <f t="shared" si="330"/>
        <v>Đạt</v>
      </c>
      <c r="CR345" s="312"/>
      <c r="CS345" s="312"/>
      <c r="CT345" s="235"/>
      <c r="CU345" s="163"/>
      <c r="CW345" s="195"/>
      <c r="CX345" s="196"/>
      <c r="CY345" s="196"/>
      <c r="CZ345" s="197"/>
      <c r="DA345" s="196"/>
      <c r="DB345" s="196"/>
      <c r="DC345" s="196"/>
      <c r="DE345" s="199"/>
      <c r="DF345" s="200"/>
      <c r="DG345" s="181"/>
    </row>
    <row r="346" spans="1:112" ht="18" customHeight="1" collapsed="1" x14ac:dyDescent="0.25">
      <c r="A346" s="213">
        <f>MAX(A$239:A344)+1</f>
        <v>31</v>
      </c>
      <c r="B346" s="240" t="s">
        <v>421</v>
      </c>
      <c r="C346" s="240"/>
      <c r="D346" s="188">
        <f t="shared" ref="D346:I346" si="334">D347+D348</f>
        <v>4700</v>
      </c>
      <c r="E346" s="188">
        <f t="shared" si="334"/>
        <v>0</v>
      </c>
      <c r="F346" s="188">
        <f t="shared" si="334"/>
        <v>4700</v>
      </c>
      <c r="G346" s="188">
        <f t="shared" si="334"/>
        <v>3000</v>
      </c>
      <c r="H346" s="188">
        <f t="shared" si="334"/>
        <v>1700</v>
      </c>
      <c r="I346" s="188">
        <f t="shared" si="334"/>
        <v>0</v>
      </c>
      <c r="J346" s="188"/>
      <c r="K346" s="188">
        <f>K347+K348</f>
        <v>0</v>
      </c>
      <c r="L346" s="188">
        <f>L347+L348</f>
        <v>0</v>
      </c>
      <c r="M346" s="188">
        <f>M347+M348</f>
        <v>0</v>
      </c>
      <c r="N346" s="188">
        <f>N347+N348</f>
        <v>0</v>
      </c>
      <c r="O346" s="188">
        <f>O347+O348</f>
        <v>3000</v>
      </c>
      <c r="P346" s="188">
        <v>0</v>
      </c>
      <c r="Q346" s="186">
        <f t="shared" si="325"/>
        <v>0</v>
      </c>
      <c r="R346" s="188">
        <v>0</v>
      </c>
      <c r="S346" s="185">
        <v>0</v>
      </c>
      <c r="T346" s="185">
        <v>0</v>
      </c>
      <c r="U346" s="188">
        <v>0</v>
      </c>
      <c r="V346" s="185">
        <v>0</v>
      </c>
      <c r="W346" s="185">
        <v>0</v>
      </c>
      <c r="X346" s="188">
        <v>0</v>
      </c>
      <c r="Y346" s="185">
        <v>0</v>
      </c>
      <c r="Z346" s="185">
        <v>0</v>
      </c>
      <c r="AA346" s="188">
        <v>0</v>
      </c>
      <c r="AB346" s="185">
        <v>0</v>
      </c>
      <c r="AC346" s="185">
        <v>0</v>
      </c>
      <c r="AD346" s="188">
        <v>1088</v>
      </c>
      <c r="AE346" s="185">
        <v>0.23148936170212767</v>
      </c>
      <c r="AF346" s="185">
        <v>0.24367301231802913</v>
      </c>
      <c r="AG346" s="188">
        <v>1088</v>
      </c>
      <c r="AH346" s="185">
        <v>0.23148936170212767</v>
      </c>
      <c r="AI346" s="185">
        <v>0.24367301231802913</v>
      </c>
      <c r="AJ346" s="303">
        <v>1088</v>
      </c>
      <c r="AK346" s="185">
        <v>0.23148936170212767</v>
      </c>
      <c r="AL346" s="185">
        <v>0.24367301231802913</v>
      </c>
      <c r="AM346" s="314">
        <v>1088</v>
      </c>
      <c r="AN346" s="185">
        <v>0.23148936170212767</v>
      </c>
      <c r="AO346" s="185">
        <v>0.24367301231802913</v>
      </c>
      <c r="AP346" s="185"/>
      <c r="AQ346" s="188">
        <v>1088</v>
      </c>
      <c r="AR346" s="185">
        <v>0.23148936170212767</v>
      </c>
      <c r="AS346" s="185">
        <v>0.24367301231802913</v>
      </c>
      <c r="AT346" s="188">
        <v>1088</v>
      </c>
      <c r="AU346" s="185">
        <v>0.23148936170212767</v>
      </c>
      <c r="AV346" s="185">
        <v>0.24367301231802913</v>
      </c>
      <c r="AW346" s="185"/>
      <c r="AX346" s="185"/>
      <c r="AY346" s="185"/>
      <c r="AZ346" s="185"/>
      <c r="BA346" s="185"/>
      <c r="BB346" s="185"/>
      <c r="BC346" s="188">
        <v>1088</v>
      </c>
      <c r="BD346" s="185">
        <v>0.23148936170212767</v>
      </c>
      <c r="BE346" s="185">
        <v>0.24367301231802913</v>
      </c>
      <c r="BF346" s="188"/>
      <c r="BG346" s="188">
        <v>1088</v>
      </c>
      <c r="BH346" s="185">
        <v>0.23148936170212767</v>
      </c>
      <c r="BI346" s="185">
        <v>0.24367301231802913</v>
      </c>
      <c r="BJ346" s="188">
        <f t="shared" si="326"/>
        <v>4465</v>
      </c>
      <c r="BK346" s="188">
        <f>BK347+BK348</f>
        <v>1088</v>
      </c>
      <c r="BL346" s="185">
        <f t="shared" si="311"/>
        <v>0.23148936170212767</v>
      </c>
      <c r="BM346" s="185">
        <f t="shared" si="328"/>
        <v>0.24367301231802913</v>
      </c>
      <c r="BN346" s="205">
        <f t="shared" si="308"/>
        <v>0</v>
      </c>
      <c r="BO346" s="205"/>
      <c r="BP346" s="189">
        <f>BP347+BP348</f>
        <v>0</v>
      </c>
      <c r="BQ346" s="186">
        <f t="shared" si="312"/>
        <v>0</v>
      </c>
      <c r="BR346" s="189">
        <f>BR347+BR348</f>
        <v>0</v>
      </c>
      <c r="BS346" s="186">
        <f t="shared" si="313"/>
        <v>0</v>
      </c>
      <c r="BT346" s="189">
        <f>BT347+BT348</f>
        <v>470</v>
      </c>
      <c r="BU346" s="186">
        <f t="shared" si="314"/>
        <v>0.1</v>
      </c>
      <c r="BV346" s="189">
        <f>BV347+BV348</f>
        <v>940</v>
      </c>
      <c r="BW346" s="186">
        <f t="shared" si="315"/>
        <v>0.2</v>
      </c>
      <c r="BX346" s="189">
        <f>BX347+BX348</f>
        <v>1410</v>
      </c>
      <c r="BY346" s="186">
        <f t="shared" si="316"/>
        <v>0.3</v>
      </c>
      <c r="BZ346" s="189">
        <f>BZ347+BZ348</f>
        <v>1880</v>
      </c>
      <c r="CA346" s="186">
        <f t="shared" si="317"/>
        <v>0.4</v>
      </c>
      <c r="CB346" s="189">
        <f>CB347+CB348</f>
        <v>2350</v>
      </c>
      <c r="CC346" s="186">
        <f t="shared" si="318"/>
        <v>0.5</v>
      </c>
      <c r="CD346" s="189">
        <f>CD347+CD348</f>
        <v>2585.0000000000005</v>
      </c>
      <c r="CE346" s="186">
        <f t="shared" si="319"/>
        <v>0.55000000000000004</v>
      </c>
      <c r="CF346" s="189">
        <f>CF347+CF348</f>
        <v>3290</v>
      </c>
      <c r="CG346" s="186">
        <f t="shared" si="320"/>
        <v>0.7</v>
      </c>
      <c r="CH346" s="189">
        <f>CH347+CH348</f>
        <v>3290</v>
      </c>
      <c r="CI346" s="186">
        <f t="shared" si="321"/>
        <v>0.7</v>
      </c>
      <c r="CJ346" s="189">
        <f>CJ347+CJ348</f>
        <v>3525</v>
      </c>
      <c r="CK346" s="186">
        <f t="shared" si="322"/>
        <v>0.75</v>
      </c>
      <c r="CL346" s="189">
        <f>CL347+CL348</f>
        <v>3525</v>
      </c>
      <c r="CM346" s="186">
        <f t="shared" si="323"/>
        <v>0.75</v>
      </c>
      <c r="CN346" s="189">
        <f>CN347+CN348</f>
        <v>4465</v>
      </c>
      <c r="CO346" s="186">
        <f t="shared" si="324"/>
        <v>0.95</v>
      </c>
      <c r="CP346" s="213" t="str">
        <f t="shared" si="329"/>
        <v>Không đạt</v>
      </c>
      <c r="CQ346" s="213" t="str">
        <f t="shared" si="330"/>
        <v>Không đạt</v>
      </c>
      <c r="CR346" s="213"/>
      <c r="CS346" s="213"/>
      <c r="CT346" s="231"/>
      <c r="CU346" s="163"/>
      <c r="CW346" s="195"/>
      <c r="CX346" s="196"/>
      <c r="CY346" s="196"/>
      <c r="CZ346" s="197"/>
      <c r="DA346" s="196"/>
      <c r="DB346" s="196"/>
      <c r="DC346" s="196"/>
      <c r="DE346" s="199"/>
      <c r="DF346" s="200"/>
      <c r="DG346" s="181"/>
    </row>
    <row r="347" spans="1:112" s="324" customFormat="1" hidden="1" outlineLevel="1" x14ac:dyDescent="0.25">
      <c r="A347" s="305" t="s">
        <v>34</v>
      </c>
      <c r="B347" s="318" t="s">
        <v>376</v>
      </c>
      <c r="C347" s="306"/>
      <c r="D347" s="307">
        <f>E347+F347</f>
        <v>3000</v>
      </c>
      <c r="E347" s="307"/>
      <c r="F347" s="307">
        <f>G347+H347+K347+M347</f>
        <v>3000</v>
      </c>
      <c r="G347" s="303">
        <v>3000</v>
      </c>
      <c r="H347" s="303"/>
      <c r="I347" s="235"/>
      <c r="J347" s="235"/>
      <c r="K347" s="303"/>
      <c r="L347" s="235"/>
      <c r="M347" s="223"/>
      <c r="N347" s="223"/>
      <c r="O347" s="303">
        <f>G347+I347+L347+N347</f>
        <v>3000</v>
      </c>
      <c r="P347" s="303">
        <v>0</v>
      </c>
      <c r="Q347" s="308">
        <f t="shared" si="325"/>
        <v>0</v>
      </c>
      <c r="R347" s="303"/>
      <c r="S347" s="309">
        <v>0</v>
      </c>
      <c r="T347" s="309">
        <v>0</v>
      </c>
      <c r="U347" s="303"/>
      <c r="V347" s="309">
        <v>0</v>
      </c>
      <c r="W347" s="309">
        <v>0</v>
      </c>
      <c r="X347" s="303"/>
      <c r="Y347" s="309">
        <v>0</v>
      </c>
      <c r="Z347" s="309">
        <v>0</v>
      </c>
      <c r="AA347" s="303"/>
      <c r="AB347" s="309">
        <v>0</v>
      </c>
      <c r="AC347" s="309">
        <v>0</v>
      </c>
      <c r="AD347" s="303">
        <v>1088</v>
      </c>
      <c r="AE347" s="309">
        <v>0.36266666666666669</v>
      </c>
      <c r="AF347" s="309">
        <v>0.38175438596491229</v>
      </c>
      <c r="AG347" s="303">
        <v>1088</v>
      </c>
      <c r="AH347" s="309">
        <v>0.36266666666666669</v>
      </c>
      <c r="AI347" s="309">
        <v>0.38175438596491229</v>
      </c>
      <c r="AJ347" s="303">
        <v>1088</v>
      </c>
      <c r="AK347" s="309">
        <v>0.36266666666666669</v>
      </c>
      <c r="AL347" s="309">
        <v>0.38175438596491229</v>
      </c>
      <c r="AM347" s="303">
        <v>1088</v>
      </c>
      <c r="AN347" s="309">
        <v>0.36266666666666669</v>
      </c>
      <c r="AO347" s="309">
        <v>0.38175438596491229</v>
      </c>
      <c r="AP347" s="309"/>
      <c r="AQ347" s="303">
        <v>1088</v>
      </c>
      <c r="AR347" s="309">
        <v>0.36266666666666669</v>
      </c>
      <c r="AS347" s="309">
        <v>0.38175438596491229</v>
      </c>
      <c r="AT347" s="303">
        <v>1088</v>
      </c>
      <c r="AU347" s="309">
        <v>0.36266666666666669</v>
      </c>
      <c r="AV347" s="309">
        <v>0.38175438596491229</v>
      </c>
      <c r="AW347" s="309"/>
      <c r="AX347" s="309"/>
      <c r="AY347" s="309"/>
      <c r="AZ347" s="309"/>
      <c r="BA347" s="309"/>
      <c r="BB347" s="309"/>
      <c r="BC347" s="303">
        <v>1088</v>
      </c>
      <c r="BD347" s="309">
        <v>0.36266666666666669</v>
      </c>
      <c r="BE347" s="309">
        <v>0.38175438596491229</v>
      </c>
      <c r="BF347" s="303"/>
      <c r="BG347" s="303">
        <v>1088</v>
      </c>
      <c r="BH347" s="309">
        <v>0.36266666666666669</v>
      </c>
      <c r="BI347" s="309">
        <v>0.38175438596491229</v>
      </c>
      <c r="BJ347" s="303">
        <f t="shared" si="326"/>
        <v>2850</v>
      </c>
      <c r="BK347" s="303">
        <v>1088</v>
      </c>
      <c r="BL347" s="309">
        <f t="shared" si="311"/>
        <v>0.36266666666666669</v>
      </c>
      <c r="BM347" s="309">
        <f t="shared" si="328"/>
        <v>0.38175438596491229</v>
      </c>
      <c r="BN347" s="205">
        <f t="shared" si="308"/>
        <v>0</v>
      </c>
      <c r="BO347" s="205"/>
      <c r="BP347" s="310"/>
      <c r="BQ347" s="308">
        <f t="shared" si="312"/>
        <v>0</v>
      </c>
      <c r="BR347" s="310"/>
      <c r="BS347" s="308">
        <f t="shared" si="313"/>
        <v>0</v>
      </c>
      <c r="BT347" s="310">
        <f>$F347*0.1</f>
        <v>300</v>
      </c>
      <c r="BU347" s="308">
        <f t="shared" si="314"/>
        <v>0.1</v>
      </c>
      <c r="BV347" s="310">
        <f>$F347*0.2</f>
        <v>600</v>
      </c>
      <c r="BW347" s="308">
        <f t="shared" si="315"/>
        <v>0.2</v>
      </c>
      <c r="BX347" s="310">
        <f>$F347*0.3</f>
        <v>900</v>
      </c>
      <c r="BY347" s="308">
        <f t="shared" si="316"/>
        <v>0.3</v>
      </c>
      <c r="BZ347" s="310">
        <f>$F347*0.4</f>
        <v>1200</v>
      </c>
      <c r="CA347" s="308">
        <f t="shared" si="317"/>
        <v>0.4</v>
      </c>
      <c r="CB347" s="310">
        <f>$F347*0.5</f>
        <v>1500</v>
      </c>
      <c r="CC347" s="308">
        <f t="shared" si="318"/>
        <v>0.5</v>
      </c>
      <c r="CD347" s="310">
        <f>$F347*0.55</f>
        <v>1650.0000000000002</v>
      </c>
      <c r="CE347" s="308">
        <f t="shared" si="319"/>
        <v>0.55000000000000004</v>
      </c>
      <c r="CF347" s="310">
        <v>2100</v>
      </c>
      <c r="CG347" s="308">
        <f t="shared" si="320"/>
        <v>0.7</v>
      </c>
      <c r="CH347" s="310">
        <f>$F347*0.7</f>
        <v>2100</v>
      </c>
      <c r="CI347" s="308">
        <f t="shared" si="321"/>
        <v>0.7</v>
      </c>
      <c r="CJ347" s="310">
        <f>$F347*0.75</f>
        <v>2250</v>
      </c>
      <c r="CK347" s="308">
        <f t="shared" si="322"/>
        <v>0.75</v>
      </c>
      <c r="CL347" s="310">
        <f>$F347*0.75</f>
        <v>2250</v>
      </c>
      <c r="CM347" s="308">
        <f t="shared" si="323"/>
        <v>0.75</v>
      </c>
      <c r="CN347" s="310">
        <f>$F347*0.95</f>
        <v>2850</v>
      </c>
      <c r="CO347" s="308">
        <f t="shared" si="324"/>
        <v>0.95</v>
      </c>
      <c r="CP347" s="213" t="str">
        <f t="shared" si="329"/>
        <v>Đạt</v>
      </c>
      <c r="CQ347" s="213" t="str">
        <f t="shared" si="330"/>
        <v>Không đạt</v>
      </c>
      <c r="CR347" s="312"/>
      <c r="CS347" s="312"/>
      <c r="CT347" s="235"/>
      <c r="CU347" s="163"/>
      <c r="CV347" s="323"/>
      <c r="CW347" s="195"/>
      <c r="CX347" s="196"/>
      <c r="CY347" s="196"/>
      <c r="CZ347" s="197"/>
      <c r="DA347" s="196"/>
      <c r="DB347" s="196"/>
      <c r="DC347" s="196"/>
      <c r="DE347" s="199"/>
      <c r="DF347" s="200"/>
      <c r="DG347" s="181"/>
    </row>
    <row r="348" spans="1:112" ht="25.5" hidden="1" outlineLevel="1" x14ac:dyDescent="0.25">
      <c r="A348" s="305" t="s">
        <v>34</v>
      </c>
      <c r="B348" s="306" t="s">
        <v>377</v>
      </c>
      <c r="C348" s="306"/>
      <c r="D348" s="307">
        <f>E348+F348</f>
        <v>1700</v>
      </c>
      <c r="E348" s="307"/>
      <c r="F348" s="307">
        <f>G348+H348+K348+M348</f>
        <v>1700</v>
      </c>
      <c r="G348" s="307"/>
      <c r="H348" s="307">
        <v>1700</v>
      </c>
      <c r="I348" s="235"/>
      <c r="J348" s="235"/>
      <c r="K348" s="303"/>
      <c r="L348" s="235"/>
      <c r="M348" s="223"/>
      <c r="N348" s="223"/>
      <c r="O348" s="303"/>
      <c r="P348" s="303">
        <v>0</v>
      </c>
      <c r="Q348" s="308">
        <f t="shared" si="325"/>
        <v>0</v>
      </c>
      <c r="R348" s="303"/>
      <c r="S348" s="309">
        <v>0</v>
      </c>
      <c r="T348" s="309">
        <v>0</v>
      </c>
      <c r="U348" s="303"/>
      <c r="V348" s="309">
        <v>0</v>
      </c>
      <c r="W348" s="309">
        <v>0</v>
      </c>
      <c r="X348" s="303"/>
      <c r="Y348" s="309">
        <v>0</v>
      </c>
      <c r="Z348" s="309">
        <v>0</v>
      </c>
      <c r="AA348" s="303"/>
      <c r="AB348" s="309">
        <v>0</v>
      </c>
      <c r="AC348" s="309">
        <v>0</v>
      </c>
      <c r="AD348" s="303"/>
      <c r="AE348" s="309">
        <v>0</v>
      </c>
      <c r="AF348" s="309">
        <v>0</v>
      </c>
      <c r="AG348" s="303"/>
      <c r="AH348" s="309">
        <v>0</v>
      </c>
      <c r="AI348" s="309">
        <v>0</v>
      </c>
      <c r="AJ348" s="188"/>
      <c r="AK348" s="309">
        <v>0</v>
      </c>
      <c r="AL348" s="309">
        <v>0</v>
      </c>
      <c r="AM348" s="303"/>
      <c r="AN348" s="309">
        <v>0</v>
      </c>
      <c r="AO348" s="309">
        <v>0</v>
      </c>
      <c r="AP348" s="309"/>
      <c r="AQ348" s="303"/>
      <c r="AR348" s="309">
        <v>0</v>
      </c>
      <c r="AS348" s="309">
        <v>0</v>
      </c>
      <c r="AT348" s="303"/>
      <c r="AU348" s="309">
        <v>0</v>
      </c>
      <c r="AV348" s="309">
        <v>0</v>
      </c>
      <c r="AW348" s="309"/>
      <c r="AX348" s="309"/>
      <c r="AY348" s="309"/>
      <c r="AZ348" s="309"/>
      <c r="BA348" s="309"/>
      <c r="BB348" s="309"/>
      <c r="BC348" s="303"/>
      <c r="BD348" s="309">
        <v>0</v>
      </c>
      <c r="BE348" s="309">
        <v>0</v>
      </c>
      <c r="BF348" s="303"/>
      <c r="BG348" s="303"/>
      <c r="BH348" s="309">
        <v>0</v>
      </c>
      <c r="BI348" s="309">
        <v>0</v>
      </c>
      <c r="BJ348" s="303">
        <f t="shared" si="326"/>
        <v>1615</v>
      </c>
      <c r="BK348" s="303"/>
      <c r="BL348" s="309">
        <f t="shared" si="311"/>
        <v>0</v>
      </c>
      <c r="BM348" s="309">
        <f t="shared" si="328"/>
        <v>0</v>
      </c>
      <c r="BN348" s="205">
        <f t="shared" si="308"/>
        <v>0</v>
      </c>
      <c r="BO348" s="205"/>
      <c r="BP348" s="310"/>
      <c r="BQ348" s="308">
        <f t="shared" si="312"/>
        <v>0</v>
      </c>
      <c r="BR348" s="310"/>
      <c r="BS348" s="308">
        <f t="shared" si="313"/>
        <v>0</v>
      </c>
      <c r="BT348" s="310">
        <f>$F348*0.1</f>
        <v>170</v>
      </c>
      <c r="BU348" s="308">
        <f t="shared" si="314"/>
        <v>0.1</v>
      </c>
      <c r="BV348" s="310">
        <f>$F348*0.2</f>
        <v>340</v>
      </c>
      <c r="BW348" s="308">
        <f t="shared" si="315"/>
        <v>0.2</v>
      </c>
      <c r="BX348" s="310">
        <f>$F348*0.3</f>
        <v>510</v>
      </c>
      <c r="BY348" s="308">
        <f t="shared" si="316"/>
        <v>0.3</v>
      </c>
      <c r="BZ348" s="310">
        <f>$F348*0.4</f>
        <v>680</v>
      </c>
      <c r="CA348" s="308">
        <f t="shared" si="317"/>
        <v>0.4</v>
      </c>
      <c r="CB348" s="310">
        <f>$F348*0.5</f>
        <v>850</v>
      </c>
      <c r="CC348" s="308">
        <f t="shared" si="318"/>
        <v>0.5</v>
      </c>
      <c r="CD348" s="310">
        <f>$F348*0.55</f>
        <v>935.00000000000011</v>
      </c>
      <c r="CE348" s="308">
        <f t="shared" si="319"/>
        <v>0.55000000000000004</v>
      </c>
      <c r="CF348" s="310">
        <v>1190</v>
      </c>
      <c r="CG348" s="308">
        <f t="shared" si="320"/>
        <v>0.7</v>
      </c>
      <c r="CH348" s="310">
        <f>$F348*0.7</f>
        <v>1190</v>
      </c>
      <c r="CI348" s="308">
        <f t="shared" si="321"/>
        <v>0.7</v>
      </c>
      <c r="CJ348" s="310">
        <f>$F348*0.75</f>
        <v>1275</v>
      </c>
      <c r="CK348" s="308">
        <f t="shared" si="322"/>
        <v>0.75</v>
      </c>
      <c r="CL348" s="310">
        <f>$F348*0.75</f>
        <v>1275</v>
      </c>
      <c r="CM348" s="308">
        <f t="shared" si="323"/>
        <v>0.75</v>
      </c>
      <c r="CN348" s="310">
        <f>$F348*0.95</f>
        <v>1615</v>
      </c>
      <c r="CO348" s="308">
        <f t="shared" si="324"/>
        <v>0.95</v>
      </c>
      <c r="CP348" s="213" t="str">
        <f t="shared" si="329"/>
        <v>Không đạt</v>
      </c>
      <c r="CQ348" s="213" t="str">
        <f t="shared" si="330"/>
        <v>Không đạt</v>
      </c>
      <c r="CR348" s="312"/>
      <c r="CS348" s="312"/>
      <c r="CT348" s="235"/>
      <c r="CU348" s="163"/>
      <c r="CW348" s="195"/>
      <c r="CX348" s="196"/>
      <c r="CY348" s="196"/>
      <c r="CZ348" s="197"/>
      <c r="DA348" s="196"/>
      <c r="DB348" s="196"/>
      <c r="DC348" s="196"/>
      <c r="DE348" s="199"/>
      <c r="DF348" s="200"/>
      <c r="DG348" s="181"/>
    </row>
    <row r="349" spans="1:112" ht="18" customHeight="1" collapsed="1" x14ac:dyDescent="0.25">
      <c r="A349" s="213">
        <f>MAX(A$239:A347)+1</f>
        <v>32</v>
      </c>
      <c r="B349" s="240" t="s">
        <v>422</v>
      </c>
      <c r="C349" s="240"/>
      <c r="D349" s="188">
        <f t="shared" ref="D349:I349" si="335">D350+D351</f>
        <v>3085</v>
      </c>
      <c r="E349" s="188">
        <f t="shared" si="335"/>
        <v>0</v>
      </c>
      <c r="F349" s="188">
        <f t="shared" si="335"/>
        <v>3085</v>
      </c>
      <c r="G349" s="188">
        <f t="shared" si="335"/>
        <v>3000</v>
      </c>
      <c r="H349" s="188">
        <f t="shared" si="335"/>
        <v>85</v>
      </c>
      <c r="I349" s="188">
        <f t="shared" si="335"/>
        <v>0</v>
      </c>
      <c r="J349" s="188"/>
      <c r="K349" s="188">
        <f>K350+K351</f>
        <v>0</v>
      </c>
      <c r="L349" s="188">
        <f>L350+L351</f>
        <v>0</v>
      </c>
      <c r="M349" s="188">
        <f>M350+M351</f>
        <v>0</v>
      </c>
      <c r="N349" s="188">
        <f>N350+N351</f>
        <v>0</v>
      </c>
      <c r="O349" s="188">
        <f>O350+O351</f>
        <v>3000</v>
      </c>
      <c r="P349" s="188">
        <v>0</v>
      </c>
      <c r="Q349" s="186">
        <f t="shared" si="325"/>
        <v>0</v>
      </c>
      <c r="R349" s="188">
        <v>0</v>
      </c>
      <c r="S349" s="185">
        <v>0</v>
      </c>
      <c r="T349" s="185">
        <v>0</v>
      </c>
      <c r="U349" s="188">
        <v>0</v>
      </c>
      <c r="V349" s="185">
        <v>0</v>
      </c>
      <c r="W349" s="185">
        <v>0</v>
      </c>
      <c r="X349" s="188">
        <v>0</v>
      </c>
      <c r="Y349" s="185">
        <v>0</v>
      </c>
      <c r="Z349" s="185">
        <v>0</v>
      </c>
      <c r="AA349" s="188">
        <v>0</v>
      </c>
      <c r="AB349" s="185">
        <v>0</v>
      </c>
      <c r="AC349" s="185">
        <v>0</v>
      </c>
      <c r="AD349" s="188">
        <v>0</v>
      </c>
      <c r="AE349" s="185">
        <v>0</v>
      </c>
      <c r="AF349" s="185">
        <v>0</v>
      </c>
      <c r="AG349" s="188">
        <v>0</v>
      </c>
      <c r="AH349" s="185">
        <v>0</v>
      </c>
      <c r="AI349" s="185">
        <v>0</v>
      </c>
      <c r="AJ349" s="303">
        <v>0</v>
      </c>
      <c r="AK349" s="185">
        <v>0</v>
      </c>
      <c r="AL349" s="185">
        <v>0</v>
      </c>
      <c r="AM349" s="314">
        <v>0</v>
      </c>
      <c r="AN349" s="185">
        <v>0</v>
      </c>
      <c r="AO349" s="185">
        <v>0</v>
      </c>
      <c r="AP349" s="185"/>
      <c r="AQ349" s="188">
        <v>1429.817</v>
      </c>
      <c r="AR349" s="185">
        <v>0.46347390599675853</v>
      </c>
      <c r="AS349" s="185">
        <v>0.48786726947027209</v>
      </c>
      <c r="AT349" s="188">
        <v>1794.452</v>
      </c>
      <c r="AU349" s="185">
        <v>0.5816700162074554</v>
      </c>
      <c r="AV349" s="185">
        <v>0.61228422758679524</v>
      </c>
      <c r="AW349" s="185"/>
      <c r="AX349" s="185"/>
      <c r="AY349" s="185"/>
      <c r="AZ349" s="185"/>
      <c r="BA349" s="185"/>
      <c r="BB349" s="185"/>
      <c r="BC349" s="188">
        <v>1794.452</v>
      </c>
      <c r="BD349" s="185">
        <v>0.5816700162074554</v>
      </c>
      <c r="BE349" s="185">
        <v>0.61228422758679524</v>
      </c>
      <c r="BF349" s="188"/>
      <c r="BG349" s="188">
        <v>1794.452</v>
      </c>
      <c r="BH349" s="185">
        <v>0.5816700162074554</v>
      </c>
      <c r="BI349" s="185">
        <v>0.61228422758679524</v>
      </c>
      <c r="BJ349" s="188">
        <f t="shared" si="326"/>
        <v>2930.75</v>
      </c>
      <c r="BK349" s="188">
        <f>BK350+BK351</f>
        <v>1886.6909999999998</v>
      </c>
      <c r="BL349" s="185">
        <f t="shared" si="311"/>
        <v>0.61156920583468388</v>
      </c>
      <c r="BM349" s="185">
        <f t="shared" si="328"/>
        <v>0.64375705877335143</v>
      </c>
      <c r="BN349" s="205">
        <f t="shared" si="308"/>
        <v>1886.6909999999998</v>
      </c>
      <c r="BO349" s="205"/>
      <c r="BP349" s="189">
        <f>BP350+BP351</f>
        <v>0</v>
      </c>
      <c r="BQ349" s="186">
        <f t="shared" si="312"/>
        <v>0</v>
      </c>
      <c r="BR349" s="189">
        <f>BR350+BR351</f>
        <v>0</v>
      </c>
      <c r="BS349" s="186">
        <f t="shared" si="313"/>
        <v>0</v>
      </c>
      <c r="BT349" s="189">
        <f>BT350+BT351</f>
        <v>150</v>
      </c>
      <c r="BU349" s="186">
        <f t="shared" si="314"/>
        <v>4.8622366288492709E-2</v>
      </c>
      <c r="BV349" s="189">
        <f>BV350+BV351</f>
        <v>450</v>
      </c>
      <c r="BW349" s="186">
        <f t="shared" si="315"/>
        <v>0.14586709886547811</v>
      </c>
      <c r="BX349" s="189">
        <f>BX350+BX351</f>
        <v>900</v>
      </c>
      <c r="BY349" s="186">
        <f t="shared" si="316"/>
        <v>0.29173419773095621</v>
      </c>
      <c r="BZ349" s="189">
        <f>BZ350+BZ351</f>
        <v>1545</v>
      </c>
      <c r="CA349" s="186">
        <f t="shared" si="317"/>
        <v>0.50081037277147489</v>
      </c>
      <c r="CB349" s="189">
        <f>CB350+CB351</f>
        <v>1745</v>
      </c>
      <c r="CC349" s="186">
        <f t="shared" si="318"/>
        <v>0.56564019448946512</v>
      </c>
      <c r="CD349" s="189">
        <f>CD350+CD351</f>
        <v>2045</v>
      </c>
      <c r="CE349" s="186">
        <f t="shared" si="319"/>
        <v>0.66288492706645052</v>
      </c>
      <c r="CF349" s="189">
        <f>CF350+CF351</f>
        <v>2545</v>
      </c>
      <c r="CG349" s="186">
        <f t="shared" si="320"/>
        <v>0.82495948136142627</v>
      </c>
      <c r="CH349" s="189">
        <f>CH350+CH351</f>
        <v>2930.75</v>
      </c>
      <c r="CI349" s="186">
        <f t="shared" si="321"/>
        <v>0.95</v>
      </c>
      <c r="CJ349" s="189">
        <f>CJ350+CJ351</f>
        <v>2930.75</v>
      </c>
      <c r="CK349" s="186">
        <f t="shared" si="322"/>
        <v>0.95</v>
      </c>
      <c r="CL349" s="189">
        <f>CL350+CL351</f>
        <v>2930.75</v>
      </c>
      <c r="CM349" s="186">
        <f t="shared" si="323"/>
        <v>0.95</v>
      </c>
      <c r="CN349" s="189">
        <f>CN350+CN351</f>
        <v>2930.75</v>
      </c>
      <c r="CO349" s="186">
        <f t="shared" si="324"/>
        <v>0.95</v>
      </c>
      <c r="CP349" s="213" t="str">
        <f t="shared" si="329"/>
        <v>Đạt</v>
      </c>
      <c r="CQ349" s="213" t="str">
        <f t="shared" si="330"/>
        <v>Đạt</v>
      </c>
      <c r="CR349" s="213"/>
      <c r="CS349" s="213"/>
      <c r="CT349" s="231"/>
      <c r="CU349" s="163"/>
      <c r="CW349" s="195"/>
      <c r="CX349" s="196"/>
      <c r="CY349" s="196"/>
      <c r="CZ349" s="197"/>
      <c r="DA349" s="196"/>
      <c r="DB349" s="196"/>
      <c r="DC349" s="196"/>
      <c r="DE349" s="199"/>
      <c r="DF349" s="200"/>
      <c r="DG349" s="181"/>
    </row>
    <row r="350" spans="1:112" s="324" customFormat="1" hidden="1" outlineLevel="1" x14ac:dyDescent="0.25">
      <c r="A350" s="305" t="s">
        <v>34</v>
      </c>
      <c r="B350" s="318" t="s">
        <v>376</v>
      </c>
      <c r="C350" s="306"/>
      <c r="D350" s="307">
        <f>E350+F350</f>
        <v>3000</v>
      </c>
      <c r="E350" s="307"/>
      <c r="F350" s="307">
        <f>G350+H350+K350+M350</f>
        <v>3000</v>
      </c>
      <c r="G350" s="303">
        <v>3000</v>
      </c>
      <c r="H350" s="303"/>
      <c r="I350" s="235"/>
      <c r="J350" s="235"/>
      <c r="K350" s="303"/>
      <c r="L350" s="235"/>
      <c r="M350" s="223"/>
      <c r="N350" s="223"/>
      <c r="O350" s="303">
        <f>G350+I350+L350+N350</f>
        <v>3000</v>
      </c>
      <c r="P350" s="303">
        <v>0</v>
      </c>
      <c r="Q350" s="308">
        <f t="shared" si="325"/>
        <v>0</v>
      </c>
      <c r="R350" s="303"/>
      <c r="S350" s="313">
        <v>0</v>
      </c>
      <c r="T350" s="313">
        <v>0</v>
      </c>
      <c r="U350" s="303"/>
      <c r="V350" s="313">
        <v>0</v>
      </c>
      <c r="W350" s="313">
        <v>0</v>
      </c>
      <c r="X350" s="303"/>
      <c r="Y350" s="313">
        <v>0</v>
      </c>
      <c r="Z350" s="313">
        <v>0</v>
      </c>
      <c r="AA350" s="303"/>
      <c r="AB350" s="313">
        <v>0</v>
      </c>
      <c r="AC350" s="313">
        <v>0</v>
      </c>
      <c r="AD350" s="303"/>
      <c r="AE350" s="313">
        <v>0</v>
      </c>
      <c r="AF350" s="313">
        <v>0</v>
      </c>
      <c r="AG350" s="303"/>
      <c r="AH350" s="313">
        <v>0</v>
      </c>
      <c r="AI350" s="313">
        <v>0</v>
      </c>
      <c r="AJ350" s="303"/>
      <c r="AK350" s="313">
        <v>0</v>
      </c>
      <c r="AL350" s="313">
        <v>0</v>
      </c>
      <c r="AM350" s="303"/>
      <c r="AN350" s="313">
        <v>0</v>
      </c>
      <c r="AO350" s="313">
        <v>0</v>
      </c>
      <c r="AP350" s="313"/>
      <c r="AQ350" s="215">
        <v>1429.817</v>
      </c>
      <c r="AR350" s="313">
        <v>0.47660566666666665</v>
      </c>
      <c r="AS350" s="313">
        <v>0.50169017543859651</v>
      </c>
      <c r="AT350" s="215">
        <v>1794.452</v>
      </c>
      <c r="AU350" s="313">
        <v>0.59815066666666672</v>
      </c>
      <c r="AV350" s="313">
        <v>0.62963228070175437</v>
      </c>
      <c r="AW350" s="313"/>
      <c r="AX350" s="313"/>
      <c r="AY350" s="313"/>
      <c r="AZ350" s="313"/>
      <c r="BA350" s="313"/>
      <c r="BB350" s="313"/>
      <c r="BC350" s="215">
        <v>1794.452</v>
      </c>
      <c r="BD350" s="313">
        <v>0.59815066666666672</v>
      </c>
      <c r="BE350" s="313">
        <v>0.62963228070175437</v>
      </c>
      <c r="BF350" s="215"/>
      <c r="BG350" s="215">
        <v>1794.452</v>
      </c>
      <c r="BH350" s="313">
        <v>0.59815066666666672</v>
      </c>
      <c r="BI350" s="313">
        <v>0.62963228070175437</v>
      </c>
      <c r="BJ350" s="215">
        <f t="shared" si="326"/>
        <v>2850</v>
      </c>
      <c r="BK350" s="215">
        <v>1886.6909999999998</v>
      </c>
      <c r="BL350" s="313">
        <f t="shared" si="311"/>
        <v>0.62889699999999993</v>
      </c>
      <c r="BM350" s="313">
        <f t="shared" si="328"/>
        <v>0.66199684210526311</v>
      </c>
      <c r="BN350" s="205">
        <f t="shared" si="308"/>
        <v>1886.6909999999998</v>
      </c>
      <c r="BO350" s="205"/>
      <c r="BP350" s="310"/>
      <c r="BQ350" s="311">
        <f t="shared" si="312"/>
        <v>0</v>
      </c>
      <c r="BR350" s="310"/>
      <c r="BS350" s="311">
        <f t="shared" si="313"/>
        <v>0</v>
      </c>
      <c r="BT350" s="310">
        <v>150</v>
      </c>
      <c r="BU350" s="308">
        <f t="shared" si="314"/>
        <v>0.05</v>
      </c>
      <c r="BV350" s="310">
        <v>450</v>
      </c>
      <c r="BW350" s="311">
        <f t="shared" si="315"/>
        <v>0.15</v>
      </c>
      <c r="BX350" s="310">
        <v>900</v>
      </c>
      <c r="BY350" s="311">
        <f t="shared" si="316"/>
        <v>0.3</v>
      </c>
      <c r="BZ350" s="310">
        <v>1500</v>
      </c>
      <c r="CA350" s="311">
        <f t="shared" si="317"/>
        <v>0.5</v>
      </c>
      <c r="CB350" s="310">
        <v>1700</v>
      </c>
      <c r="CC350" s="311">
        <f t="shared" si="318"/>
        <v>0.56666666666666665</v>
      </c>
      <c r="CD350" s="310">
        <v>2000</v>
      </c>
      <c r="CE350" s="311">
        <f t="shared" si="319"/>
        <v>0.66666666666666663</v>
      </c>
      <c r="CF350" s="310">
        <v>2500</v>
      </c>
      <c r="CG350" s="311">
        <f t="shared" si="320"/>
        <v>0.83333333333333337</v>
      </c>
      <c r="CH350" s="310">
        <v>2850</v>
      </c>
      <c r="CI350" s="311">
        <f t="shared" si="321"/>
        <v>0.95</v>
      </c>
      <c r="CJ350" s="310">
        <v>2850</v>
      </c>
      <c r="CK350" s="311">
        <f t="shared" si="322"/>
        <v>0.95</v>
      </c>
      <c r="CL350" s="310">
        <v>2850</v>
      </c>
      <c r="CM350" s="311">
        <f t="shared" si="323"/>
        <v>0.95</v>
      </c>
      <c r="CN350" s="310">
        <v>2850</v>
      </c>
      <c r="CO350" s="311">
        <f t="shared" si="324"/>
        <v>0.95</v>
      </c>
      <c r="CP350" s="213" t="str">
        <f t="shared" si="329"/>
        <v>Đạt</v>
      </c>
      <c r="CQ350" s="213" t="str">
        <f t="shared" si="330"/>
        <v>Đạt</v>
      </c>
      <c r="CR350" s="312"/>
      <c r="CS350" s="312"/>
      <c r="CT350" s="235"/>
      <c r="CU350" s="163"/>
      <c r="CV350" s="323"/>
      <c r="CW350" s="195"/>
      <c r="CX350" s="196"/>
      <c r="CY350" s="196"/>
      <c r="CZ350" s="197"/>
      <c r="DA350" s="196"/>
      <c r="DB350" s="196"/>
      <c r="DC350" s="196"/>
      <c r="DE350" s="199"/>
      <c r="DF350" s="200"/>
      <c r="DG350" s="181"/>
      <c r="DH350" s="337"/>
    </row>
    <row r="351" spans="1:112" ht="25.5" hidden="1" outlineLevel="1" x14ac:dyDescent="0.25">
      <c r="A351" s="305" t="s">
        <v>34</v>
      </c>
      <c r="B351" s="306" t="s">
        <v>377</v>
      </c>
      <c r="C351" s="306"/>
      <c r="D351" s="307">
        <f>E351+F351</f>
        <v>85</v>
      </c>
      <c r="E351" s="307"/>
      <c r="F351" s="307">
        <f>G351+H351+K351+M351</f>
        <v>85</v>
      </c>
      <c r="G351" s="307"/>
      <c r="H351" s="307">
        <v>85</v>
      </c>
      <c r="I351" s="235"/>
      <c r="J351" s="235"/>
      <c r="K351" s="303"/>
      <c r="L351" s="235"/>
      <c r="M351" s="223"/>
      <c r="N351" s="223"/>
      <c r="O351" s="303"/>
      <c r="P351" s="303">
        <v>0</v>
      </c>
      <c r="Q351" s="308">
        <f t="shared" si="325"/>
        <v>0</v>
      </c>
      <c r="R351" s="303"/>
      <c r="S351" s="313">
        <v>0</v>
      </c>
      <c r="T351" s="313">
        <v>0</v>
      </c>
      <c r="U351" s="303"/>
      <c r="V351" s="313">
        <v>0</v>
      </c>
      <c r="W351" s="313">
        <v>0</v>
      </c>
      <c r="X351" s="303"/>
      <c r="Y351" s="313">
        <v>0</v>
      </c>
      <c r="Z351" s="313">
        <v>0</v>
      </c>
      <c r="AA351" s="303"/>
      <c r="AB351" s="313">
        <v>0</v>
      </c>
      <c r="AC351" s="313">
        <v>0</v>
      </c>
      <c r="AD351" s="303"/>
      <c r="AE351" s="313">
        <v>0</v>
      </c>
      <c r="AF351" s="313">
        <v>0</v>
      </c>
      <c r="AG351" s="303"/>
      <c r="AH351" s="313">
        <v>0</v>
      </c>
      <c r="AI351" s="313">
        <v>0</v>
      </c>
      <c r="AJ351" s="188"/>
      <c r="AK351" s="313">
        <v>0</v>
      </c>
      <c r="AL351" s="313">
        <v>0</v>
      </c>
      <c r="AM351" s="303"/>
      <c r="AN351" s="313">
        <v>0</v>
      </c>
      <c r="AO351" s="313">
        <v>0</v>
      </c>
      <c r="AP351" s="313"/>
      <c r="AQ351" s="303"/>
      <c r="AR351" s="313">
        <v>0</v>
      </c>
      <c r="AS351" s="313">
        <v>0</v>
      </c>
      <c r="AT351" s="303"/>
      <c r="AU351" s="313">
        <v>0</v>
      </c>
      <c r="AV351" s="313">
        <v>0</v>
      </c>
      <c r="AW351" s="313"/>
      <c r="AX351" s="313"/>
      <c r="AY351" s="313"/>
      <c r="AZ351" s="313"/>
      <c r="BA351" s="313"/>
      <c r="BB351" s="313"/>
      <c r="BC351" s="303"/>
      <c r="BD351" s="313">
        <v>0</v>
      </c>
      <c r="BE351" s="313">
        <v>0</v>
      </c>
      <c r="BF351" s="303"/>
      <c r="BG351" s="303"/>
      <c r="BH351" s="313">
        <v>0</v>
      </c>
      <c r="BI351" s="313">
        <v>0</v>
      </c>
      <c r="BJ351" s="303">
        <f t="shared" si="326"/>
        <v>80.75</v>
      </c>
      <c r="BK351" s="303"/>
      <c r="BL351" s="313">
        <f t="shared" si="311"/>
        <v>0</v>
      </c>
      <c r="BM351" s="313">
        <f t="shared" si="328"/>
        <v>0</v>
      </c>
      <c r="BN351" s="205">
        <f t="shared" si="308"/>
        <v>0</v>
      </c>
      <c r="BO351" s="205"/>
      <c r="BP351" s="310"/>
      <c r="BQ351" s="311">
        <f t="shared" si="312"/>
        <v>0</v>
      </c>
      <c r="BR351" s="310"/>
      <c r="BS351" s="311">
        <f t="shared" si="313"/>
        <v>0</v>
      </c>
      <c r="BT351" s="310"/>
      <c r="BU351" s="308">
        <f t="shared" si="314"/>
        <v>0</v>
      </c>
      <c r="BV351" s="310"/>
      <c r="BW351" s="311">
        <f t="shared" si="315"/>
        <v>0</v>
      </c>
      <c r="BX351" s="310"/>
      <c r="BY351" s="311">
        <f t="shared" si="316"/>
        <v>0</v>
      </c>
      <c r="BZ351" s="310">
        <v>45</v>
      </c>
      <c r="CA351" s="311">
        <f t="shared" si="317"/>
        <v>0.52941176470588236</v>
      </c>
      <c r="CB351" s="310">
        <v>45</v>
      </c>
      <c r="CC351" s="311">
        <f t="shared" si="318"/>
        <v>0.52941176470588236</v>
      </c>
      <c r="CD351" s="310">
        <v>45</v>
      </c>
      <c r="CE351" s="311">
        <f t="shared" si="319"/>
        <v>0.52941176470588236</v>
      </c>
      <c r="CF351" s="310">
        <v>45</v>
      </c>
      <c r="CG351" s="311">
        <f t="shared" si="320"/>
        <v>0.52941176470588236</v>
      </c>
      <c r="CH351" s="310">
        <f>85*0.95</f>
        <v>80.75</v>
      </c>
      <c r="CI351" s="311">
        <f t="shared" si="321"/>
        <v>0.95</v>
      </c>
      <c r="CJ351" s="310">
        <f>85*0.95</f>
        <v>80.75</v>
      </c>
      <c r="CK351" s="311">
        <f t="shared" si="322"/>
        <v>0.95</v>
      </c>
      <c r="CL351" s="310">
        <f>85*0.95</f>
        <v>80.75</v>
      </c>
      <c r="CM351" s="311">
        <f t="shared" si="323"/>
        <v>0.95</v>
      </c>
      <c r="CN351" s="310">
        <f>85*0.95</f>
        <v>80.75</v>
      </c>
      <c r="CO351" s="311">
        <f t="shared" si="324"/>
        <v>0.95</v>
      </c>
      <c r="CP351" s="213" t="str">
        <f t="shared" si="329"/>
        <v>Không đạt</v>
      </c>
      <c r="CQ351" s="213" t="str">
        <f t="shared" si="330"/>
        <v>Không đạt</v>
      </c>
      <c r="CR351" s="312"/>
      <c r="CS351" s="312"/>
      <c r="CT351" s="235"/>
      <c r="CU351" s="163"/>
      <c r="CW351" s="195"/>
      <c r="CX351" s="196"/>
      <c r="CY351" s="196"/>
      <c r="CZ351" s="197"/>
      <c r="DA351" s="196"/>
      <c r="DB351" s="196"/>
      <c r="DC351" s="196"/>
      <c r="DE351" s="199"/>
      <c r="DF351" s="200"/>
      <c r="DG351" s="181"/>
    </row>
    <row r="352" spans="1:112" ht="18" customHeight="1" collapsed="1" x14ac:dyDescent="0.25">
      <c r="A352" s="213">
        <f>MAX(A$239:A350)+1</f>
        <v>33</v>
      </c>
      <c r="B352" s="240" t="s">
        <v>423</v>
      </c>
      <c r="C352" s="240"/>
      <c r="D352" s="188">
        <f t="shared" ref="D352:I352" si="336">D353+D356+D357</f>
        <v>10600</v>
      </c>
      <c r="E352" s="188">
        <f t="shared" si="336"/>
        <v>0</v>
      </c>
      <c r="F352" s="188">
        <f t="shared" si="336"/>
        <v>10600</v>
      </c>
      <c r="G352" s="188">
        <f t="shared" si="336"/>
        <v>3000</v>
      </c>
      <c r="H352" s="188">
        <f t="shared" si="336"/>
        <v>7600</v>
      </c>
      <c r="I352" s="188">
        <f t="shared" si="336"/>
        <v>1425</v>
      </c>
      <c r="J352" s="188"/>
      <c r="K352" s="188">
        <f>K353+K356+K357</f>
        <v>0</v>
      </c>
      <c r="L352" s="188">
        <f>L353+L356+L357</f>
        <v>0</v>
      </c>
      <c r="M352" s="188">
        <f>M353+M356+M357</f>
        <v>0</v>
      </c>
      <c r="N352" s="188">
        <f>N353+N356+N357</f>
        <v>0</v>
      </c>
      <c r="O352" s="188">
        <f>O353+O356+O357</f>
        <v>4425</v>
      </c>
      <c r="P352" s="188">
        <v>0</v>
      </c>
      <c r="Q352" s="186">
        <f t="shared" si="325"/>
        <v>0</v>
      </c>
      <c r="R352" s="188">
        <v>0</v>
      </c>
      <c r="S352" s="185">
        <v>0</v>
      </c>
      <c r="T352" s="185">
        <v>0</v>
      </c>
      <c r="U352" s="188">
        <v>0</v>
      </c>
      <c r="V352" s="185">
        <v>0</v>
      </c>
      <c r="W352" s="185">
        <v>0</v>
      </c>
      <c r="X352" s="188">
        <v>0</v>
      </c>
      <c r="Y352" s="185">
        <v>0</v>
      </c>
      <c r="Z352" s="185">
        <v>0</v>
      </c>
      <c r="AA352" s="188">
        <v>0</v>
      </c>
      <c r="AB352" s="185">
        <v>0</v>
      </c>
      <c r="AC352" s="185">
        <v>0</v>
      </c>
      <c r="AD352" s="188">
        <v>604</v>
      </c>
      <c r="AE352" s="185">
        <v>5.6981132075471695E-2</v>
      </c>
      <c r="AF352" s="185">
        <v>5.9980139026812311E-2</v>
      </c>
      <c r="AG352" s="188">
        <v>604</v>
      </c>
      <c r="AH352" s="185">
        <v>5.6981132075471695E-2</v>
      </c>
      <c r="AI352" s="185">
        <v>5.9980139026812311E-2</v>
      </c>
      <c r="AJ352" s="317">
        <v>604</v>
      </c>
      <c r="AK352" s="185">
        <v>5.6981132075471695E-2</v>
      </c>
      <c r="AL352" s="185">
        <v>5.9980139026812311E-2</v>
      </c>
      <c r="AM352" s="188">
        <v>1628</v>
      </c>
      <c r="AN352" s="185">
        <v>0.15358490566037736</v>
      </c>
      <c r="AO352" s="185">
        <v>0.16166832174776563</v>
      </c>
      <c r="AP352" s="185"/>
      <c r="AQ352" s="188">
        <v>1683.9950899999999</v>
      </c>
      <c r="AR352" s="185">
        <v>0.15886746132075472</v>
      </c>
      <c r="AS352" s="185">
        <v>0.16722890665342602</v>
      </c>
      <c r="AT352" s="188">
        <v>1683.9950899999999</v>
      </c>
      <c r="AU352" s="185">
        <v>0.15886746132075472</v>
      </c>
      <c r="AV352" s="185">
        <v>0.16722890665342602</v>
      </c>
      <c r="AW352" s="185"/>
      <c r="AX352" s="185"/>
      <c r="AY352" s="185"/>
      <c r="AZ352" s="185"/>
      <c r="BA352" s="185"/>
      <c r="BB352" s="185"/>
      <c r="BC352" s="188">
        <v>1683.9950899999999</v>
      </c>
      <c r="BD352" s="185">
        <v>0.15886746132075472</v>
      </c>
      <c r="BE352" s="185">
        <v>0.16722890665342602</v>
      </c>
      <c r="BF352" s="188"/>
      <c r="BG352" s="188">
        <v>2685.8945779999999</v>
      </c>
      <c r="BH352" s="185">
        <v>0.25338628094339621</v>
      </c>
      <c r="BI352" s="185">
        <v>0.26672240099304867</v>
      </c>
      <c r="BJ352" s="188">
        <f t="shared" si="326"/>
        <v>10070</v>
      </c>
      <c r="BK352" s="188">
        <v>3718</v>
      </c>
      <c r="BL352" s="185">
        <f t="shared" si="311"/>
        <v>0.35075471698113209</v>
      </c>
      <c r="BM352" s="185">
        <f t="shared" si="328"/>
        <v>0.3692154915590864</v>
      </c>
      <c r="BN352" s="205">
        <f t="shared" si="308"/>
        <v>3114</v>
      </c>
      <c r="BO352" s="205"/>
      <c r="BP352" s="189">
        <f>BP353+BP356+BP357</f>
        <v>0</v>
      </c>
      <c r="BQ352" s="186">
        <f t="shared" si="312"/>
        <v>0</v>
      </c>
      <c r="BR352" s="189">
        <f>BR353+BR356+BR357</f>
        <v>0</v>
      </c>
      <c r="BS352" s="186">
        <f t="shared" si="313"/>
        <v>0</v>
      </c>
      <c r="BT352" s="189">
        <f>BT353+BT356+BT357</f>
        <v>1060</v>
      </c>
      <c r="BU352" s="186">
        <f t="shared" si="314"/>
        <v>0.1</v>
      </c>
      <c r="BV352" s="189">
        <f>BV353+BV356+BV357</f>
        <v>2120</v>
      </c>
      <c r="BW352" s="186">
        <f t="shared" si="315"/>
        <v>0.2</v>
      </c>
      <c r="BX352" s="189">
        <f>BX353+BX356+BX357</f>
        <v>3180</v>
      </c>
      <c r="BY352" s="186">
        <f t="shared" si="316"/>
        <v>0.3</v>
      </c>
      <c r="BZ352" s="189">
        <f>BZ353+BZ356+BZ357</f>
        <v>4240</v>
      </c>
      <c r="CA352" s="186">
        <f t="shared" si="317"/>
        <v>0.4</v>
      </c>
      <c r="CB352" s="189">
        <f>CB353+CB356+CB357</f>
        <v>5300</v>
      </c>
      <c r="CC352" s="186">
        <f t="shared" si="318"/>
        <v>0.5</v>
      </c>
      <c r="CD352" s="189">
        <f>CD353+CD356+CD357</f>
        <v>5830</v>
      </c>
      <c r="CE352" s="186">
        <f t="shared" si="319"/>
        <v>0.55000000000000004</v>
      </c>
      <c r="CF352" s="189">
        <f>CF353+CF356+CF357</f>
        <v>7420</v>
      </c>
      <c r="CG352" s="186">
        <f t="shared" si="320"/>
        <v>0.7</v>
      </c>
      <c r="CH352" s="189">
        <f>CH353+CH356+CH357</f>
        <v>7420</v>
      </c>
      <c r="CI352" s="186">
        <f t="shared" si="321"/>
        <v>0.7</v>
      </c>
      <c r="CJ352" s="189">
        <f>CJ353+CJ356+CJ357</f>
        <v>7950</v>
      </c>
      <c r="CK352" s="186">
        <f t="shared" si="322"/>
        <v>0.75</v>
      </c>
      <c r="CL352" s="189">
        <f>CL353+CL356+CL357</f>
        <v>7950</v>
      </c>
      <c r="CM352" s="186">
        <f t="shared" si="323"/>
        <v>0.75</v>
      </c>
      <c r="CN352" s="189">
        <f>CN353+CN356+CN357</f>
        <v>10070</v>
      </c>
      <c r="CO352" s="186">
        <f t="shared" si="324"/>
        <v>0.95</v>
      </c>
      <c r="CP352" s="213" t="str">
        <f t="shared" si="329"/>
        <v>Đạt</v>
      </c>
      <c r="CQ352" s="213" t="str">
        <f t="shared" si="330"/>
        <v>Không đạt</v>
      </c>
      <c r="CR352" s="213"/>
      <c r="CS352" s="213"/>
      <c r="CT352" s="231"/>
      <c r="CU352" s="163"/>
      <c r="CW352" s="195"/>
      <c r="CX352" s="196"/>
      <c r="CY352" s="196"/>
      <c r="CZ352" s="197"/>
      <c r="DA352" s="196"/>
      <c r="DB352" s="196"/>
      <c r="DC352" s="196"/>
      <c r="DE352" s="199"/>
      <c r="DF352" s="200"/>
      <c r="DG352" s="181"/>
    </row>
    <row r="353" spans="1:111" s="324" customFormat="1" hidden="1" outlineLevel="1" x14ac:dyDescent="0.25">
      <c r="A353" s="305" t="s">
        <v>34</v>
      </c>
      <c r="B353" s="318" t="s">
        <v>381</v>
      </c>
      <c r="C353" s="306"/>
      <c r="D353" s="317">
        <f t="shared" ref="D353:I353" si="337">D354+D355</f>
        <v>2500</v>
      </c>
      <c r="E353" s="317">
        <f t="shared" si="337"/>
        <v>0</v>
      </c>
      <c r="F353" s="317">
        <f t="shared" si="337"/>
        <v>2500</v>
      </c>
      <c r="G353" s="317">
        <f t="shared" si="337"/>
        <v>0</v>
      </c>
      <c r="H353" s="317">
        <f t="shared" si="337"/>
        <v>2500</v>
      </c>
      <c r="I353" s="214">
        <f t="shared" si="337"/>
        <v>1425</v>
      </c>
      <c r="J353" s="214"/>
      <c r="K353" s="317">
        <f>K354+K355</f>
        <v>0</v>
      </c>
      <c r="L353" s="214">
        <f>L354+L355</f>
        <v>0</v>
      </c>
      <c r="M353" s="223"/>
      <c r="N353" s="223"/>
      <c r="O353" s="317">
        <f>G353+I353+L353+N353</f>
        <v>1425</v>
      </c>
      <c r="P353" s="317">
        <v>0</v>
      </c>
      <c r="Q353" s="319">
        <f t="shared" si="325"/>
        <v>0</v>
      </c>
      <c r="R353" s="317">
        <v>0</v>
      </c>
      <c r="S353" s="187">
        <v>0</v>
      </c>
      <c r="T353" s="187">
        <v>0</v>
      </c>
      <c r="U353" s="317">
        <v>0</v>
      </c>
      <c r="V353" s="187">
        <v>0</v>
      </c>
      <c r="W353" s="187">
        <v>0</v>
      </c>
      <c r="X353" s="317">
        <v>0</v>
      </c>
      <c r="Y353" s="187">
        <v>0</v>
      </c>
      <c r="Z353" s="187">
        <v>0</v>
      </c>
      <c r="AA353" s="317">
        <v>0</v>
      </c>
      <c r="AB353" s="187">
        <v>0</v>
      </c>
      <c r="AC353" s="187">
        <v>0</v>
      </c>
      <c r="AD353" s="317">
        <v>0</v>
      </c>
      <c r="AE353" s="187">
        <v>0</v>
      </c>
      <c r="AF353" s="187">
        <v>0</v>
      </c>
      <c r="AG353" s="317">
        <v>0</v>
      </c>
      <c r="AH353" s="187">
        <v>0</v>
      </c>
      <c r="AI353" s="187">
        <v>0</v>
      </c>
      <c r="AJ353" s="333">
        <v>0</v>
      </c>
      <c r="AK353" s="187">
        <v>0</v>
      </c>
      <c r="AL353" s="187">
        <v>0</v>
      </c>
      <c r="AM353" s="317">
        <v>518</v>
      </c>
      <c r="AN353" s="187">
        <v>0.2072</v>
      </c>
      <c r="AO353" s="187">
        <v>0.21810526315789475</v>
      </c>
      <c r="AP353" s="187"/>
      <c r="AQ353" s="317">
        <v>518</v>
      </c>
      <c r="AR353" s="187">
        <v>0.2072</v>
      </c>
      <c r="AS353" s="187">
        <v>0.21810526315789475</v>
      </c>
      <c r="AT353" s="317">
        <v>518</v>
      </c>
      <c r="AU353" s="187">
        <v>0.2072</v>
      </c>
      <c r="AV353" s="187">
        <v>0.21810526315789475</v>
      </c>
      <c r="AW353" s="187"/>
      <c r="AX353" s="187"/>
      <c r="AY353" s="187"/>
      <c r="AZ353" s="187"/>
      <c r="BA353" s="187"/>
      <c r="BB353" s="187"/>
      <c r="BC353" s="317">
        <v>518</v>
      </c>
      <c r="BD353" s="187">
        <v>0.2072</v>
      </c>
      <c r="BE353" s="187">
        <v>0.21810526315789475</v>
      </c>
      <c r="BF353" s="317"/>
      <c r="BG353" s="317">
        <v>1401.05</v>
      </c>
      <c r="BH353" s="187">
        <v>0.56042000000000003</v>
      </c>
      <c r="BI353" s="187">
        <v>0.58991578947368417</v>
      </c>
      <c r="BJ353" s="317">
        <f t="shared" si="326"/>
        <v>2375</v>
      </c>
      <c r="BK353" s="317">
        <f>BK354+BK355</f>
        <v>1401.05</v>
      </c>
      <c r="BL353" s="187">
        <f t="shared" si="311"/>
        <v>0.56042000000000003</v>
      </c>
      <c r="BM353" s="187">
        <f t="shared" si="328"/>
        <v>0.58991578947368417</v>
      </c>
      <c r="BN353" s="205">
        <f t="shared" si="308"/>
        <v>1401.05</v>
      </c>
      <c r="BO353" s="205"/>
      <c r="BP353" s="307">
        <f>BP354+BP355</f>
        <v>0</v>
      </c>
      <c r="BQ353" s="319">
        <f t="shared" si="312"/>
        <v>0</v>
      </c>
      <c r="BR353" s="307">
        <f>BR354+BR355</f>
        <v>0</v>
      </c>
      <c r="BS353" s="319">
        <f t="shared" si="313"/>
        <v>0</v>
      </c>
      <c r="BT353" s="307">
        <f>BT354+BT355</f>
        <v>250</v>
      </c>
      <c r="BU353" s="319">
        <f t="shared" si="314"/>
        <v>0.1</v>
      </c>
      <c r="BV353" s="307">
        <f>BV354+BV355</f>
        <v>500</v>
      </c>
      <c r="BW353" s="319">
        <f t="shared" si="315"/>
        <v>0.2</v>
      </c>
      <c r="BX353" s="307">
        <f>BX354+BX355</f>
        <v>750</v>
      </c>
      <c r="BY353" s="319">
        <f t="shared" si="316"/>
        <v>0.3</v>
      </c>
      <c r="BZ353" s="307">
        <f>BZ354+BZ355</f>
        <v>1000</v>
      </c>
      <c r="CA353" s="319">
        <f t="shared" si="317"/>
        <v>0.4</v>
      </c>
      <c r="CB353" s="307">
        <f>CB354+CB355</f>
        <v>1250</v>
      </c>
      <c r="CC353" s="319">
        <f t="shared" si="318"/>
        <v>0.5</v>
      </c>
      <c r="CD353" s="307">
        <f>CD354+CD355</f>
        <v>1375</v>
      </c>
      <c r="CE353" s="319">
        <f t="shared" si="319"/>
        <v>0.55000000000000004</v>
      </c>
      <c r="CF353" s="307">
        <f>CF354+CF355</f>
        <v>1750</v>
      </c>
      <c r="CG353" s="319">
        <f t="shared" si="320"/>
        <v>0.7</v>
      </c>
      <c r="CH353" s="307">
        <f>CH354+CH355</f>
        <v>1750</v>
      </c>
      <c r="CI353" s="319">
        <f t="shared" si="321"/>
        <v>0.7</v>
      </c>
      <c r="CJ353" s="307">
        <f>CJ354+CJ355</f>
        <v>1875</v>
      </c>
      <c r="CK353" s="319">
        <f t="shared" si="322"/>
        <v>0.75</v>
      </c>
      <c r="CL353" s="307">
        <f>CL354+CL355</f>
        <v>1875</v>
      </c>
      <c r="CM353" s="319">
        <f t="shared" si="323"/>
        <v>0.75</v>
      </c>
      <c r="CN353" s="307">
        <f>CN354+CN355</f>
        <v>2375</v>
      </c>
      <c r="CO353" s="319">
        <f t="shared" si="324"/>
        <v>0.95</v>
      </c>
      <c r="CP353" s="213" t="str">
        <f t="shared" si="329"/>
        <v>Đạt</v>
      </c>
      <c r="CQ353" s="213" t="str">
        <f t="shared" si="330"/>
        <v>Đạt</v>
      </c>
      <c r="CR353" s="312"/>
      <c r="CS353" s="312"/>
      <c r="CT353" s="235"/>
      <c r="CU353" s="163"/>
      <c r="CV353" s="323"/>
      <c r="CW353" s="195"/>
      <c r="CX353" s="196"/>
      <c r="CY353" s="196"/>
      <c r="CZ353" s="197"/>
      <c r="DA353" s="196"/>
      <c r="DB353" s="196"/>
      <c r="DC353" s="196"/>
      <c r="DE353" s="199"/>
      <c r="DF353" s="200"/>
      <c r="DG353" s="181"/>
    </row>
    <row r="354" spans="1:111" ht="25.5" hidden="1" outlineLevel="1" x14ac:dyDescent="0.25">
      <c r="A354" s="192">
        <v>1</v>
      </c>
      <c r="B354" s="325" t="s">
        <v>424</v>
      </c>
      <c r="C354" s="325"/>
      <c r="D354" s="214">
        <f>E354+F354</f>
        <v>1000</v>
      </c>
      <c r="E354" s="215"/>
      <c r="F354" s="214">
        <f>G354+H354+K354+M354</f>
        <v>1000</v>
      </c>
      <c r="G354" s="223"/>
      <c r="H354" s="333">
        <v>1000</v>
      </c>
      <c r="I354" s="235"/>
      <c r="J354" s="235"/>
      <c r="K354" s="223"/>
      <c r="L354" s="235"/>
      <c r="M354" s="223"/>
      <c r="N354" s="223"/>
      <c r="O354" s="333">
        <f>G354+I354+L354+N354</f>
        <v>0</v>
      </c>
      <c r="P354" s="333">
        <v>0</v>
      </c>
      <c r="Q354" s="224">
        <f t="shared" si="325"/>
        <v>0</v>
      </c>
      <c r="R354" s="333"/>
      <c r="S354" s="225">
        <v>0</v>
      </c>
      <c r="T354" s="225">
        <v>0</v>
      </c>
      <c r="U354" s="333"/>
      <c r="V354" s="225">
        <v>0</v>
      </c>
      <c r="W354" s="225">
        <v>0</v>
      </c>
      <c r="X354" s="333"/>
      <c r="Y354" s="225">
        <v>0</v>
      </c>
      <c r="Z354" s="225">
        <v>0</v>
      </c>
      <c r="AA354" s="333"/>
      <c r="AB354" s="225">
        <v>0</v>
      </c>
      <c r="AC354" s="225">
        <v>0</v>
      </c>
      <c r="AD354" s="333"/>
      <c r="AE354" s="225">
        <v>0</v>
      </c>
      <c r="AF354" s="225">
        <v>0</v>
      </c>
      <c r="AG354" s="333"/>
      <c r="AH354" s="225">
        <v>0</v>
      </c>
      <c r="AI354" s="225">
        <v>0</v>
      </c>
      <c r="AJ354" s="333"/>
      <c r="AK354" s="225">
        <v>0</v>
      </c>
      <c r="AL354" s="225">
        <v>0</v>
      </c>
      <c r="AM354" s="333"/>
      <c r="AN354" s="225">
        <v>0</v>
      </c>
      <c r="AO354" s="225">
        <v>0</v>
      </c>
      <c r="AP354" s="225"/>
      <c r="AQ354" s="333"/>
      <c r="AR354" s="225">
        <v>0</v>
      </c>
      <c r="AS354" s="225">
        <v>0</v>
      </c>
      <c r="AT354" s="333"/>
      <c r="AU354" s="225">
        <v>0</v>
      </c>
      <c r="AV354" s="225">
        <v>0</v>
      </c>
      <c r="AW354" s="225"/>
      <c r="AX354" s="225"/>
      <c r="AY354" s="225"/>
      <c r="AZ354" s="225"/>
      <c r="BA354" s="225"/>
      <c r="BB354" s="225"/>
      <c r="BC354" s="333"/>
      <c r="BD354" s="225">
        <v>0</v>
      </c>
      <c r="BE354" s="225">
        <v>0</v>
      </c>
      <c r="BF354" s="333"/>
      <c r="BG354" s="333"/>
      <c r="BH354" s="225">
        <v>0</v>
      </c>
      <c r="BI354" s="225">
        <v>0</v>
      </c>
      <c r="BJ354" s="333">
        <f t="shared" si="326"/>
        <v>950</v>
      </c>
      <c r="BK354" s="333"/>
      <c r="BL354" s="225">
        <f t="shared" si="311"/>
        <v>0</v>
      </c>
      <c r="BM354" s="225">
        <f t="shared" si="328"/>
        <v>0</v>
      </c>
      <c r="BN354" s="205">
        <f t="shared" si="308"/>
        <v>0</v>
      </c>
      <c r="BO354" s="205"/>
      <c r="BP354" s="227"/>
      <c r="BQ354" s="224">
        <f t="shared" si="312"/>
        <v>0</v>
      </c>
      <c r="BR354" s="227"/>
      <c r="BS354" s="224">
        <f t="shared" si="313"/>
        <v>0</v>
      </c>
      <c r="BT354" s="227">
        <f>$F354*0.1</f>
        <v>100</v>
      </c>
      <c r="BU354" s="224">
        <f t="shared" si="314"/>
        <v>0.1</v>
      </c>
      <c r="BV354" s="227">
        <f>$F354*0.2</f>
        <v>200</v>
      </c>
      <c r="BW354" s="224">
        <f t="shared" si="315"/>
        <v>0.2</v>
      </c>
      <c r="BX354" s="227">
        <f>$F354*0.3</f>
        <v>300</v>
      </c>
      <c r="BY354" s="224">
        <f t="shared" si="316"/>
        <v>0.3</v>
      </c>
      <c r="BZ354" s="227">
        <f>$F354*0.4</f>
        <v>400</v>
      </c>
      <c r="CA354" s="224">
        <f t="shared" si="317"/>
        <v>0.4</v>
      </c>
      <c r="CB354" s="227">
        <f>$F354*0.5</f>
        <v>500</v>
      </c>
      <c r="CC354" s="224">
        <f t="shared" si="318"/>
        <v>0.5</v>
      </c>
      <c r="CD354" s="227">
        <f>$F354*0.55</f>
        <v>550</v>
      </c>
      <c r="CE354" s="224">
        <f t="shared" si="319"/>
        <v>0.55000000000000004</v>
      </c>
      <c r="CF354" s="227">
        <v>700</v>
      </c>
      <c r="CG354" s="224">
        <f t="shared" si="320"/>
        <v>0.7</v>
      </c>
      <c r="CH354" s="227">
        <f>$F354*0.7</f>
        <v>700</v>
      </c>
      <c r="CI354" s="224">
        <f t="shared" si="321"/>
        <v>0.7</v>
      </c>
      <c r="CJ354" s="227">
        <f>$F354*0.75</f>
        <v>750</v>
      </c>
      <c r="CK354" s="224">
        <f t="shared" si="322"/>
        <v>0.75</v>
      </c>
      <c r="CL354" s="227">
        <f>$F354*0.75</f>
        <v>750</v>
      </c>
      <c r="CM354" s="224">
        <f t="shared" si="323"/>
        <v>0.75</v>
      </c>
      <c r="CN354" s="227">
        <f>$F354*0.95</f>
        <v>950</v>
      </c>
      <c r="CO354" s="224">
        <f t="shared" si="324"/>
        <v>0.95</v>
      </c>
      <c r="CP354" s="213" t="str">
        <f t="shared" si="329"/>
        <v>Không đạt</v>
      </c>
      <c r="CQ354" s="213" t="str">
        <f t="shared" si="330"/>
        <v>Không đạt</v>
      </c>
      <c r="CR354" s="192"/>
      <c r="CS354" s="192"/>
      <c r="CT354" s="223"/>
      <c r="CU354" s="163"/>
      <c r="CW354" s="195"/>
      <c r="CX354" s="196"/>
      <c r="CY354" s="196"/>
      <c r="CZ354" s="197"/>
      <c r="DA354" s="196"/>
      <c r="DB354" s="196"/>
      <c r="DC354" s="196"/>
      <c r="DE354" s="199"/>
      <c r="DF354" s="200"/>
      <c r="DG354" s="181"/>
    </row>
    <row r="355" spans="1:111" ht="25.5" hidden="1" outlineLevel="1" x14ac:dyDescent="0.25">
      <c r="A355" s="192">
        <v>2</v>
      </c>
      <c r="B355" s="325" t="s">
        <v>425</v>
      </c>
      <c r="C355" s="325"/>
      <c r="D355" s="214">
        <f>E355+F355</f>
        <v>1500</v>
      </c>
      <c r="E355" s="215"/>
      <c r="F355" s="214">
        <f>G355+H355+K355+M355</f>
        <v>1500</v>
      </c>
      <c r="G355" s="223"/>
      <c r="H355" s="333">
        <v>1500</v>
      </c>
      <c r="I355" s="235">
        <v>1425</v>
      </c>
      <c r="J355" s="333">
        <v>518</v>
      </c>
      <c r="K355" s="223"/>
      <c r="L355" s="235"/>
      <c r="M355" s="223"/>
      <c r="N355" s="223"/>
      <c r="O355" s="333">
        <f>G355+I355+L355+N355</f>
        <v>1425</v>
      </c>
      <c r="P355" s="333">
        <v>0</v>
      </c>
      <c r="Q355" s="224">
        <f t="shared" si="325"/>
        <v>0</v>
      </c>
      <c r="R355" s="333"/>
      <c r="S355" s="225">
        <v>0</v>
      </c>
      <c r="T355" s="225">
        <v>0</v>
      </c>
      <c r="U355" s="333"/>
      <c r="V355" s="225">
        <v>0</v>
      </c>
      <c r="W355" s="225">
        <v>0</v>
      </c>
      <c r="X355" s="333"/>
      <c r="Y355" s="225">
        <v>0</v>
      </c>
      <c r="Z355" s="225">
        <v>0</v>
      </c>
      <c r="AA355" s="333"/>
      <c r="AB355" s="225">
        <v>0</v>
      </c>
      <c r="AC355" s="225">
        <v>0</v>
      </c>
      <c r="AD355" s="333"/>
      <c r="AE355" s="225">
        <v>0</v>
      </c>
      <c r="AF355" s="225">
        <v>0</v>
      </c>
      <c r="AG355" s="333"/>
      <c r="AH355" s="225">
        <v>0</v>
      </c>
      <c r="AI355" s="225">
        <v>0</v>
      </c>
      <c r="AJ355" s="303"/>
      <c r="AK355" s="225">
        <v>0</v>
      </c>
      <c r="AL355" s="225">
        <v>0</v>
      </c>
      <c r="AM355" s="333">
        <v>518</v>
      </c>
      <c r="AN355" s="225">
        <v>0.34533333333333333</v>
      </c>
      <c r="AO355" s="225">
        <v>0.36350877192982456</v>
      </c>
      <c r="AP355" s="225"/>
      <c r="AQ355" s="333">
        <v>518</v>
      </c>
      <c r="AR355" s="225">
        <v>0.34533333333333333</v>
      </c>
      <c r="AS355" s="225">
        <v>0.36350877192982456</v>
      </c>
      <c r="AT355" s="333">
        <v>518</v>
      </c>
      <c r="AU355" s="225">
        <v>0.34533333333333333</v>
      </c>
      <c r="AV355" s="225">
        <v>0.36350877192982456</v>
      </c>
      <c r="AW355" s="225"/>
      <c r="AX355" s="225"/>
      <c r="AY355" s="225"/>
      <c r="AZ355" s="225"/>
      <c r="BA355" s="225"/>
      <c r="BB355" s="225"/>
      <c r="BC355" s="333">
        <v>518</v>
      </c>
      <c r="BD355" s="225">
        <v>0.34533333333333333</v>
      </c>
      <c r="BE355" s="225">
        <v>0.36350877192982456</v>
      </c>
      <c r="BF355" s="333">
        <v>1401.05</v>
      </c>
      <c r="BG355" s="333">
        <v>1401.05</v>
      </c>
      <c r="BH355" s="225">
        <v>0.93403333333333327</v>
      </c>
      <c r="BI355" s="225">
        <v>0.98319298245614029</v>
      </c>
      <c r="BJ355" s="333">
        <f t="shared" si="326"/>
        <v>1425</v>
      </c>
      <c r="BK355" s="333">
        <v>1401.05</v>
      </c>
      <c r="BL355" s="225">
        <f t="shared" si="311"/>
        <v>0.93403333333333327</v>
      </c>
      <c r="BM355" s="225">
        <f t="shared" si="328"/>
        <v>0.98319298245614029</v>
      </c>
      <c r="BN355" s="205">
        <f t="shared" si="308"/>
        <v>1401.05</v>
      </c>
      <c r="BO355" s="205"/>
      <c r="BP355" s="227"/>
      <c r="BQ355" s="224">
        <f t="shared" si="312"/>
        <v>0</v>
      </c>
      <c r="BR355" s="227"/>
      <c r="BS355" s="224">
        <f t="shared" si="313"/>
        <v>0</v>
      </c>
      <c r="BT355" s="227">
        <f>$F355*0.1</f>
        <v>150</v>
      </c>
      <c r="BU355" s="224">
        <f t="shared" si="314"/>
        <v>0.1</v>
      </c>
      <c r="BV355" s="227">
        <f>$F355*0.2</f>
        <v>300</v>
      </c>
      <c r="BW355" s="224">
        <f t="shared" si="315"/>
        <v>0.2</v>
      </c>
      <c r="BX355" s="227">
        <f>$F355*0.3</f>
        <v>450</v>
      </c>
      <c r="BY355" s="224">
        <f t="shared" si="316"/>
        <v>0.3</v>
      </c>
      <c r="BZ355" s="227">
        <f>$F355*0.4</f>
        <v>600</v>
      </c>
      <c r="CA355" s="224">
        <f t="shared" si="317"/>
        <v>0.4</v>
      </c>
      <c r="CB355" s="227">
        <f>$F355*0.5</f>
        <v>750</v>
      </c>
      <c r="CC355" s="224">
        <f t="shared" si="318"/>
        <v>0.5</v>
      </c>
      <c r="CD355" s="227">
        <f>$F355*0.55</f>
        <v>825.00000000000011</v>
      </c>
      <c r="CE355" s="224">
        <f t="shared" si="319"/>
        <v>0.55000000000000004</v>
      </c>
      <c r="CF355" s="227">
        <v>1050</v>
      </c>
      <c r="CG355" s="224">
        <f t="shared" si="320"/>
        <v>0.7</v>
      </c>
      <c r="CH355" s="227">
        <f>$F355*0.7</f>
        <v>1050</v>
      </c>
      <c r="CI355" s="224">
        <f t="shared" si="321"/>
        <v>0.7</v>
      </c>
      <c r="CJ355" s="227">
        <f>$F355*0.75</f>
        <v>1125</v>
      </c>
      <c r="CK355" s="224">
        <f t="shared" si="322"/>
        <v>0.75</v>
      </c>
      <c r="CL355" s="227">
        <f>$F355*0.75</f>
        <v>1125</v>
      </c>
      <c r="CM355" s="224">
        <f t="shared" si="323"/>
        <v>0.75</v>
      </c>
      <c r="CN355" s="227">
        <f>$F355*0.95</f>
        <v>1425</v>
      </c>
      <c r="CO355" s="224">
        <f t="shared" si="324"/>
        <v>0.95</v>
      </c>
      <c r="CP355" s="213" t="str">
        <f t="shared" si="329"/>
        <v>Đạt</v>
      </c>
      <c r="CQ355" s="213" t="str">
        <f t="shared" si="330"/>
        <v>Đạt</v>
      </c>
      <c r="CR355" s="192"/>
      <c r="CS355" s="192"/>
      <c r="CT355" s="223"/>
      <c r="CU355" s="163"/>
      <c r="CW355" s="195"/>
      <c r="CX355" s="196"/>
      <c r="CY355" s="196"/>
      <c r="CZ355" s="197"/>
      <c r="DA355" s="196"/>
      <c r="DB355" s="196"/>
      <c r="DC355" s="196"/>
      <c r="DE355" s="199"/>
      <c r="DF355" s="200"/>
      <c r="DG355" s="181"/>
    </row>
    <row r="356" spans="1:111" s="324" customFormat="1" hidden="1" outlineLevel="1" x14ac:dyDescent="0.25">
      <c r="A356" s="305" t="s">
        <v>34</v>
      </c>
      <c r="B356" s="318" t="s">
        <v>376</v>
      </c>
      <c r="C356" s="306"/>
      <c r="D356" s="307">
        <f>E356+F356</f>
        <v>3000</v>
      </c>
      <c r="E356" s="307"/>
      <c r="F356" s="307">
        <f>G356+H356+K356+M356</f>
        <v>3000</v>
      </c>
      <c r="G356" s="303">
        <v>3000</v>
      </c>
      <c r="H356" s="303"/>
      <c r="I356" s="235"/>
      <c r="J356" s="235"/>
      <c r="K356" s="303"/>
      <c r="L356" s="235"/>
      <c r="M356" s="223"/>
      <c r="N356" s="223"/>
      <c r="O356" s="303">
        <f>G356+I356+L356+N356</f>
        <v>3000</v>
      </c>
      <c r="P356" s="303">
        <v>0</v>
      </c>
      <c r="Q356" s="308">
        <f t="shared" si="325"/>
        <v>0</v>
      </c>
      <c r="R356" s="303"/>
      <c r="S356" s="309">
        <v>0</v>
      </c>
      <c r="T356" s="309">
        <v>0</v>
      </c>
      <c r="U356" s="303"/>
      <c r="V356" s="309">
        <v>0</v>
      </c>
      <c r="W356" s="309">
        <v>0</v>
      </c>
      <c r="X356" s="303"/>
      <c r="Y356" s="309">
        <v>0</v>
      </c>
      <c r="Z356" s="309">
        <v>0</v>
      </c>
      <c r="AA356" s="303"/>
      <c r="AB356" s="309">
        <v>0</v>
      </c>
      <c r="AC356" s="309">
        <v>0</v>
      </c>
      <c r="AD356" s="303">
        <v>604</v>
      </c>
      <c r="AE356" s="309">
        <v>0.20133333333333334</v>
      </c>
      <c r="AF356" s="309">
        <v>0.2119298245614035</v>
      </c>
      <c r="AG356" s="303">
        <v>604</v>
      </c>
      <c r="AH356" s="309">
        <v>0.20133333333333334</v>
      </c>
      <c r="AI356" s="309">
        <v>0.2119298245614035</v>
      </c>
      <c r="AJ356" s="303">
        <v>604</v>
      </c>
      <c r="AK356" s="309">
        <v>0.20133333333333334</v>
      </c>
      <c r="AL356" s="309">
        <v>0.2119298245614035</v>
      </c>
      <c r="AM356" s="303">
        <v>1110</v>
      </c>
      <c r="AN356" s="309">
        <v>0.37</v>
      </c>
      <c r="AO356" s="309">
        <v>0.38947368421052631</v>
      </c>
      <c r="AP356" s="309"/>
      <c r="AQ356" s="303">
        <v>1165.9950899999999</v>
      </c>
      <c r="AR356" s="309">
        <v>0.38866502999999997</v>
      </c>
      <c r="AS356" s="309">
        <v>0.40912108421052629</v>
      </c>
      <c r="AT356" s="303">
        <v>1165.9950899999999</v>
      </c>
      <c r="AU356" s="309">
        <v>0.38866502999999997</v>
      </c>
      <c r="AV356" s="309">
        <v>0.40912108421052629</v>
      </c>
      <c r="AW356" s="309"/>
      <c r="AX356" s="309"/>
      <c r="AY356" s="309"/>
      <c r="AZ356" s="309"/>
      <c r="BA356" s="309"/>
      <c r="BB356" s="309"/>
      <c r="BC356" s="303">
        <v>1165.9950899999999</v>
      </c>
      <c r="BD356" s="309">
        <v>0.38866502999999997</v>
      </c>
      <c r="BE356" s="309">
        <v>0.40912108421052629</v>
      </c>
      <c r="BF356" s="303"/>
      <c r="BG356" s="303">
        <v>1284.844578</v>
      </c>
      <c r="BH356" s="309">
        <v>0.42828152599999997</v>
      </c>
      <c r="BI356" s="309">
        <v>0.45082265894736839</v>
      </c>
      <c r="BJ356" s="303">
        <f t="shared" si="326"/>
        <v>2850</v>
      </c>
      <c r="BK356" s="303">
        <v>1483</v>
      </c>
      <c r="BL356" s="309">
        <f t="shared" si="311"/>
        <v>0.49433333333333335</v>
      </c>
      <c r="BM356" s="309">
        <f t="shared" si="328"/>
        <v>0.52035087719298245</v>
      </c>
      <c r="BN356" s="205">
        <f t="shared" si="308"/>
        <v>879</v>
      </c>
      <c r="BO356" s="205"/>
      <c r="BP356" s="310"/>
      <c r="BQ356" s="308">
        <f t="shared" si="312"/>
        <v>0</v>
      </c>
      <c r="BR356" s="310"/>
      <c r="BS356" s="308">
        <f t="shared" si="313"/>
        <v>0</v>
      </c>
      <c r="BT356" s="310">
        <f>$F356*0.1</f>
        <v>300</v>
      </c>
      <c r="BU356" s="308">
        <f t="shared" si="314"/>
        <v>0.1</v>
      </c>
      <c r="BV356" s="310">
        <f>$F356*0.2</f>
        <v>600</v>
      </c>
      <c r="BW356" s="308">
        <f t="shared" si="315"/>
        <v>0.2</v>
      </c>
      <c r="BX356" s="310">
        <f>$F356*0.3</f>
        <v>900</v>
      </c>
      <c r="BY356" s="308">
        <f t="shared" si="316"/>
        <v>0.3</v>
      </c>
      <c r="BZ356" s="310">
        <f>$F356*0.4</f>
        <v>1200</v>
      </c>
      <c r="CA356" s="308">
        <f t="shared" si="317"/>
        <v>0.4</v>
      </c>
      <c r="CB356" s="310">
        <f>$F356*0.5</f>
        <v>1500</v>
      </c>
      <c r="CC356" s="308">
        <f t="shared" si="318"/>
        <v>0.5</v>
      </c>
      <c r="CD356" s="310">
        <f>$F356*0.55</f>
        <v>1650.0000000000002</v>
      </c>
      <c r="CE356" s="308">
        <f t="shared" si="319"/>
        <v>0.55000000000000004</v>
      </c>
      <c r="CF356" s="310">
        <v>2100</v>
      </c>
      <c r="CG356" s="308">
        <f t="shared" si="320"/>
        <v>0.7</v>
      </c>
      <c r="CH356" s="310">
        <f>$F356*0.7</f>
        <v>2100</v>
      </c>
      <c r="CI356" s="308">
        <f t="shared" si="321"/>
        <v>0.7</v>
      </c>
      <c r="CJ356" s="310">
        <f>$F356*0.75</f>
        <v>2250</v>
      </c>
      <c r="CK356" s="308">
        <f t="shared" si="322"/>
        <v>0.75</v>
      </c>
      <c r="CL356" s="310">
        <f>$F356*0.75</f>
        <v>2250</v>
      </c>
      <c r="CM356" s="308">
        <f t="shared" si="323"/>
        <v>0.75</v>
      </c>
      <c r="CN356" s="310">
        <f>$F356*0.95</f>
        <v>2850</v>
      </c>
      <c r="CO356" s="308">
        <f t="shared" si="324"/>
        <v>0.95</v>
      </c>
      <c r="CP356" s="213" t="str">
        <f t="shared" si="329"/>
        <v>Đạt</v>
      </c>
      <c r="CQ356" s="213" t="str">
        <f t="shared" si="330"/>
        <v>Đạt</v>
      </c>
      <c r="CR356" s="312"/>
      <c r="CS356" s="312"/>
      <c r="CT356" s="235"/>
      <c r="CU356" s="163"/>
      <c r="CV356" s="323"/>
      <c r="CW356" s="195"/>
      <c r="CX356" s="196"/>
      <c r="CY356" s="196"/>
      <c r="CZ356" s="197"/>
      <c r="DA356" s="196"/>
      <c r="DB356" s="196"/>
      <c r="DC356" s="196"/>
      <c r="DE356" s="199"/>
      <c r="DF356" s="200"/>
      <c r="DG356" s="181"/>
    </row>
    <row r="357" spans="1:111" ht="25.5" hidden="1" outlineLevel="1" x14ac:dyDescent="0.25">
      <c r="A357" s="305" t="s">
        <v>34</v>
      </c>
      <c r="B357" s="306" t="s">
        <v>377</v>
      </c>
      <c r="C357" s="306"/>
      <c r="D357" s="307">
        <f>E357+F357</f>
        <v>5100</v>
      </c>
      <c r="E357" s="307"/>
      <c r="F357" s="307">
        <f>G357+H357+K357+M357</f>
        <v>5100</v>
      </c>
      <c r="G357" s="307"/>
      <c r="H357" s="307">
        <v>5100</v>
      </c>
      <c r="I357" s="235"/>
      <c r="J357" s="235"/>
      <c r="K357" s="303"/>
      <c r="L357" s="235"/>
      <c r="M357" s="223"/>
      <c r="N357" s="223"/>
      <c r="O357" s="303"/>
      <c r="P357" s="303">
        <v>0</v>
      </c>
      <c r="Q357" s="308">
        <f t="shared" si="325"/>
        <v>0</v>
      </c>
      <c r="R357" s="303"/>
      <c r="S357" s="309">
        <v>0</v>
      </c>
      <c r="T357" s="309">
        <v>0</v>
      </c>
      <c r="U357" s="303"/>
      <c r="V357" s="309">
        <v>0</v>
      </c>
      <c r="W357" s="309">
        <v>0</v>
      </c>
      <c r="X357" s="303"/>
      <c r="Y357" s="309">
        <v>0</v>
      </c>
      <c r="Z357" s="309">
        <v>0</v>
      </c>
      <c r="AA357" s="303"/>
      <c r="AB357" s="309">
        <v>0</v>
      </c>
      <c r="AC357" s="309">
        <v>0</v>
      </c>
      <c r="AD357" s="303"/>
      <c r="AE357" s="309">
        <v>0</v>
      </c>
      <c r="AF357" s="309">
        <v>0</v>
      </c>
      <c r="AG357" s="303"/>
      <c r="AH357" s="309">
        <v>0</v>
      </c>
      <c r="AI357" s="309">
        <v>0</v>
      </c>
      <c r="AJ357" s="188"/>
      <c r="AK357" s="309">
        <v>0</v>
      </c>
      <c r="AL357" s="309">
        <v>0</v>
      </c>
      <c r="AM357" s="303"/>
      <c r="AN357" s="309">
        <v>0</v>
      </c>
      <c r="AO357" s="309">
        <v>0</v>
      </c>
      <c r="AP357" s="309"/>
      <c r="AQ357" s="303"/>
      <c r="AR357" s="309">
        <v>0</v>
      </c>
      <c r="AS357" s="309">
        <v>0</v>
      </c>
      <c r="AT357" s="303"/>
      <c r="AU357" s="309">
        <v>0</v>
      </c>
      <c r="AV357" s="309">
        <v>0</v>
      </c>
      <c r="AW357" s="309"/>
      <c r="AX357" s="309"/>
      <c r="AY357" s="309"/>
      <c r="AZ357" s="309"/>
      <c r="BA357" s="309"/>
      <c r="BB357" s="309"/>
      <c r="BC357" s="303"/>
      <c r="BD357" s="309">
        <v>0</v>
      </c>
      <c r="BE357" s="309">
        <v>0</v>
      </c>
      <c r="BF357" s="303"/>
      <c r="BG357" s="303"/>
      <c r="BH357" s="309">
        <v>0</v>
      </c>
      <c r="BI357" s="309">
        <v>0</v>
      </c>
      <c r="BJ357" s="303">
        <f t="shared" si="326"/>
        <v>4845</v>
      </c>
      <c r="BK357" s="303"/>
      <c r="BL357" s="309">
        <f t="shared" si="311"/>
        <v>0</v>
      </c>
      <c r="BM357" s="309">
        <f t="shared" si="328"/>
        <v>0</v>
      </c>
      <c r="BN357" s="205">
        <f t="shared" si="308"/>
        <v>0</v>
      </c>
      <c r="BO357" s="205"/>
      <c r="BP357" s="310"/>
      <c r="BQ357" s="308">
        <f t="shared" si="312"/>
        <v>0</v>
      </c>
      <c r="BR357" s="310"/>
      <c r="BS357" s="308">
        <f t="shared" si="313"/>
        <v>0</v>
      </c>
      <c r="BT357" s="310">
        <f>$F357*0.1</f>
        <v>510</v>
      </c>
      <c r="BU357" s="308">
        <f t="shared" si="314"/>
        <v>0.1</v>
      </c>
      <c r="BV357" s="310">
        <f>$F357*0.2</f>
        <v>1020</v>
      </c>
      <c r="BW357" s="308">
        <f t="shared" si="315"/>
        <v>0.2</v>
      </c>
      <c r="BX357" s="310">
        <f>$F357*0.3</f>
        <v>1530</v>
      </c>
      <c r="BY357" s="308">
        <f t="shared" si="316"/>
        <v>0.3</v>
      </c>
      <c r="BZ357" s="310">
        <f>$F357*0.4</f>
        <v>2040</v>
      </c>
      <c r="CA357" s="308">
        <f t="shared" si="317"/>
        <v>0.4</v>
      </c>
      <c r="CB357" s="310">
        <f>$F357*0.5</f>
        <v>2550</v>
      </c>
      <c r="CC357" s="308">
        <f t="shared" si="318"/>
        <v>0.5</v>
      </c>
      <c r="CD357" s="310">
        <f>$F357*0.55</f>
        <v>2805</v>
      </c>
      <c r="CE357" s="308">
        <f t="shared" si="319"/>
        <v>0.55000000000000004</v>
      </c>
      <c r="CF357" s="310">
        <v>3570</v>
      </c>
      <c r="CG357" s="308">
        <f t="shared" si="320"/>
        <v>0.7</v>
      </c>
      <c r="CH357" s="310">
        <f>$F357*0.7</f>
        <v>3570</v>
      </c>
      <c r="CI357" s="308">
        <f t="shared" si="321"/>
        <v>0.7</v>
      </c>
      <c r="CJ357" s="310">
        <f>$F357*0.75</f>
        <v>3825</v>
      </c>
      <c r="CK357" s="308">
        <f t="shared" si="322"/>
        <v>0.75</v>
      </c>
      <c r="CL357" s="310">
        <f>$F357*0.75</f>
        <v>3825</v>
      </c>
      <c r="CM357" s="308">
        <f t="shared" si="323"/>
        <v>0.75</v>
      </c>
      <c r="CN357" s="310">
        <f>$F357*0.95</f>
        <v>4845</v>
      </c>
      <c r="CO357" s="308">
        <f t="shared" si="324"/>
        <v>0.95</v>
      </c>
      <c r="CP357" s="213" t="str">
        <f t="shared" si="329"/>
        <v>Không đạt</v>
      </c>
      <c r="CQ357" s="213" t="str">
        <f t="shared" si="330"/>
        <v>Không đạt</v>
      </c>
      <c r="CR357" s="312"/>
      <c r="CS357" s="312"/>
      <c r="CT357" s="235"/>
      <c r="CU357" s="163"/>
      <c r="CW357" s="195"/>
      <c r="CX357" s="196"/>
      <c r="CY357" s="196"/>
      <c r="CZ357" s="197"/>
      <c r="DA357" s="196"/>
      <c r="DB357" s="196"/>
      <c r="DC357" s="196"/>
      <c r="DE357" s="199"/>
      <c r="DF357" s="200"/>
      <c r="DG357" s="181"/>
    </row>
    <row r="358" spans="1:111" ht="18" customHeight="1" collapsed="1" x14ac:dyDescent="0.25">
      <c r="A358" s="316">
        <f>MAX(A$239:A356)+1</f>
        <v>34</v>
      </c>
      <c r="B358" s="240" t="s">
        <v>426</v>
      </c>
      <c r="C358" s="240"/>
      <c r="D358" s="188">
        <f t="shared" ref="D358:I358" si="338">D359+D361+D362</f>
        <v>8250</v>
      </c>
      <c r="E358" s="188">
        <f t="shared" si="338"/>
        <v>0</v>
      </c>
      <c r="F358" s="188">
        <f t="shared" si="338"/>
        <v>8250</v>
      </c>
      <c r="G358" s="188">
        <f t="shared" si="338"/>
        <v>3000</v>
      </c>
      <c r="H358" s="188">
        <f t="shared" si="338"/>
        <v>5250</v>
      </c>
      <c r="I358" s="188">
        <f t="shared" si="338"/>
        <v>950</v>
      </c>
      <c r="J358" s="188"/>
      <c r="K358" s="188">
        <f>K359+K361+K362</f>
        <v>0</v>
      </c>
      <c r="L358" s="188">
        <f>L359+L361+L362</f>
        <v>0</v>
      </c>
      <c r="M358" s="188">
        <f>M359+M361+M362</f>
        <v>0</v>
      </c>
      <c r="N358" s="188">
        <f>N359+N361+N362</f>
        <v>0</v>
      </c>
      <c r="O358" s="188">
        <f>O359+O361+O362</f>
        <v>3950</v>
      </c>
      <c r="P358" s="188">
        <v>0</v>
      </c>
      <c r="Q358" s="186">
        <f t="shared" si="325"/>
        <v>0</v>
      </c>
      <c r="R358" s="188">
        <v>0</v>
      </c>
      <c r="S358" s="185">
        <v>0</v>
      </c>
      <c r="T358" s="185">
        <v>0</v>
      </c>
      <c r="U358" s="188">
        <v>0</v>
      </c>
      <c r="V358" s="185">
        <v>0</v>
      </c>
      <c r="W358" s="185">
        <v>0</v>
      </c>
      <c r="X358" s="188">
        <v>0</v>
      </c>
      <c r="Y358" s="185">
        <v>0</v>
      </c>
      <c r="Z358" s="185">
        <v>0</v>
      </c>
      <c r="AA358" s="188">
        <v>0</v>
      </c>
      <c r="AB358" s="185">
        <v>0</v>
      </c>
      <c r="AC358" s="185">
        <v>0</v>
      </c>
      <c r="AD358" s="188">
        <v>0</v>
      </c>
      <c r="AE358" s="185">
        <v>0</v>
      </c>
      <c r="AF358" s="185">
        <v>0</v>
      </c>
      <c r="AG358" s="188">
        <v>0</v>
      </c>
      <c r="AH358" s="185">
        <v>0</v>
      </c>
      <c r="AI358" s="185">
        <v>0</v>
      </c>
      <c r="AJ358" s="317">
        <v>0</v>
      </c>
      <c r="AK358" s="185">
        <v>0</v>
      </c>
      <c r="AL358" s="185">
        <v>0</v>
      </c>
      <c r="AM358" s="188">
        <v>1872</v>
      </c>
      <c r="AN358" s="185">
        <v>0.22690909090909092</v>
      </c>
      <c r="AO358" s="185">
        <v>0.23885167464114831</v>
      </c>
      <c r="AP358" s="185"/>
      <c r="AQ358" s="188">
        <v>2101.5160000000001</v>
      </c>
      <c r="AR358" s="185">
        <v>0.25472921212121213</v>
      </c>
      <c r="AS358" s="185">
        <v>0.26813601275917065</v>
      </c>
      <c r="AT358" s="188">
        <v>2101.5160000000001</v>
      </c>
      <c r="AU358" s="185">
        <v>0.25472921212121213</v>
      </c>
      <c r="AV358" s="185">
        <v>0.26813601275917065</v>
      </c>
      <c r="AW358" s="185"/>
      <c r="AX358" s="185"/>
      <c r="AY358" s="185"/>
      <c r="AZ358" s="185"/>
      <c r="BA358" s="185"/>
      <c r="BB358" s="185"/>
      <c r="BC358" s="188">
        <v>2101.5160000000001</v>
      </c>
      <c r="BD358" s="185">
        <v>0.25472921212121213</v>
      </c>
      <c r="BE358" s="185">
        <v>0.26813601275917065</v>
      </c>
      <c r="BF358" s="188"/>
      <c r="BG358" s="188">
        <v>2542.5970000000002</v>
      </c>
      <c r="BH358" s="185">
        <v>0.30819357575757578</v>
      </c>
      <c r="BI358" s="185">
        <v>0.32441429027113239</v>
      </c>
      <c r="BJ358" s="188">
        <f t="shared" si="326"/>
        <v>7837.5</v>
      </c>
      <c r="BK358" s="188">
        <v>3541</v>
      </c>
      <c r="BL358" s="185">
        <f t="shared" si="311"/>
        <v>0.42921212121212121</v>
      </c>
      <c r="BM358" s="185">
        <f t="shared" si="328"/>
        <v>0.45180223285486443</v>
      </c>
      <c r="BN358" s="205">
        <f t="shared" si="308"/>
        <v>3541</v>
      </c>
      <c r="BO358" s="205"/>
      <c r="BP358" s="189">
        <f>BP359+BP361+BP362</f>
        <v>0</v>
      </c>
      <c r="BQ358" s="186">
        <f t="shared" si="312"/>
        <v>0</v>
      </c>
      <c r="BR358" s="189">
        <f>BR359+BR361+BR362</f>
        <v>0</v>
      </c>
      <c r="BS358" s="186">
        <f t="shared" si="313"/>
        <v>0</v>
      </c>
      <c r="BT358" s="189">
        <f>BT359+BT361+BT362</f>
        <v>1300</v>
      </c>
      <c r="BU358" s="186">
        <f t="shared" si="314"/>
        <v>0.15757575757575756</v>
      </c>
      <c r="BV358" s="189">
        <f>BV359+BV361+BV362</f>
        <v>3500</v>
      </c>
      <c r="BW358" s="186">
        <f t="shared" si="315"/>
        <v>0.42424242424242425</v>
      </c>
      <c r="BX358" s="189">
        <f>BX359+BX361+BX362</f>
        <v>3800</v>
      </c>
      <c r="BY358" s="186">
        <f t="shared" si="316"/>
        <v>0.46060606060606063</v>
      </c>
      <c r="BZ358" s="189">
        <f>BZ359+BZ361+BZ362</f>
        <v>4700</v>
      </c>
      <c r="CA358" s="186">
        <f t="shared" si="317"/>
        <v>0.5696969696969697</v>
      </c>
      <c r="CB358" s="189">
        <f>CB359+CB361+CB362</f>
        <v>5000</v>
      </c>
      <c r="CC358" s="186">
        <f t="shared" si="318"/>
        <v>0.60606060606060608</v>
      </c>
      <c r="CD358" s="189">
        <f>CD359+CD361+CD362</f>
        <v>5900</v>
      </c>
      <c r="CE358" s="186">
        <f t="shared" si="319"/>
        <v>0.7151515151515152</v>
      </c>
      <c r="CF358" s="189">
        <f>CF359+CF361+CF362</f>
        <v>6300</v>
      </c>
      <c r="CG358" s="186">
        <f t="shared" si="320"/>
        <v>0.76363636363636367</v>
      </c>
      <c r="CH358" s="189">
        <f>CH359+CH361+CH362</f>
        <v>6800</v>
      </c>
      <c r="CI358" s="186">
        <f t="shared" si="321"/>
        <v>0.82424242424242422</v>
      </c>
      <c r="CJ358" s="189">
        <f>CJ359+CJ361+CJ362</f>
        <v>7300</v>
      </c>
      <c r="CK358" s="186">
        <f t="shared" si="322"/>
        <v>0.88484848484848488</v>
      </c>
      <c r="CL358" s="189">
        <f>CL359+CL361+CL362</f>
        <v>7837.5</v>
      </c>
      <c r="CM358" s="186">
        <f t="shared" si="323"/>
        <v>0.95</v>
      </c>
      <c r="CN358" s="189">
        <f>CN359+CN361+CN362</f>
        <v>7837.5</v>
      </c>
      <c r="CO358" s="186">
        <f t="shared" si="324"/>
        <v>0.95</v>
      </c>
      <c r="CP358" s="213" t="str">
        <f t="shared" si="329"/>
        <v>Đạt</v>
      </c>
      <c r="CQ358" s="213" t="str">
        <f t="shared" si="330"/>
        <v>Đạt</v>
      </c>
      <c r="CR358" s="213"/>
      <c r="CS358" s="213"/>
      <c r="CT358" s="231"/>
      <c r="CU358" s="163"/>
      <c r="CW358" s="195"/>
      <c r="CX358" s="196"/>
      <c r="CY358" s="196"/>
      <c r="CZ358" s="197"/>
      <c r="DA358" s="196"/>
      <c r="DB358" s="196"/>
      <c r="DC358" s="196"/>
      <c r="DE358" s="199"/>
      <c r="DF358" s="200"/>
      <c r="DG358" s="181"/>
    </row>
    <row r="359" spans="1:111" s="324" customFormat="1" hidden="1" outlineLevel="1" x14ac:dyDescent="0.25">
      <c r="A359" s="305" t="s">
        <v>34</v>
      </c>
      <c r="B359" s="318" t="s">
        <v>381</v>
      </c>
      <c r="C359" s="306"/>
      <c r="D359" s="317">
        <f>D360</f>
        <v>1000</v>
      </c>
      <c r="E359" s="317">
        <f t="shared" ref="E359:L359" si="339">E360</f>
        <v>0</v>
      </c>
      <c r="F359" s="317">
        <f t="shared" si="339"/>
        <v>1000</v>
      </c>
      <c r="G359" s="317">
        <f t="shared" si="339"/>
        <v>0</v>
      </c>
      <c r="H359" s="317">
        <f t="shared" si="339"/>
        <v>1000</v>
      </c>
      <c r="I359" s="214">
        <f t="shared" si="339"/>
        <v>950</v>
      </c>
      <c r="J359" s="214"/>
      <c r="K359" s="317">
        <f t="shared" si="339"/>
        <v>0</v>
      </c>
      <c r="L359" s="214">
        <f t="shared" si="339"/>
        <v>0</v>
      </c>
      <c r="M359" s="223"/>
      <c r="N359" s="223"/>
      <c r="O359" s="317">
        <f>G359+I359+L359+N359</f>
        <v>950</v>
      </c>
      <c r="P359" s="317">
        <v>0</v>
      </c>
      <c r="Q359" s="319">
        <f t="shared" si="325"/>
        <v>0</v>
      </c>
      <c r="R359" s="317">
        <v>0</v>
      </c>
      <c r="S359" s="320">
        <v>0</v>
      </c>
      <c r="T359" s="320">
        <v>0</v>
      </c>
      <c r="U359" s="317">
        <v>0</v>
      </c>
      <c r="V359" s="320">
        <v>0</v>
      </c>
      <c r="W359" s="320">
        <v>0</v>
      </c>
      <c r="X359" s="317">
        <v>0</v>
      </c>
      <c r="Y359" s="320">
        <v>0</v>
      </c>
      <c r="Z359" s="320">
        <v>0</v>
      </c>
      <c r="AA359" s="317">
        <v>0</v>
      </c>
      <c r="AB359" s="320">
        <v>0</v>
      </c>
      <c r="AC359" s="320">
        <v>0</v>
      </c>
      <c r="AD359" s="317">
        <v>0</v>
      </c>
      <c r="AE359" s="320">
        <v>0</v>
      </c>
      <c r="AF359" s="320">
        <v>0</v>
      </c>
      <c r="AG359" s="317">
        <v>0</v>
      </c>
      <c r="AH359" s="320">
        <v>0</v>
      </c>
      <c r="AI359" s="320">
        <v>0</v>
      </c>
      <c r="AJ359" s="257">
        <v>0</v>
      </c>
      <c r="AK359" s="320">
        <v>0</v>
      </c>
      <c r="AL359" s="320">
        <v>0</v>
      </c>
      <c r="AM359" s="317">
        <v>950</v>
      </c>
      <c r="AN359" s="320">
        <v>0.95</v>
      </c>
      <c r="AO359" s="320">
        <v>1</v>
      </c>
      <c r="AP359" s="320"/>
      <c r="AQ359" s="317">
        <v>950</v>
      </c>
      <c r="AR359" s="320">
        <v>0.95</v>
      </c>
      <c r="AS359" s="320">
        <v>1</v>
      </c>
      <c r="AT359" s="317">
        <v>950</v>
      </c>
      <c r="AU359" s="320">
        <v>0.95</v>
      </c>
      <c r="AV359" s="320">
        <v>1</v>
      </c>
      <c r="AW359" s="320"/>
      <c r="AX359" s="320"/>
      <c r="AY359" s="320"/>
      <c r="AZ359" s="320"/>
      <c r="BA359" s="320"/>
      <c r="BB359" s="320"/>
      <c r="BC359" s="317">
        <v>950</v>
      </c>
      <c r="BD359" s="320">
        <v>0.95</v>
      </c>
      <c r="BE359" s="320">
        <v>1</v>
      </c>
      <c r="BF359" s="317"/>
      <c r="BG359" s="317">
        <v>950</v>
      </c>
      <c r="BH359" s="320">
        <v>0.95</v>
      </c>
      <c r="BI359" s="320">
        <v>1</v>
      </c>
      <c r="BJ359" s="317">
        <f t="shared" si="326"/>
        <v>950</v>
      </c>
      <c r="BK359" s="317">
        <f>BK360</f>
        <v>950</v>
      </c>
      <c r="BL359" s="320">
        <f t="shared" si="311"/>
        <v>0.95</v>
      </c>
      <c r="BM359" s="320">
        <f t="shared" si="328"/>
        <v>1</v>
      </c>
      <c r="BN359" s="205">
        <f t="shared" si="308"/>
        <v>950</v>
      </c>
      <c r="BO359" s="205"/>
      <c r="BP359" s="307">
        <f>BP360</f>
        <v>0</v>
      </c>
      <c r="BQ359" s="322">
        <f t="shared" si="312"/>
        <v>0</v>
      </c>
      <c r="BR359" s="307">
        <f>BR360</f>
        <v>0</v>
      </c>
      <c r="BS359" s="322">
        <f t="shared" si="313"/>
        <v>0</v>
      </c>
      <c r="BT359" s="307">
        <f>BT360</f>
        <v>300</v>
      </c>
      <c r="BU359" s="319">
        <f t="shared" si="314"/>
        <v>0.3</v>
      </c>
      <c r="BV359" s="307">
        <f>BV360</f>
        <v>500</v>
      </c>
      <c r="BW359" s="322">
        <f t="shared" si="315"/>
        <v>0.5</v>
      </c>
      <c r="BX359" s="307">
        <f>BX360</f>
        <v>600</v>
      </c>
      <c r="BY359" s="322">
        <f t="shared" si="316"/>
        <v>0.6</v>
      </c>
      <c r="BZ359" s="307">
        <f>BZ360</f>
        <v>700</v>
      </c>
      <c r="CA359" s="322">
        <f t="shared" si="317"/>
        <v>0.7</v>
      </c>
      <c r="CB359" s="307">
        <f>CB360</f>
        <v>800</v>
      </c>
      <c r="CC359" s="322">
        <f t="shared" si="318"/>
        <v>0.8</v>
      </c>
      <c r="CD359" s="307">
        <f>CD360</f>
        <v>900</v>
      </c>
      <c r="CE359" s="322">
        <f t="shared" si="319"/>
        <v>0.9</v>
      </c>
      <c r="CF359" s="307">
        <f>CF360</f>
        <v>950</v>
      </c>
      <c r="CG359" s="322">
        <f t="shared" si="320"/>
        <v>0.95</v>
      </c>
      <c r="CH359" s="307">
        <f>CH360</f>
        <v>950</v>
      </c>
      <c r="CI359" s="322">
        <f t="shared" si="321"/>
        <v>0.95</v>
      </c>
      <c r="CJ359" s="307">
        <f>CJ360</f>
        <v>950</v>
      </c>
      <c r="CK359" s="322">
        <f t="shared" si="322"/>
        <v>0.95</v>
      </c>
      <c r="CL359" s="307">
        <f>CL360</f>
        <v>950</v>
      </c>
      <c r="CM359" s="322">
        <f t="shared" si="323"/>
        <v>0.95</v>
      </c>
      <c r="CN359" s="307">
        <f>CN360</f>
        <v>950</v>
      </c>
      <c r="CO359" s="322">
        <f t="shared" si="324"/>
        <v>0.95</v>
      </c>
      <c r="CP359" s="213" t="str">
        <f t="shared" si="329"/>
        <v>Đạt</v>
      </c>
      <c r="CQ359" s="213" t="str">
        <f t="shared" si="330"/>
        <v>Đạt</v>
      </c>
      <c r="CR359" s="312"/>
      <c r="CS359" s="312"/>
      <c r="CT359" s="235"/>
      <c r="CU359" s="163"/>
      <c r="CV359" s="323"/>
      <c r="CW359" s="195"/>
      <c r="CX359" s="196"/>
      <c r="CY359" s="196"/>
      <c r="CZ359" s="197"/>
      <c r="DA359" s="196"/>
      <c r="DB359" s="196"/>
      <c r="DC359" s="196"/>
      <c r="DE359" s="199"/>
      <c r="DF359" s="200"/>
      <c r="DG359" s="181"/>
    </row>
    <row r="360" spans="1:111" ht="25.5" hidden="1" outlineLevel="1" x14ac:dyDescent="0.25">
      <c r="A360" s="192"/>
      <c r="B360" s="325" t="s">
        <v>427</v>
      </c>
      <c r="C360" s="325"/>
      <c r="D360" s="214">
        <f>E360+F360</f>
        <v>1000</v>
      </c>
      <c r="E360" s="215"/>
      <c r="F360" s="214">
        <f>G360+H360+K360+M360</f>
        <v>1000</v>
      </c>
      <c r="G360" s="223"/>
      <c r="H360" s="257">
        <v>1000</v>
      </c>
      <c r="I360" s="235">
        <v>950</v>
      </c>
      <c r="J360" s="257">
        <v>950</v>
      </c>
      <c r="K360" s="223"/>
      <c r="L360" s="235"/>
      <c r="M360" s="223"/>
      <c r="N360" s="223"/>
      <c r="O360" s="257">
        <f>G360+I360+L360+N360</f>
        <v>950</v>
      </c>
      <c r="P360" s="257">
        <v>0</v>
      </c>
      <c r="Q360" s="224">
        <f t="shared" si="325"/>
        <v>0</v>
      </c>
      <c r="R360" s="257"/>
      <c r="S360" s="326">
        <v>0</v>
      </c>
      <c r="T360" s="326">
        <v>0</v>
      </c>
      <c r="U360" s="257"/>
      <c r="V360" s="326">
        <v>0</v>
      </c>
      <c r="W360" s="326">
        <v>0</v>
      </c>
      <c r="X360" s="257"/>
      <c r="Y360" s="326">
        <v>0</v>
      </c>
      <c r="Z360" s="326">
        <v>0</v>
      </c>
      <c r="AA360" s="257"/>
      <c r="AB360" s="326">
        <v>0</v>
      </c>
      <c r="AC360" s="326">
        <v>0</v>
      </c>
      <c r="AD360" s="257"/>
      <c r="AE360" s="326">
        <v>0</v>
      </c>
      <c r="AF360" s="326">
        <v>0</v>
      </c>
      <c r="AG360" s="257"/>
      <c r="AH360" s="326">
        <v>0</v>
      </c>
      <c r="AI360" s="326">
        <v>0</v>
      </c>
      <c r="AJ360" s="303"/>
      <c r="AK360" s="326">
        <v>0</v>
      </c>
      <c r="AL360" s="326">
        <v>0</v>
      </c>
      <c r="AM360" s="257">
        <v>950</v>
      </c>
      <c r="AN360" s="326">
        <v>0.95</v>
      </c>
      <c r="AO360" s="326">
        <v>1</v>
      </c>
      <c r="AP360" s="326"/>
      <c r="AQ360" s="257">
        <v>950</v>
      </c>
      <c r="AR360" s="326">
        <v>0.95</v>
      </c>
      <c r="AS360" s="326">
        <v>1</v>
      </c>
      <c r="AT360" s="257">
        <v>950</v>
      </c>
      <c r="AU360" s="326">
        <v>0.95</v>
      </c>
      <c r="AV360" s="326">
        <v>1</v>
      </c>
      <c r="AW360" s="326"/>
      <c r="AX360" s="326"/>
      <c r="AY360" s="326"/>
      <c r="AZ360" s="326"/>
      <c r="BA360" s="326"/>
      <c r="BB360" s="326"/>
      <c r="BC360" s="257">
        <v>950</v>
      </c>
      <c r="BD360" s="326">
        <v>0.95</v>
      </c>
      <c r="BE360" s="326">
        <v>1</v>
      </c>
      <c r="BF360" s="257">
        <v>950</v>
      </c>
      <c r="BG360" s="257">
        <v>950</v>
      </c>
      <c r="BH360" s="326">
        <v>0.95</v>
      </c>
      <c r="BI360" s="326">
        <v>1</v>
      </c>
      <c r="BJ360" s="257">
        <f t="shared" si="326"/>
        <v>950</v>
      </c>
      <c r="BK360" s="257">
        <v>950</v>
      </c>
      <c r="BL360" s="326">
        <f t="shared" si="311"/>
        <v>0.95</v>
      </c>
      <c r="BM360" s="326">
        <f t="shared" si="328"/>
        <v>1</v>
      </c>
      <c r="BN360" s="205">
        <f t="shared" si="308"/>
        <v>950</v>
      </c>
      <c r="BO360" s="205"/>
      <c r="BP360" s="227"/>
      <c r="BQ360" s="327">
        <f t="shared" si="312"/>
        <v>0</v>
      </c>
      <c r="BR360" s="227"/>
      <c r="BS360" s="327">
        <f t="shared" si="313"/>
        <v>0</v>
      </c>
      <c r="BT360" s="227">
        <v>300</v>
      </c>
      <c r="BU360" s="224">
        <f t="shared" si="314"/>
        <v>0.3</v>
      </c>
      <c r="BV360" s="227">
        <v>500</v>
      </c>
      <c r="BW360" s="327">
        <f t="shared" si="315"/>
        <v>0.5</v>
      </c>
      <c r="BX360" s="227">
        <v>600</v>
      </c>
      <c r="BY360" s="327">
        <f t="shared" si="316"/>
        <v>0.6</v>
      </c>
      <c r="BZ360" s="227">
        <v>700</v>
      </c>
      <c r="CA360" s="327">
        <f t="shared" si="317"/>
        <v>0.7</v>
      </c>
      <c r="CB360" s="227">
        <v>800</v>
      </c>
      <c r="CC360" s="327">
        <f t="shared" si="318"/>
        <v>0.8</v>
      </c>
      <c r="CD360" s="227">
        <v>900</v>
      </c>
      <c r="CE360" s="327">
        <f t="shared" si="319"/>
        <v>0.9</v>
      </c>
      <c r="CF360" s="227">
        <v>950</v>
      </c>
      <c r="CG360" s="327">
        <f t="shared" si="320"/>
        <v>0.95</v>
      </c>
      <c r="CH360" s="227">
        <v>950</v>
      </c>
      <c r="CI360" s="327">
        <f t="shared" si="321"/>
        <v>0.95</v>
      </c>
      <c r="CJ360" s="227">
        <v>950</v>
      </c>
      <c r="CK360" s="327">
        <f t="shared" si="322"/>
        <v>0.95</v>
      </c>
      <c r="CL360" s="227">
        <v>950</v>
      </c>
      <c r="CM360" s="327">
        <f t="shared" si="323"/>
        <v>0.95</v>
      </c>
      <c r="CN360" s="227">
        <v>950</v>
      </c>
      <c r="CO360" s="327">
        <f t="shared" si="324"/>
        <v>0.95</v>
      </c>
      <c r="CP360" s="213" t="str">
        <f t="shared" si="329"/>
        <v>Đạt</v>
      </c>
      <c r="CQ360" s="213" t="str">
        <f t="shared" si="330"/>
        <v>Đạt</v>
      </c>
      <c r="CR360" s="192"/>
      <c r="CS360" s="192"/>
      <c r="CT360" s="223"/>
      <c r="CU360" s="163"/>
      <c r="CW360" s="195"/>
      <c r="CX360" s="196"/>
      <c r="CY360" s="196"/>
      <c r="CZ360" s="197"/>
      <c r="DA360" s="196"/>
      <c r="DB360" s="196"/>
      <c r="DC360" s="196"/>
      <c r="DE360" s="199"/>
      <c r="DF360" s="200"/>
      <c r="DG360" s="181"/>
    </row>
    <row r="361" spans="1:111" s="324" customFormat="1" hidden="1" outlineLevel="1" x14ac:dyDescent="0.25">
      <c r="A361" s="305" t="s">
        <v>34</v>
      </c>
      <c r="B361" s="318" t="s">
        <v>376</v>
      </c>
      <c r="C361" s="306"/>
      <c r="D361" s="307">
        <f>E361+F361</f>
        <v>3000</v>
      </c>
      <c r="E361" s="307"/>
      <c r="F361" s="307">
        <f>G361+H361+K361+M361</f>
        <v>3000</v>
      </c>
      <c r="G361" s="303">
        <v>3000</v>
      </c>
      <c r="H361" s="303"/>
      <c r="I361" s="235"/>
      <c r="J361" s="235"/>
      <c r="K361" s="303"/>
      <c r="L361" s="235"/>
      <c r="M361" s="223"/>
      <c r="N361" s="223"/>
      <c r="O361" s="303">
        <f>G361+I361+L361+N361</f>
        <v>3000</v>
      </c>
      <c r="P361" s="303">
        <v>0</v>
      </c>
      <c r="Q361" s="308">
        <f t="shared" si="325"/>
        <v>0</v>
      </c>
      <c r="R361" s="303"/>
      <c r="S361" s="313">
        <v>0</v>
      </c>
      <c r="T361" s="313">
        <v>0</v>
      </c>
      <c r="U361" s="303"/>
      <c r="V361" s="313">
        <v>0</v>
      </c>
      <c r="W361" s="313">
        <v>0</v>
      </c>
      <c r="X361" s="303"/>
      <c r="Y361" s="313">
        <v>0</v>
      </c>
      <c r="Z361" s="313">
        <v>0</v>
      </c>
      <c r="AA361" s="303"/>
      <c r="AB361" s="313">
        <v>0</v>
      </c>
      <c r="AC361" s="313">
        <v>0</v>
      </c>
      <c r="AD361" s="303"/>
      <c r="AE361" s="313">
        <v>0</v>
      </c>
      <c r="AF361" s="313">
        <v>0</v>
      </c>
      <c r="AG361" s="303"/>
      <c r="AH361" s="313">
        <v>0</v>
      </c>
      <c r="AI361" s="313">
        <v>0</v>
      </c>
      <c r="AJ361" s="303"/>
      <c r="AK361" s="313">
        <v>0</v>
      </c>
      <c r="AL361" s="313">
        <v>0</v>
      </c>
      <c r="AM361" s="303">
        <v>922</v>
      </c>
      <c r="AN361" s="313">
        <v>0.30733333333333335</v>
      </c>
      <c r="AO361" s="313">
        <v>0.32350877192982458</v>
      </c>
      <c r="AP361" s="313"/>
      <c r="AQ361" s="303">
        <v>1151.5160000000001</v>
      </c>
      <c r="AR361" s="313">
        <v>0.38383866666666672</v>
      </c>
      <c r="AS361" s="313">
        <v>0.404040701754386</v>
      </c>
      <c r="AT361" s="303">
        <v>1151.5160000000001</v>
      </c>
      <c r="AU361" s="313">
        <v>0.38383866666666672</v>
      </c>
      <c r="AV361" s="313">
        <v>0.404040701754386</v>
      </c>
      <c r="AW361" s="313"/>
      <c r="AX361" s="313"/>
      <c r="AY361" s="313"/>
      <c r="AZ361" s="313"/>
      <c r="BA361" s="313"/>
      <c r="BB361" s="313"/>
      <c r="BC361" s="303">
        <v>1151.5160000000001</v>
      </c>
      <c r="BD361" s="313">
        <v>0.38383866666666672</v>
      </c>
      <c r="BE361" s="313">
        <v>0.404040701754386</v>
      </c>
      <c r="BF361" s="303"/>
      <c r="BG361" s="303">
        <v>1151.5160000000001</v>
      </c>
      <c r="BH361" s="313">
        <v>0.38383866666666672</v>
      </c>
      <c r="BI361" s="313">
        <v>0.404040701754386</v>
      </c>
      <c r="BJ361" s="303">
        <f t="shared" si="326"/>
        <v>2850</v>
      </c>
      <c r="BK361" s="303">
        <v>1556</v>
      </c>
      <c r="BL361" s="313">
        <f t="shared" si="311"/>
        <v>0.51866666666666672</v>
      </c>
      <c r="BM361" s="313">
        <f t="shared" si="328"/>
        <v>0.54596491228070176</v>
      </c>
      <c r="BN361" s="205">
        <f t="shared" si="308"/>
        <v>1556</v>
      </c>
      <c r="BO361" s="205"/>
      <c r="BP361" s="310"/>
      <c r="BQ361" s="311">
        <f t="shared" si="312"/>
        <v>0</v>
      </c>
      <c r="BR361" s="310"/>
      <c r="BS361" s="311">
        <f t="shared" si="313"/>
        <v>0</v>
      </c>
      <c r="BT361" s="310">
        <v>1000</v>
      </c>
      <c r="BU361" s="308">
        <f t="shared" si="314"/>
        <v>0.33333333333333331</v>
      </c>
      <c r="BV361" s="310">
        <v>1500</v>
      </c>
      <c r="BW361" s="311">
        <f t="shared" si="315"/>
        <v>0.5</v>
      </c>
      <c r="BX361" s="310">
        <v>1700</v>
      </c>
      <c r="BY361" s="311">
        <f t="shared" si="316"/>
        <v>0.56666666666666665</v>
      </c>
      <c r="BZ361" s="310">
        <v>2000</v>
      </c>
      <c r="CA361" s="311">
        <f t="shared" si="317"/>
        <v>0.66666666666666663</v>
      </c>
      <c r="CB361" s="310">
        <v>2200</v>
      </c>
      <c r="CC361" s="311">
        <f t="shared" si="318"/>
        <v>0.73333333333333328</v>
      </c>
      <c r="CD361" s="310">
        <v>2500</v>
      </c>
      <c r="CE361" s="311">
        <f t="shared" si="319"/>
        <v>0.83333333333333337</v>
      </c>
      <c r="CF361" s="310">
        <v>2850</v>
      </c>
      <c r="CG361" s="311">
        <f t="shared" si="320"/>
        <v>0.95</v>
      </c>
      <c r="CH361" s="310">
        <v>2850</v>
      </c>
      <c r="CI361" s="311">
        <f t="shared" si="321"/>
        <v>0.95</v>
      </c>
      <c r="CJ361" s="310">
        <v>2850</v>
      </c>
      <c r="CK361" s="311">
        <f t="shared" si="322"/>
        <v>0.95</v>
      </c>
      <c r="CL361" s="310">
        <v>2850</v>
      </c>
      <c r="CM361" s="311">
        <f t="shared" si="323"/>
        <v>0.95</v>
      </c>
      <c r="CN361" s="310">
        <v>2850</v>
      </c>
      <c r="CO361" s="311">
        <f t="shared" si="324"/>
        <v>0.95</v>
      </c>
      <c r="CP361" s="213" t="str">
        <f t="shared" si="329"/>
        <v>Đạt</v>
      </c>
      <c r="CQ361" s="213" t="str">
        <f t="shared" si="330"/>
        <v>Đạt</v>
      </c>
      <c r="CR361" s="312"/>
      <c r="CS361" s="312"/>
      <c r="CT361" s="235"/>
      <c r="CU361" s="163"/>
      <c r="CV361" s="323"/>
      <c r="CW361" s="195"/>
      <c r="CX361" s="196"/>
      <c r="CY361" s="196"/>
      <c r="CZ361" s="197"/>
      <c r="DA361" s="196"/>
      <c r="DB361" s="196"/>
      <c r="DC361" s="196"/>
      <c r="DE361" s="199"/>
      <c r="DF361" s="200"/>
      <c r="DG361" s="181"/>
    </row>
    <row r="362" spans="1:111" ht="25.5" hidden="1" outlineLevel="1" x14ac:dyDescent="0.25">
      <c r="A362" s="305" t="s">
        <v>34</v>
      </c>
      <c r="B362" s="306" t="s">
        <v>377</v>
      </c>
      <c r="C362" s="306"/>
      <c r="D362" s="307">
        <f>E362+F362</f>
        <v>4250</v>
      </c>
      <c r="E362" s="307"/>
      <c r="F362" s="307">
        <f>G362+H362+K362+M362</f>
        <v>4250</v>
      </c>
      <c r="G362" s="307"/>
      <c r="H362" s="307">
        <v>4250</v>
      </c>
      <c r="I362" s="235"/>
      <c r="J362" s="235"/>
      <c r="K362" s="303"/>
      <c r="L362" s="235"/>
      <c r="M362" s="223"/>
      <c r="N362" s="223"/>
      <c r="O362" s="303"/>
      <c r="P362" s="303">
        <v>0</v>
      </c>
      <c r="Q362" s="308">
        <f t="shared" si="325"/>
        <v>0</v>
      </c>
      <c r="R362" s="303"/>
      <c r="S362" s="313">
        <v>0</v>
      </c>
      <c r="T362" s="313">
        <v>0</v>
      </c>
      <c r="U362" s="303"/>
      <c r="V362" s="313">
        <v>0</v>
      </c>
      <c r="W362" s="313">
        <v>0</v>
      </c>
      <c r="X362" s="303"/>
      <c r="Y362" s="313">
        <v>0</v>
      </c>
      <c r="Z362" s="313">
        <v>0</v>
      </c>
      <c r="AA362" s="303"/>
      <c r="AB362" s="313">
        <v>0</v>
      </c>
      <c r="AC362" s="313">
        <v>0</v>
      </c>
      <c r="AD362" s="303"/>
      <c r="AE362" s="313">
        <v>0</v>
      </c>
      <c r="AF362" s="313">
        <v>0</v>
      </c>
      <c r="AG362" s="303"/>
      <c r="AH362" s="313">
        <v>0</v>
      </c>
      <c r="AI362" s="313">
        <v>0</v>
      </c>
      <c r="AJ362" s="188"/>
      <c r="AK362" s="313">
        <v>0</v>
      </c>
      <c r="AL362" s="313">
        <v>0</v>
      </c>
      <c r="AM362" s="303"/>
      <c r="AN362" s="313">
        <v>0</v>
      </c>
      <c r="AO362" s="313">
        <v>0</v>
      </c>
      <c r="AP362" s="313"/>
      <c r="AQ362" s="303"/>
      <c r="AR362" s="313">
        <v>0</v>
      </c>
      <c r="AS362" s="313">
        <v>0</v>
      </c>
      <c r="AT362" s="303"/>
      <c r="AU362" s="313">
        <v>0</v>
      </c>
      <c r="AV362" s="313">
        <v>0</v>
      </c>
      <c r="AW362" s="313"/>
      <c r="AX362" s="313"/>
      <c r="AY362" s="313"/>
      <c r="AZ362" s="313"/>
      <c r="BA362" s="313"/>
      <c r="BB362" s="313"/>
      <c r="BC362" s="303"/>
      <c r="BD362" s="313">
        <v>0</v>
      </c>
      <c r="BE362" s="313">
        <v>0</v>
      </c>
      <c r="BF362" s="303"/>
      <c r="BG362" s="303">
        <v>441.08100000000002</v>
      </c>
      <c r="BH362" s="313">
        <v>0.10378376470588235</v>
      </c>
      <c r="BI362" s="313">
        <v>0.10924606811145511</v>
      </c>
      <c r="BJ362" s="303">
        <f t="shared" si="326"/>
        <v>4037.5</v>
      </c>
      <c r="BK362" s="303">
        <v>441.08100000000002</v>
      </c>
      <c r="BL362" s="313">
        <f t="shared" si="311"/>
        <v>0.10378376470588235</v>
      </c>
      <c r="BM362" s="313">
        <f t="shared" si="328"/>
        <v>0.10924606811145511</v>
      </c>
      <c r="BN362" s="205">
        <f t="shared" si="308"/>
        <v>441.08100000000002</v>
      </c>
      <c r="BO362" s="205"/>
      <c r="BP362" s="310"/>
      <c r="BQ362" s="311">
        <f t="shared" si="312"/>
        <v>0</v>
      </c>
      <c r="BR362" s="310"/>
      <c r="BS362" s="311">
        <f t="shared" si="313"/>
        <v>0</v>
      </c>
      <c r="BT362" s="310"/>
      <c r="BU362" s="308">
        <f t="shared" si="314"/>
        <v>0</v>
      </c>
      <c r="BV362" s="310">
        <v>1500</v>
      </c>
      <c r="BW362" s="311">
        <f t="shared" si="315"/>
        <v>0.35294117647058826</v>
      </c>
      <c r="BX362" s="310">
        <v>1500</v>
      </c>
      <c r="BY362" s="311">
        <f t="shared" si="316"/>
        <v>0.35294117647058826</v>
      </c>
      <c r="BZ362" s="310">
        <v>2000</v>
      </c>
      <c r="CA362" s="311">
        <f t="shared" si="317"/>
        <v>0.47058823529411764</v>
      </c>
      <c r="CB362" s="310">
        <v>2000</v>
      </c>
      <c r="CC362" s="311">
        <f t="shared" si="318"/>
        <v>0.47058823529411764</v>
      </c>
      <c r="CD362" s="310">
        <v>2500</v>
      </c>
      <c r="CE362" s="311">
        <f t="shared" si="319"/>
        <v>0.58823529411764708</v>
      </c>
      <c r="CF362" s="310">
        <v>2500</v>
      </c>
      <c r="CG362" s="311">
        <f t="shared" si="320"/>
        <v>0.58823529411764708</v>
      </c>
      <c r="CH362" s="310">
        <v>3000</v>
      </c>
      <c r="CI362" s="311">
        <f t="shared" si="321"/>
        <v>0.70588235294117652</v>
      </c>
      <c r="CJ362" s="310">
        <v>3500</v>
      </c>
      <c r="CK362" s="311">
        <f t="shared" si="322"/>
        <v>0.82352941176470584</v>
      </c>
      <c r="CL362" s="310">
        <f>4250*0.95</f>
        <v>4037.5</v>
      </c>
      <c r="CM362" s="311">
        <f t="shared" si="323"/>
        <v>0.95</v>
      </c>
      <c r="CN362" s="310">
        <f>4250*0.95</f>
        <v>4037.5</v>
      </c>
      <c r="CO362" s="311">
        <f t="shared" si="324"/>
        <v>0.95</v>
      </c>
      <c r="CP362" s="213" t="str">
        <f t="shared" si="329"/>
        <v>Không đạt</v>
      </c>
      <c r="CQ362" s="213" t="str">
        <f t="shared" si="330"/>
        <v>Không đạt</v>
      </c>
      <c r="CR362" s="312"/>
      <c r="CS362" s="312"/>
      <c r="CT362" s="235"/>
      <c r="CU362" s="163"/>
      <c r="CW362" s="195"/>
      <c r="CX362" s="196"/>
      <c r="CY362" s="196"/>
      <c r="CZ362" s="197"/>
      <c r="DA362" s="196"/>
      <c r="DB362" s="196"/>
      <c r="DC362" s="196"/>
      <c r="DE362" s="199"/>
      <c r="DF362" s="200"/>
      <c r="DG362" s="181"/>
    </row>
    <row r="363" spans="1:111" ht="18" customHeight="1" collapsed="1" x14ac:dyDescent="0.25">
      <c r="A363" s="316">
        <f>MAX(A$239:A361)+1</f>
        <v>35</v>
      </c>
      <c r="B363" s="240" t="s">
        <v>428</v>
      </c>
      <c r="C363" s="240"/>
      <c r="D363" s="188">
        <f t="shared" ref="D363:I363" si="340">D364+D365</f>
        <v>8100</v>
      </c>
      <c r="E363" s="188">
        <f t="shared" si="340"/>
        <v>0</v>
      </c>
      <c r="F363" s="188">
        <f t="shared" si="340"/>
        <v>8100</v>
      </c>
      <c r="G363" s="188">
        <f t="shared" si="340"/>
        <v>3000</v>
      </c>
      <c r="H363" s="188">
        <f t="shared" si="340"/>
        <v>5100</v>
      </c>
      <c r="I363" s="188">
        <f t="shared" si="340"/>
        <v>0</v>
      </c>
      <c r="J363" s="188"/>
      <c r="K363" s="188">
        <f>K364+K365</f>
        <v>0</v>
      </c>
      <c r="L363" s="188">
        <f>L364+L365</f>
        <v>0</v>
      </c>
      <c r="M363" s="188">
        <f>M364+M365</f>
        <v>0</v>
      </c>
      <c r="N363" s="188">
        <f>N364+N365</f>
        <v>0</v>
      </c>
      <c r="O363" s="188">
        <f>O364+O365</f>
        <v>3000</v>
      </c>
      <c r="P363" s="188">
        <v>0</v>
      </c>
      <c r="Q363" s="186">
        <f t="shared" si="325"/>
        <v>0</v>
      </c>
      <c r="R363" s="188">
        <v>0</v>
      </c>
      <c r="S363" s="185">
        <v>0</v>
      </c>
      <c r="T363" s="185">
        <v>0</v>
      </c>
      <c r="U363" s="188">
        <v>276.92660000000001</v>
      </c>
      <c r="V363" s="185">
        <v>3.4188469135802473E-2</v>
      </c>
      <c r="W363" s="185">
        <v>3.5987862248213126E-2</v>
      </c>
      <c r="X363" s="188">
        <v>276.92660000000001</v>
      </c>
      <c r="Y363" s="185">
        <v>3.4188469135802473E-2</v>
      </c>
      <c r="Z363" s="185">
        <v>3.5987862248213126E-2</v>
      </c>
      <c r="AA363" s="188">
        <v>276.92660000000001</v>
      </c>
      <c r="AB363" s="185">
        <v>3.4188469135802473E-2</v>
      </c>
      <c r="AC363" s="185">
        <v>3.5987862248213126E-2</v>
      </c>
      <c r="AD363" s="188">
        <v>1122</v>
      </c>
      <c r="AE363" s="185">
        <v>0.13851851851851851</v>
      </c>
      <c r="AF363" s="185">
        <v>0.14580896686159844</v>
      </c>
      <c r="AG363" s="188">
        <v>1122</v>
      </c>
      <c r="AH363" s="185">
        <v>0.13851851851851851</v>
      </c>
      <c r="AI363" s="185">
        <v>0.14580896686159844</v>
      </c>
      <c r="AJ363" s="303">
        <v>1122</v>
      </c>
      <c r="AK363" s="185">
        <v>0.13851851851851851</v>
      </c>
      <c r="AL363" s="185">
        <v>0.14580896686159844</v>
      </c>
      <c r="AM363" s="188">
        <v>3913</v>
      </c>
      <c r="AN363" s="185">
        <v>0.48308641975308642</v>
      </c>
      <c r="AO363" s="185">
        <v>0.50851202079272251</v>
      </c>
      <c r="AP363" s="185"/>
      <c r="AQ363" s="188">
        <v>1727</v>
      </c>
      <c r="AR363" s="185">
        <v>0.21320987654320989</v>
      </c>
      <c r="AS363" s="185">
        <v>0.2244314489928525</v>
      </c>
      <c r="AT363" s="188">
        <v>1852</v>
      </c>
      <c r="AU363" s="185">
        <v>0.22864197530864197</v>
      </c>
      <c r="AV363" s="185">
        <v>0.24067576348278102</v>
      </c>
      <c r="AW363" s="185"/>
      <c r="AX363" s="185"/>
      <c r="AY363" s="185"/>
      <c r="AZ363" s="185"/>
      <c r="BA363" s="185"/>
      <c r="BB363" s="185"/>
      <c r="BC363" s="188">
        <v>1852</v>
      </c>
      <c r="BD363" s="185">
        <v>0.22864197530864197</v>
      </c>
      <c r="BE363" s="185">
        <v>0.24067576348278102</v>
      </c>
      <c r="BF363" s="188"/>
      <c r="BG363" s="188">
        <v>3349</v>
      </c>
      <c r="BH363" s="185">
        <v>0.41345679012345676</v>
      </c>
      <c r="BI363" s="185">
        <v>0.43521767381416504</v>
      </c>
      <c r="BJ363" s="188">
        <f t="shared" si="326"/>
        <v>7695</v>
      </c>
      <c r="BK363" s="188">
        <v>3757</v>
      </c>
      <c r="BL363" s="185">
        <f t="shared" si="311"/>
        <v>0.46382716049382716</v>
      </c>
      <c r="BM363" s="185">
        <f t="shared" si="328"/>
        <v>0.48823911630929173</v>
      </c>
      <c r="BN363" s="205">
        <f t="shared" si="308"/>
        <v>2635</v>
      </c>
      <c r="BO363" s="205"/>
      <c r="BP363" s="189">
        <f>BP364+BP365</f>
        <v>855</v>
      </c>
      <c r="BQ363" s="186">
        <f t="shared" si="312"/>
        <v>0.10555555555555556</v>
      </c>
      <c r="BR363" s="189">
        <f>BR364+BR365</f>
        <v>855</v>
      </c>
      <c r="BS363" s="186">
        <f t="shared" si="313"/>
        <v>0.10555555555555556</v>
      </c>
      <c r="BT363" s="189">
        <f>BT364+BT365</f>
        <v>1665</v>
      </c>
      <c r="BU363" s="186">
        <f t="shared" si="314"/>
        <v>0.20555555555555555</v>
      </c>
      <c r="BV363" s="189">
        <f>BV364+BV365</f>
        <v>2175</v>
      </c>
      <c r="BW363" s="186">
        <f t="shared" si="315"/>
        <v>0.26851851851851855</v>
      </c>
      <c r="BX363" s="189">
        <f>BX364+BX365</f>
        <v>2830</v>
      </c>
      <c r="BY363" s="186">
        <f t="shared" si="316"/>
        <v>0.3493827160493827</v>
      </c>
      <c r="BZ363" s="189">
        <f>BZ364+BZ365</f>
        <v>3085</v>
      </c>
      <c r="CA363" s="186">
        <f t="shared" si="317"/>
        <v>0.3808641975308642</v>
      </c>
      <c r="CB363" s="189">
        <f>CB364+CB365</f>
        <v>3995</v>
      </c>
      <c r="CC363" s="186">
        <f t="shared" si="318"/>
        <v>0.49320987654320986</v>
      </c>
      <c r="CD363" s="189">
        <f>CD364+CD365</f>
        <v>4505</v>
      </c>
      <c r="CE363" s="186">
        <f t="shared" si="319"/>
        <v>0.5561728395061728</v>
      </c>
      <c r="CF363" s="189">
        <f>CF364+CF365</f>
        <v>4760</v>
      </c>
      <c r="CG363" s="186">
        <f t="shared" si="320"/>
        <v>0.58765432098765435</v>
      </c>
      <c r="CH363" s="189">
        <f>CH364+CH365</f>
        <v>5315</v>
      </c>
      <c r="CI363" s="186">
        <f t="shared" si="321"/>
        <v>0.65617283950617289</v>
      </c>
      <c r="CJ363" s="189">
        <f>CJ364+CJ365</f>
        <v>6120</v>
      </c>
      <c r="CK363" s="186">
        <f t="shared" si="322"/>
        <v>0.75555555555555554</v>
      </c>
      <c r="CL363" s="189">
        <f>CL364+CL365</f>
        <v>6930</v>
      </c>
      <c r="CM363" s="186">
        <f t="shared" si="323"/>
        <v>0.85555555555555551</v>
      </c>
      <c r="CN363" s="189">
        <f>CN364+CN365</f>
        <v>7695</v>
      </c>
      <c r="CO363" s="186">
        <f t="shared" si="324"/>
        <v>0.95</v>
      </c>
      <c r="CP363" s="213" t="str">
        <f t="shared" si="329"/>
        <v>Đạt</v>
      </c>
      <c r="CQ363" s="213" t="str">
        <f t="shared" si="330"/>
        <v>Đạt</v>
      </c>
      <c r="CR363" s="213"/>
      <c r="CS363" s="213"/>
      <c r="CT363" s="231"/>
      <c r="CU363" s="163"/>
      <c r="CW363" s="195"/>
      <c r="CX363" s="196"/>
      <c r="CY363" s="196"/>
      <c r="CZ363" s="197"/>
      <c r="DA363" s="196"/>
      <c r="DB363" s="196"/>
      <c r="DC363" s="196"/>
      <c r="DE363" s="199"/>
      <c r="DF363" s="200"/>
      <c r="DG363" s="181"/>
    </row>
    <row r="364" spans="1:111" s="324" customFormat="1" hidden="1" outlineLevel="1" x14ac:dyDescent="0.25">
      <c r="A364" s="305" t="s">
        <v>34</v>
      </c>
      <c r="B364" s="306" t="s">
        <v>376</v>
      </c>
      <c r="C364" s="306"/>
      <c r="D364" s="307">
        <f>E364+F364</f>
        <v>3000</v>
      </c>
      <c r="E364" s="307"/>
      <c r="F364" s="307">
        <f>G364+H364+K364+M364</f>
        <v>3000</v>
      </c>
      <c r="G364" s="303">
        <v>3000</v>
      </c>
      <c r="H364" s="303"/>
      <c r="I364" s="235"/>
      <c r="J364" s="235"/>
      <c r="K364" s="303"/>
      <c r="L364" s="235"/>
      <c r="M364" s="223"/>
      <c r="N364" s="223"/>
      <c r="O364" s="303">
        <f>G364+I364+L364+N364</f>
        <v>3000</v>
      </c>
      <c r="P364" s="303">
        <v>0</v>
      </c>
      <c r="Q364" s="308">
        <f t="shared" si="325"/>
        <v>0</v>
      </c>
      <c r="R364" s="303"/>
      <c r="S364" s="309">
        <v>0</v>
      </c>
      <c r="T364" s="309">
        <v>0</v>
      </c>
      <c r="U364" s="303">
        <v>276.92660000000001</v>
      </c>
      <c r="V364" s="309">
        <v>9.230886666666667E-2</v>
      </c>
      <c r="W364" s="309">
        <v>9.7167228070175443E-2</v>
      </c>
      <c r="X364" s="303">
        <v>276.92660000000001</v>
      </c>
      <c r="Y364" s="309">
        <v>9.230886666666667E-2</v>
      </c>
      <c r="Z364" s="309">
        <v>9.7167228070175443E-2</v>
      </c>
      <c r="AA364" s="303">
        <v>276.92660000000001</v>
      </c>
      <c r="AB364" s="309">
        <v>9.230886666666667E-2</v>
      </c>
      <c r="AC364" s="309">
        <v>9.7167228070175443E-2</v>
      </c>
      <c r="AD364" s="303">
        <v>1122</v>
      </c>
      <c r="AE364" s="309">
        <v>0.374</v>
      </c>
      <c r="AF364" s="309">
        <v>0.3936842105263158</v>
      </c>
      <c r="AG364" s="303">
        <v>1122</v>
      </c>
      <c r="AH364" s="309">
        <v>0.374</v>
      </c>
      <c r="AI364" s="309">
        <v>0.3936842105263158</v>
      </c>
      <c r="AJ364" s="303">
        <v>1122</v>
      </c>
      <c r="AK364" s="309">
        <v>0.374</v>
      </c>
      <c r="AL364" s="309">
        <v>0.3936842105263158</v>
      </c>
      <c r="AM364" s="303">
        <v>1709</v>
      </c>
      <c r="AN364" s="309">
        <v>0.65900000000000003</v>
      </c>
      <c r="AO364" s="309">
        <v>0.69368421052631579</v>
      </c>
      <c r="AP364" s="309"/>
      <c r="AQ364" s="303">
        <v>1727</v>
      </c>
      <c r="AR364" s="309">
        <v>0.57566666666666666</v>
      </c>
      <c r="AS364" s="309">
        <v>0.60596491228070171</v>
      </c>
      <c r="AT364" s="303">
        <v>1727</v>
      </c>
      <c r="AU364" s="309">
        <v>0.57566666666666666</v>
      </c>
      <c r="AV364" s="309">
        <v>0.60596491228070171</v>
      </c>
      <c r="AW364" s="309"/>
      <c r="AX364" s="309"/>
      <c r="AY364" s="309"/>
      <c r="AZ364" s="309"/>
      <c r="BA364" s="309"/>
      <c r="BB364" s="309"/>
      <c r="BC364" s="303">
        <v>1727</v>
      </c>
      <c r="BD364" s="309">
        <v>0.57566666666666666</v>
      </c>
      <c r="BE364" s="309">
        <v>0.60596491228070171</v>
      </c>
      <c r="BF364" s="303"/>
      <c r="BG364" s="303">
        <v>2496</v>
      </c>
      <c r="BH364" s="309">
        <v>0.83199999999999996</v>
      </c>
      <c r="BI364" s="309">
        <v>0.87578947368421056</v>
      </c>
      <c r="BJ364" s="303">
        <f t="shared" si="326"/>
        <v>2850</v>
      </c>
      <c r="BK364" s="303">
        <v>2503</v>
      </c>
      <c r="BL364" s="309">
        <f t="shared" si="311"/>
        <v>0.83433333333333337</v>
      </c>
      <c r="BM364" s="309">
        <f t="shared" si="328"/>
        <v>0.87824561403508772</v>
      </c>
      <c r="BN364" s="205">
        <f t="shared" si="308"/>
        <v>1381</v>
      </c>
      <c r="BO364" s="205"/>
      <c r="BP364" s="310">
        <v>855</v>
      </c>
      <c r="BQ364" s="308">
        <f t="shared" si="312"/>
        <v>0.28499999999999998</v>
      </c>
      <c r="BR364" s="310">
        <v>855</v>
      </c>
      <c r="BS364" s="308">
        <f t="shared" si="313"/>
        <v>0.28499999999999998</v>
      </c>
      <c r="BT364" s="310">
        <f>BR364+300</f>
        <v>1155</v>
      </c>
      <c r="BU364" s="308">
        <f t="shared" si="314"/>
        <v>0.38500000000000001</v>
      </c>
      <c r="BV364" s="310">
        <v>1155</v>
      </c>
      <c r="BW364" s="308">
        <f t="shared" si="315"/>
        <v>0.38500000000000001</v>
      </c>
      <c r="BX364" s="310">
        <f>BV364+400</f>
        <v>1555</v>
      </c>
      <c r="BY364" s="308">
        <f t="shared" si="316"/>
        <v>0.51833333333333331</v>
      </c>
      <c r="BZ364" s="310">
        <v>1555</v>
      </c>
      <c r="CA364" s="308">
        <f t="shared" si="317"/>
        <v>0.51833333333333331</v>
      </c>
      <c r="CB364" s="310">
        <f>BZ364+400</f>
        <v>1955</v>
      </c>
      <c r="CC364" s="308">
        <f t="shared" si="318"/>
        <v>0.65166666666666662</v>
      </c>
      <c r="CD364" s="310">
        <v>1955</v>
      </c>
      <c r="CE364" s="308">
        <f>CD364/$D364</f>
        <v>0.65166666666666662</v>
      </c>
      <c r="CF364" s="310">
        <v>1955</v>
      </c>
      <c r="CG364" s="308">
        <f t="shared" si="320"/>
        <v>0.65166666666666662</v>
      </c>
      <c r="CH364" s="310">
        <f>CF364+300</f>
        <v>2255</v>
      </c>
      <c r="CI364" s="308">
        <f>CH364/$D364</f>
        <v>0.75166666666666671</v>
      </c>
      <c r="CJ364" s="310">
        <f>CH364+295</f>
        <v>2550</v>
      </c>
      <c r="CK364" s="308">
        <f t="shared" si="322"/>
        <v>0.85</v>
      </c>
      <c r="CL364" s="310">
        <f>CJ364+300</f>
        <v>2850</v>
      </c>
      <c r="CM364" s="308">
        <f t="shared" si="323"/>
        <v>0.95</v>
      </c>
      <c r="CN364" s="310">
        <v>2850</v>
      </c>
      <c r="CO364" s="308">
        <f t="shared" si="324"/>
        <v>0.95</v>
      </c>
      <c r="CP364" s="213" t="str">
        <f t="shared" si="329"/>
        <v>Đạt</v>
      </c>
      <c r="CQ364" s="213" t="str">
        <f t="shared" si="330"/>
        <v>Đạt</v>
      </c>
      <c r="CR364" s="312"/>
      <c r="CS364" s="312"/>
      <c r="CT364" s="235"/>
      <c r="CU364" s="163"/>
      <c r="CV364" s="323"/>
      <c r="CW364" s="195"/>
      <c r="CX364" s="196"/>
      <c r="CY364" s="196"/>
      <c r="CZ364" s="197"/>
      <c r="DA364" s="196"/>
      <c r="DB364" s="196"/>
      <c r="DC364" s="196"/>
      <c r="DE364" s="199"/>
      <c r="DF364" s="200"/>
      <c r="DG364" s="181"/>
    </row>
    <row r="365" spans="1:111" ht="25.5" hidden="1" outlineLevel="1" x14ac:dyDescent="0.25">
      <c r="A365" s="305" t="s">
        <v>34</v>
      </c>
      <c r="B365" s="306" t="s">
        <v>377</v>
      </c>
      <c r="C365" s="306"/>
      <c r="D365" s="307">
        <f>E365+F365</f>
        <v>5100</v>
      </c>
      <c r="E365" s="307"/>
      <c r="F365" s="307">
        <f>G365+H365+K365+M365</f>
        <v>5100</v>
      </c>
      <c r="G365" s="307"/>
      <c r="H365" s="307">
        <v>5100</v>
      </c>
      <c r="I365" s="235"/>
      <c r="J365" s="235"/>
      <c r="K365" s="303"/>
      <c r="L365" s="235"/>
      <c r="M365" s="223"/>
      <c r="N365" s="223"/>
      <c r="O365" s="303"/>
      <c r="P365" s="303">
        <v>0</v>
      </c>
      <c r="Q365" s="308">
        <f t="shared" si="325"/>
        <v>0</v>
      </c>
      <c r="R365" s="303"/>
      <c r="S365" s="309">
        <v>0</v>
      </c>
      <c r="T365" s="309">
        <v>0</v>
      </c>
      <c r="U365" s="303"/>
      <c r="V365" s="309">
        <v>0</v>
      </c>
      <c r="W365" s="309">
        <v>0</v>
      </c>
      <c r="X365" s="303"/>
      <c r="Y365" s="309">
        <v>0</v>
      </c>
      <c r="Z365" s="309">
        <v>0</v>
      </c>
      <c r="AA365" s="303"/>
      <c r="AB365" s="309">
        <v>0</v>
      </c>
      <c r="AC365" s="309">
        <v>0</v>
      </c>
      <c r="AD365" s="303"/>
      <c r="AE365" s="309">
        <v>0</v>
      </c>
      <c r="AF365" s="309">
        <v>0</v>
      </c>
      <c r="AG365" s="303"/>
      <c r="AH365" s="309">
        <v>0</v>
      </c>
      <c r="AI365" s="309">
        <v>0</v>
      </c>
      <c r="AJ365" s="188"/>
      <c r="AK365" s="309">
        <v>0</v>
      </c>
      <c r="AL365" s="309">
        <v>0</v>
      </c>
      <c r="AM365" s="303">
        <v>0</v>
      </c>
      <c r="AN365" s="309">
        <v>0.37960784313725487</v>
      </c>
      <c r="AO365" s="309">
        <v>0.39958720330237357</v>
      </c>
      <c r="AP365" s="309"/>
      <c r="AQ365" s="303">
        <v>0</v>
      </c>
      <c r="AR365" s="309">
        <v>0</v>
      </c>
      <c r="AS365" s="309">
        <v>0</v>
      </c>
      <c r="AT365" s="303">
        <v>125</v>
      </c>
      <c r="AU365" s="309">
        <v>2.4509803921568627E-2</v>
      </c>
      <c r="AV365" s="309">
        <v>2.5799793601651185E-2</v>
      </c>
      <c r="AW365" s="309"/>
      <c r="AX365" s="309"/>
      <c r="AY365" s="309"/>
      <c r="AZ365" s="309"/>
      <c r="BA365" s="309"/>
      <c r="BB365" s="309"/>
      <c r="BC365" s="303">
        <v>125</v>
      </c>
      <c r="BD365" s="309">
        <v>2.4509803921568627E-2</v>
      </c>
      <c r="BE365" s="309">
        <v>2.5799793601651185E-2</v>
      </c>
      <c r="BF365" s="303"/>
      <c r="BG365" s="303">
        <v>853</v>
      </c>
      <c r="BH365" s="309">
        <v>0.16725490196078432</v>
      </c>
      <c r="BI365" s="309">
        <v>0.17605779153766771</v>
      </c>
      <c r="BJ365" s="303">
        <f t="shared" si="326"/>
        <v>4845</v>
      </c>
      <c r="BK365" s="303">
        <v>853</v>
      </c>
      <c r="BL365" s="309">
        <f t="shared" si="311"/>
        <v>0.16725490196078432</v>
      </c>
      <c r="BM365" s="309">
        <f t="shared" si="328"/>
        <v>0.17605779153766771</v>
      </c>
      <c r="BN365" s="205">
        <f t="shared" si="308"/>
        <v>853</v>
      </c>
      <c r="BO365" s="205"/>
      <c r="BP365" s="310"/>
      <c r="BQ365" s="308">
        <f t="shared" si="312"/>
        <v>0</v>
      </c>
      <c r="BR365" s="310"/>
      <c r="BS365" s="308">
        <f t="shared" si="313"/>
        <v>0</v>
      </c>
      <c r="BT365" s="310">
        <f>5100*0.1</f>
        <v>510</v>
      </c>
      <c r="BU365" s="308">
        <f t="shared" si="314"/>
        <v>0.1</v>
      </c>
      <c r="BV365" s="310">
        <f>5100*0.2</f>
        <v>1020</v>
      </c>
      <c r="BW365" s="308">
        <f t="shared" si="315"/>
        <v>0.2</v>
      </c>
      <c r="BX365" s="310">
        <f>5100*0.25</f>
        <v>1275</v>
      </c>
      <c r="BY365" s="308">
        <f t="shared" si="316"/>
        <v>0.25</v>
      </c>
      <c r="BZ365" s="310">
        <f>5100*0.3</f>
        <v>1530</v>
      </c>
      <c r="CA365" s="308">
        <f t="shared" si="317"/>
        <v>0.3</v>
      </c>
      <c r="CB365" s="310">
        <f>5100*0.4</f>
        <v>2040</v>
      </c>
      <c r="CC365" s="308">
        <f t="shared" si="318"/>
        <v>0.4</v>
      </c>
      <c r="CD365" s="310">
        <f>5100*0.5</f>
        <v>2550</v>
      </c>
      <c r="CE365" s="308">
        <f t="shared" ref="CE365:CE428" si="341">CD365/$D365</f>
        <v>0.5</v>
      </c>
      <c r="CF365" s="310">
        <f>5100*0.55</f>
        <v>2805</v>
      </c>
      <c r="CG365" s="308">
        <f t="shared" si="320"/>
        <v>0.55000000000000004</v>
      </c>
      <c r="CH365" s="310">
        <f>5100*0.6</f>
        <v>3060</v>
      </c>
      <c r="CI365" s="308">
        <f t="shared" ref="CI365:CI428" si="342">CH365/$D365</f>
        <v>0.6</v>
      </c>
      <c r="CJ365" s="310">
        <f>5100*0.7</f>
        <v>3570</v>
      </c>
      <c r="CK365" s="308">
        <f t="shared" si="322"/>
        <v>0.7</v>
      </c>
      <c r="CL365" s="310">
        <f>5100*0.8</f>
        <v>4080</v>
      </c>
      <c r="CM365" s="308">
        <f t="shared" si="323"/>
        <v>0.8</v>
      </c>
      <c r="CN365" s="310">
        <f>5100*0.95</f>
        <v>4845</v>
      </c>
      <c r="CO365" s="308">
        <f t="shared" si="324"/>
        <v>0.95</v>
      </c>
      <c r="CP365" s="213" t="str">
        <f t="shared" si="329"/>
        <v>Không đạt</v>
      </c>
      <c r="CQ365" s="213" t="str">
        <f t="shared" si="330"/>
        <v>Không đạt</v>
      </c>
      <c r="CR365" s="312"/>
      <c r="CS365" s="312"/>
      <c r="CT365" s="235"/>
      <c r="CU365" s="163"/>
      <c r="CW365" s="195"/>
      <c r="CX365" s="196"/>
      <c r="CY365" s="196"/>
      <c r="CZ365" s="197"/>
      <c r="DA365" s="196"/>
      <c r="DB365" s="196"/>
      <c r="DC365" s="196"/>
      <c r="DE365" s="199"/>
      <c r="DF365" s="200"/>
      <c r="DG365" s="181"/>
    </row>
    <row r="366" spans="1:111" ht="18" customHeight="1" collapsed="1" x14ac:dyDescent="0.25">
      <c r="A366" s="343">
        <f>MAX(A$239:A364)+1</f>
        <v>36</v>
      </c>
      <c r="B366" s="344" t="s">
        <v>429</v>
      </c>
      <c r="C366" s="240"/>
      <c r="D366" s="188">
        <f t="shared" ref="D366:I366" si="343">D367+D368</f>
        <v>7675</v>
      </c>
      <c r="E366" s="188">
        <f t="shared" si="343"/>
        <v>0</v>
      </c>
      <c r="F366" s="188">
        <f t="shared" si="343"/>
        <v>7675</v>
      </c>
      <c r="G366" s="188">
        <f t="shared" si="343"/>
        <v>3000</v>
      </c>
      <c r="H366" s="188">
        <f t="shared" si="343"/>
        <v>4675</v>
      </c>
      <c r="I366" s="188">
        <f t="shared" si="343"/>
        <v>0</v>
      </c>
      <c r="J366" s="188"/>
      <c r="K366" s="188">
        <f>K367+K368</f>
        <v>0</v>
      </c>
      <c r="L366" s="188">
        <f>L367+L368</f>
        <v>0</v>
      </c>
      <c r="M366" s="188">
        <f>M367+M368</f>
        <v>0</v>
      </c>
      <c r="N366" s="188">
        <f>N367+N368</f>
        <v>0</v>
      </c>
      <c r="O366" s="188">
        <f>O367+O368</f>
        <v>3000</v>
      </c>
      <c r="P366" s="188">
        <v>0</v>
      </c>
      <c r="Q366" s="186">
        <f t="shared" si="325"/>
        <v>0</v>
      </c>
      <c r="R366" s="188">
        <v>0</v>
      </c>
      <c r="S366" s="185">
        <v>0</v>
      </c>
      <c r="T366" s="185">
        <v>0</v>
      </c>
      <c r="U366" s="188">
        <v>595.112572</v>
      </c>
      <c r="V366" s="185">
        <v>7.7539097328990225E-2</v>
      </c>
      <c r="W366" s="185">
        <v>8.1620102451568657E-2</v>
      </c>
      <c r="X366" s="188">
        <v>595.112572</v>
      </c>
      <c r="Y366" s="185">
        <v>7.7539097328990225E-2</v>
      </c>
      <c r="Z366" s="185">
        <v>8.1620102451568657E-2</v>
      </c>
      <c r="AA366" s="188">
        <v>595.112572</v>
      </c>
      <c r="AB366" s="185">
        <v>7.7539097328990225E-2</v>
      </c>
      <c r="AC366" s="185">
        <v>8.1620102451568657E-2</v>
      </c>
      <c r="AD366" s="188">
        <v>1041</v>
      </c>
      <c r="AE366" s="185">
        <v>0.13563517915309448</v>
      </c>
      <c r="AF366" s="185">
        <v>0.14277387279273102</v>
      </c>
      <c r="AG366" s="188">
        <v>1041</v>
      </c>
      <c r="AH366" s="185">
        <v>0.13563517915309448</v>
      </c>
      <c r="AI366" s="185">
        <v>0.14277387279273102</v>
      </c>
      <c r="AJ366" s="303">
        <v>1041</v>
      </c>
      <c r="AK366" s="185">
        <v>0.13563517915309448</v>
      </c>
      <c r="AL366" s="185">
        <v>0.14277387279273102</v>
      </c>
      <c r="AM366" s="314">
        <v>1041</v>
      </c>
      <c r="AN366" s="185">
        <v>0.13563517915309448</v>
      </c>
      <c r="AO366" s="185">
        <v>0.14277387279273102</v>
      </c>
      <c r="AP366" s="185"/>
      <c r="AQ366" s="188">
        <v>1041</v>
      </c>
      <c r="AR366" s="185">
        <v>0.13563517915309448</v>
      </c>
      <c r="AS366" s="185">
        <v>0.14277387279273102</v>
      </c>
      <c r="AT366" s="188">
        <v>1041</v>
      </c>
      <c r="AU366" s="185">
        <v>0.13563517915309448</v>
      </c>
      <c r="AV366" s="185">
        <v>0.14277387279273102</v>
      </c>
      <c r="AW366" s="185"/>
      <c r="AX366" s="185"/>
      <c r="AY366" s="185"/>
      <c r="AZ366" s="185"/>
      <c r="BA366" s="185"/>
      <c r="BB366" s="185"/>
      <c r="BC366" s="188">
        <v>1041</v>
      </c>
      <c r="BD366" s="185">
        <v>0.13563517915309448</v>
      </c>
      <c r="BE366" s="185">
        <v>0.14277387279273102</v>
      </c>
      <c r="BF366" s="188"/>
      <c r="BG366" s="188">
        <v>1041</v>
      </c>
      <c r="BH366" s="185">
        <v>0.13563517915309448</v>
      </c>
      <c r="BI366" s="185">
        <v>0.14277387279273102</v>
      </c>
      <c r="BJ366" s="188">
        <f t="shared" si="326"/>
        <v>7291.25</v>
      </c>
      <c r="BK366" s="188">
        <v>2567</v>
      </c>
      <c r="BL366" s="185">
        <f t="shared" si="311"/>
        <v>0.33446254071661236</v>
      </c>
      <c r="BM366" s="185">
        <f t="shared" si="328"/>
        <v>0.35206583233327621</v>
      </c>
      <c r="BN366" s="205">
        <f t="shared" si="308"/>
        <v>1526</v>
      </c>
      <c r="BO366" s="205"/>
      <c r="BP366" s="189">
        <f>BP367+BP368</f>
        <v>0</v>
      </c>
      <c r="BQ366" s="186">
        <f t="shared" si="312"/>
        <v>0</v>
      </c>
      <c r="BR366" s="189">
        <f>BR367+BR368</f>
        <v>0</v>
      </c>
      <c r="BS366" s="186">
        <f t="shared" si="313"/>
        <v>0</v>
      </c>
      <c r="BT366" s="189">
        <f>BT367+BT368</f>
        <v>767.5</v>
      </c>
      <c r="BU366" s="186">
        <f t="shared" si="314"/>
        <v>0.1</v>
      </c>
      <c r="BV366" s="189">
        <f>BV367+BV368</f>
        <v>1535</v>
      </c>
      <c r="BW366" s="186">
        <f t="shared" si="315"/>
        <v>0.2</v>
      </c>
      <c r="BX366" s="189">
        <f>BX367+BX368</f>
        <v>2302.5</v>
      </c>
      <c r="BY366" s="186">
        <f t="shared" si="316"/>
        <v>0.3</v>
      </c>
      <c r="BZ366" s="189">
        <f>BZ367+BZ368</f>
        <v>3070</v>
      </c>
      <c r="CA366" s="186">
        <f t="shared" si="317"/>
        <v>0.4</v>
      </c>
      <c r="CB366" s="189">
        <f>CB367+CB368</f>
        <v>3837.5</v>
      </c>
      <c r="CC366" s="186">
        <f t="shared" si="318"/>
        <v>0.5</v>
      </c>
      <c r="CD366" s="189">
        <f>CD367+CD368</f>
        <v>4221.25</v>
      </c>
      <c r="CE366" s="186">
        <f t="shared" si="341"/>
        <v>0.55000000000000004</v>
      </c>
      <c r="CF366" s="189">
        <f>CF367+CF368</f>
        <v>5372.5</v>
      </c>
      <c r="CG366" s="186">
        <f t="shared" si="320"/>
        <v>0.7</v>
      </c>
      <c r="CH366" s="189">
        <f>CH367+CH368</f>
        <v>5372.5</v>
      </c>
      <c r="CI366" s="186">
        <f t="shared" si="342"/>
        <v>0.7</v>
      </c>
      <c r="CJ366" s="189">
        <f>CJ367+CJ368</f>
        <v>5756.25</v>
      </c>
      <c r="CK366" s="186">
        <f t="shared" si="322"/>
        <v>0.75</v>
      </c>
      <c r="CL366" s="189">
        <f>CL367+CL368</f>
        <v>5756.25</v>
      </c>
      <c r="CM366" s="186">
        <f t="shared" si="323"/>
        <v>0.75</v>
      </c>
      <c r="CN366" s="189">
        <f>CN367+CN368</f>
        <v>7291.25</v>
      </c>
      <c r="CO366" s="186">
        <f t="shared" si="324"/>
        <v>0.95</v>
      </c>
      <c r="CP366" s="213" t="str">
        <f t="shared" si="329"/>
        <v>Đạt</v>
      </c>
      <c r="CQ366" s="213" t="str">
        <f t="shared" si="330"/>
        <v>Không đạt</v>
      </c>
      <c r="CR366" s="213"/>
      <c r="CS366" s="213"/>
      <c r="CT366" s="231"/>
      <c r="CU366" s="163"/>
      <c r="CW366" s="195"/>
      <c r="CX366" s="196"/>
      <c r="CY366" s="196"/>
      <c r="CZ366" s="197"/>
      <c r="DA366" s="196"/>
      <c r="DB366" s="196"/>
      <c r="DC366" s="196"/>
      <c r="DE366" s="199"/>
      <c r="DF366" s="200"/>
      <c r="DG366" s="181"/>
    </row>
    <row r="367" spans="1:111" s="324" customFormat="1" hidden="1" outlineLevel="1" x14ac:dyDescent="0.25">
      <c r="A367" s="305" t="s">
        <v>34</v>
      </c>
      <c r="B367" s="306" t="s">
        <v>376</v>
      </c>
      <c r="C367" s="306"/>
      <c r="D367" s="307">
        <f>E367+F367</f>
        <v>3000</v>
      </c>
      <c r="E367" s="307"/>
      <c r="F367" s="307">
        <f>G367+H367+K367+M367</f>
        <v>3000</v>
      </c>
      <c r="G367" s="303">
        <v>3000</v>
      </c>
      <c r="H367" s="303"/>
      <c r="I367" s="235"/>
      <c r="J367" s="235"/>
      <c r="K367" s="303"/>
      <c r="L367" s="235"/>
      <c r="M367" s="223"/>
      <c r="N367" s="223"/>
      <c r="O367" s="303">
        <f>G367+I367+L367+N367</f>
        <v>3000</v>
      </c>
      <c r="P367" s="303">
        <v>0</v>
      </c>
      <c r="Q367" s="308">
        <f t="shared" si="325"/>
        <v>0</v>
      </c>
      <c r="R367" s="303"/>
      <c r="S367" s="309">
        <v>0</v>
      </c>
      <c r="T367" s="309">
        <v>0</v>
      </c>
      <c r="U367" s="303">
        <v>595.112572</v>
      </c>
      <c r="V367" s="309">
        <v>0.19837085733333334</v>
      </c>
      <c r="W367" s="309">
        <v>0.20881142877192982</v>
      </c>
      <c r="X367" s="303">
        <v>595.112572</v>
      </c>
      <c r="Y367" s="309">
        <v>0.19837085733333334</v>
      </c>
      <c r="Z367" s="309">
        <v>0.20881142877192982</v>
      </c>
      <c r="AA367" s="303">
        <v>595.112572</v>
      </c>
      <c r="AB367" s="309">
        <v>0.19837085733333334</v>
      </c>
      <c r="AC367" s="309">
        <v>0.20881142877192982</v>
      </c>
      <c r="AD367" s="303">
        <v>1041</v>
      </c>
      <c r="AE367" s="309">
        <v>0.34699999999999998</v>
      </c>
      <c r="AF367" s="309">
        <v>0.36526315789473685</v>
      </c>
      <c r="AG367" s="303">
        <v>1041</v>
      </c>
      <c r="AH367" s="309">
        <v>0.34699999999999998</v>
      </c>
      <c r="AI367" s="309">
        <v>0.36526315789473685</v>
      </c>
      <c r="AJ367" s="303">
        <v>1041</v>
      </c>
      <c r="AK367" s="309">
        <v>0.34699999999999998</v>
      </c>
      <c r="AL367" s="309">
        <v>0.36526315789473685</v>
      </c>
      <c r="AM367" s="303">
        <v>1041</v>
      </c>
      <c r="AN367" s="309">
        <v>0.34699999999999998</v>
      </c>
      <c r="AO367" s="309">
        <v>0.36526315789473685</v>
      </c>
      <c r="AP367" s="309"/>
      <c r="AQ367" s="303">
        <v>1041</v>
      </c>
      <c r="AR367" s="309">
        <v>0.34699999999999998</v>
      </c>
      <c r="AS367" s="309">
        <v>0.36526315789473685</v>
      </c>
      <c r="AT367" s="303">
        <v>1041</v>
      </c>
      <c r="AU367" s="309">
        <v>0.34699999999999998</v>
      </c>
      <c r="AV367" s="309">
        <v>0.36526315789473685</v>
      </c>
      <c r="AW367" s="309"/>
      <c r="AX367" s="309"/>
      <c r="AY367" s="309"/>
      <c r="AZ367" s="309"/>
      <c r="BA367" s="309"/>
      <c r="BB367" s="309"/>
      <c r="BC367" s="303">
        <v>1041</v>
      </c>
      <c r="BD367" s="309">
        <v>0.34699999999999998</v>
      </c>
      <c r="BE367" s="309">
        <v>0.36526315789473685</v>
      </c>
      <c r="BF367" s="303"/>
      <c r="BG367" s="303">
        <v>1041</v>
      </c>
      <c r="BH367" s="309">
        <v>0.34699999999999998</v>
      </c>
      <c r="BI367" s="309">
        <v>0.36526315789473685</v>
      </c>
      <c r="BJ367" s="303">
        <f t="shared" si="326"/>
        <v>2850</v>
      </c>
      <c r="BK367" s="303">
        <v>2250</v>
      </c>
      <c r="BL367" s="309">
        <f t="shared" si="311"/>
        <v>0.75</v>
      </c>
      <c r="BM367" s="309">
        <f t="shared" si="328"/>
        <v>0.78947368421052633</v>
      </c>
      <c r="BN367" s="205">
        <f t="shared" si="308"/>
        <v>1209</v>
      </c>
      <c r="BO367" s="205"/>
      <c r="BP367" s="310"/>
      <c r="BQ367" s="308">
        <f t="shared" si="312"/>
        <v>0</v>
      </c>
      <c r="BR367" s="310"/>
      <c r="BS367" s="308">
        <f t="shared" si="313"/>
        <v>0</v>
      </c>
      <c r="BT367" s="310">
        <f>$F367*0.1</f>
        <v>300</v>
      </c>
      <c r="BU367" s="308">
        <f t="shared" si="314"/>
        <v>0.1</v>
      </c>
      <c r="BV367" s="310">
        <f>$F367*0.2</f>
        <v>600</v>
      </c>
      <c r="BW367" s="308">
        <f t="shared" si="315"/>
        <v>0.2</v>
      </c>
      <c r="BX367" s="310">
        <f>$F367*0.3</f>
        <v>900</v>
      </c>
      <c r="BY367" s="308">
        <f t="shared" si="316"/>
        <v>0.3</v>
      </c>
      <c r="BZ367" s="310">
        <f>$F367*0.4</f>
        <v>1200</v>
      </c>
      <c r="CA367" s="308">
        <f t="shared" si="317"/>
        <v>0.4</v>
      </c>
      <c r="CB367" s="310">
        <f>$F367*0.5</f>
        <v>1500</v>
      </c>
      <c r="CC367" s="308">
        <f t="shared" si="318"/>
        <v>0.5</v>
      </c>
      <c r="CD367" s="310">
        <f>$F367*0.55</f>
        <v>1650.0000000000002</v>
      </c>
      <c r="CE367" s="308">
        <f t="shared" si="341"/>
        <v>0.55000000000000004</v>
      </c>
      <c r="CF367" s="310">
        <v>2100</v>
      </c>
      <c r="CG367" s="308">
        <f t="shared" si="320"/>
        <v>0.7</v>
      </c>
      <c r="CH367" s="310">
        <f>$F367*0.7</f>
        <v>2100</v>
      </c>
      <c r="CI367" s="308">
        <f t="shared" si="342"/>
        <v>0.7</v>
      </c>
      <c r="CJ367" s="310">
        <f>$F367*0.75</f>
        <v>2250</v>
      </c>
      <c r="CK367" s="308">
        <f t="shared" si="322"/>
        <v>0.75</v>
      </c>
      <c r="CL367" s="310">
        <f>$F367*0.75</f>
        <v>2250</v>
      </c>
      <c r="CM367" s="308">
        <f t="shared" si="323"/>
        <v>0.75</v>
      </c>
      <c r="CN367" s="310">
        <f>$F367*0.95</f>
        <v>2850</v>
      </c>
      <c r="CO367" s="308">
        <f t="shared" si="324"/>
        <v>0.95</v>
      </c>
      <c r="CP367" s="213" t="str">
        <f t="shared" si="329"/>
        <v>Đạt</v>
      </c>
      <c r="CQ367" s="213" t="str">
        <f t="shared" si="330"/>
        <v>Đạt</v>
      </c>
      <c r="CR367" s="312"/>
      <c r="CS367" s="312"/>
      <c r="CT367" s="235"/>
      <c r="CU367" s="163"/>
      <c r="CV367" s="323"/>
      <c r="CW367" s="195"/>
      <c r="CX367" s="196"/>
      <c r="CY367" s="196"/>
      <c r="CZ367" s="197"/>
      <c r="DA367" s="196"/>
      <c r="DB367" s="196"/>
      <c r="DC367" s="196"/>
      <c r="DE367" s="199"/>
      <c r="DF367" s="200"/>
      <c r="DG367" s="181"/>
    </row>
    <row r="368" spans="1:111" ht="25.5" hidden="1" outlineLevel="1" x14ac:dyDescent="0.25">
      <c r="A368" s="305" t="s">
        <v>34</v>
      </c>
      <c r="B368" s="306" t="s">
        <v>377</v>
      </c>
      <c r="C368" s="306"/>
      <c r="D368" s="307">
        <f>E368+F368</f>
        <v>4675</v>
      </c>
      <c r="E368" s="307"/>
      <c r="F368" s="307">
        <f>G368+H368+K368+M368</f>
        <v>4675</v>
      </c>
      <c r="G368" s="307"/>
      <c r="H368" s="307">
        <v>4675</v>
      </c>
      <c r="I368" s="235"/>
      <c r="J368" s="235"/>
      <c r="K368" s="303"/>
      <c r="L368" s="235"/>
      <c r="M368" s="223"/>
      <c r="N368" s="223"/>
      <c r="O368" s="303"/>
      <c r="P368" s="303">
        <v>0</v>
      </c>
      <c r="Q368" s="308">
        <f t="shared" si="325"/>
        <v>0</v>
      </c>
      <c r="R368" s="303"/>
      <c r="S368" s="309">
        <v>0</v>
      </c>
      <c r="T368" s="309">
        <v>0</v>
      </c>
      <c r="U368" s="303"/>
      <c r="V368" s="309">
        <v>0</v>
      </c>
      <c r="W368" s="309">
        <v>0</v>
      </c>
      <c r="X368" s="303"/>
      <c r="Y368" s="309">
        <v>0</v>
      </c>
      <c r="Z368" s="309">
        <v>0</v>
      </c>
      <c r="AA368" s="303"/>
      <c r="AB368" s="309">
        <v>0</v>
      </c>
      <c r="AC368" s="309">
        <v>0</v>
      </c>
      <c r="AD368" s="303"/>
      <c r="AE368" s="309">
        <v>0</v>
      </c>
      <c r="AF368" s="309">
        <v>0</v>
      </c>
      <c r="AG368" s="303"/>
      <c r="AH368" s="309">
        <v>0</v>
      </c>
      <c r="AI368" s="309">
        <v>0</v>
      </c>
      <c r="AJ368" s="188"/>
      <c r="AK368" s="309">
        <v>0</v>
      </c>
      <c r="AL368" s="309">
        <v>0</v>
      </c>
      <c r="AM368" s="303"/>
      <c r="AN368" s="309">
        <v>0</v>
      </c>
      <c r="AO368" s="309">
        <v>0</v>
      </c>
      <c r="AP368" s="309"/>
      <c r="AQ368" s="303"/>
      <c r="AR368" s="309">
        <v>0</v>
      </c>
      <c r="AS368" s="309">
        <v>0</v>
      </c>
      <c r="AT368" s="303"/>
      <c r="AU368" s="309">
        <v>0</v>
      </c>
      <c r="AV368" s="309">
        <v>0</v>
      </c>
      <c r="AW368" s="309"/>
      <c r="AX368" s="309"/>
      <c r="AY368" s="309"/>
      <c r="AZ368" s="309"/>
      <c r="BA368" s="309"/>
      <c r="BB368" s="309"/>
      <c r="BC368" s="303"/>
      <c r="BD368" s="309">
        <v>0</v>
      </c>
      <c r="BE368" s="309">
        <v>0</v>
      </c>
      <c r="BF368" s="303"/>
      <c r="BG368" s="303"/>
      <c r="BH368" s="309">
        <v>0</v>
      </c>
      <c r="BI368" s="309">
        <v>0</v>
      </c>
      <c r="BJ368" s="303">
        <f t="shared" si="326"/>
        <v>4441.25</v>
      </c>
      <c r="BK368" s="303"/>
      <c r="BL368" s="309">
        <f t="shared" si="311"/>
        <v>0</v>
      </c>
      <c r="BM368" s="309">
        <f t="shared" si="328"/>
        <v>0</v>
      </c>
      <c r="BN368" s="205">
        <f t="shared" si="308"/>
        <v>0</v>
      </c>
      <c r="BO368" s="205"/>
      <c r="BP368" s="310"/>
      <c r="BQ368" s="308">
        <f t="shared" si="312"/>
        <v>0</v>
      </c>
      <c r="BR368" s="310"/>
      <c r="BS368" s="308">
        <f t="shared" si="313"/>
        <v>0</v>
      </c>
      <c r="BT368" s="310">
        <f>$F368*0.1</f>
        <v>467.5</v>
      </c>
      <c r="BU368" s="308">
        <f t="shared" si="314"/>
        <v>0.1</v>
      </c>
      <c r="BV368" s="310">
        <f>$F368*0.2</f>
        <v>935</v>
      </c>
      <c r="BW368" s="308">
        <f t="shared" si="315"/>
        <v>0.2</v>
      </c>
      <c r="BX368" s="310">
        <f>$F368*0.3</f>
        <v>1402.5</v>
      </c>
      <c r="BY368" s="308">
        <f t="shared" si="316"/>
        <v>0.3</v>
      </c>
      <c r="BZ368" s="310">
        <f>$F368*0.4</f>
        <v>1870</v>
      </c>
      <c r="CA368" s="308">
        <f t="shared" si="317"/>
        <v>0.4</v>
      </c>
      <c r="CB368" s="310">
        <f>$F368*0.5</f>
        <v>2337.5</v>
      </c>
      <c r="CC368" s="308">
        <f t="shared" si="318"/>
        <v>0.5</v>
      </c>
      <c r="CD368" s="310">
        <f>$F368*0.55</f>
        <v>2571.25</v>
      </c>
      <c r="CE368" s="308">
        <f t="shared" si="341"/>
        <v>0.55000000000000004</v>
      </c>
      <c r="CF368" s="310">
        <v>3272.5</v>
      </c>
      <c r="CG368" s="308">
        <f t="shared" si="320"/>
        <v>0.7</v>
      </c>
      <c r="CH368" s="310">
        <f>$F368*0.7</f>
        <v>3272.5</v>
      </c>
      <c r="CI368" s="308">
        <f t="shared" si="342"/>
        <v>0.7</v>
      </c>
      <c r="CJ368" s="310">
        <f>$F368*0.75</f>
        <v>3506.25</v>
      </c>
      <c r="CK368" s="308">
        <f t="shared" si="322"/>
        <v>0.75</v>
      </c>
      <c r="CL368" s="310">
        <f>$F368*0.75</f>
        <v>3506.25</v>
      </c>
      <c r="CM368" s="308">
        <f t="shared" si="323"/>
        <v>0.75</v>
      </c>
      <c r="CN368" s="310">
        <f>$F368*0.95</f>
        <v>4441.25</v>
      </c>
      <c r="CO368" s="308">
        <f t="shared" si="324"/>
        <v>0.95</v>
      </c>
      <c r="CP368" s="213" t="str">
        <f t="shared" si="329"/>
        <v>Không đạt</v>
      </c>
      <c r="CQ368" s="213" t="str">
        <f t="shared" si="330"/>
        <v>Không đạt</v>
      </c>
      <c r="CR368" s="312"/>
      <c r="CS368" s="312"/>
      <c r="CT368" s="235"/>
      <c r="CU368" s="163"/>
      <c r="CW368" s="195"/>
      <c r="CX368" s="196"/>
      <c r="CY368" s="196"/>
      <c r="CZ368" s="197"/>
      <c r="DA368" s="196"/>
      <c r="DB368" s="196"/>
      <c r="DC368" s="196"/>
      <c r="DE368" s="199"/>
      <c r="DF368" s="200"/>
      <c r="DG368" s="181"/>
    </row>
    <row r="369" spans="1:112" ht="18" customHeight="1" collapsed="1" x14ac:dyDescent="0.25">
      <c r="A369" s="316">
        <f>MAX(A$239:A367)+1</f>
        <v>37</v>
      </c>
      <c r="B369" s="240" t="s">
        <v>430</v>
      </c>
      <c r="C369" s="240"/>
      <c r="D369" s="188">
        <f t="shared" ref="D369:I369" si="344">D370+D371</f>
        <v>5040</v>
      </c>
      <c r="E369" s="188">
        <f t="shared" si="344"/>
        <v>0</v>
      </c>
      <c r="F369" s="188">
        <f t="shared" si="344"/>
        <v>5040</v>
      </c>
      <c r="G369" s="188">
        <f t="shared" si="344"/>
        <v>3000</v>
      </c>
      <c r="H369" s="188">
        <f t="shared" si="344"/>
        <v>2040</v>
      </c>
      <c r="I369" s="188">
        <f t="shared" si="344"/>
        <v>0</v>
      </c>
      <c r="J369" s="188"/>
      <c r="K369" s="188">
        <f>K370+K371</f>
        <v>0</v>
      </c>
      <c r="L369" s="188">
        <f>L370+L371</f>
        <v>0</v>
      </c>
      <c r="M369" s="188">
        <f>M370+M371</f>
        <v>0</v>
      </c>
      <c r="N369" s="188">
        <f>N370+N371</f>
        <v>0</v>
      </c>
      <c r="O369" s="188">
        <f>O370+O371</f>
        <v>3000</v>
      </c>
      <c r="P369" s="188">
        <v>0</v>
      </c>
      <c r="Q369" s="186">
        <f t="shared" si="325"/>
        <v>0</v>
      </c>
      <c r="R369" s="188">
        <v>0</v>
      </c>
      <c r="S369" s="185">
        <v>0</v>
      </c>
      <c r="T369" s="185">
        <v>0</v>
      </c>
      <c r="U369" s="188">
        <v>0</v>
      </c>
      <c r="V369" s="185">
        <v>0</v>
      </c>
      <c r="W369" s="185">
        <v>0</v>
      </c>
      <c r="X369" s="188">
        <v>0</v>
      </c>
      <c r="Y369" s="185">
        <v>0</v>
      </c>
      <c r="Z369" s="185">
        <v>0</v>
      </c>
      <c r="AA369" s="188">
        <v>0</v>
      </c>
      <c r="AB369" s="185">
        <v>0</v>
      </c>
      <c r="AC369" s="185">
        <v>0</v>
      </c>
      <c r="AD369" s="188">
        <v>732</v>
      </c>
      <c r="AE369" s="185">
        <v>0.14523809523809525</v>
      </c>
      <c r="AF369" s="185">
        <v>0.15288220551378445</v>
      </c>
      <c r="AG369" s="188">
        <v>732</v>
      </c>
      <c r="AH369" s="185">
        <v>0.14523809523809525</v>
      </c>
      <c r="AI369" s="185">
        <v>0.15288220551378445</v>
      </c>
      <c r="AJ369" s="303">
        <v>732</v>
      </c>
      <c r="AK369" s="185">
        <v>0.14523809523809525</v>
      </c>
      <c r="AL369" s="185">
        <v>0.15288220551378445</v>
      </c>
      <c r="AM369" s="188">
        <v>1593</v>
      </c>
      <c r="AN369" s="185">
        <v>0.31607142857142856</v>
      </c>
      <c r="AO369" s="185">
        <v>0.33270676691729323</v>
      </c>
      <c r="AP369" s="185"/>
      <c r="AQ369" s="188">
        <v>1593</v>
      </c>
      <c r="AR369" s="185">
        <v>0.31607142857142856</v>
      </c>
      <c r="AS369" s="185">
        <v>0.33270676691729323</v>
      </c>
      <c r="AT369" s="188">
        <v>1593</v>
      </c>
      <c r="AU369" s="185">
        <v>0.31607142857142856</v>
      </c>
      <c r="AV369" s="185">
        <v>0.33270676691729323</v>
      </c>
      <c r="AW369" s="185"/>
      <c r="AX369" s="185"/>
      <c r="AY369" s="185"/>
      <c r="AZ369" s="185"/>
      <c r="BA369" s="185"/>
      <c r="BB369" s="185"/>
      <c r="BC369" s="188">
        <v>1593</v>
      </c>
      <c r="BD369" s="185">
        <v>0.31607142857142856</v>
      </c>
      <c r="BE369" s="185">
        <v>0.33270676691729323</v>
      </c>
      <c r="BF369" s="188"/>
      <c r="BG369" s="188">
        <v>3165</v>
      </c>
      <c r="BH369" s="185">
        <v>0.95</v>
      </c>
      <c r="BI369" s="185">
        <v>1</v>
      </c>
      <c r="BJ369" s="188">
        <f t="shared" si="326"/>
        <v>4788</v>
      </c>
      <c r="BK369" s="188">
        <v>4032</v>
      </c>
      <c r="BL369" s="185">
        <f t="shared" si="311"/>
        <v>0.8</v>
      </c>
      <c r="BM369" s="185">
        <f t="shared" si="328"/>
        <v>0.84210526315789469</v>
      </c>
      <c r="BN369" s="205">
        <f t="shared" si="308"/>
        <v>3300</v>
      </c>
      <c r="BO369" s="205"/>
      <c r="BP369" s="189">
        <f>BP370+BP371</f>
        <v>0</v>
      </c>
      <c r="BQ369" s="186">
        <f t="shared" si="312"/>
        <v>0</v>
      </c>
      <c r="BR369" s="189">
        <f>BR370+BR371</f>
        <v>0</v>
      </c>
      <c r="BS369" s="186">
        <f t="shared" si="313"/>
        <v>0</v>
      </c>
      <c r="BT369" s="189">
        <f>BT370+BT371</f>
        <v>504</v>
      </c>
      <c r="BU369" s="186">
        <f t="shared" si="314"/>
        <v>0.1</v>
      </c>
      <c r="BV369" s="189">
        <f>BV370+BV371</f>
        <v>1008</v>
      </c>
      <c r="BW369" s="186">
        <f t="shared" si="315"/>
        <v>0.2</v>
      </c>
      <c r="BX369" s="189">
        <f>BX370+BX371</f>
        <v>1512</v>
      </c>
      <c r="BY369" s="186">
        <f t="shared" si="316"/>
        <v>0.3</v>
      </c>
      <c r="BZ369" s="189">
        <f>BZ370+BZ371</f>
        <v>2016</v>
      </c>
      <c r="CA369" s="186">
        <f t="shared" si="317"/>
        <v>0.4</v>
      </c>
      <c r="CB369" s="189">
        <f>CB370+CB371</f>
        <v>2520</v>
      </c>
      <c r="CC369" s="186">
        <f t="shared" si="318"/>
        <v>0.5</v>
      </c>
      <c r="CD369" s="189">
        <f>CD370+CD371</f>
        <v>2772</v>
      </c>
      <c r="CE369" s="186">
        <f t="shared" si="341"/>
        <v>0.55000000000000004</v>
      </c>
      <c r="CF369" s="189">
        <f>CF370+CF371</f>
        <v>3528</v>
      </c>
      <c r="CG369" s="186">
        <f t="shared" si="320"/>
        <v>0.7</v>
      </c>
      <c r="CH369" s="189">
        <f>CH370+CH371</f>
        <v>3528</v>
      </c>
      <c r="CI369" s="186">
        <f t="shared" si="342"/>
        <v>0.7</v>
      </c>
      <c r="CJ369" s="189">
        <f>CJ370+CJ371</f>
        <v>3780</v>
      </c>
      <c r="CK369" s="186">
        <f t="shared" si="322"/>
        <v>0.75</v>
      </c>
      <c r="CL369" s="189">
        <f>CL370+CL371</f>
        <v>3780</v>
      </c>
      <c r="CM369" s="186">
        <f t="shared" si="323"/>
        <v>0.75</v>
      </c>
      <c r="CN369" s="189">
        <f>CN370+CN371</f>
        <v>4788</v>
      </c>
      <c r="CO369" s="186">
        <f t="shared" si="324"/>
        <v>0.95</v>
      </c>
      <c r="CP369" s="213" t="str">
        <f t="shared" si="329"/>
        <v>Đạt</v>
      </c>
      <c r="CQ369" s="213" t="str">
        <f t="shared" si="330"/>
        <v>Đạt</v>
      </c>
      <c r="CR369" s="213"/>
      <c r="CS369" s="213"/>
      <c r="CT369" s="231"/>
      <c r="CU369" s="163"/>
      <c r="CW369" s="195"/>
      <c r="CX369" s="196"/>
      <c r="CY369" s="196"/>
      <c r="CZ369" s="197"/>
      <c r="DA369" s="196"/>
      <c r="DB369" s="196"/>
      <c r="DC369" s="196"/>
      <c r="DE369" s="199"/>
      <c r="DF369" s="200"/>
      <c r="DG369" s="181"/>
      <c r="DH369" s="336"/>
    </row>
    <row r="370" spans="1:112" hidden="1" outlineLevel="1" x14ac:dyDescent="0.25">
      <c r="A370" s="305" t="s">
        <v>34</v>
      </c>
      <c r="B370" s="306" t="s">
        <v>376</v>
      </c>
      <c r="C370" s="306"/>
      <c r="D370" s="307">
        <f>E370+F370</f>
        <v>3000</v>
      </c>
      <c r="E370" s="307"/>
      <c r="F370" s="307">
        <f>G370+H370+K370+M370</f>
        <v>3000</v>
      </c>
      <c r="G370" s="303">
        <v>3000</v>
      </c>
      <c r="H370" s="303"/>
      <c r="I370" s="303"/>
      <c r="J370" s="303"/>
      <c r="K370" s="303"/>
      <c r="L370" s="303"/>
      <c r="M370" s="223"/>
      <c r="N370" s="223"/>
      <c r="O370" s="303">
        <f>G370+I370+L370+N370</f>
        <v>3000</v>
      </c>
      <c r="P370" s="303">
        <v>0</v>
      </c>
      <c r="Q370" s="308">
        <f t="shared" si="325"/>
        <v>0</v>
      </c>
      <c r="R370" s="303"/>
      <c r="S370" s="309">
        <v>0</v>
      </c>
      <c r="T370" s="309">
        <v>0</v>
      </c>
      <c r="U370" s="303"/>
      <c r="V370" s="309">
        <v>0</v>
      </c>
      <c r="W370" s="309">
        <v>0</v>
      </c>
      <c r="X370" s="303"/>
      <c r="Y370" s="309">
        <v>0</v>
      </c>
      <c r="Z370" s="309">
        <v>0</v>
      </c>
      <c r="AA370" s="303"/>
      <c r="AB370" s="309">
        <v>0</v>
      </c>
      <c r="AC370" s="309">
        <v>0</v>
      </c>
      <c r="AD370" s="303">
        <v>732</v>
      </c>
      <c r="AE370" s="309">
        <v>0.24399999999999999</v>
      </c>
      <c r="AF370" s="309">
        <v>0.25684210526315787</v>
      </c>
      <c r="AG370" s="303">
        <v>732</v>
      </c>
      <c r="AH370" s="309">
        <v>0.24399999999999999</v>
      </c>
      <c r="AI370" s="309">
        <v>0.25684210526315787</v>
      </c>
      <c r="AJ370" s="303">
        <v>732</v>
      </c>
      <c r="AK370" s="309">
        <v>0.24399999999999999</v>
      </c>
      <c r="AL370" s="309">
        <v>0.25684210526315787</v>
      </c>
      <c r="AM370" s="303">
        <v>1593</v>
      </c>
      <c r="AN370" s="309">
        <v>0.53100000000000003</v>
      </c>
      <c r="AO370" s="309">
        <v>0.55894736842105264</v>
      </c>
      <c r="AP370" s="309"/>
      <c r="AQ370" s="303">
        <v>897</v>
      </c>
      <c r="AR370" s="309">
        <v>0.29899999999999999</v>
      </c>
      <c r="AS370" s="309">
        <v>0.31473684210526315</v>
      </c>
      <c r="AT370" s="303">
        <v>897</v>
      </c>
      <c r="AU370" s="309">
        <v>0.29899999999999999</v>
      </c>
      <c r="AV370" s="309">
        <v>0.31473684210526315</v>
      </c>
      <c r="AW370" s="309"/>
      <c r="AX370" s="309"/>
      <c r="AY370" s="309"/>
      <c r="AZ370" s="309"/>
      <c r="BA370" s="309"/>
      <c r="BB370" s="309"/>
      <c r="BC370" s="303">
        <v>897</v>
      </c>
      <c r="BD370" s="309">
        <v>0.29899999999999999</v>
      </c>
      <c r="BE370" s="309">
        <v>0.31473684210526315</v>
      </c>
      <c r="BF370" s="303"/>
      <c r="BG370" s="303">
        <v>2096</v>
      </c>
      <c r="BH370" s="309">
        <v>0.95</v>
      </c>
      <c r="BI370" s="309">
        <v>1</v>
      </c>
      <c r="BJ370" s="303">
        <f t="shared" si="326"/>
        <v>2850</v>
      </c>
      <c r="BK370" s="303">
        <v>2096</v>
      </c>
      <c r="BL370" s="309">
        <f t="shared" si="311"/>
        <v>0.69866666666666666</v>
      </c>
      <c r="BM370" s="309">
        <f t="shared" si="328"/>
        <v>0.73543859649122811</v>
      </c>
      <c r="BN370" s="205">
        <f t="shared" si="308"/>
        <v>1364</v>
      </c>
      <c r="BO370" s="205"/>
      <c r="BP370" s="310"/>
      <c r="BQ370" s="308">
        <f t="shared" si="312"/>
        <v>0</v>
      </c>
      <c r="BR370" s="310"/>
      <c r="BS370" s="308">
        <f t="shared" si="313"/>
        <v>0</v>
      </c>
      <c r="BT370" s="310">
        <f>$F370*0.1</f>
        <v>300</v>
      </c>
      <c r="BU370" s="308">
        <f t="shared" si="314"/>
        <v>0.1</v>
      </c>
      <c r="BV370" s="310">
        <f>$F370*0.2</f>
        <v>600</v>
      </c>
      <c r="BW370" s="308">
        <f t="shared" si="315"/>
        <v>0.2</v>
      </c>
      <c r="BX370" s="310">
        <f>$F370*0.3</f>
        <v>900</v>
      </c>
      <c r="BY370" s="308">
        <f t="shared" si="316"/>
        <v>0.3</v>
      </c>
      <c r="BZ370" s="310">
        <f>$F370*0.4</f>
        <v>1200</v>
      </c>
      <c r="CA370" s="308">
        <f t="shared" si="317"/>
        <v>0.4</v>
      </c>
      <c r="CB370" s="310">
        <f>$F370*0.5</f>
        <v>1500</v>
      </c>
      <c r="CC370" s="308">
        <f t="shared" si="318"/>
        <v>0.5</v>
      </c>
      <c r="CD370" s="310">
        <f>$F370*0.55</f>
        <v>1650.0000000000002</v>
      </c>
      <c r="CE370" s="308">
        <f t="shared" si="341"/>
        <v>0.55000000000000004</v>
      </c>
      <c r="CF370" s="310">
        <v>2100</v>
      </c>
      <c r="CG370" s="308">
        <f t="shared" si="320"/>
        <v>0.7</v>
      </c>
      <c r="CH370" s="310">
        <f>$F370*0.7</f>
        <v>2100</v>
      </c>
      <c r="CI370" s="308">
        <f t="shared" si="342"/>
        <v>0.7</v>
      </c>
      <c r="CJ370" s="310">
        <f>$F370*0.75</f>
        <v>2250</v>
      </c>
      <c r="CK370" s="308">
        <f t="shared" si="322"/>
        <v>0.75</v>
      </c>
      <c r="CL370" s="310">
        <f>$F370*0.75</f>
        <v>2250</v>
      </c>
      <c r="CM370" s="308">
        <f t="shared" si="323"/>
        <v>0.75</v>
      </c>
      <c r="CN370" s="310">
        <f>$F370*0.95</f>
        <v>2850</v>
      </c>
      <c r="CO370" s="308">
        <f t="shared" si="324"/>
        <v>0.95</v>
      </c>
      <c r="CP370" s="213" t="str">
        <f t="shared" si="329"/>
        <v>Đạt</v>
      </c>
      <c r="CQ370" s="213" t="str">
        <f t="shared" si="330"/>
        <v>Đạt</v>
      </c>
      <c r="CR370" s="312"/>
      <c r="CS370" s="312"/>
      <c r="CT370" s="235"/>
      <c r="CU370" s="163"/>
      <c r="CW370" s="195"/>
      <c r="CX370" s="196"/>
      <c r="CY370" s="196"/>
      <c r="CZ370" s="197"/>
      <c r="DA370" s="196"/>
      <c r="DB370" s="196"/>
      <c r="DC370" s="196"/>
      <c r="DE370" s="199"/>
      <c r="DF370" s="200"/>
      <c r="DG370" s="181"/>
    </row>
    <row r="371" spans="1:112" ht="25.5" hidden="1" outlineLevel="1" x14ac:dyDescent="0.25">
      <c r="A371" s="305" t="s">
        <v>34</v>
      </c>
      <c r="B371" s="306" t="s">
        <v>377</v>
      </c>
      <c r="C371" s="306"/>
      <c r="D371" s="307">
        <f>E371+F371</f>
        <v>2040</v>
      </c>
      <c r="E371" s="307"/>
      <c r="F371" s="307">
        <f>G371+H371+K371+M371</f>
        <v>2040</v>
      </c>
      <c r="G371" s="307"/>
      <c r="H371" s="307">
        <v>2040</v>
      </c>
      <c r="I371" s="235"/>
      <c r="J371" s="235"/>
      <c r="K371" s="303"/>
      <c r="L371" s="235"/>
      <c r="M371" s="223"/>
      <c r="N371" s="223"/>
      <c r="O371" s="303"/>
      <c r="P371" s="303">
        <v>0</v>
      </c>
      <c r="Q371" s="308">
        <f t="shared" si="325"/>
        <v>0</v>
      </c>
      <c r="R371" s="303"/>
      <c r="S371" s="309">
        <v>0</v>
      </c>
      <c r="T371" s="309">
        <v>0</v>
      </c>
      <c r="U371" s="303"/>
      <c r="V371" s="309">
        <v>0</v>
      </c>
      <c r="W371" s="309">
        <v>0</v>
      </c>
      <c r="X371" s="303"/>
      <c r="Y371" s="309">
        <v>0</v>
      </c>
      <c r="Z371" s="309">
        <v>0</v>
      </c>
      <c r="AA371" s="303"/>
      <c r="AB371" s="309">
        <v>0</v>
      </c>
      <c r="AC371" s="309">
        <v>0</v>
      </c>
      <c r="AD371" s="303"/>
      <c r="AE371" s="309">
        <v>0</v>
      </c>
      <c r="AF371" s="309">
        <v>0</v>
      </c>
      <c r="AG371" s="303"/>
      <c r="AH371" s="309">
        <v>0</v>
      </c>
      <c r="AI371" s="309">
        <v>0</v>
      </c>
      <c r="AJ371" s="188"/>
      <c r="AK371" s="309">
        <v>0</v>
      </c>
      <c r="AL371" s="309">
        <v>0</v>
      </c>
      <c r="AM371" s="303"/>
      <c r="AN371" s="309">
        <v>0</v>
      </c>
      <c r="AO371" s="309">
        <v>0</v>
      </c>
      <c r="AP371" s="309"/>
      <c r="AQ371" s="303">
        <v>696</v>
      </c>
      <c r="AR371" s="309">
        <v>0.3411764705882353</v>
      </c>
      <c r="AS371" s="309">
        <v>0.3591331269349845</v>
      </c>
      <c r="AT371" s="303">
        <v>696</v>
      </c>
      <c r="AU371" s="309">
        <v>0.3411764705882353</v>
      </c>
      <c r="AV371" s="309">
        <v>0.3591331269349845</v>
      </c>
      <c r="AW371" s="309"/>
      <c r="AX371" s="309"/>
      <c r="AY371" s="309"/>
      <c r="AZ371" s="309"/>
      <c r="BA371" s="309"/>
      <c r="BB371" s="309"/>
      <c r="BC371" s="303">
        <v>696</v>
      </c>
      <c r="BD371" s="309">
        <v>0.3411764705882353</v>
      </c>
      <c r="BE371" s="309">
        <v>0.3591331269349845</v>
      </c>
      <c r="BF371" s="303"/>
      <c r="BG371" s="303">
        <v>1069</v>
      </c>
      <c r="BH371" s="309">
        <v>0.95</v>
      </c>
      <c r="BI371" s="309">
        <v>1</v>
      </c>
      <c r="BJ371" s="303">
        <f t="shared" si="326"/>
        <v>1938</v>
      </c>
      <c r="BK371" s="303">
        <v>1886</v>
      </c>
      <c r="BL371" s="309">
        <f t="shared" si="311"/>
        <v>0.92450980392156867</v>
      </c>
      <c r="BM371" s="309">
        <f t="shared" si="328"/>
        <v>0.97316821465428271</v>
      </c>
      <c r="BN371" s="205">
        <f t="shared" si="308"/>
        <v>1886</v>
      </c>
      <c r="BO371" s="205"/>
      <c r="BP371" s="310"/>
      <c r="BQ371" s="308">
        <f t="shared" si="312"/>
        <v>0</v>
      </c>
      <c r="BR371" s="310"/>
      <c r="BS371" s="308">
        <f t="shared" si="313"/>
        <v>0</v>
      </c>
      <c r="BT371" s="310">
        <f>$F371*0.1</f>
        <v>204</v>
      </c>
      <c r="BU371" s="308">
        <f t="shared" si="314"/>
        <v>0.1</v>
      </c>
      <c r="BV371" s="310">
        <f>$F371*0.2</f>
        <v>408</v>
      </c>
      <c r="BW371" s="308">
        <f t="shared" si="315"/>
        <v>0.2</v>
      </c>
      <c r="BX371" s="310">
        <f>$F371*0.3</f>
        <v>612</v>
      </c>
      <c r="BY371" s="308">
        <f t="shared" si="316"/>
        <v>0.3</v>
      </c>
      <c r="BZ371" s="310">
        <f>$F371*0.4</f>
        <v>816</v>
      </c>
      <c r="CA371" s="308">
        <f t="shared" si="317"/>
        <v>0.4</v>
      </c>
      <c r="CB371" s="310">
        <f>$F371*0.5</f>
        <v>1020</v>
      </c>
      <c r="CC371" s="308">
        <f t="shared" si="318"/>
        <v>0.5</v>
      </c>
      <c r="CD371" s="310">
        <f>$F371*0.55</f>
        <v>1122</v>
      </c>
      <c r="CE371" s="308">
        <f t="shared" si="341"/>
        <v>0.55000000000000004</v>
      </c>
      <c r="CF371" s="310">
        <v>1428</v>
      </c>
      <c r="CG371" s="308">
        <f t="shared" si="320"/>
        <v>0.7</v>
      </c>
      <c r="CH371" s="310">
        <f>$F371*0.7</f>
        <v>1428</v>
      </c>
      <c r="CI371" s="308">
        <f t="shared" si="342"/>
        <v>0.7</v>
      </c>
      <c r="CJ371" s="310">
        <f>$F371*0.75</f>
        <v>1530</v>
      </c>
      <c r="CK371" s="308">
        <f t="shared" si="322"/>
        <v>0.75</v>
      </c>
      <c r="CL371" s="310">
        <f>$F371*0.75</f>
        <v>1530</v>
      </c>
      <c r="CM371" s="308">
        <f t="shared" si="323"/>
        <v>0.75</v>
      </c>
      <c r="CN371" s="310">
        <f>$F371*0.95</f>
        <v>1938</v>
      </c>
      <c r="CO371" s="308">
        <f t="shared" si="324"/>
        <v>0.95</v>
      </c>
      <c r="CP371" s="213" t="str">
        <f t="shared" si="329"/>
        <v>Đạt</v>
      </c>
      <c r="CQ371" s="213" t="str">
        <f t="shared" si="330"/>
        <v>Đạt</v>
      </c>
      <c r="CR371" s="312"/>
      <c r="CS371" s="312"/>
      <c r="CT371" s="345"/>
      <c r="CU371" s="163"/>
      <c r="CW371" s="195"/>
      <c r="CX371" s="196"/>
      <c r="CY371" s="196"/>
      <c r="CZ371" s="197"/>
      <c r="DA371" s="196"/>
      <c r="DB371" s="196"/>
      <c r="DC371" s="196"/>
      <c r="DE371" s="199"/>
      <c r="DF371" s="200"/>
      <c r="DG371" s="181"/>
    </row>
    <row r="372" spans="1:112" ht="18" customHeight="1" collapsed="1" x14ac:dyDescent="0.25">
      <c r="A372" s="213">
        <f>MAX(A$239:A370)+1</f>
        <v>38</v>
      </c>
      <c r="B372" s="240" t="s">
        <v>431</v>
      </c>
      <c r="C372" s="240"/>
      <c r="D372" s="188">
        <f t="shared" ref="D372:I372" si="345">D373+D374</f>
        <v>11500</v>
      </c>
      <c r="E372" s="188">
        <f t="shared" si="345"/>
        <v>0</v>
      </c>
      <c r="F372" s="188">
        <f t="shared" si="345"/>
        <v>11500</v>
      </c>
      <c r="G372" s="188">
        <f t="shared" si="345"/>
        <v>3000</v>
      </c>
      <c r="H372" s="188">
        <f t="shared" si="345"/>
        <v>8500</v>
      </c>
      <c r="I372" s="188">
        <f t="shared" si="345"/>
        <v>0</v>
      </c>
      <c r="J372" s="188"/>
      <c r="K372" s="188">
        <f>K373+K374</f>
        <v>0</v>
      </c>
      <c r="L372" s="188">
        <f>L373+L374</f>
        <v>0</v>
      </c>
      <c r="M372" s="188">
        <f>M373+M374</f>
        <v>0</v>
      </c>
      <c r="N372" s="188">
        <f>N373+N374</f>
        <v>0</v>
      </c>
      <c r="O372" s="188">
        <f>O373+O374</f>
        <v>3000</v>
      </c>
      <c r="P372" s="188">
        <v>0</v>
      </c>
      <c r="Q372" s="186">
        <f t="shared" si="325"/>
        <v>0</v>
      </c>
      <c r="R372" s="188">
        <v>0</v>
      </c>
      <c r="S372" s="185">
        <v>0</v>
      </c>
      <c r="T372" s="185">
        <v>0</v>
      </c>
      <c r="U372" s="188">
        <v>0</v>
      </c>
      <c r="V372" s="185">
        <v>0</v>
      </c>
      <c r="W372" s="185">
        <v>0</v>
      </c>
      <c r="X372" s="188">
        <v>0</v>
      </c>
      <c r="Y372" s="185">
        <v>0</v>
      </c>
      <c r="Z372" s="185">
        <v>0</v>
      </c>
      <c r="AA372" s="188">
        <v>0</v>
      </c>
      <c r="AB372" s="185">
        <v>0</v>
      </c>
      <c r="AC372" s="185">
        <v>0</v>
      </c>
      <c r="AD372" s="188">
        <v>413</v>
      </c>
      <c r="AE372" s="185">
        <v>3.5913043478260867E-2</v>
      </c>
      <c r="AF372" s="185">
        <v>3.780320366132723E-2</v>
      </c>
      <c r="AG372" s="188">
        <v>413</v>
      </c>
      <c r="AH372" s="185">
        <v>3.5913043478260867E-2</v>
      </c>
      <c r="AI372" s="185">
        <v>3.780320366132723E-2</v>
      </c>
      <c r="AJ372" s="303">
        <v>413</v>
      </c>
      <c r="AK372" s="185">
        <v>3.5913043478260867E-2</v>
      </c>
      <c r="AL372" s="185">
        <v>3.780320366132723E-2</v>
      </c>
      <c r="AM372" s="188">
        <v>1549</v>
      </c>
      <c r="AN372" s="185">
        <v>0.13469565217391305</v>
      </c>
      <c r="AO372" s="185">
        <v>0.14178489702517164</v>
      </c>
      <c r="AP372" s="185"/>
      <c r="AQ372" s="188">
        <v>2417</v>
      </c>
      <c r="AR372" s="185">
        <v>0.21017391304347827</v>
      </c>
      <c r="AS372" s="185">
        <v>0.22123569794050343</v>
      </c>
      <c r="AT372" s="188">
        <v>2417</v>
      </c>
      <c r="AU372" s="185">
        <v>0.21017391304347827</v>
      </c>
      <c r="AV372" s="185">
        <v>0.22123569794050343</v>
      </c>
      <c r="AW372" s="185"/>
      <c r="AX372" s="185"/>
      <c r="AY372" s="185"/>
      <c r="AZ372" s="185"/>
      <c r="BA372" s="185"/>
      <c r="BB372" s="185"/>
      <c r="BC372" s="188">
        <v>2417</v>
      </c>
      <c r="BD372" s="185">
        <v>0.21017391304347827</v>
      </c>
      <c r="BE372" s="185">
        <v>0.22123569794050343</v>
      </c>
      <c r="BF372" s="188"/>
      <c r="BG372" s="188">
        <v>4361.5556319999996</v>
      </c>
      <c r="BH372" s="185">
        <v>0.37926570713043473</v>
      </c>
      <c r="BI372" s="185">
        <v>0.39922706013729975</v>
      </c>
      <c r="BJ372" s="188">
        <f t="shared" si="326"/>
        <v>10925</v>
      </c>
      <c r="BK372" s="188">
        <v>6555.8</v>
      </c>
      <c r="BL372" s="185">
        <f t="shared" si="311"/>
        <v>0.57006956521739127</v>
      </c>
      <c r="BM372" s="185">
        <f t="shared" si="328"/>
        <v>0.60007322654462247</v>
      </c>
      <c r="BN372" s="205">
        <f t="shared" si="308"/>
        <v>6142.8</v>
      </c>
      <c r="BO372" s="205"/>
      <c r="BP372" s="189">
        <f>BP373+BP374</f>
        <v>0</v>
      </c>
      <c r="BQ372" s="186">
        <f t="shared" si="312"/>
        <v>0</v>
      </c>
      <c r="BR372" s="189">
        <f>BR373+BR374</f>
        <v>0</v>
      </c>
      <c r="BS372" s="186">
        <f t="shared" si="313"/>
        <v>0</v>
      </c>
      <c r="BT372" s="189">
        <f>BT373+BT374</f>
        <v>1150</v>
      </c>
      <c r="BU372" s="186">
        <f t="shared" si="314"/>
        <v>0.1</v>
      </c>
      <c r="BV372" s="189">
        <f>BV373+BV374</f>
        <v>2300</v>
      </c>
      <c r="BW372" s="186">
        <f t="shared" si="315"/>
        <v>0.2</v>
      </c>
      <c r="BX372" s="189">
        <f>BX373+BX374</f>
        <v>3450</v>
      </c>
      <c r="BY372" s="186">
        <f t="shared" si="316"/>
        <v>0.3</v>
      </c>
      <c r="BZ372" s="189">
        <f>BZ373+BZ374</f>
        <v>4600</v>
      </c>
      <c r="CA372" s="186">
        <f t="shared" si="317"/>
        <v>0.4</v>
      </c>
      <c r="CB372" s="189">
        <f>CB373+CB374</f>
        <v>5750</v>
      </c>
      <c r="CC372" s="186">
        <f t="shared" si="318"/>
        <v>0.5</v>
      </c>
      <c r="CD372" s="189">
        <f>CD373+CD374</f>
        <v>6325</v>
      </c>
      <c r="CE372" s="186">
        <f t="shared" si="341"/>
        <v>0.55000000000000004</v>
      </c>
      <c r="CF372" s="189">
        <f>CF373+CF374</f>
        <v>8050</v>
      </c>
      <c r="CG372" s="186">
        <f t="shared" si="320"/>
        <v>0.7</v>
      </c>
      <c r="CH372" s="189">
        <f>CH373+CH374</f>
        <v>8050</v>
      </c>
      <c r="CI372" s="186">
        <f t="shared" si="342"/>
        <v>0.7</v>
      </c>
      <c r="CJ372" s="189">
        <f>CJ373+CJ374</f>
        <v>8625</v>
      </c>
      <c r="CK372" s="186">
        <f t="shared" si="322"/>
        <v>0.75</v>
      </c>
      <c r="CL372" s="189">
        <f>CL373+CL374</f>
        <v>8625</v>
      </c>
      <c r="CM372" s="186">
        <f t="shared" si="323"/>
        <v>0.75</v>
      </c>
      <c r="CN372" s="189">
        <f>CN373+CN374</f>
        <v>10925</v>
      </c>
      <c r="CO372" s="186">
        <f t="shared" si="324"/>
        <v>0.95</v>
      </c>
      <c r="CP372" s="213" t="str">
        <f t="shared" si="329"/>
        <v>Đạt</v>
      </c>
      <c r="CQ372" s="213" t="str">
        <f t="shared" si="330"/>
        <v>Đạt</v>
      </c>
      <c r="CR372" s="213"/>
      <c r="CS372" s="213"/>
      <c r="CT372" s="231"/>
      <c r="CU372" s="163"/>
      <c r="CW372" s="195"/>
      <c r="CX372" s="196"/>
      <c r="CY372" s="196"/>
      <c r="CZ372" s="197"/>
      <c r="DA372" s="196"/>
      <c r="DB372" s="196"/>
      <c r="DC372" s="196"/>
      <c r="DE372" s="199"/>
      <c r="DF372" s="200"/>
      <c r="DG372" s="181"/>
    </row>
    <row r="373" spans="1:112" hidden="1" outlineLevel="1" x14ac:dyDescent="0.25">
      <c r="A373" s="305" t="s">
        <v>34</v>
      </c>
      <c r="B373" s="306" t="s">
        <v>376</v>
      </c>
      <c r="C373" s="306"/>
      <c r="D373" s="307">
        <f>E373+F373</f>
        <v>3000</v>
      </c>
      <c r="E373" s="307"/>
      <c r="F373" s="307">
        <f>G373+H373+K373+M373</f>
        <v>3000</v>
      </c>
      <c r="G373" s="303">
        <v>3000</v>
      </c>
      <c r="H373" s="303"/>
      <c r="I373" s="303"/>
      <c r="J373" s="303"/>
      <c r="K373" s="303"/>
      <c r="L373" s="303"/>
      <c r="M373" s="223"/>
      <c r="N373" s="223"/>
      <c r="O373" s="303">
        <f>G373+I373+L373+N373</f>
        <v>3000</v>
      </c>
      <c r="P373" s="303">
        <v>0</v>
      </c>
      <c r="Q373" s="308">
        <f t="shared" si="325"/>
        <v>0</v>
      </c>
      <c r="R373" s="303"/>
      <c r="S373" s="309">
        <v>0</v>
      </c>
      <c r="T373" s="309">
        <v>0</v>
      </c>
      <c r="U373" s="303"/>
      <c r="V373" s="309">
        <v>0</v>
      </c>
      <c r="W373" s="309">
        <v>0</v>
      </c>
      <c r="X373" s="303"/>
      <c r="Y373" s="309">
        <v>0</v>
      </c>
      <c r="Z373" s="309">
        <v>0</v>
      </c>
      <c r="AA373" s="303"/>
      <c r="AB373" s="309">
        <v>0</v>
      </c>
      <c r="AC373" s="309">
        <v>0</v>
      </c>
      <c r="AD373" s="303">
        <v>413</v>
      </c>
      <c r="AE373" s="309">
        <v>0.13766666666666666</v>
      </c>
      <c r="AF373" s="309">
        <v>0.14491228070175438</v>
      </c>
      <c r="AG373" s="303">
        <v>413</v>
      </c>
      <c r="AH373" s="309">
        <v>0.13766666666666666</v>
      </c>
      <c r="AI373" s="309">
        <v>0.14491228070175438</v>
      </c>
      <c r="AJ373" s="303">
        <v>413</v>
      </c>
      <c r="AK373" s="309">
        <v>0.13766666666666666</v>
      </c>
      <c r="AL373" s="309">
        <v>0.14491228070175438</v>
      </c>
      <c r="AM373" s="303">
        <v>1549</v>
      </c>
      <c r="AN373" s="309">
        <v>0.51633333333333331</v>
      </c>
      <c r="AO373" s="309">
        <v>0.54350877192982461</v>
      </c>
      <c r="AP373" s="309"/>
      <c r="AQ373" s="303">
        <v>2105</v>
      </c>
      <c r="AR373" s="309">
        <v>0.70166666666666666</v>
      </c>
      <c r="AS373" s="309">
        <v>0.73859649122807014</v>
      </c>
      <c r="AT373" s="303">
        <v>2105</v>
      </c>
      <c r="AU373" s="309">
        <v>0.70166666666666666</v>
      </c>
      <c r="AV373" s="309">
        <v>0.73859649122807014</v>
      </c>
      <c r="AW373" s="309"/>
      <c r="AX373" s="309"/>
      <c r="AY373" s="309"/>
      <c r="AZ373" s="309"/>
      <c r="BA373" s="309"/>
      <c r="BB373" s="309"/>
      <c r="BC373" s="303">
        <v>2105</v>
      </c>
      <c r="BD373" s="309">
        <v>0.70166666666666666</v>
      </c>
      <c r="BE373" s="309">
        <v>0.73859649122807014</v>
      </c>
      <c r="BF373" s="303"/>
      <c r="BG373" s="303">
        <v>2451.1806320000001</v>
      </c>
      <c r="BH373" s="309">
        <v>0.81706021066666668</v>
      </c>
      <c r="BI373" s="309">
        <v>0.86006337964912283</v>
      </c>
      <c r="BJ373" s="303">
        <f t="shared" si="326"/>
        <v>2850</v>
      </c>
      <c r="BK373" s="303">
        <v>2508</v>
      </c>
      <c r="BL373" s="309">
        <f t="shared" si="311"/>
        <v>0.83599999999999997</v>
      </c>
      <c r="BM373" s="309">
        <f t="shared" si="328"/>
        <v>0.88</v>
      </c>
      <c r="BN373" s="205">
        <f t="shared" si="308"/>
        <v>2095</v>
      </c>
      <c r="BO373" s="205"/>
      <c r="BP373" s="310"/>
      <c r="BQ373" s="308">
        <f t="shared" si="312"/>
        <v>0</v>
      </c>
      <c r="BR373" s="310"/>
      <c r="BS373" s="308">
        <f t="shared" si="313"/>
        <v>0</v>
      </c>
      <c r="BT373" s="310">
        <f>$F373*0.1</f>
        <v>300</v>
      </c>
      <c r="BU373" s="308">
        <f t="shared" si="314"/>
        <v>0.1</v>
      </c>
      <c r="BV373" s="310">
        <f>$F373*0.2</f>
        <v>600</v>
      </c>
      <c r="BW373" s="308">
        <f t="shared" si="315"/>
        <v>0.2</v>
      </c>
      <c r="BX373" s="310">
        <f>$F373*0.3</f>
        <v>900</v>
      </c>
      <c r="BY373" s="308">
        <f t="shared" si="316"/>
        <v>0.3</v>
      </c>
      <c r="BZ373" s="310">
        <f>$F373*0.4</f>
        <v>1200</v>
      </c>
      <c r="CA373" s="308">
        <f t="shared" si="317"/>
        <v>0.4</v>
      </c>
      <c r="CB373" s="310">
        <f>$F373*0.5</f>
        <v>1500</v>
      </c>
      <c r="CC373" s="308">
        <f t="shared" si="318"/>
        <v>0.5</v>
      </c>
      <c r="CD373" s="310">
        <f>$F373*0.55</f>
        <v>1650.0000000000002</v>
      </c>
      <c r="CE373" s="308">
        <f t="shared" si="341"/>
        <v>0.55000000000000004</v>
      </c>
      <c r="CF373" s="310">
        <v>2100</v>
      </c>
      <c r="CG373" s="308">
        <f t="shared" si="320"/>
        <v>0.7</v>
      </c>
      <c r="CH373" s="310">
        <f>$F373*0.7</f>
        <v>2100</v>
      </c>
      <c r="CI373" s="308">
        <f t="shared" si="342"/>
        <v>0.7</v>
      </c>
      <c r="CJ373" s="310">
        <f>$F373*0.75</f>
        <v>2250</v>
      </c>
      <c r="CK373" s="308">
        <f t="shared" si="322"/>
        <v>0.75</v>
      </c>
      <c r="CL373" s="310">
        <f>$F373*0.75</f>
        <v>2250</v>
      </c>
      <c r="CM373" s="308">
        <f t="shared" si="323"/>
        <v>0.75</v>
      </c>
      <c r="CN373" s="310">
        <f>$F373*0.95</f>
        <v>2850</v>
      </c>
      <c r="CO373" s="308">
        <f t="shared" si="324"/>
        <v>0.95</v>
      </c>
      <c r="CP373" s="213" t="str">
        <f t="shared" si="329"/>
        <v>Đạt</v>
      </c>
      <c r="CQ373" s="213" t="str">
        <f t="shared" si="330"/>
        <v>Đạt</v>
      </c>
      <c r="CR373" s="312"/>
      <c r="CS373" s="312"/>
      <c r="CT373" s="235"/>
      <c r="CU373" s="163"/>
      <c r="CW373" s="195"/>
      <c r="CX373" s="196"/>
      <c r="CY373" s="196"/>
      <c r="CZ373" s="197"/>
      <c r="DA373" s="196"/>
      <c r="DB373" s="196"/>
      <c r="DC373" s="196"/>
      <c r="DE373" s="199"/>
      <c r="DF373" s="200"/>
      <c r="DG373" s="181"/>
    </row>
    <row r="374" spans="1:112" ht="25.5" hidden="1" outlineLevel="1" x14ac:dyDescent="0.25">
      <c r="A374" s="305" t="s">
        <v>34</v>
      </c>
      <c r="B374" s="306" t="s">
        <v>377</v>
      </c>
      <c r="C374" s="306"/>
      <c r="D374" s="307">
        <f>E374+F374</f>
        <v>8500</v>
      </c>
      <c r="E374" s="307"/>
      <c r="F374" s="307">
        <f>G374+H374+K374+M374</f>
        <v>8500</v>
      </c>
      <c r="G374" s="307"/>
      <c r="H374" s="307">
        <v>8500</v>
      </c>
      <c r="I374" s="235"/>
      <c r="J374" s="235"/>
      <c r="K374" s="303"/>
      <c r="L374" s="235"/>
      <c r="M374" s="223"/>
      <c r="N374" s="223"/>
      <c r="O374" s="303"/>
      <c r="P374" s="303">
        <v>0</v>
      </c>
      <c r="Q374" s="308">
        <f t="shared" si="325"/>
        <v>0</v>
      </c>
      <c r="R374" s="303"/>
      <c r="S374" s="309">
        <v>0</v>
      </c>
      <c r="T374" s="309">
        <v>0</v>
      </c>
      <c r="U374" s="303"/>
      <c r="V374" s="309">
        <v>0</v>
      </c>
      <c r="W374" s="309">
        <v>0</v>
      </c>
      <c r="X374" s="303"/>
      <c r="Y374" s="309">
        <v>0</v>
      </c>
      <c r="Z374" s="309">
        <v>0</v>
      </c>
      <c r="AA374" s="303"/>
      <c r="AB374" s="309">
        <v>0</v>
      </c>
      <c r="AC374" s="309">
        <v>0</v>
      </c>
      <c r="AD374" s="303"/>
      <c r="AE374" s="309">
        <v>0</v>
      </c>
      <c r="AF374" s="309">
        <v>0</v>
      </c>
      <c r="AG374" s="303"/>
      <c r="AH374" s="309">
        <v>0</v>
      </c>
      <c r="AI374" s="309">
        <v>0</v>
      </c>
      <c r="AJ374" s="188"/>
      <c r="AK374" s="309">
        <v>0</v>
      </c>
      <c r="AL374" s="309">
        <v>0</v>
      </c>
      <c r="AM374" s="303"/>
      <c r="AN374" s="309">
        <v>0</v>
      </c>
      <c r="AO374" s="309">
        <v>0</v>
      </c>
      <c r="AP374" s="309"/>
      <c r="AQ374" s="303">
        <v>312</v>
      </c>
      <c r="AR374" s="309">
        <v>3.6705882352941178E-2</v>
      </c>
      <c r="AS374" s="309">
        <v>3.8637770897832817E-2</v>
      </c>
      <c r="AT374" s="303">
        <v>312</v>
      </c>
      <c r="AU374" s="309">
        <v>3.6705882352941178E-2</v>
      </c>
      <c r="AV374" s="309">
        <v>3.8637770897832817E-2</v>
      </c>
      <c r="AW374" s="309"/>
      <c r="AX374" s="309"/>
      <c r="AY374" s="309"/>
      <c r="AZ374" s="309"/>
      <c r="BA374" s="309"/>
      <c r="BB374" s="309"/>
      <c r="BC374" s="303">
        <v>312</v>
      </c>
      <c r="BD374" s="309">
        <v>3.6705882352941178E-2</v>
      </c>
      <c r="BE374" s="309">
        <v>3.8637770897832817E-2</v>
      </c>
      <c r="BF374" s="303"/>
      <c r="BG374" s="303">
        <v>1910.375</v>
      </c>
      <c r="BH374" s="309">
        <v>0.22475000000000001</v>
      </c>
      <c r="BI374" s="309">
        <v>0.23657894736842106</v>
      </c>
      <c r="BJ374" s="303">
        <f t="shared" si="326"/>
        <v>8075</v>
      </c>
      <c r="BK374" s="303">
        <v>1910.375</v>
      </c>
      <c r="BL374" s="309">
        <f t="shared" si="311"/>
        <v>0.22475000000000001</v>
      </c>
      <c r="BM374" s="309">
        <f t="shared" si="328"/>
        <v>0.23657894736842106</v>
      </c>
      <c r="BN374" s="205">
        <f t="shared" si="308"/>
        <v>1910.375</v>
      </c>
      <c r="BO374" s="205"/>
      <c r="BP374" s="310"/>
      <c r="BQ374" s="308">
        <f t="shared" si="312"/>
        <v>0</v>
      </c>
      <c r="BR374" s="310"/>
      <c r="BS374" s="308">
        <f t="shared" si="313"/>
        <v>0</v>
      </c>
      <c r="BT374" s="310">
        <f>$F374*0.1</f>
        <v>850</v>
      </c>
      <c r="BU374" s="308">
        <f t="shared" si="314"/>
        <v>0.1</v>
      </c>
      <c r="BV374" s="310">
        <f>$F374*0.2</f>
        <v>1700</v>
      </c>
      <c r="BW374" s="308">
        <f t="shared" si="315"/>
        <v>0.2</v>
      </c>
      <c r="BX374" s="310">
        <f>$F374*0.3</f>
        <v>2550</v>
      </c>
      <c r="BY374" s="308">
        <f t="shared" si="316"/>
        <v>0.3</v>
      </c>
      <c r="BZ374" s="310">
        <f>$F374*0.4</f>
        <v>3400</v>
      </c>
      <c r="CA374" s="308">
        <f t="shared" si="317"/>
        <v>0.4</v>
      </c>
      <c r="CB374" s="310">
        <f>$F374*0.5</f>
        <v>4250</v>
      </c>
      <c r="CC374" s="308">
        <f t="shared" si="318"/>
        <v>0.5</v>
      </c>
      <c r="CD374" s="310">
        <f>$F374*0.55</f>
        <v>4675</v>
      </c>
      <c r="CE374" s="308">
        <f t="shared" si="341"/>
        <v>0.55000000000000004</v>
      </c>
      <c r="CF374" s="310">
        <v>5950</v>
      </c>
      <c r="CG374" s="308">
        <f t="shared" si="320"/>
        <v>0.7</v>
      </c>
      <c r="CH374" s="310">
        <f>$F374*0.7</f>
        <v>5950</v>
      </c>
      <c r="CI374" s="308">
        <f t="shared" si="342"/>
        <v>0.7</v>
      </c>
      <c r="CJ374" s="310">
        <f>$F374*0.75</f>
        <v>6375</v>
      </c>
      <c r="CK374" s="308">
        <f t="shared" si="322"/>
        <v>0.75</v>
      </c>
      <c r="CL374" s="310">
        <f>$F374*0.75</f>
        <v>6375</v>
      </c>
      <c r="CM374" s="308">
        <f t="shared" si="323"/>
        <v>0.75</v>
      </c>
      <c r="CN374" s="310">
        <f>$F374*0.95</f>
        <v>8075</v>
      </c>
      <c r="CO374" s="308">
        <f t="shared" si="324"/>
        <v>0.95</v>
      </c>
      <c r="CP374" s="213" t="str">
        <f t="shared" si="329"/>
        <v>Không đạt</v>
      </c>
      <c r="CQ374" s="213" t="str">
        <f t="shared" si="330"/>
        <v>Không đạt</v>
      </c>
      <c r="CR374" s="312"/>
      <c r="CS374" s="312"/>
      <c r="CT374" s="235"/>
      <c r="CU374" s="163"/>
      <c r="CW374" s="195"/>
      <c r="CX374" s="196"/>
      <c r="CY374" s="196"/>
      <c r="CZ374" s="197"/>
      <c r="DA374" s="196"/>
      <c r="DB374" s="196"/>
      <c r="DC374" s="196"/>
      <c r="DE374" s="199"/>
      <c r="DF374" s="200"/>
      <c r="DG374" s="181"/>
    </row>
    <row r="375" spans="1:112" ht="18" customHeight="1" collapsed="1" x14ac:dyDescent="0.25">
      <c r="A375" s="213">
        <f>MAX(A$239:A373)+1</f>
        <v>39</v>
      </c>
      <c r="B375" s="240" t="s">
        <v>432</v>
      </c>
      <c r="C375" s="240"/>
      <c r="D375" s="188">
        <f t="shared" ref="D375:I375" si="346">D376+D377</f>
        <v>4275</v>
      </c>
      <c r="E375" s="188">
        <f t="shared" si="346"/>
        <v>0</v>
      </c>
      <c r="F375" s="188">
        <f t="shared" si="346"/>
        <v>4275</v>
      </c>
      <c r="G375" s="188">
        <f t="shared" si="346"/>
        <v>3000</v>
      </c>
      <c r="H375" s="188">
        <f t="shared" si="346"/>
        <v>1275</v>
      </c>
      <c r="I375" s="188">
        <f t="shared" si="346"/>
        <v>0</v>
      </c>
      <c r="J375" s="188"/>
      <c r="K375" s="188">
        <f>K376+K377</f>
        <v>0</v>
      </c>
      <c r="L375" s="188">
        <f>L376+L377</f>
        <v>0</v>
      </c>
      <c r="M375" s="188">
        <f>M376+M377</f>
        <v>0</v>
      </c>
      <c r="N375" s="188">
        <f>N376+N377</f>
        <v>0</v>
      </c>
      <c r="O375" s="188">
        <f>O376+O377</f>
        <v>3000</v>
      </c>
      <c r="P375" s="188">
        <v>0</v>
      </c>
      <c r="Q375" s="186">
        <f t="shared" si="325"/>
        <v>0</v>
      </c>
      <c r="R375" s="188">
        <v>0</v>
      </c>
      <c r="S375" s="185">
        <v>0</v>
      </c>
      <c r="T375" s="185">
        <v>0</v>
      </c>
      <c r="U375" s="188">
        <v>0</v>
      </c>
      <c r="V375" s="185">
        <v>0</v>
      </c>
      <c r="W375" s="185">
        <v>0</v>
      </c>
      <c r="X375" s="188">
        <v>0</v>
      </c>
      <c r="Y375" s="185">
        <v>0</v>
      </c>
      <c r="Z375" s="185">
        <v>0</v>
      </c>
      <c r="AA375" s="188">
        <v>0</v>
      </c>
      <c r="AB375" s="185">
        <v>0</v>
      </c>
      <c r="AC375" s="185">
        <v>0</v>
      </c>
      <c r="AD375" s="188">
        <v>0</v>
      </c>
      <c r="AE375" s="185">
        <v>0</v>
      </c>
      <c r="AF375" s="185">
        <v>0</v>
      </c>
      <c r="AG375" s="188">
        <v>0</v>
      </c>
      <c r="AH375" s="185">
        <v>0</v>
      </c>
      <c r="AI375" s="185">
        <v>0</v>
      </c>
      <c r="AJ375" s="303">
        <v>0</v>
      </c>
      <c r="AK375" s="185">
        <v>0</v>
      </c>
      <c r="AL375" s="185">
        <v>0</v>
      </c>
      <c r="AM375" s="314">
        <v>0</v>
      </c>
      <c r="AN375" s="185">
        <v>0</v>
      </c>
      <c r="AO375" s="185">
        <v>0</v>
      </c>
      <c r="AP375" s="185"/>
      <c r="AQ375" s="188">
        <v>1800.9659999999999</v>
      </c>
      <c r="AR375" s="185">
        <v>0.42127859649122806</v>
      </c>
      <c r="AS375" s="185">
        <v>0.44345115420129266</v>
      </c>
      <c r="AT375" s="188">
        <v>1800.9659999999999</v>
      </c>
      <c r="AU375" s="185">
        <v>0.42127859649122806</v>
      </c>
      <c r="AV375" s="185">
        <v>0.44345115420129266</v>
      </c>
      <c r="AW375" s="185"/>
      <c r="AX375" s="185"/>
      <c r="AY375" s="185"/>
      <c r="AZ375" s="185"/>
      <c r="BA375" s="185"/>
      <c r="BB375" s="185"/>
      <c r="BC375" s="188">
        <v>1800.9659999999999</v>
      </c>
      <c r="BD375" s="185">
        <v>0.42127859649122806</v>
      </c>
      <c r="BE375" s="185">
        <v>0.44345115420129266</v>
      </c>
      <c r="BF375" s="188"/>
      <c r="BG375" s="188">
        <v>1800.9659999999999</v>
      </c>
      <c r="BH375" s="185">
        <v>0.42127859649122806</v>
      </c>
      <c r="BI375" s="185">
        <v>0.44345115420129266</v>
      </c>
      <c r="BJ375" s="188">
        <f t="shared" si="326"/>
        <v>4061.25</v>
      </c>
      <c r="BK375" s="188">
        <f>BK376+BK377</f>
        <v>1800.9659999999999</v>
      </c>
      <c r="BL375" s="185">
        <f t="shared" si="311"/>
        <v>0.42127859649122806</v>
      </c>
      <c r="BM375" s="185">
        <f t="shared" si="328"/>
        <v>0.44345115420129266</v>
      </c>
      <c r="BN375" s="205">
        <f t="shared" si="308"/>
        <v>1800.9659999999999</v>
      </c>
      <c r="BO375" s="205"/>
      <c r="BP375" s="189">
        <f>BP376+BP377</f>
        <v>0</v>
      </c>
      <c r="BQ375" s="186">
        <f t="shared" si="312"/>
        <v>0</v>
      </c>
      <c r="BR375" s="189">
        <f>BR376+BR377</f>
        <v>0</v>
      </c>
      <c r="BS375" s="186">
        <f t="shared" si="313"/>
        <v>0</v>
      </c>
      <c r="BT375" s="189">
        <f>BT376+BT377</f>
        <v>427.5</v>
      </c>
      <c r="BU375" s="186">
        <f t="shared" si="314"/>
        <v>0.1</v>
      </c>
      <c r="BV375" s="189">
        <f>BV376+BV377</f>
        <v>855</v>
      </c>
      <c r="BW375" s="186">
        <f t="shared" si="315"/>
        <v>0.2</v>
      </c>
      <c r="BX375" s="189">
        <f>BX376+BX377</f>
        <v>1282.5</v>
      </c>
      <c r="BY375" s="186">
        <f t="shared" si="316"/>
        <v>0.3</v>
      </c>
      <c r="BZ375" s="189">
        <f>BZ376+BZ377</f>
        <v>1710</v>
      </c>
      <c r="CA375" s="186">
        <f t="shared" si="317"/>
        <v>0.4</v>
      </c>
      <c r="CB375" s="189">
        <f>CB376+CB377</f>
        <v>2137.5</v>
      </c>
      <c r="CC375" s="186">
        <f t="shared" si="318"/>
        <v>0.5</v>
      </c>
      <c r="CD375" s="189">
        <f>CD376+CD377</f>
        <v>2351.25</v>
      </c>
      <c r="CE375" s="186">
        <f t="shared" si="341"/>
        <v>0.55000000000000004</v>
      </c>
      <c r="CF375" s="189">
        <f>CF376+CF377</f>
        <v>2992.5</v>
      </c>
      <c r="CG375" s="186">
        <f t="shared" si="320"/>
        <v>0.7</v>
      </c>
      <c r="CH375" s="189">
        <f>CH376+CH377</f>
        <v>2992.5</v>
      </c>
      <c r="CI375" s="186">
        <f t="shared" si="342"/>
        <v>0.7</v>
      </c>
      <c r="CJ375" s="189">
        <f>CJ376+CJ377</f>
        <v>3206.25</v>
      </c>
      <c r="CK375" s="186">
        <f t="shared" si="322"/>
        <v>0.75</v>
      </c>
      <c r="CL375" s="189">
        <f>CL376+CL377</f>
        <v>3206.25</v>
      </c>
      <c r="CM375" s="186">
        <f t="shared" si="323"/>
        <v>0.75</v>
      </c>
      <c r="CN375" s="189">
        <f>CN376+CN377</f>
        <v>4061.25</v>
      </c>
      <c r="CO375" s="186">
        <f t="shared" si="324"/>
        <v>0.95</v>
      </c>
      <c r="CP375" s="213" t="str">
        <f t="shared" si="329"/>
        <v>Đạt</v>
      </c>
      <c r="CQ375" s="213" t="str">
        <f t="shared" si="330"/>
        <v>Đạt</v>
      </c>
      <c r="CR375" s="213"/>
      <c r="CS375" s="213"/>
      <c r="CT375" s="229"/>
      <c r="CU375" s="163"/>
      <c r="CW375" s="195"/>
      <c r="CX375" s="196"/>
      <c r="CY375" s="196"/>
      <c r="CZ375" s="197"/>
      <c r="DA375" s="196"/>
      <c r="DB375" s="196"/>
      <c r="DC375" s="196"/>
      <c r="DE375" s="199"/>
      <c r="DF375" s="200"/>
      <c r="DG375" s="181"/>
    </row>
    <row r="376" spans="1:112" hidden="1" outlineLevel="1" x14ac:dyDescent="0.25">
      <c r="A376" s="305" t="s">
        <v>34</v>
      </c>
      <c r="B376" s="306" t="s">
        <v>376</v>
      </c>
      <c r="C376" s="306"/>
      <c r="D376" s="307">
        <f>E376+F376</f>
        <v>3000</v>
      </c>
      <c r="E376" s="307"/>
      <c r="F376" s="307">
        <f>G376+H376+K376+M376</f>
        <v>3000</v>
      </c>
      <c r="G376" s="303">
        <v>3000</v>
      </c>
      <c r="H376" s="303"/>
      <c r="I376" s="303"/>
      <c r="J376" s="303"/>
      <c r="K376" s="303"/>
      <c r="L376" s="235"/>
      <c r="M376" s="223"/>
      <c r="N376" s="223"/>
      <c r="O376" s="303">
        <f>G376+I376+L376+N376</f>
        <v>3000</v>
      </c>
      <c r="P376" s="303">
        <v>0</v>
      </c>
      <c r="Q376" s="308">
        <f t="shared" si="325"/>
        <v>0</v>
      </c>
      <c r="R376" s="303"/>
      <c r="S376" s="309">
        <v>0</v>
      </c>
      <c r="T376" s="309">
        <v>0</v>
      </c>
      <c r="U376" s="303"/>
      <c r="V376" s="309">
        <v>0</v>
      </c>
      <c r="W376" s="309">
        <v>0</v>
      </c>
      <c r="X376" s="303"/>
      <c r="Y376" s="309">
        <v>0</v>
      </c>
      <c r="Z376" s="309">
        <v>0</v>
      </c>
      <c r="AA376" s="303"/>
      <c r="AB376" s="309">
        <v>0</v>
      </c>
      <c r="AC376" s="309">
        <v>0</v>
      </c>
      <c r="AD376" s="303"/>
      <c r="AE376" s="309">
        <v>0</v>
      </c>
      <c r="AF376" s="309">
        <v>0</v>
      </c>
      <c r="AG376" s="303"/>
      <c r="AH376" s="309">
        <v>0</v>
      </c>
      <c r="AI376" s="309">
        <v>0</v>
      </c>
      <c r="AJ376" s="303"/>
      <c r="AK376" s="309">
        <v>0</v>
      </c>
      <c r="AL376" s="309">
        <v>0</v>
      </c>
      <c r="AM376" s="303"/>
      <c r="AN376" s="309">
        <v>0</v>
      </c>
      <c r="AO376" s="309">
        <v>0</v>
      </c>
      <c r="AP376" s="309"/>
      <c r="AQ376" s="303">
        <v>1800.9659999999999</v>
      </c>
      <c r="AR376" s="309">
        <v>0.60032199999999991</v>
      </c>
      <c r="AS376" s="309">
        <v>0.63191789473684212</v>
      </c>
      <c r="AT376" s="303">
        <v>1800.9659999999999</v>
      </c>
      <c r="AU376" s="309">
        <v>0.60032199999999991</v>
      </c>
      <c r="AV376" s="309">
        <v>0.63191789473684212</v>
      </c>
      <c r="AW376" s="309"/>
      <c r="AX376" s="309"/>
      <c r="AY376" s="309"/>
      <c r="AZ376" s="309"/>
      <c r="BA376" s="309"/>
      <c r="BB376" s="309"/>
      <c r="BC376" s="303">
        <v>1800.9659999999999</v>
      </c>
      <c r="BD376" s="309">
        <v>0.60032199999999991</v>
      </c>
      <c r="BE376" s="309">
        <v>0.63191789473684212</v>
      </c>
      <c r="BF376" s="303"/>
      <c r="BG376" s="303">
        <v>1800.9659999999999</v>
      </c>
      <c r="BH376" s="309">
        <v>0.60032199999999991</v>
      </c>
      <c r="BI376" s="309">
        <v>0.63191789473684212</v>
      </c>
      <c r="BJ376" s="303">
        <f t="shared" si="326"/>
        <v>2850</v>
      </c>
      <c r="BK376" s="303">
        <v>1800.9659999999999</v>
      </c>
      <c r="BL376" s="309">
        <f t="shared" si="311"/>
        <v>0.60032199999999991</v>
      </c>
      <c r="BM376" s="309">
        <f t="shared" si="328"/>
        <v>0.63191789473684212</v>
      </c>
      <c r="BN376" s="205">
        <f t="shared" si="308"/>
        <v>1800.9659999999999</v>
      </c>
      <c r="BO376" s="205"/>
      <c r="BP376" s="310"/>
      <c r="BQ376" s="308">
        <f t="shared" si="312"/>
        <v>0</v>
      </c>
      <c r="BR376" s="310"/>
      <c r="BS376" s="308">
        <f t="shared" si="313"/>
        <v>0</v>
      </c>
      <c r="BT376" s="310">
        <f>$F376*0.1</f>
        <v>300</v>
      </c>
      <c r="BU376" s="308">
        <f t="shared" si="314"/>
        <v>0.1</v>
      </c>
      <c r="BV376" s="310">
        <f>$F376*0.2</f>
        <v>600</v>
      </c>
      <c r="BW376" s="308">
        <f t="shared" si="315"/>
        <v>0.2</v>
      </c>
      <c r="BX376" s="310">
        <f>$F376*0.3</f>
        <v>900</v>
      </c>
      <c r="BY376" s="308">
        <f t="shared" si="316"/>
        <v>0.3</v>
      </c>
      <c r="BZ376" s="310">
        <f>$F376*0.4</f>
        <v>1200</v>
      </c>
      <c r="CA376" s="308">
        <f t="shared" si="317"/>
        <v>0.4</v>
      </c>
      <c r="CB376" s="310">
        <f>$F376*0.5</f>
        <v>1500</v>
      </c>
      <c r="CC376" s="308">
        <f t="shared" si="318"/>
        <v>0.5</v>
      </c>
      <c r="CD376" s="310">
        <f>$F376*0.55</f>
        <v>1650.0000000000002</v>
      </c>
      <c r="CE376" s="308">
        <f t="shared" si="341"/>
        <v>0.55000000000000004</v>
      </c>
      <c r="CF376" s="310">
        <v>2100</v>
      </c>
      <c r="CG376" s="308">
        <f t="shared" si="320"/>
        <v>0.7</v>
      </c>
      <c r="CH376" s="310">
        <f>$F376*0.7</f>
        <v>2100</v>
      </c>
      <c r="CI376" s="308">
        <f t="shared" si="342"/>
        <v>0.7</v>
      </c>
      <c r="CJ376" s="310">
        <f>$F376*0.75</f>
        <v>2250</v>
      </c>
      <c r="CK376" s="308">
        <f t="shared" si="322"/>
        <v>0.75</v>
      </c>
      <c r="CL376" s="310">
        <f>$F376*0.75</f>
        <v>2250</v>
      </c>
      <c r="CM376" s="308">
        <f t="shared" si="323"/>
        <v>0.75</v>
      </c>
      <c r="CN376" s="310">
        <f>$F376*0.95</f>
        <v>2850</v>
      </c>
      <c r="CO376" s="308">
        <f t="shared" si="324"/>
        <v>0.95</v>
      </c>
      <c r="CP376" s="213" t="str">
        <f t="shared" si="329"/>
        <v>Đạt</v>
      </c>
      <c r="CQ376" s="213" t="str">
        <f t="shared" si="330"/>
        <v>Đạt</v>
      </c>
      <c r="CR376" s="312"/>
      <c r="CS376" s="312"/>
      <c r="CT376" s="235"/>
      <c r="CU376" s="163"/>
      <c r="CW376" s="195"/>
      <c r="CX376" s="196"/>
      <c r="CY376" s="196"/>
      <c r="CZ376" s="197"/>
      <c r="DA376" s="196"/>
      <c r="DB376" s="196"/>
      <c r="DC376" s="196"/>
      <c r="DE376" s="199"/>
      <c r="DF376" s="200"/>
      <c r="DG376" s="181"/>
    </row>
    <row r="377" spans="1:112" ht="25.5" hidden="1" outlineLevel="1" x14ac:dyDescent="0.25">
      <c r="A377" s="305" t="s">
        <v>34</v>
      </c>
      <c r="B377" s="306" t="s">
        <v>377</v>
      </c>
      <c r="C377" s="306"/>
      <c r="D377" s="307">
        <f>E377+F377</f>
        <v>1275</v>
      </c>
      <c r="E377" s="307"/>
      <c r="F377" s="307">
        <f>G377+H377+K377+M377</f>
        <v>1275</v>
      </c>
      <c r="G377" s="307"/>
      <c r="H377" s="307">
        <v>1275</v>
      </c>
      <c r="I377" s="235"/>
      <c r="J377" s="235"/>
      <c r="K377" s="303"/>
      <c r="L377" s="235"/>
      <c r="M377" s="223"/>
      <c r="N377" s="223"/>
      <c r="O377" s="303"/>
      <c r="P377" s="303">
        <v>0</v>
      </c>
      <c r="Q377" s="308">
        <f t="shared" si="325"/>
        <v>0</v>
      </c>
      <c r="R377" s="303"/>
      <c r="S377" s="309">
        <v>0</v>
      </c>
      <c r="T377" s="309">
        <v>0</v>
      </c>
      <c r="U377" s="303"/>
      <c r="V377" s="309">
        <v>0</v>
      </c>
      <c r="W377" s="309">
        <v>0</v>
      </c>
      <c r="X377" s="303"/>
      <c r="Y377" s="309">
        <v>0</v>
      </c>
      <c r="Z377" s="309">
        <v>0</v>
      </c>
      <c r="AA377" s="303"/>
      <c r="AB377" s="309">
        <v>0</v>
      </c>
      <c r="AC377" s="309">
        <v>0</v>
      </c>
      <c r="AD377" s="303"/>
      <c r="AE377" s="309">
        <v>0</v>
      </c>
      <c r="AF377" s="309">
        <v>0</v>
      </c>
      <c r="AG377" s="303"/>
      <c r="AH377" s="309">
        <v>0</v>
      </c>
      <c r="AI377" s="309">
        <v>0</v>
      </c>
      <c r="AJ377" s="188"/>
      <c r="AK377" s="309">
        <v>0</v>
      </c>
      <c r="AL377" s="309">
        <v>0</v>
      </c>
      <c r="AM377" s="303"/>
      <c r="AN377" s="309">
        <v>0</v>
      </c>
      <c r="AO377" s="309">
        <v>0</v>
      </c>
      <c r="AP377" s="309"/>
      <c r="AQ377" s="303"/>
      <c r="AR377" s="309">
        <v>0</v>
      </c>
      <c r="AS377" s="309">
        <v>0</v>
      </c>
      <c r="AT377" s="303"/>
      <c r="AU377" s="309">
        <v>0</v>
      </c>
      <c r="AV377" s="309">
        <v>0</v>
      </c>
      <c r="AW377" s="309"/>
      <c r="AX377" s="309"/>
      <c r="AY377" s="309"/>
      <c r="AZ377" s="309"/>
      <c r="BA377" s="309"/>
      <c r="BB377" s="309"/>
      <c r="BC377" s="303"/>
      <c r="BD377" s="309">
        <v>0</v>
      </c>
      <c r="BE377" s="309">
        <v>0</v>
      </c>
      <c r="BF377" s="303"/>
      <c r="BG377" s="303"/>
      <c r="BH377" s="309">
        <v>0</v>
      </c>
      <c r="BI377" s="309">
        <v>0</v>
      </c>
      <c r="BJ377" s="303">
        <f t="shared" si="326"/>
        <v>1211.25</v>
      </c>
      <c r="BK377" s="303"/>
      <c r="BL377" s="309">
        <f t="shared" si="311"/>
        <v>0</v>
      </c>
      <c r="BM377" s="309">
        <f t="shared" si="328"/>
        <v>0</v>
      </c>
      <c r="BN377" s="205">
        <f t="shared" si="308"/>
        <v>0</v>
      </c>
      <c r="BO377" s="205"/>
      <c r="BP377" s="310"/>
      <c r="BQ377" s="308">
        <f t="shared" si="312"/>
        <v>0</v>
      </c>
      <c r="BR377" s="310"/>
      <c r="BS377" s="308">
        <f t="shared" si="313"/>
        <v>0</v>
      </c>
      <c r="BT377" s="310">
        <f>$F377*0.1</f>
        <v>127.5</v>
      </c>
      <c r="BU377" s="308">
        <f t="shared" si="314"/>
        <v>0.1</v>
      </c>
      <c r="BV377" s="310">
        <f>$F377*0.2</f>
        <v>255</v>
      </c>
      <c r="BW377" s="308">
        <f t="shared" si="315"/>
        <v>0.2</v>
      </c>
      <c r="BX377" s="310">
        <f>$F377*0.3</f>
        <v>382.5</v>
      </c>
      <c r="BY377" s="308">
        <f t="shared" si="316"/>
        <v>0.3</v>
      </c>
      <c r="BZ377" s="310">
        <f>$F377*0.4</f>
        <v>510</v>
      </c>
      <c r="CA377" s="308">
        <f t="shared" si="317"/>
        <v>0.4</v>
      </c>
      <c r="CB377" s="310">
        <f>$F377*0.5</f>
        <v>637.5</v>
      </c>
      <c r="CC377" s="308">
        <f t="shared" si="318"/>
        <v>0.5</v>
      </c>
      <c r="CD377" s="310">
        <f>$F377*0.55</f>
        <v>701.25</v>
      </c>
      <c r="CE377" s="308">
        <f t="shared" si="341"/>
        <v>0.55000000000000004</v>
      </c>
      <c r="CF377" s="310">
        <v>892.5</v>
      </c>
      <c r="CG377" s="308">
        <f t="shared" si="320"/>
        <v>0.7</v>
      </c>
      <c r="CH377" s="310">
        <f>$F377*0.7</f>
        <v>892.5</v>
      </c>
      <c r="CI377" s="308">
        <f t="shared" si="342"/>
        <v>0.7</v>
      </c>
      <c r="CJ377" s="310">
        <f>$F377*0.75</f>
        <v>956.25</v>
      </c>
      <c r="CK377" s="308">
        <f t="shared" si="322"/>
        <v>0.75</v>
      </c>
      <c r="CL377" s="310">
        <f>$F377*0.75</f>
        <v>956.25</v>
      </c>
      <c r="CM377" s="308">
        <f t="shared" si="323"/>
        <v>0.75</v>
      </c>
      <c r="CN377" s="310">
        <f>$F377*0.95</f>
        <v>1211.25</v>
      </c>
      <c r="CO377" s="308">
        <f t="shared" si="324"/>
        <v>0.95</v>
      </c>
      <c r="CP377" s="213" t="str">
        <f t="shared" si="329"/>
        <v>Không đạt</v>
      </c>
      <c r="CQ377" s="213" t="str">
        <f t="shared" si="330"/>
        <v>Không đạt</v>
      </c>
      <c r="CR377" s="312"/>
      <c r="CS377" s="312"/>
      <c r="CT377" s="235"/>
      <c r="CU377" s="163"/>
      <c r="CW377" s="195"/>
      <c r="CX377" s="196"/>
      <c r="CY377" s="196"/>
      <c r="CZ377" s="197"/>
      <c r="DA377" s="196"/>
      <c r="DB377" s="196"/>
      <c r="DC377" s="196"/>
      <c r="DE377" s="199"/>
      <c r="DF377" s="200"/>
      <c r="DG377" s="181"/>
    </row>
    <row r="378" spans="1:112" ht="18" customHeight="1" collapsed="1" x14ac:dyDescent="0.25">
      <c r="A378" s="213">
        <f>MAX(A$239:A376)+1</f>
        <v>40</v>
      </c>
      <c r="B378" s="240" t="s">
        <v>433</v>
      </c>
      <c r="C378" s="240"/>
      <c r="D378" s="188">
        <f t="shared" ref="D378:I378" si="347">D379+D380</f>
        <v>6825</v>
      </c>
      <c r="E378" s="188">
        <f t="shared" si="347"/>
        <v>0</v>
      </c>
      <c r="F378" s="188">
        <f t="shared" si="347"/>
        <v>6825</v>
      </c>
      <c r="G378" s="188">
        <f t="shared" si="347"/>
        <v>3000</v>
      </c>
      <c r="H378" s="188">
        <f t="shared" si="347"/>
        <v>3825</v>
      </c>
      <c r="I378" s="188">
        <f t="shared" si="347"/>
        <v>0</v>
      </c>
      <c r="J378" s="188"/>
      <c r="K378" s="188">
        <f>K379+K380</f>
        <v>0</v>
      </c>
      <c r="L378" s="188">
        <f>L379+L380</f>
        <v>0</v>
      </c>
      <c r="M378" s="188">
        <f>M379+M380</f>
        <v>0</v>
      </c>
      <c r="N378" s="188">
        <f>N379+N380</f>
        <v>0</v>
      </c>
      <c r="O378" s="188">
        <f>O379+O380</f>
        <v>3000</v>
      </c>
      <c r="P378" s="188">
        <v>0</v>
      </c>
      <c r="Q378" s="186">
        <f t="shared" si="325"/>
        <v>0</v>
      </c>
      <c r="R378" s="188">
        <v>0</v>
      </c>
      <c r="S378" s="185">
        <v>0</v>
      </c>
      <c r="T378" s="185">
        <v>0</v>
      </c>
      <c r="U378" s="188">
        <v>181.10059999999999</v>
      </c>
      <c r="V378" s="185">
        <v>2.6534886446886445E-2</v>
      </c>
      <c r="W378" s="185">
        <v>2.7931459417775206E-2</v>
      </c>
      <c r="X378" s="188">
        <v>181.10059999999999</v>
      </c>
      <c r="Y378" s="185">
        <v>2.6534886446886445E-2</v>
      </c>
      <c r="Z378" s="185">
        <v>2.7931459417775206E-2</v>
      </c>
      <c r="AA378" s="188">
        <v>181.10059999999999</v>
      </c>
      <c r="AB378" s="185">
        <v>2.6534886446886445E-2</v>
      </c>
      <c r="AC378" s="185">
        <v>2.7931459417775206E-2</v>
      </c>
      <c r="AD378" s="188">
        <v>1612</v>
      </c>
      <c r="AE378" s="185">
        <v>0.2361904761904762</v>
      </c>
      <c r="AF378" s="185">
        <v>0.24862155388471177</v>
      </c>
      <c r="AG378" s="188">
        <v>1612</v>
      </c>
      <c r="AH378" s="185">
        <v>0.2361904761904762</v>
      </c>
      <c r="AI378" s="185">
        <v>0.24862155388471177</v>
      </c>
      <c r="AJ378" s="303">
        <v>1612</v>
      </c>
      <c r="AK378" s="185">
        <v>0.2361904761904762</v>
      </c>
      <c r="AL378" s="185">
        <v>0.24862155388471177</v>
      </c>
      <c r="AM378" s="314">
        <v>1612</v>
      </c>
      <c r="AN378" s="185">
        <v>0.2361904761904762</v>
      </c>
      <c r="AO378" s="185">
        <v>0.24862155388471177</v>
      </c>
      <c r="AP378" s="185"/>
      <c r="AQ378" s="188">
        <v>1612</v>
      </c>
      <c r="AR378" s="185">
        <v>0.2361904761904762</v>
      </c>
      <c r="AS378" s="185">
        <v>0.24862155388471177</v>
      </c>
      <c r="AT378" s="188">
        <v>1612</v>
      </c>
      <c r="AU378" s="185">
        <v>0.2361904761904762</v>
      </c>
      <c r="AV378" s="185">
        <v>0.24862155388471177</v>
      </c>
      <c r="AW378" s="185"/>
      <c r="AX378" s="185"/>
      <c r="AY378" s="185"/>
      <c r="AZ378" s="185"/>
      <c r="BA378" s="185"/>
      <c r="BB378" s="185"/>
      <c r="BC378" s="188">
        <v>1612</v>
      </c>
      <c r="BD378" s="185">
        <v>0.2361904761904762</v>
      </c>
      <c r="BE378" s="185">
        <v>0.24862155388471177</v>
      </c>
      <c r="BF378" s="188"/>
      <c r="BG378" s="188">
        <v>1811</v>
      </c>
      <c r="BH378" s="185">
        <v>0.26534798534798537</v>
      </c>
      <c r="BI378" s="185">
        <v>0.27931366878735298</v>
      </c>
      <c r="BJ378" s="188">
        <f t="shared" si="326"/>
        <v>6483.75</v>
      </c>
      <c r="BK378" s="188">
        <f>BK379+BK380</f>
        <v>3442</v>
      </c>
      <c r="BL378" s="185">
        <f t="shared" si="311"/>
        <v>0.50432234432234435</v>
      </c>
      <c r="BM378" s="185">
        <f t="shared" si="328"/>
        <v>0.53086562560246775</v>
      </c>
      <c r="BN378" s="205">
        <f t="shared" si="308"/>
        <v>1830</v>
      </c>
      <c r="BO378" s="205"/>
      <c r="BP378" s="189">
        <f>BP379+BP380</f>
        <v>0</v>
      </c>
      <c r="BQ378" s="186">
        <f t="shared" si="312"/>
        <v>0</v>
      </c>
      <c r="BR378" s="189">
        <f>BR379+BR380</f>
        <v>0</v>
      </c>
      <c r="BS378" s="186">
        <f t="shared" si="313"/>
        <v>0</v>
      </c>
      <c r="BT378" s="189">
        <f>BT379+BT380</f>
        <v>602.5</v>
      </c>
      <c r="BU378" s="186">
        <f t="shared" si="314"/>
        <v>8.8278388278388284E-2</v>
      </c>
      <c r="BV378" s="189">
        <f>BV379+BV380</f>
        <v>1645</v>
      </c>
      <c r="BW378" s="186">
        <f t="shared" si="315"/>
        <v>0.24102564102564103</v>
      </c>
      <c r="BX378" s="189">
        <f>BX379+BX380</f>
        <v>2047.5</v>
      </c>
      <c r="BY378" s="186">
        <f t="shared" si="316"/>
        <v>0.3</v>
      </c>
      <c r="BZ378" s="189">
        <f>BZ379+BZ380</f>
        <v>3080</v>
      </c>
      <c r="CA378" s="186">
        <f t="shared" si="317"/>
        <v>0.45128205128205129</v>
      </c>
      <c r="CB378" s="189">
        <f>CB379+CB380</f>
        <v>4762.5</v>
      </c>
      <c r="CC378" s="186">
        <f t="shared" si="318"/>
        <v>0.69780219780219777</v>
      </c>
      <c r="CD378" s="189">
        <f>CD379+CD380</f>
        <v>4953.75</v>
      </c>
      <c r="CE378" s="186">
        <f t="shared" si="341"/>
        <v>0.7258241758241758</v>
      </c>
      <c r="CF378" s="189">
        <f>CF379+CF380</f>
        <v>5145</v>
      </c>
      <c r="CG378" s="186">
        <f t="shared" si="320"/>
        <v>0.75384615384615383</v>
      </c>
      <c r="CH378" s="189">
        <f>CH379+CH380</f>
        <v>5527.5</v>
      </c>
      <c r="CI378" s="186">
        <f t="shared" si="342"/>
        <v>0.8098901098901099</v>
      </c>
      <c r="CJ378" s="189">
        <f>CJ379+CJ380</f>
        <v>5718.75</v>
      </c>
      <c r="CK378" s="186">
        <f t="shared" si="322"/>
        <v>0.83791208791208793</v>
      </c>
      <c r="CL378" s="189">
        <f>CL379+CL380</f>
        <v>5718.75</v>
      </c>
      <c r="CM378" s="186">
        <f t="shared" si="323"/>
        <v>0.83791208791208793</v>
      </c>
      <c r="CN378" s="189">
        <f>CN379+CN380</f>
        <v>6483.75</v>
      </c>
      <c r="CO378" s="186">
        <f t="shared" si="324"/>
        <v>0.95</v>
      </c>
      <c r="CP378" s="213" t="str">
        <f t="shared" si="329"/>
        <v>Đạt</v>
      </c>
      <c r="CQ378" s="213" t="str">
        <f t="shared" si="330"/>
        <v>Đạt</v>
      </c>
      <c r="CR378" s="213"/>
      <c r="CS378" s="213"/>
      <c r="CT378" s="231"/>
      <c r="CU378" s="163"/>
      <c r="CW378" s="195"/>
      <c r="CX378" s="196"/>
      <c r="CY378" s="196"/>
      <c r="CZ378" s="197"/>
      <c r="DA378" s="196"/>
      <c r="DB378" s="196"/>
      <c r="DC378" s="196"/>
      <c r="DE378" s="199"/>
      <c r="DF378" s="200"/>
      <c r="DG378" s="181"/>
    </row>
    <row r="379" spans="1:112" s="324" customFormat="1" hidden="1" outlineLevel="1" x14ac:dyDescent="0.25">
      <c r="A379" s="305" t="s">
        <v>34</v>
      </c>
      <c r="B379" s="306" t="s">
        <v>376</v>
      </c>
      <c r="C379" s="306"/>
      <c r="D379" s="307">
        <f>E379+F379</f>
        <v>3000</v>
      </c>
      <c r="E379" s="307"/>
      <c r="F379" s="307">
        <f>G379+H379+K379+M379</f>
        <v>3000</v>
      </c>
      <c r="G379" s="303">
        <v>3000</v>
      </c>
      <c r="H379" s="303"/>
      <c r="I379" s="235"/>
      <c r="J379" s="235"/>
      <c r="K379" s="303"/>
      <c r="L379" s="235"/>
      <c r="M379" s="223"/>
      <c r="N379" s="223"/>
      <c r="O379" s="303">
        <f>G379+I379+L379+N379</f>
        <v>3000</v>
      </c>
      <c r="P379" s="303">
        <v>0</v>
      </c>
      <c r="Q379" s="308">
        <f t="shared" si="325"/>
        <v>0</v>
      </c>
      <c r="R379" s="303"/>
      <c r="S379" s="309">
        <v>0</v>
      </c>
      <c r="T379" s="309">
        <v>0</v>
      </c>
      <c r="U379" s="303">
        <v>181.10059999999999</v>
      </c>
      <c r="V379" s="309">
        <v>6.0366866666666665E-2</v>
      </c>
      <c r="W379" s="309">
        <v>6.3544070175438588E-2</v>
      </c>
      <c r="X379" s="303">
        <v>181.10059999999999</v>
      </c>
      <c r="Y379" s="309">
        <v>6.0366866666666665E-2</v>
      </c>
      <c r="Z379" s="309">
        <v>6.3544070175438588E-2</v>
      </c>
      <c r="AA379" s="303">
        <v>181.10059999999999</v>
      </c>
      <c r="AB379" s="309">
        <v>6.0366866666666665E-2</v>
      </c>
      <c r="AC379" s="309">
        <v>6.3544070175438588E-2</v>
      </c>
      <c r="AD379" s="303">
        <v>1612</v>
      </c>
      <c r="AE379" s="309">
        <v>0.53733333333333333</v>
      </c>
      <c r="AF379" s="309">
        <v>0.56561403508771935</v>
      </c>
      <c r="AG379" s="303">
        <v>1612</v>
      </c>
      <c r="AH379" s="309">
        <v>0.53733333333333333</v>
      </c>
      <c r="AI379" s="309">
        <v>0.56561403508771935</v>
      </c>
      <c r="AJ379" s="303">
        <v>1612</v>
      </c>
      <c r="AK379" s="309">
        <v>0.53733333333333333</v>
      </c>
      <c r="AL379" s="309">
        <v>0.56561403508771935</v>
      </c>
      <c r="AM379" s="303">
        <v>1612</v>
      </c>
      <c r="AN379" s="309">
        <v>0.53733333333333333</v>
      </c>
      <c r="AO379" s="309">
        <v>0.56561403508771935</v>
      </c>
      <c r="AP379" s="309"/>
      <c r="AQ379" s="303">
        <v>1612</v>
      </c>
      <c r="AR379" s="309">
        <v>0.53733333333333333</v>
      </c>
      <c r="AS379" s="309">
        <v>0.56561403508771935</v>
      </c>
      <c r="AT379" s="303">
        <v>1612</v>
      </c>
      <c r="AU379" s="309">
        <v>0.53733333333333333</v>
      </c>
      <c r="AV379" s="309">
        <v>0.56561403508771935</v>
      </c>
      <c r="AW379" s="309"/>
      <c r="AX379" s="309"/>
      <c r="AY379" s="309"/>
      <c r="AZ379" s="309"/>
      <c r="BA379" s="309"/>
      <c r="BB379" s="309"/>
      <c r="BC379" s="303">
        <v>1612</v>
      </c>
      <c r="BD379" s="309">
        <v>0.53733333333333333</v>
      </c>
      <c r="BE379" s="309">
        <v>0.56561403508771935</v>
      </c>
      <c r="BF379" s="303"/>
      <c r="BG379" s="303">
        <v>1811</v>
      </c>
      <c r="BH379" s="309">
        <v>0.60366666666666668</v>
      </c>
      <c r="BI379" s="309">
        <v>0.63543859649122802</v>
      </c>
      <c r="BJ379" s="303">
        <f t="shared" si="326"/>
        <v>2850</v>
      </c>
      <c r="BK379" s="303">
        <v>2850</v>
      </c>
      <c r="BL379" s="309">
        <f t="shared" si="311"/>
        <v>0.95</v>
      </c>
      <c r="BM379" s="309">
        <f t="shared" si="328"/>
        <v>1</v>
      </c>
      <c r="BN379" s="205">
        <f t="shared" si="308"/>
        <v>1238</v>
      </c>
      <c r="BO379" s="205"/>
      <c r="BP379" s="310"/>
      <c r="BQ379" s="308">
        <f t="shared" si="312"/>
        <v>0</v>
      </c>
      <c r="BR379" s="310"/>
      <c r="BS379" s="308">
        <f t="shared" si="313"/>
        <v>0</v>
      </c>
      <c r="BT379" s="310">
        <v>220</v>
      </c>
      <c r="BU379" s="308">
        <f t="shared" si="314"/>
        <v>7.3333333333333334E-2</v>
      </c>
      <c r="BV379" s="310">
        <v>880</v>
      </c>
      <c r="BW379" s="308">
        <f t="shared" si="315"/>
        <v>0.29333333333333333</v>
      </c>
      <c r="BX379" s="310">
        <f>$F379*0.3</f>
        <v>900</v>
      </c>
      <c r="BY379" s="308">
        <f t="shared" si="316"/>
        <v>0.3</v>
      </c>
      <c r="BZ379" s="310">
        <v>1550</v>
      </c>
      <c r="CA379" s="308">
        <f t="shared" si="317"/>
        <v>0.51666666666666672</v>
      </c>
      <c r="CB379" s="310">
        <v>2850</v>
      </c>
      <c r="CC379" s="308">
        <f t="shared" si="318"/>
        <v>0.95</v>
      </c>
      <c r="CD379" s="310">
        <v>2850</v>
      </c>
      <c r="CE379" s="308">
        <f t="shared" si="341"/>
        <v>0.95</v>
      </c>
      <c r="CF379" s="310">
        <v>2850</v>
      </c>
      <c r="CG379" s="308">
        <f t="shared" si="320"/>
        <v>0.95</v>
      </c>
      <c r="CH379" s="310">
        <v>2850</v>
      </c>
      <c r="CI379" s="308">
        <f t="shared" si="342"/>
        <v>0.95</v>
      </c>
      <c r="CJ379" s="310">
        <v>2850</v>
      </c>
      <c r="CK379" s="308">
        <f t="shared" si="322"/>
        <v>0.95</v>
      </c>
      <c r="CL379" s="310">
        <v>2850</v>
      </c>
      <c r="CM379" s="308">
        <f t="shared" si="323"/>
        <v>0.95</v>
      </c>
      <c r="CN379" s="310">
        <f>$F379*0.95</f>
        <v>2850</v>
      </c>
      <c r="CO379" s="308">
        <f t="shared" si="324"/>
        <v>0.95</v>
      </c>
      <c r="CP379" s="213" t="str">
        <f t="shared" si="329"/>
        <v>Đạt</v>
      </c>
      <c r="CQ379" s="213" t="str">
        <f t="shared" si="330"/>
        <v>Đạt</v>
      </c>
      <c r="CR379" s="312"/>
      <c r="CS379" s="312"/>
      <c r="CT379" s="235"/>
      <c r="CU379" s="163"/>
      <c r="CV379" s="323"/>
      <c r="CW379" s="195"/>
      <c r="CX379" s="196"/>
      <c r="CY379" s="196"/>
      <c r="CZ379" s="197"/>
      <c r="DA379" s="196"/>
      <c r="DB379" s="196"/>
      <c r="DC379" s="196"/>
      <c r="DE379" s="199"/>
      <c r="DF379" s="200"/>
      <c r="DG379" s="181"/>
    </row>
    <row r="380" spans="1:112" ht="25.5" hidden="1" outlineLevel="1" x14ac:dyDescent="0.25">
      <c r="A380" s="305" t="s">
        <v>34</v>
      </c>
      <c r="B380" s="306" t="s">
        <v>377</v>
      </c>
      <c r="C380" s="306"/>
      <c r="D380" s="307">
        <f>E380+F380</f>
        <v>3825</v>
      </c>
      <c r="E380" s="307"/>
      <c r="F380" s="307">
        <f>G380+H380+K380+M380</f>
        <v>3825</v>
      </c>
      <c r="G380" s="307"/>
      <c r="H380" s="307">
        <v>3825</v>
      </c>
      <c r="I380" s="235"/>
      <c r="J380" s="235"/>
      <c r="K380" s="303"/>
      <c r="L380" s="235"/>
      <c r="M380" s="223"/>
      <c r="N380" s="223"/>
      <c r="O380" s="303"/>
      <c r="P380" s="303">
        <v>0</v>
      </c>
      <c r="Q380" s="308">
        <f t="shared" si="325"/>
        <v>0</v>
      </c>
      <c r="R380" s="303"/>
      <c r="S380" s="309">
        <v>0</v>
      </c>
      <c r="T380" s="309">
        <v>0</v>
      </c>
      <c r="U380" s="303"/>
      <c r="V380" s="309">
        <v>0</v>
      </c>
      <c r="W380" s="309">
        <v>0</v>
      </c>
      <c r="X380" s="303"/>
      <c r="Y380" s="309">
        <v>0</v>
      </c>
      <c r="Z380" s="309">
        <v>0</v>
      </c>
      <c r="AA380" s="303"/>
      <c r="AB380" s="309">
        <v>0</v>
      </c>
      <c r="AC380" s="309">
        <v>0</v>
      </c>
      <c r="AD380" s="303"/>
      <c r="AE380" s="309">
        <v>0</v>
      </c>
      <c r="AF380" s="309">
        <v>0</v>
      </c>
      <c r="AG380" s="303"/>
      <c r="AH380" s="309">
        <v>0</v>
      </c>
      <c r="AI380" s="309">
        <v>0</v>
      </c>
      <c r="AJ380" s="188"/>
      <c r="AK380" s="309">
        <v>0</v>
      </c>
      <c r="AL380" s="309">
        <v>0</v>
      </c>
      <c r="AM380" s="303"/>
      <c r="AN380" s="309">
        <v>0</v>
      </c>
      <c r="AO380" s="309">
        <v>0</v>
      </c>
      <c r="AP380" s="309"/>
      <c r="AQ380" s="303"/>
      <c r="AR380" s="309">
        <v>0</v>
      </c>
      <c r="AS380" s="309">
        <v>0</v>
      </c>
      <c r="AT380" s="303"/>
      <c r="AU380" s="309">
        <v>0</v>
      </c>
      <c r="AV380" s="309">
        <v>0</v>
      </c>
      <c r="AW380" s="309"/>
      <c r="AX380" s="309"/>
      <c r="AY380" s="309"/>
      <c r="AZ380" s="309"/>
      <c r="BA380" s="309"/>
      <c r="BB380" s="309"/>
      <c r="BC380" s="303"/>
      <c r="BD380" s="309">
        <v>0</v>
      </c>
      <c r="BE380" s="309">
        <v>0</v>
      </c>
      <c r="BF380" s="303"/>
      <c r="BG380" s="303"/>
      <c r="BH380" s="309">
        <v>0</v>
      </c>
      <c r="BI380" s="309">
        <v>0</v>
      </c>
      <c r="BJ380" s="303">
        <f t="shared" si="326"/>
        <v>3633.75</v>
      </c>
      <c r="BK380" s="303">
        <v>592</v>
      </c>
      <c r="BL380" s="309">
        <f t="shared" si="311"/>
        <v>0.15477124183006535</v>
      </c>
      <c r="BM380" s="309">
        <f t="shared" si="328"/>
        <v>0.16291709666322671</v>
      </c>
      <c r="BN380" s="205">
        <f t="shared" si="308"/>
        <v>592</v>
      </c>
      <c r="BO380" s="205"/>
      <c r="BP380" s="310"/>
      <c r="BQ380" s="308">
        <f t="shared" si="312"/>
        <v>0</v>
      </c>
      <c r="BR380" s="310"/>
      <c r="BS380" s="308">
        <f t="shared" si="313"/>
        <v>0</v>
      </c>
      <c r="BT380" s="310">
        <f>$F380*0.1</f>
        <v>382.5</v>
      </c>
      <c r="BU380" s="308">
        <f t="shared" si="314"/>
        <v>0.1</v>
      </c>
      <c r="BV380" s="310">
        <f>$F380*0.2</f>
        <v>765</v>
      </c>
      <c r="BW380" s="308">
        <f t="shared" si="315"/>
        <v>0.2</v>
      </c>
      <c r="BX380" s="310">
        <f>$F380*0.3</f>
        <v>1147.5</v>
      </c>
      <c r="BY380" s="308">
        <f t="shared" si="316"/>
        <v>0.3</v>
      </c>
      <c r="BZ380" s="310">
        <f>$F380*0.4</f>
        <v>1530</v>
      </c>
      <c r="CA380" s="308">
        <f t="shared" si="317"/>
        <v>0.4</v>
      </c>
      <c r="CB380" s="310">
        <f>$F380*0.5</f>
        <v>1912.5</v>
      </c>
      <c r="CC380" s="308">
        <f t="shared" si="318"/>
        <v>0.5</v>
      </c>
      <c r="CD380" s="310">
        <f>$F380*0.55</f>
        <v>2103.75</v>
      </c>
      <c r="CE380" s="308">
        <f t="shared" si="341"/>
        <v>0.55000000000000004</v>
      </c>
      <c r="CF380" s="310">
        <f>$F380*0.6</f>
        <v>2295</v>
      </c>
      <c r="CG380" s="308">
        <f t="shared" si="320"/>
        <v>0.6</v>
      </c>
      <c r="CH380" s="310">
        <f>$F380*0.7</f>
        <v>2677.5</v>
      </c>
      <c r="CI380" s="308">
        <f t="shared" si="342"/>
        <v>0.7</v>
      </c>
      <c r="CJ380" s="310">
        <f>$F380*0.75</f>
        <v>2868.75</v>
      </c>
      <c r="CK380" s="308">
        <f t="shared" si="322"/>
        <v>0.75</v>
      </c>
      <c r="CL380" s="310">
        <f>$F380*0.75</f>
        <v>2868.75</v>
      </c>
      <c r="CM380" s="308">
        <f t="shared" si="323"/>
        <v>0.75</v>
      </c>
      <c r="CN380" s="310">
        <f>$F380*0.95</f>
        <v>3633.75</v>
      </c>
      <c r="CO380" s="308">
        <f t="shared" si="324"/>
        <v>0.95</v>
      </c>
      <c r="CP380" s="213" t="str">
        <f t="shared" si="329"/>
        <v>Không đạt</v>
      </c>
      <c r="CQ380" s="213" t="str">
        <f t="shared" si="330"/>
        <v>Không đạt</v>
      </c>
      <c r="CR380" s="312"/>
      <c r="CS380" s="312"/>
      <c r="CT380" s="235"/>
      <c r="CU380" s="163"/>
      <c r="CW380" s="195"/>
      <c r="CX380" s="196"/>
      <c r="CY380" s="196"/>
      <c r="CZ380" s="197"/>
      <c r="DA380" s="196"/>
      <c r="DB380" s="196"/>
      <c r="DC380" s="196"/>
      <c r="DE380" s="199"/>
      <c r="DF380" s="200"/>
      <c r="DG380" s="181"/>
    </row>
    <row r="381" spans="1:112" ht="18" customHeight="1" collapsed="1" x14ac:dyDescent="0.25">
      <c r="A381" s="213">
        <f>MAX(A$239:A379)+1</f>
        <v>41</v>
      </c>
      <c r="B381" s="240" t="s">
        <v>434</v>
      </c>
      <c r="C381" s="240"/>
      <c r="D381" s="188">
        <f t="shared" ref="D381:I381" si="348">D382+D383</f>
        <v>4275</v>
      </c>
      <c r="E381" s="188">
        <f t="shared" si="348"/>
        <v>0</v>
      </c>
      <c r="F381" s="188">
        <f t="shared" si="348"/>
        <v>4275</v>
      </c>
      <c r="G381" s="188">
        <f t="shared" si="348"/>
        <v>3000</v>
      </c>
      <c r="H381" s="188">
        <f t="shared" si="348"/>
        <v>1275</v>
      </c>
      <c r="I381" s="188">
        <f t="shared" si="348"/>
        <v>0</v>
      </c>
      <c r="J381" s="188"/>
      <c r="K381" s="188">
        <f>K382+K383</f>
        <v>0</v>
      </c>
      <c r="L381" s="188">
        <f>L382+L383</f>
        <v>0</v>
      </c>
      <c r="M381" s="188">
        <f>M382+M383</f>
        <v>0</v>
      </c>
      <c r="N381" s="188">
        <f>N382+N383</f>
        <v>0</v>
      </c>
      <c r="O381" s="188">
        <f>O382+O383</f>
        <v>3000</v>
      </c>
      <c r="P381" s="188">
        <v>0</v>
      </c>
      <c r="Q381" s="186">
        <f t="shared" si="325"/>
        <v>0</v>
      </c>
      <c r="R381" s="188">
        <v>0</v>
      </c>
      <c r="S381" s="185">
        <v>0</v>
      </c>
      <c r="T381" s="185">
        <v>0</v>
      </c>
      <c r="U381" s="188">
        <v>0</v>
      </c>
      <c r="V381" s="185">
        <v>0</v>
      </c>
      <c r="W381" s="185">
        <v>0</v>
      </c>
      <c r="X381" s="188">
        <v>0</v>
      </c>
      <c r="Y381" s="185">
        <v>0</v>
      </c>
      <c r="Z381" s="185">
        <v>0</v>
      </c>
      <c r="AA381" s="188">
        <v>0</v>
      </c>
      <c r="AB381" s="185">
        <v>0</v>
      </c>
      <c r="AC381" s="185">
        <v>0</v>
      </c>
      <c r="AD381" s="188">
        <v>1289</v>
      </c>
      <c r="AE381" s="185">
        <v>0.3015204678362573</v>
      </c>
      <c r="AF381" s="185">
        <v>0.31738996614342874</v>
      </c>
      <c r="AG381" s="188">
        <v>1289</v>
      </c>
      <c r="AH381" s="185">
        <v>0.3015204678362573</v>
      </c>
      <c r="AI381" s="185">
        <v>0.31738996614342874</v>
      </c>
      <c r="AJ381" s="303">
        <v>1289</v>
      </c>
      <c r="AK381" s="185">
        <v>0.3015204678362573</v>
      </c>
      <c r="AL381" s="185">
        <v>0.31738996614342874</v>
      </c>
      <c r="AM381" s="188">
        <v>1289</v>
      </c>
      <c r="AN381" s="185">
        <v>0.3015204678362573</v>
      </c>
      <c r="AO381" s="185">
        <v>0.31738996614342874</v>
      </c>
      <c r="AP381" s="185"/>
      <c r="AQ381" s="188">
        <v>1289</v>
      </c>
      <c r="AR381" s="185">
        <v>0.3015204678362573</v>
      </c>
      <c r="AS381" s="185">
        <v>0.31738996614342874</v>
      </c>
      <c r="AT381" s="188">
        <v>1289</v>
      </c>
      <c r="AU381" s="185">
        <v>0.3015204678362573</v>
      </c>
      <c r="AV381" s="185">
        <v>0.31738996614342874</v>
      </c>
      <c r="AW381" s="185"/>
      <c r="AX381" s="185"/>
      <c r="AY381" s="185"/>
      <c r="AZ381" s="185"/>
      <c r="BA381" s="185"/>
      <c r="BB381" s="185"/>
      <c r="BC381" s="188">
        <v>1289</v>
      </c>
      <c r="BD381" s="185">
        <v>0.3015204678362573</v>
      </c>
      <c r="BE381" s="185">
        <v>0.31738996614342874</v>
      </c>
      <c r="BF381" s="188"/>
      <c r="BG381" s="188">
        <v>2727</v>
      </c>
      <c r="BH381" s="185">
        <v>0.63789473684210529</v>
      </c>
      <c r="BI381" s="185">
        <v>0.67146814404432131</v>
      </c>
      <c r="BJ381" s="188">
        <f t="shared" si="326"/>
        <v>4061.25</v>
      </c>
      <c r="BK381" s="188">
        <f>BK382+BK383</f>
        <v>2856</v>
      </c>
      <c r="BL381" s="185">
        <f t="shared" si="311"/>
        <v>0.66807017543859648</v>
      </c>
      <c r="BM381" s="185">
        <f t="shared" si="328"/>
        <v>0.70323176361957529</v>
      </c>
      <c r="BN381" s="205">
        <f t="shared" si="308"/>
        <v>1567</v>
      </c>
      <c r="BO381" s="205"/>
      <c r="BP381" s="189">
        <f>BP382+BP383</f>
        <v>0</v>
      </c>
      <c r="BQ381" s="186">
        <f t="shared" si="312"/>
        <v>0</v>
      </c>
      <c r="BR381" s="189">
        <f>BR382+BR383</f>
        <v>0</v>
      </c>
      <c r="BS381" s="186">
        <f t="shared" si="313"/>
        <v>0</v>
      </c>
      <c r="BT381" s="189">
        <f>BT382+BT383</f>
        <v>300</v>
      </c>
      <c r="BU381" s="186">
        <f t="shared" si="314"/>
        <v>7.0175438596491224E-2</v>
      </c>
      <c r="BV381" s="189">
        <f>BV382+BV383</f>
        <v>840</v>
      </c>
      <c r="BW381" s="186">
        <f t="shared" si="315"/>
        <v>0.19649122807017544</v>
      </c>
      <c r="BX381" s="189">
        <f>BX382+BX383</f>
        <v>1250</v>
      </c>
      <c r="BY381" s="186">
        <f t="shared" si="316"/>
        <v>0.29239766081871343</v>
      </c>
      <c r="BZ381" s="189">
        <f>BZ382+BZ383</f>
        <v>1975</v>
      </c>
      <c r="CA381" s="186">
        <f t="shared" si="317"/>
        <v>0.46198830409356723</v>
      </c>
      <c r="CB381" s="189">
        <f>CB382+CB383</f>
        <v>2252</v>
      </c>
      <c r="CC381" s="186">
        <f t="shared" si="318"/>
        <v>0.52678362573099413</v>
      </c>
      <c r="CD381" s="189">
        <f>CD382+CD383</f>
        <v>2647</v>
      </c>
      <c r="CE381" s="186">
        <f t="shared" si="341"/>
        <v>0.61918128654970761</v>
      </c>
      <c r="CF381" s="189">
        <f>CF382+CF383</f>
        <v>3177</v>
      </c>
      <c r="CG381" s="186">
        <f t="shared" si="320"/>
        <v>0.74315789473684213</v>
      </c>
      <c r="CH381" s="189">
        <f>CH382+CH383</f>
        <v>3800</v>
      </c>
      <c r="CI381" s="186">
        <f t="shared" si="342"/>
        <v>0.88888888888888884</v>
      </c>
      <c r="CJ381" s="189">
        <f>CJ382+CJ383</f>
        <v>3850</v>
      </c>
      <c r="CK381" s="186">
        <f t="shared" si="322"/>
        <v>0.90058479532163738</v>
      </c>
      <c r="CL381" s="189">
        <f>CL382+CL383</f>
        <v>4061.25</v>
      </c>
      <c r="CM381" s="186">
        <f t="shared" si="323"/>
        <v>0.95</v>
      </c>
      <c r="CN381" s="189">
        <f>CN382+CN383</f>
        <v>4061.25</v>
      </c>
      <c r="CO381" s="186">
        <f t="shared" si="324"/>
        <v>0.95</v>
      </c>
      <c r="CP381" s="213" t="str">
        <f t="shared" si="329"/>
        <v>Đạt</v>
      </c>
      <c r="CQ381" s="213" t="str">
        <f t="shared" si="330"/>
        <v>Đạt</v>
      </c>
      <c r="CR381" s="213"/>
      <c r="CS381" s="213"/>
      <c r="CT381" s="231"/>
      <c r="CU381" s="163"/>
      <c r="CW381" s="195"/>
      <c r="CX381" s="196"/>
      <c r="CY381" s="196"/>
      <c r="CZ381" s="197"/>
      <c r="DA381" s="196"/>
      <c r="DB381" s="196"/>
      <c r="DC381" s="196"/>
      <c r="DE381" s="199"/>
      <c r="DF381" s="200"/>
      <c r="DG381" s="181"/>
    </row>
    <row r="382" spans="1:112" s="324" customFormat="1" hidden="1" outlineLevel="1" x14ac:dyDescent="0.25">
      <c r="A382" s="305" t="s">
        <v>34</v>
      </c>
      <c r="B382" s="306" t="s">
        <v>376</v>
      </c>
      <c r="C382" s="306"/>
      <c r="D382" s="307">
        <f>E382+F382</f>
        <v>3000</v>
      </c>
      <c r="E382" s="307"/>
      <c r="F382" s="307">
        <f>G382+H382+K382+M382</f>
        <v>3000</v>
      </c>
      <c r="G382" s="303">
        <v>3000</v>
      </c>
      <c r="H382" s="303"/>
      <c r="I382" s="235"/>
      <c r="J382" s="235"/>
      <c r="K382" s="303"/>
      <c r="L382" s="235"/>
      <c r="M382" s="223"/>
      <c r="N382" s="223"/>
      <c r="O382" s="303">
        <f>G382+I382+L382+N382</f>
        <v>3000</v>
      </c>
      <c r="P382" s="303">
        <v>0</v>
      </c>
      <c r="Q382" s="308">
        <f t="shared" si="325"/>
        <v>0</v>
      </c>
      <c r="R382" s="303"/>
      <c r="S382" s="309">
        <v>0</v>
      </c>
      <c r="T382" s="309">
        <v>0</v>
      </c>
      <c r="U382" s="303"/>
      <c r="V382" s="309">
        <v>0</v>
      </c>
      <c r="W382" s="309">
        <v>0</v>
      </c>
      <c r="X382" s="303"/>
      <c r="Y382" s="309">
        <v>0</v>
      </c>
      <c r="Z382" s="309">
        <v>0</v>
      </c>
      <c r="AA382" s="303"/>
      <c r="AB382" s="309">
        <v>0</v>
      </c>
      <c r="AC382" s="309">
        <v>0</v>
      </c>
      <c r="AD382" s="303">
        <v>1289</v>
      </c>
      <c r="AE382" s="309">
        <v>0.42966666666666664</v>
      </c>
      <c r="AF382" s="309">
        <v>0.45228070175438595</v>
      </c>
      <c r="AG382" s="303">
        <v>1289</v>
      </c>
      <c r="AH382" s="309">
        <v>0.42966666666666664</v>
      </c>
      <c r="AI382" s="309">
        <v>0.45228070175438595</v>
      </c>
      <c r="AJ382" s="303">
        <v>1289</v>
      </c>
      <c r="AK382" s="309">
        <v>0.42966666666666664</v>
      </c>
      <c r="AL382" s="309">
        <v>0.45228070175438595</v>
      </c>
      <c r="AM382" s="303">
        <v>1289</v>
      </c>
      <c r="AN382" s="309">
        <v>0.42966666666666664</v>
      </c>
      <c r="AO382" s="309">
        <v>0.45228070175438595</v>
      </c>
      <c r="AP382" s="309"/>
      <c r="AQ382" s="303">
        <v>1289</v>
      </c>
      <c r="AR382" s="309">
        <v>0.42966666666666664</v>
      </c>
      <c r="AS382" s="309">
        <v>0.45228070175438595</v>
      </c>
      <c r="AT382" s="303">
        <v>1289</v>
      </c>
      <c r="AU382" s="309">
        <v>0.42966666666666664</v>
      </c>
      <c r="AV382" s="309">
        <v>0.45228070175438595</v>
      </c>
      <c r="AW382" s="309"/>
      <c r="AX382" s="309"/>
      <c r="AY382" s="309"/>
      <c r="AZ382" s="309"/>
      <c r="BA382" s="309"/>
      <c r="BB382" s="309"/>
      <c r="BC382" s="303">
        <v>1289</v>
      </c>
      <c r="BD382" s="309">
        <v>0.42966666666666664</v>
      </c>
      <c r="BE382" s="309">
        <v>0.45228070175438595</v>
      </c>
      <c r="BF382" s="303"/>
      <c r="BG382" s="303">
        <v>2727</v>
      </c>
      <c r="BH382" s="309">
        <v>0.90900000000000003</v>
      </c>
      <c r="BI382" s="309">
        <v>0.95684210526315794</v>
      </c>
      <c r="BJ382" s="303">
        <f t="shared" si="326"/>
        <v>2850</v>
      </c>
      <c r="BK382" s="303">
        <v>2850</v>
      </c>
      <c r="BL382" s="309">
        <f t="shared" si="311"/>
        <v>0.95</v>
      </c>
      <c r="BM382" s="309">
        <f t="shared" si="328"/>
        <v>1</v>
      </c>
      <c r="BN382" s="205">
        <f t="shared" si="308"/>
        <v>1561</v>
      </c>
      <c r="BO382" s="205"/>
      <c r="BP382" s="310"/>
      <c r="BQ382" s="308">
        <f t="shared" si="312"/>
        <v>0</v>
      </c>
      <c r="BR382" s="310"/>
      <c r="BS382" s="308">
        <f t="shared" si="313"/>
        <v>0</v>
      </c>
      <c r="BT382" s="310">
        <v>300</v>
      </c>
      <c r="BU382" s="308">
        <f t="shared" si="314"/>
        <v>0.1</v>
      </c>
      <c r="BV382" s="310">
        <v>840</v>
      </c>
      <c r="BW382" s="308">
        <f t="shared" si="315"/>
        <v>0.28000000000000003</v>
      </c>
      <c r="BX382" s="310">
        <v>1250</v>
      </c>
      <c r="BY382" s="308">
        <f t="shared" si="316"/>
        <v>0.41666666666666669</v>
      </c>
      <c r="BZ382" s="310">
        <v>1425</v>
      </c>
      <c r="CA382" s="308">
        <f t="shared" si="317"/>
        <v>0.47499999999999998</v>
      </c>
      <c r="CB382" s="310">
        <v>1702</v>
      </c>
      <c r="CC382" s="308">
        <f t="shared" si="318"/>
        <v>0.56733333333333336</v>
      </c>
      <c r="CD382" s="310">
        <v>1997</v>
      </c>
      <c r="CE382" s="308">
        <f t="shared" si="341"/>
        <v>0.66566666666666663</v>
      </c>
      <c r="CF382" s="310">
        <v>2277</v>
      </c>
      <c r="CG382" s="308">
        <f t="shared" si="320"/>
        <v>0.75900000000000001</v>
      </c>
      <c r="CH382" s="310">
        <v>2850</v>
      </c>
      <c r="CI382" s="308">
        <f t="shared" si="342"/>
        <v>0.95</v>
      </c>
      <c r="CJ382" s="310">
        <v>2850</v>
      </c>
      <c r="CK382" s="308">
        <f t="shared" si="322"/>
        <v>0.95</v>
      </c>
      <c r="CL382" s="310">
        <v>2850</v>
      </c>
      <c r="CM382" s="308">
        <f t="shared" si="323"/>
        <v>0.95</v>
      </c>
      <c r="CN382" s="310">
        <v>2850</v>
      </c>
      <c r="CO382" s="308">
        <f t="shared" si="324"/>
        <v>0.95</v>
      </c>
      <c r="CP382" s="213" t="str">
        <f t="shared" si="329"/>
        <v>Đạt</v>
      </c>
      <c r="CQ382" s="213" t="str">
        <f t="shared" si="330"/>
        <v>Đạt</v>
      </c>
      <c r="CR382" s="312"/>
      <c r="CS382" s="312"/>
      <c r="CT382" s="235"/>
      <c r="CU382" s="163"/>
      <c r="CV382" s="323"/>
      <c r="CW382" s="195"/>
      <c r="CX382" s="196"/>
      <c r="CY382" s="196"/>
      <c r="CZ382" s="197"/>
      <c r="DA382" s="196"/>
      <c r="DB382" s="196"/>
      <c r="DC382" s="196"/>
      <c r="DE382" s="199"/>
      <c r="DF382" s="200"/>
      <c r="DG382" s="181"/>
    </row>
    <row r="383" spans="1:112" ht="48" hidden="1" customHeight="1" outlineLevel="1" x14ac:dyDescent="0.25">
      <c r="A383" s="305" t="s">
        <v>34</v>
      </c>
      <c r="B383" s="306" t="s">
        <v>377</v>
      </c>
      <c r="C383" s="306"/>
      <c r="D383" s="307">
        <f>E383+F383</f>
        <v>1275</v>
      </c>
      <c r="E383" s="307"/>
      <c r="F383" s="307">
        <f>G383+H383+K383+M383</f>
        <v>1275</v>
      </c>
      <c r="G383" s="307"/>
      <c r="H383" s="307">
        <v>1275</v>
      </c>
      <c r="I383" s="235"/>
      <c r="J383" s="235"/>
      <c r="K383" s="303"/>
      <c r="L383" s="235"/>
      <c r="M383" s="223"/>
      <c r="N383" s="223"/>
      <c r="O383" s="303"/>
      <c r="P383" s="303">
        <v>0</v>
      </c>
      <c r="Q383" s="308">
        <f t="shared" si="325"/>
        <v>0</v>
      </c>
      <c r="R383" s="303"/>
      <c r="S383" s="309">
        <v>0</v>
      </c>
      <c r="T383" s="309">
        <v>0</v>
      </c>
      <c r="U383" s="303"/>
      <c r="V383" s="309">
        <v>0</v>
      </c>
      <c r="W383" s="309">
        <v>0</v>
      </c>
      <c r="X383" s="303"/>
      <c r="Y383" s="309">
        <v>0</v>
      </c>
      <c r="Z383" s="309">
        <v>0</v>
      </c>
      <c r="AA383" s="303"/>
      <c r="AB383" s="309">
        <v>0</v>
      </c>
      <c r="AC383" s="309">
        <v>0</v>
      </c>
      <c r="AD383" s="303"/>
      <c r="AE383" s="309">
        <v>0</v>
      </c>
      <c r="AF383" s="309">
        <v>0</v>
      </c>
      <c r="AG383" s="303"/>
      <c r="AH383" s="309">
        <v>0</v>
      </c>
      <c r="AI383" s="309">
        <v>0</v>
      </c>
      <c r="AJ383" s="188"/>
      <c r="AK383" s="309">
        <v>0</v>
      </c>
      <c r="AL383" s="309">
        <v>0</v>
      </c>
      <c r="AM383" s="303"/>
      <c r="AN383" s="309">
        <v>0</v>
      </c>
      <c r="AO383" s="309">
        <v>0</v>
      </c>
      <c r="AP383" s="309"/>
      <c r="AQ383" s="303"/>
      <c r="AR383" s="309">
        <v>0</v>
      </c>
      <c r="AS383" s="309">
        <v>0</v>
      </c>
      <c r="AT383" s="303"/>
      <c r="AU383" s="309">
        <v>0</v>
      </c>
      <c r="AV383" s="309">
        <v>0</v>
      </c>
      <c r="AW383" s="309"/>
      <c r="AX383" s="309"/>
      <c r="AY383" s="309"/>
      <c r="AZ383" s="309"/>
      <c r="BA383" s="309"/>
      <c r="BB383" s="309"/>
      <c r="BC383" s="303"/>
      <c r="BD383" s="309">
        <v>0</v>
      </c>
      <c r="BE383" s="309">
        <v>0</v>
      </c>
      <c r="BF383" s="303"/>
      <c r="BG383" s="303"/>
      <c r="BH383" s="309">
        <v>0</v>
      </c>
      <c r="BI383" s="309">
        <v>0</v>
      </c>
      <c r="BJ383" s="303">
        <f t="shared" si="326"/>
        <v>1211.25</v>
      </c>
      <c r="BK383" s="303">
        <v>6</v>
      </c>
      <c r="BL383" s="309">
        <f t="shared" si="311"/>
        <v>4.7058823529411761E-3</v>
      </c>
      <c r="BM383" s="309">
        <f t="shared" si="328"/>
        <v>4.9535603715170282E-3</v>
      </c>
      <c r="BN383" s="205">
        <f t="shared" si="308"/>
        <v>6</v>
      </c>
      <c r="BO383" s="205"/>
      <c r="BP383" s="310"/>
      <c r="BQ383" s="308">
        <f t="shared" si="312"/>
        <v>0</v>
      </c>
      <c r="BR383" s="310"/>
      <c r="BS383" s="308">
        <f t="shared" si="313"/>
        <v>0</v>
      </c>
      <c r="BT383" s="310"/>
      <c r="BU383" s="308">
        <f t="shared" si="314"/>
        <v>0</v>
      </c>
      <c r="BV383" s="310"/>
      <c r="BW383" s="308">
        <f t="shared" si="315"/>
        <v>0</v>
      </c>
      <c r="BX383" s="310"/>
      <c r="BY383" s="308">
        <f t="shared" si="316"/>
        <v>0</v>
      </c>
      <c r="BZ383" s="310">
        <v>550</v>
      </c>
      <c r="CA383" s="308">
        <f t="shared" si="317"/>
        <v>0.43137254901960786</v>
      </c>
      <c r="CB383" s="310">
        <v>550</v>
      </c>
      <c r="CC383" s="308">
        <f t="shared" si="318"/>
        <v>0.43137254901960786</v>
      </c>
      <c r="CD383" s="310">
        <v>650</v>
      </c>
      <c r="CE383" s="308">
        <f t="shared" si="341"/>
        <v>0.50980392156862742</v>
      </c>
      <c r="CF383" s="310">
        <v>900</v>
      </c>
      <c r="CG383" s="308">
        <f t="shared" si="320"/>
        <v>0.70588235294117652</v>
      </c>
      <c r="CH383" s="310">
        <v>950</v>
      </c>
      <c r="CI383" s="308">
        <f t="shared" si="342"/>
        <v>0.74509803921568629</v>
      </c>
      <c r="CJ383" s="310">
        <v>1000</v>
      </c>
      <c r="CK383" s="308">
        <f t="shared" si="322"/>
        <v>0.78431372549019607</v>
      </c>
      <c r="CL383" s="310">
        <v>1211.25</v>
      </c>
      <c r="CM383" s="308">
        <f t="shared" si="323"/>
        <v>0.95</v>
      </c>
      <c r="CN383" s="310">
        <v>1211.25</v>
      </c>
      <c r="CO383" s="308">
        <f t="shared" si="324"/>
        <v>0.95</v>
      </c>
      <c r="CP383" s="213" t="str">
        <f t="shared" si="329"/>
        <v>Không đạt</v>
      </c>
      <c r="CQ383" s="213" t="str">
        <f t="shared" si="330"/>
        <v>Không đạt</v>
      </c>
      <c r="CR383" s="312"/>
      <c r="CS383" s="312"/>
      <c r="CT383" s="235"/>
      <c r="CU383" s="163"/>
      <c r="CW383" s="195"/>
      <c r="CX383" s="196"/>
      <c r="CY383" s="196"/>
      <c r="CZ383" s="197"/>
      <c r="DA383" s="196"/>
      <c r="DB383" s="196"/>
      <c r="DC383" s="196"/>
      <c r="DE383" s="199"/>
      <c r="DF383" s="200"/>
      <c r="DG383" s="181"/>
    </row>
    <row r="384" spans="1:112" ht="18" customHeight="1" collapsed="1" x14ac:dyDescent="0.25">
      <c r="A384" s="316">
        <f>MAX(A$239:A382)+1</f>
        <v>42</v>
      </c>
      <c r="B384" s="240" t="s">
        <v>435</v>
      </c>
      <c r="C384" s="240"/>
      <c r="D384" s="188">
        <f t="shared" ref="D384:I384" si="349">D385+D386</f>
        <v>4275</v>
      </c>
      <c r="E384" s="188">
        <f t="shared" si="349"/>
        <v>0</v>
      </c>
      <c r="F384" s="188">
        <f t="shared" si="349"/>
        <v>4275</v>
      </c>
      <c r="G384" s="188">
        <f t="shared" si="349"/>
        <v>3000</v>
      </c>
      <c r="H384" s="188">
        <f t="shared" si="349"/>
        <v>1275</v>
      </c>
      <c r="I384" s="188">
        <f t="shared" si="349"/>
        <v>0</v>
      </c>
      <c r="J384" s="188"/>
      <c r="K384" s="188">
        <f>K385+K386</f>
        <v>0</v>
      </c>
      <c r="L384" s="188">
        <f>L385+L386</f>
        <v>0</v>
      </c>
      <c r="M384" s="188">
        <f>M385+M386</f>
        <v>0</v>
      </c>
      <c r="N384" s="188">
        <f>N385+N386</f>
        <v>0</v>
      </c>
      <c r="O384" s="188">
        <f>O385+O386</f>
        <v>3000</v>
      </c>
      <c r="P384" s="188">
        <v>0</v>
      </c>
      <c r="Q384" s="186">
        <f t="shared" si="325"/>
        <v>0</v>
      </c>
      <c r="R384" s="188">
        <v>0</v>
      </c>
      <c r="S384" s="185">
        <v>0</v>
      </c>
      <c r="T384" s="185">
        <v>0</v>
      </c>
      <c r="U384" s="188">
        <v>0</v>
      </c>
      <c r="V384" s="185">
        <v>0</v>
      </c>
      <c r="W384" s="185">
        <v>0</v>
      </c>
      <c r="X384" s="188">
        <v>0</v>
      </c>
      <c r="Y384" s="185">
        <v>0</v>
      </c>
      <c r="Z384" s="185">
        <v>0</v>
      </c>
      <c r="AA384" s="188">
        <v>0</v>
      </c>
      <c r="AB384" s="185">
        <v>0</v>
      </c>
      <c r="AC384" s="185">
        <v>0</v>
      </c>
      <c r="AD384" s="188">
        <v>0</v>
      </c>
      <c r="AE384" s="185">
        <v>0</v>
      </c>
      <c r="AF384" s="185">
        <v>0</v>
      </c>
      <c r="AG384" s="188">
        <v>0</v>
      </c>
      <c r="AH384" s="185">
        <v>0</v>
      </c>
      <c r="AI384" s="185">
        <v>0</v>
      </c>
      <c r="AJ384" s="303">
        <v>0</v>
      </c>
      <c r="AK384" s="185">
        <v>0</v>
      </c>
      <c r="AL384" s="185">
        <v>0</v>
      </c>
      <c r="AM384" s="314">
        <v>0</v>
      </c>
      <c r="AN384" s="185">
        <v>0</v>
      </c>
      <c r="AO384" s="185">
        <v>0</v>
      </c>
      <c r="AP384" s="185"/>
      <c r="AQ384" s="188">
        <v>1723.8980000000001</v>
      </c>
      <c r="AR384" s="185">
        <v>0.40325099415204679</v>
      </c>
      <c r="AS384" s="185">
        <v>0.42447473068636504</v>
      </c>
      <c r="AT384" s="188">
        <v>1723.8980000000001</v>
      </c>
      <c r="AU384" s="185">
        <v>0.40325099415204679</v>
      </c>
      <c r="AV384" s="185">
        <v>0.42447473068636504</v>
      </c>
      <c r="AW384" s="185"/>
      <c r="AX384" s="185"/>
      <c r="AY384" s="185"/>
      <c r="AZ384" s="185"/>
      <c r="BA384" s="185"/>
      <c r="BB384" s="185"/>
      <c r="BC384" s="188">
        <v>1723.8980000000001</v>
      </c>
      <c r="BD384" s="185">
        <v>0.40325099415204679</v>
      </c>
      <c r="BE384" s="185">
        <v>0.42447473068636504</v>
      </c>
      <c r="BF384" s="188"/>
      <c r="BG384" s="188">
        <v>2387.67</v>
      </c>
      <c r="BH384" s="185">
        <v>0.55851929824561408</v>
      </c>
      <c r="BI384" s="185">
        <v>0.58791505078485695</v>
      </c>
      <c r="BJ384" s="188">
        <f t="shared" si="326"/>
        <v>4061.25</v>
      </c>
      <c r="BK384" s="188">
        <v>2668</v>
      </c>
      <c r="BL384" s="185">
        <f t="shared" si="311"/>
        <v>0.62409356725146203</v>
      </c>
      <c r="BM384" s="185">
        <f t="shared" si="328"/>
        <v>0.65694059710680208</v>
      </c>
      <c r="BN384" s="205">
        <f t="shared" si="308"/>
        <v>2668</v>
      </c>
      <c r="BO384" s="205"/>
      <c r="BP384" s="189">
        <f>BP385+BP386</f>
        <v>0</v>
      </c>
      <c r="BQ384" s="186">
        <f t="shared" si="312"/>
        <v>0</v>
      </c>
      <c r="BR384" s="189">
        <f>BR385+BR386</f>
        <v>0</v>
      </c>
      <c r="BS384" s="186">
        <f t="shared" si="313"/>
        <v>0</v>
      </c>
      <c r="BT384" s="189">
        <f>BT385+BT386</f>
        <v>427.5</v>
      </c>
      <c r="BU384" s="186">
        <f t="shared" si="314"/>
        <v>0.1</v>
      </c>
      <c r="BV384" s="189">
        <f>BV385+BV386</f>
        <v>855</v>
      </c>
      <c r="BW384" s="186">
        <f t="shared" si="315"/>
        <v>0.2</v>
      </c>
      <c r="BX384" s="189">
        <f>BX385+BX386</f>
        <v>1282.5</v>
      </c>
      <c r="BY384" s="186">
        <f t="shared" si="316"/>
        <v>0.3</v>
      </c>
      <c r="BZ384" s="189">
        <f>BZ385+BZ386</f>
        <v>1710</v>
      </c>
      <c r="CA384" s="186">
        <f t="shared" si="317"/>
        <v>0.4</v>
      </c>
      <c r="CB384" s="189">
        <f>CB385+CB386</f>
        <v>2137.5</v>
      </c>
      <c r="CC384" s="186">
        <f t="shared" si="318"/>
        <v>0.5</v>
      </c>
      <c r="CD384" s="189">
        <f>CD385+CD386</f>
        <v>2351.25</v>
      </c>
      <c r="CE384" s="186">
        <f t="shared" si="341"/>
        <v>0.55000000000000004</v>
      </c>
      <c r="CF384" s="189">
        <f>CF385+CF386</f>
        <v>2992.5</v>
      </c>
      <c r="CG384" s="186">
        <f t="shared" si="320"/>
        <v>0.7</v>
      </c>
      <c r="CH384" s="189">
        <f>CH385+CH386</f>
        <v>2992.5</v>
      </c>
      <c r="CI384" s="186">
        <f t="shared" si="342"/>
        <v>0.7</v>
      </c>
      <c r="CJ384" s="189">
        <f>CJ385+CJ386</f>
        <v>3206.25</v>
      </c>
      <c r="CK384" s="186">
        <f t="shared" si="322"/>
        <v>0.75</v>
      </c>
      <c r="CL384" s="189">
        <f>CL385+CL386</f>
        <v>3206.25</v>
      </c>
      <c r="CM384" s="186">
        <f t="shared" si="323"/>
        <v>0.75</v>
      </c>
      <c r="CN384" s="189">
        <f>CN385+CN386</f>
        <v>4061.25</v>
      </c>
      <c r="CO384" s="186">
        <f t="shared" si="324"/>
        <v>0.95</v>
      </c>
      <c r="CP384" s="213" t="str">
        <f t="shared" si="329"/>
        <v>Đạt</v>
      </c>
      <c r="CQ384" s="213" t="str">
        <f t="shared" si="330"/>
        <v>Đạt</v>
      </c>
      <c r="CR384" s="213"/>
      <c r="CS384" s="213"/>
      <c r="CT384" s="231"/>
      <c r="CU384" s="163"/>
      <c r="CW384" s="195"/>
      <c r="CX384" s="196"/>
      <c r="CY384" s="196"/>
      <c r="CZ384" s="197"/>
      <c r="DA384" s="196"/>
      <c r="DB384" s="196"/>
      <c r="DC384" s="196"/>
      <c r="DE384" s="199"/>
      <c r="DF384" s="200"/>
      <c r="DG384" s="181"/>
    </row>
    <row r="385" spans="1:112" s="324" customFormat="1" hidden="1" outlineLevel="1" x14ac:dyDescent="0.25">
      <c r="A385" s="305" t="s">
        <v>34</v>
      </c>
      <c r="B385" s="306" t="s">
        <v>376</v>
      </c>
      <c r="C385" s="306"/>
      <c r="D385" s="307">
        <f>E385+F385</f>
        <v>3000</v>
      </c>
      <c r="E385" s="307"/>
      <c r="F385" s="307">
        <f>G385+H385+K385+M385</f>
        <v>3000</v>
      </c>
      <c r="G385" s="303">
        <v>3000</v>
      </c>
      <c r="H385" s="303"/>
      <c r="I385" s="235"/>
      <c r="J385" s="235"/>
      <c r="K385" s="303"/>
      <c r="L385" s="235"/>
      <c r="M385" s="223"/>
      <c r="N385" s="223"/>
      <c r="O385" s="303">
        <f>G385+I385+L385+N385</f>
        <v>3000</v>
      </c>
      <c r="P385" s="303">
        <v>0</v>
      </c>
      <c r="Q385" s="308">
        <f t="shared" si="325"/>
        <v>0</v>
      </c>
      <c r="R385" s="303"/>
      <c r="S385" s="309">
        <v>0</v>
      </c>
      <c r="T385" s="309">
        <v>0</v>
      </c>
      <c r="U385" s="303"/>
      <c r="V385" s="309">
        <v>0</v>
      </c>
      <c r="W385" s="309">
        <v>0</v>
      </c>
      <c r="X385" s="303"/>
      <c r="Y385" s="309">
        <v>0</v>
      </c>
      <c r="Z385" s="309">
        <v>0</v>
      </c>
      <c r="AA385" s="303"/>
      <c r="AB385" s="309">
        <v>0</v>
      </c>
      <c r="AC385" s="309">
        <v>0</v>
      </c>
      <c r="AD385" s="303"/>
      <c r="AE385" s="309">
        <v>0</v>
      </c>
      <c r="AF385" s="309">
        <v>0</v>
      </c>
      <c r="AG385" s="303"/>
      <c r="AH385" s="309">
        <v>0</v>
      </c>
      <c r="AI385" s="309">
        <v>0</v>
      </c>
      <c r="AJ385" s="303"/>
      <c r="AK385" s="309">
        <v>0</v>
      </c>
      <c r="AL385" s="309">
        <v>0</v>
      </c>
      <c r="AM385" s="303"/>
      <c r="AN385" s="309">
        <v>0</v>
      </c>
      <c r="AO385" s="309">
        <v>0</v>
      </c>
      <c r="AP385" s="309"/>
      <c r="AQ385" s="303">
        <v>1723.8980000000001</v>
      </c>
      <c r="AR385" s="309">
        <v>0.57463266666666668</v>
      </c>
      <c r="AS385" s="309">
        <v>0.60487649122807019</v>
      </c>
      <c r="AT385" s="303">
        <v>1723.8980000000001</v>
      </c>
      <c r="AU385" s="309">
        <v>0.57463266666666668</v>
      </c>
      <c r="AV385" s="309">
        <v>0.60487649122807019</v>
      </c>
      <c r="AW385" s="309"/>
      <c r="AX385" s="309"/>
      <c r="AY385" s="309"/>
      <c r="AZ385" s="309"/>
      <c r="BA385" s="309"/>
      <c r="BB385" s="309"/>
      <c r="BC385" s="303">
        <v>1723.8980000000001</v>
      </c>
      <c r="BD385" s="309">
        <v>0.57463266666666668</v>
      </c>
      <c r="BE385" s="309">
        <v>0.60487649122807019</v>
      </c>
      <c r="BF385" s="303"/>
      <c r="BG385" s="303">
        <v>2387.67</v>
      </c>
      <c r="BH385" s="309">
        <v>0.79588999999999999</v>
      </c>
      <c r="BI385" s="309">
        <v>0.83777894736842107</v>
      </c>
      <c r="BJ385" s="303">
        <f t="shared" si="326"/>
        <v>2850</v>
      </c>
      <c r="BK385" s="303">
        <v>2647.9830000000002</v>
      </c>
      <c r="BL385" s="309">
        <f t="shared" si="311"/>
        <v>0.88266100000000003</v>
      </c>
      <c r="BM385" s="309">
        <f t="shared" si="328"/>
        <v>0.92911684210526324</v>
      </c>
      <c r="BN385" s="205">
        <f t="shared" si="308"/>
        <v>2647.9830000000002</v>
      </c>
      <c r="BO385" s="205"/>
      <c r="BP385" s="310"/>
      <c r="BQ385" s="308">
        <f t="shared" si="312"/>
        <v>0</v>
      </c>
      <c r="BR385" s="310"/>
      <c r="BS385" s="308">
        <f t="shared" si="313"/>
        <v>0</v>
      </c>
      <c r="BT385" s="310">
        <f>$F385*0.1</f>
        <v>300</v>
      </c>
      <c r="BU385" s="308">
        <f t="shared" si="314"/>
        <v>0.1</v>
      </c>
      <c r="BV385" s="310">
        <f>$F385*0.2</f>
        <v>600</v>
      </c>
      <c r="BW385" s="308">
        <f t="shared" si="315"/>
        <v>0.2</v>
      </c>
      <c r="BX385" s="310">
        <f>$F385*0.3</f>
        <v>900</v>
      </c>
      <c r="BY385" s="308">
        <f t="shared" si="316"/>
        <v>0.3</v>
      </c>
      <c r="BZ385" s="310">
        <f>$F385*0.4</f>
        <v>1200</v>
      </c>
      <c r="CA385" s="308">
        <f t="shared" si="317"/>
        <v>0.4</v>
      </c>
      <c r="CB385" s="310">
        <f>$F385*0.5</f>
        <v>1500</v>
      </c>
      <c r="CC385" s="308">
        <f t="shared" si="318"/>
        <v>0.5</v>
      </c>
      <c r="CD385" s="310">
        <f>$F385*0.55</f>
        <v>1650.0000000000002</v>
      </c>
      <c r="CE385" s="308">
        <f t="shared" si="341"/>
        <v>0.55000000000000004</v>
      </c>
      <c r="CF385" s="310">
        <v>2100</v>
      </c>
      <c r="CG385" s="308">
        <f t="shared" si="320"/>
        <v>0.7</v>
      </c>
      <c r="CH385" s="310">
        <f>$F385*0.7</f>
        <v>2100</v>
      </c>
      <c r="CI385" s="308">
        <f t="shared" si="342"/>
        <v>0.7</v>
      </c>
      <c r="CJ385" s="310">
        <f>$F385*0.75</f>
        <v>2250</v>
      </c>
      <c r="CK385" s="308">
        <f t="shared" si="322"/>
        <v>0.75</v>
      </c>
      <c r="CL385" s="310">
        <f>$F385*0.75</f>
        <v>2250</v>
      </c>
      <c r="CM385" s="308">
        <f t="shared" si="323"/>
        <v>0.75</v>
      </c>
      <c r="CN385" s="310">
        <f>$F385*0.95</f>
        <v>2850</v>
      </c>
      <c r="CO385" s="308">
        <f t="shared" si="324"/>
        <v>0.95</v>
      </c>
      <c r="CP385" s="213" t="str">
        <f t="shared" si="329"/>
        <v>Đạt</v>
      </c>
      <c r="CQ385" s="213" t="str">
        <f t="shared" si="330"/>
        <v>Đạt</v>
      </c>
      <c r="CR385" s="312"/>
      <c r="CS385" s="312"/>
      <c r="CT385" s="235"/>
      <c r="CU385" s="163"/>
      <c r="CV385" s="323"/>
      <c r="CW385" s="195"/>
      <c r="CX385" s="196"/>
      <c r="CY385" s="196"/>
      <c r="CZ385" s="197"/>
      <c r="DA385" s="196"/>
      <c r="DB385" s="196"/>
      <c r="DC385" s="196"/>
      <c r="DE385" s="199"/>
      <c r="DF385" s="200"/>
      <c r="DG385" s="181"/>
      <c r="DH385" s="337"/>
    </row>
    <row r="386" spans="1:112" ht="25.5" hidden="1" outlineLevel="1" x14ac:dyDescent="0.25">
      <c r="A386" s="305" t="s">
        <v>34</v>
      </c>
      <c r="B386" s="306" t="s">
        <v>377</v>
      </c>
      <c r="C386" s="306"/>
      <c r="D386" s="307">
        <f>E386+F386</f>
        <v>1275</v>
      </c>
      <c r="E386" s="307"/>
      <c r="F386" s="307">
        <f>G386+H386+K386+M386</f>
        <v>1275</v>
      </c>
      <c r="G386" s="307"/>
      <c r="H386" s="307">
        <v>1275</v>
      </c>
      <c r="I386" s="235"/>
      <c r="J386" s="235"/>
      <c r="K386" s="303"/>
      <c r="L386" s="235"/>
      <c r="M386" s="223"/>
      <c r="N386" s="223"/>
      <c r="O386" s="303"/>
      <c r="P386" s="303">
        <v>0</v>
      </c>
      <c r="Q386" s="308">
        <f t="shared" si="325"/>
        <v>0</v>
      </c>
      <c r="R386" s="303"/>
      <c r="S386" s="309">
        <v>0</v>
      </c>
      <c r="T386" s="309">
        <v>0</v>
      </c>
      <c r="U386" s="303"/>
      <c r="V386" s="309">
        <v>0</v>
      </c>
      <c r="W386" s="309">
        <v>0</v>
      </c>
      <c r="X386" s="303"/>
      <c r="Y386" s="309">
        <v>0</v>
      </c>
      <c r="Z386" s="309">
        <v>0</v>
      </c>
      <c r="AA386" s="303"/>
      <c r="AB386" s="309">
        <v>0</v>
      </c>
      <c r="AC386" s="309">
        <v>0</v>
      </c>
      <c r="AD386" s="303"/>
      <c r="AE386" s="309">
        <v>0</v>
      </c>
      <c r="AF386" s="309">
        <v>0</v>
      </c>
      <c r="AG386" s="303"/>
      <c r="AH386" s="309">
        <v>0</v>
      </c>
      <c r="AI386" s="309">
        <v>0</v>
      </c>
      <c r="AJ386" s="188"/>
      <c r="AK386" s="309">
        <v>0</v>
      </c>
      <c r="AL386" s="309">
        <v>0</v>
      </c>
      <c r="AM386" s="303"/>
      <c r="AN386" s="309">
        <v>0</v>
      </c>
      <c r="AO386" s="309">
        <v>0</v>
      </c>
      <c r="AP386" s="309"/>
      <c r="AQ386" s="303"/>
      <c r="AR386" s="309">
        <v>0</v>
      </c>
      <c r="AS386" s="309">
        <v>0</v>
      </c>
      <c r="AT386" s="303"/>
      <c r="AU386" s="309">
        <v>0</v>
      </c>
      <c r="AV386" s="309">
        <v>0</v>
      </c>
      <c r="AW386" s="309"/>
      <c r="AX386" s="309"/>
      <c r="AY386" s="309"/>
      <c r="AZ386" s="309"/>
      <c r="BA386" s="309"/>
      <c r="BB386" s="309"/>
      <c r="BC386" s="303"/>
      <c r="BD386" s="309">
        <v>0</v>
      </c>
      <c r="BE386" s="309">
        <v>0</v>
      </c>
      <c r="BF386" s="303"/>
      <c r="BG386" s="303"/>
      <c r="BH386" s="309">
        <v>0</v>
      </c>
      <c r="BI386" s="309">
        <v>0</v>
      </c>
      <c r="BJ386" s="303">
        <f t="shared" si="326"/>
        <v>1211.25</v>
      </c>
      <c r="BK386" s="303"/>
      <c r="BL386" s="309">
        <f t="shared" si="311"/>
        <v>0</v>
      </c>
      <c r="BM386" s="309">
        <f t="shared" si="328"/>
        <v>0</v>
      </c>
      <c r="BN386" s="205">
        <f t="shared" si="308"/>
        <v>0</v>
      </c>
      <c r="BO386" s="205"/>
      <c r="BP386" s="310"/>
      <c r="BQ386" s="308">
        <f t="shared" si="312"/>
        <v>0</v>
      </c>
      <c r="BR386" s="310"/>
      <c r="BS386" s="308">
        <f t="shared" si="313"/>
        <v>0</v>
      </c>
      <c r="BT386" s="310">
        <f>$F386*0.1</f>
        <v>127.5</v>
      </c>
      <c r="BU386" s="308">
        <f t="shared" si="314"/>
        <v>0.1</v>
      </c>
      <c r="BV386" s="310">
        <f>$F386*0.2</f>
        <v>255</v>
      </c>
      <c r="BW386" s="308">
        <f t="shared" si="315"/>
        <v>0.2</v>
      </c>
      <c r="BX386" s="310">
        <f>$F386*0.3</f>
        <v>382.5</v>
      </c>
      <c r="BY386" s="308">
        <f t="shared" si="316"/>
        <v>0.3</v>
      </c>
      <c r="BZ386" s="310">
        <f>$F386*0.4</f>
        <v>510</v>
      </c>
      <c r="CA386" s="308">
        <f t="shared" si="317"/>
        <v>0.4</v>
      </c>
      <c r="CB386" s="310">
        <f>$F386*0.5</f>
        <v>637.5</v>
      </c>
      <c r="CC386" s="308">
        <f t="shared" si="318"/>
        <v>0.5</v>
      </c>
      <c r="CD386" s="310">
        <f>$F386*0.55</f>
        <v>701.25</v>
      </c>
      <c r="CE386" s="308">
        <f t="shared" si="341"/>
        <v>0.55000000000000004</v>
      </c>
      <c r="CF386" s="310">
        <v>892.5</v>
      </c>
      <c r="CG386" s="308">
        <f t="shared" si="320"/>
        <v>0.7</v>
      </c>
      <c r="CH386" s="310">
        <f>$F386*0.7</f>
        <v>892.5</v>
      </c>
      <c r="CI386" s="308">
        <f t="shared" si="342"/>
        <v>0.7</v>
      </c>
      <c r="CJ386" s="310">
        <f>$F386*0.75</f>
        <v>956.25</v>
      </c>
      <c r="CK386" s="308">
        <f t="shared" si="322"/>
        <v>0.75</v>
      </c>
      <c r="CL386" s="310">
        <f>$F386*0.75</f>
        <v>956.25</v>
      </c>
      <c r="CM386" s="308">
        <f t="shared" si="323"/>
        <v>0.75</v>
      </c>
      <c r="CN386" s="310">
        <f>$F386*0.95</f>
        <v>1211.25</v>
      </c>
      <c r="CO386" s="308">
        <f t="shared" si="324"/>
        <v>0.95</v>
      </c>
      <c r="CP386" s="213" t="str">
        <f t="shared" si="329"/>
        <v>Không đạt</v>
      </c>
      <c r="CQ386" s="213" t="str">
        <f t="shared" si="330"/>
        <v>Không đạt</v>
      </c>
      <c r="CR386" s="312"/>
      <c r="CS386" s="312"/>
      <c r="CT386" s="235"/>
      <c r="CU386" s="163"/>
      <c r="CW386" s="195"/>
      <c r="CX386" s="196"/>
      <c r="CY386" s="196"/>
      <c r="CZ386" s="197"/>
      <c r="DA386" s="196"/>
      <c r="DB386" s="196"/>
      <c r="DC386" s="196"/>
      <c r="DE386" s="199"/>
      <c r="DF386" s="200"/>
      <c r="DG386" s="181"/>
    </row>
    <row r="387" spans="1:112" ht="18" customHeight="1" collapsed="1" x14ac:dyDescent="0.25">
      <c r="A387" s="316">
        <f>MAX(A$239:A385)+1</f>
        <v>43</v>
      </c>
      <c r="B387" s="240" t="s">
        <v>436</v>
      </c>
      <c r="C387" s="240"/>
      <c r="D387" s="188">
        <f t="shared" ref="D387:I387" si="350">D388+D389</f>
        <v>3111</v>
      </c>
      <c r="E387" s="188">
        <f t="shared" si="350"/>
        <v>0</v>
      </c>
      <c r="F387" s="188">
        <f t="shared" si="350"/>
        <v>3111</v>
      </c>
      <c r="G387" s="188">
        <f t="shared" si="350"/>
        <v>3000</v>
      </c>
      <c r="H387" s="188">
        <f t="shared" si="350"/>
        <v>111</v>
      </c>
      <c r="I387" s="188">
        <f t="shared" si="350"/>
        <v>0</v>
      </c>
      <c r="J387" s="188"/>
      <c r="K387" s="188">
        <f>K388+K389</f>
        <v>0</v>
      </c>
      <c r="L387" s="188">
        <f>L388+L389</f>
        <v>0</v>
      </c>
      <c r="M387" s="188">
        <f>M388+M389</f>
        <v>0</v>
      </c>
      <c r="N387" s="188">
        <f>N388+N389</f>
        <v>0</v>
      </c>
      <c r="O387" s="188">
        <f>O388+O389</f>
        <v>3000</v>
      </c>
      <c r="P387" s="188">
        <v>0</v>
      </c>
      <c r="Q387" s="186">
        <f t="shared" si="325"/>
        <v>0</v>
      </c>
      <c r="R387" s="188">
        <v>0</v>
      </c>
      <c r="S387" s="185">
        <v>0</v>
      </c>
      <c r="T387" s="185">
        <v>0</v>
      </c>
      <c r="U387" s="188">
        <v>0</v>
      </c>
      <c r="V387" s="185">
        <v>0</v>
      </c>
      <c r="W387" s="185">
        <v>0</v>
      </c>
      <c r="X387" s="188">
        <v>0</v>
      </c>
      <c r="Y387" s="185">
        <v>0</v>
      </c>
      <c r="Z387" s="185">
        <v>0</v>
      </c>
      <c r="AA387" s="188">
        <v>0</v>
      </c>
      <c r="AB387" s="185">
        <v>0</v>
      </c>
      <c r="AC387" s="185">
        <v>0</v>
      </c>
      <c r="AD387" s="188">
        <v>0</v>
      </c>
      <c r="AE387" s="185">
        <v>0</v>
      </c>
      <c r="AF387" s="185">
        <v>0</v>
      </c>
      <c r="AG387" s="188">
        <v>0</v>
      </c>
      <c r="AH387" s="185">
        <v>0</v>
      </c>
      <c r="AI387" s="185">
        <v>0</v>
      </c>
      <c r="AJ387" s="303">
        <v>0</v>
      </c>
      <c r="AK387" s="185">
        <v>0</v>
      </c>
      <c r="AL387" s="185">
        <v>0</v>
      </c>
      <c r="AM387" s="188">
        <v>1122</v>
      </c>
      <c r="AN387" s="185">
        <v>0.36065573770491804</v>
      </c>
      <c r="AO387" s="185">
        <v>0.37963761863675582</v>
      </c>
      <c r="AP387" s="185"/>
      <c r="AQ387" s="188">
        <v>1295</v>
      </c>
      <c r="AR387" s="185">
        <v>0.41626486660237866</v>
      </c>
      <c r="AS387" s="185">
        <v>0.43817354379197754</v>
      </c>
      <c r="AT387" s="188">
        <v>1295</v>
      </c>
      <c r="AU387" s="185">
        <v>0.41626486660237866</v>
      </c>
      <c r="AV387" s="185">
        <v>0.43817354379197754</v>
      </c>
      <c r="AW387" s="185"/>
      <c r="AX387" s="185"/>
      <c r="AY387" s="185"/>
      <c r="AZ387" s="185"/>
      <c r="BA387" s="185"/>
      <c r="BB387" s="185"/>
      <c r="BC387" s="188">
        <v>1295</v>
      </c>
      <c r="BD387" s="185">
        <v>0.41626486660237866</v>
      </c>
      <c r="BE387" s="185">
        <v>0.43817354379197754</v>
      </c>
      <c r="BF387" s="188"/>
      <c r="BG387" s="188">
        <v>1438</v>
      </c>
      <c r="BH387" s="185">
        <v>0.46223079395692701</v>
      </c>
      <c r="BI387" s="185">
        <v>0.48655873048097587</v>
      </c>
      <c r="BJ387" s="188">
        <f t="shared" si="326"/>
        <v>2955.45</v>
      </c>
      <c r="BK387" s="188">
        <f>BK388+BK389</f>
        <v>1935</v>
      </c>
      <c r="BL387" s="185">
        <f t="shared" si="311"/>
        <v>0.62198649951783991</v>
      </c>
      <c r="BM387" s="185">
        <f t="shared" si="328"/>
        <v>0.65472263107141049</v>
      </c>
      <c r="BN387" s="205">
        <f t="shared" si="308"/>
        <v>1935</v>
      </c>
      <c r="BO387" s="205"/>
      <c r="BP387" s="189">
        <f>BP388+BP389</f>
        <v>0</v>
      </c>
      <c r="BQ387" s="186">
        <f t="shared" si="312"/>
        <v>0</v>
      </c>
      <c r="BR387" s="189">
        <f>BR388+BR389</f>
        <v>0</v>
      </c>
      <c r="BS387" s="186">
        <f t="shared" si="313"/>
        <v>0</v>
      </c>
      <c r="BT387" s="189">
        <f>BT388+BT389</f>
        <v>311.10000000000002</v>
      </c>
      <c r="BU387" s="186">
        <f t="shared" si="314"/>
        <v>0.1</v>
      </c>
      <c r="BV387" s="189">
        <f>BV388+BV389</f>
        <v>622.20000000000005</v>
      </c>
      <c r="BW387" s="186">
        <f t="shared" si="315"/>
        <v>0.2</v>
      </c>
      <c r="BX387" s="189">
        <f>BX388+BX389</f>
        <v>933.3</v>
      </c>
      <c r="BY387" s="186">
        <f t="shared" si="316"/>
        <v>0.3</v>
      </c>
      <c r="BZ387" s="189">
        <f>BZ388+BZ389</f>
        <v>1244.4000000000001</v>
      </c>
      <c r="CA387" s="186">
        <f t="shared" si="317"/>
        <v>0.4</v>
      </c>
      <c r="CB387" s="189">
        <f>CB388+CB389</f>
        <v>1555.5</v>
      </c>
      <c r="CC387" s="186">
        <f t="shared" si="318"/>
        <v>0.5</v>
      </c>
      <c r="CD387" s="189">
        <f>CD388+CD389</f>
        <v>1711.0500000000002</v>
      </c>
      <c r="CE387" s="186">
        <f t="shared" si="341"/>
        <v>0.55000000000000004</v>
      </c>
      <c r="CF387" s="189">
        <f>CF388+CF389</f>
        <v>2177.6999999999998</v>
      </c>
      <c r="CG387" s="186">
        <f t="shared" si="320"/>
        <v>0.7</v>
      </c>
      <c r="CH387" s="189">
        <f>CH388+CH389</f>
        <v>2177.6999999999998</v>
      </c>
      <c r="CI387" s="186">
        <f t="shared" si="342"/>
        <v>0.7</v>
      </c>
      <c r="CJ387" s="189">
        <f>CJ388+CJ389</f>
        <v>2333.25</v>
      </c>
      <c r="CK387" s="186">
        <f t="shared" si="322"/>
        <v>0.75</v>
      </c>
      <c r="CL387" s="189">
        <f>CL388+CL389</f>
        <v>2333.25</v>
      </c>
      <c r="CM387" s="186">
        <f t="shared" si="323"/>
        <v>0.75</v>
      </c>
      <c r="CN387" s="189">
        <f>CN388+CN389</f>
        <v>2955.45</v>
      </c>
      <c r="CO387" s="186">
        <f t="shared" si="324"/>
        <v>0.95</v>
      </c>
      <c r="CP387" s="213" t="str">
        <f t="shared" si="329"/>
        <v>Đạt</v>
      </c>
      <c r="CQ387" s="213" t="str">
        <f t="shared" si="330"/>
        <v>Đạt</v>
      </c>
      <c r="CR387" s="213"/>
      <c r="CS387" s="213"/>
      <c r="CT387" s="231"/>
      <c r="CU387" s="163"/>
      <c r="CW387" s="195"/>
      <c r="CX387" s="196"/>
      <c r="CY387" s="196"/>
      <c r="CZ387" s="197"/>
      <c r="DA387" s="196"/>
      <c r="DB387" s="196"/>
      <c r="DC387" s="196"/>
      <c r="DE387" s="199"/>
      <c r="DF387" s="200"/>
      <c r="DG387" s="181"/>
    </row>
    <row r="388" spans="1:112" s="324" customFormat="1" hidden="1" outlineLevel="1" x14ac:dyDescent="0.25">
      <c r="A388" s="305" t="s">
        <v>34</v>
      </c>
      <c r="B388" s="306" t="s">
        <v>376</v>
      </c>
      <c r="C388" s="306"/>
      <c r="D388" s="307">
        <f>E388+F388</f>
        <v>3000</v>
      </c>
      <c r="E388" s="307"/>
      <c r="F388" s="307">
        <f>G388+H388+K388+M388</f>
        <v>3000</v>
      </c>
      <c r="G388" s="303">
        <v>3000</v>
      </c>
      <c r="H388" s="303"/>
      <c r="I388" s="235"/>
      <c r="J388" s="235"/>
      <c r="K388" s="303"/>
      <c r="L388" s="235"/>
      <c r="M388" s="223"/>
      <c r="N388" s="223"/>
      <c r="O388" s="303">
        <f>G388+I388+L388+N388</f>
        <v>3000</v>
      </c>
      <c r="P388" s="303">
        <v>0</v>
      </c>
      <c r="Q388" s="308">
        <f t="shared" si="325"/>
        <v>0</v>
      </c>
      <c r="R388" s="303"/>
      <c r="S388" s="309">
        <v>0</v>
      </c>
      <c r="T388" s="309">
        <v>0</v>
      </c>
      <c r="U388" s="303"/>
      <c r="V388" s="309">
        <v>0</v>
      </c>
      <c r="W388" s="309">
        <v>0</v>
      </c>
      <c r="X388" s="303"/>
      <c r="Y388" s="309">
        <v>0</v>
      </c>
      <c r="Z388" s="309">
        <v>0</v>
      </c>
      <c r="AA388" s="303"/>
      <c r="AB388" s="309">
        <v>0</v>
      </c>
      <c r="AC388" s="309">
        <v>0</v>
      </c>
      <c r="AD388" s="303"/>
      <c r="AE388" s="309">
        <v>0</v>
      </c>
      <c r="AF388" s="309">
        <v>0</v>
      </c>
      <c r="AG388" s="303"/>
      <c r="AH388" s="309">
        <v>0</v>
      </c>
      <c r="AI388" s="309">
        <v>0</v>
      </c>
      <c r="AJ388" s="303"/>
      <c r="AK388" s="309">
        <v>0</v>
      </c>
      <c r="AL388" s="309">
        <v>0</v>
      </c>
      <c r="AM388" s="303">
        <v>1122</v>
      </c>
      <c r="AN388" s="309">
        <v>0.374</v>
      </c>
      <c r="AO388" s="309">
        <v>0.3936842105263158</v>
      </c>
      <c r="AP388" s="309"/>
      <c r="AQ388" s="303">
        <v>1295</v>
      </c>
      <c r="AR388" s="309">
        <v>0.43166666666666664</v>
      </c>
      <c r="AS388" s="309">
        <v>0.45438596491228073</v>
      </c>
      <c r="AT388" s="303">
        <v>1295</v>
      </c>
      <c r="AU388" s="309">
        <v>0.43166666666666664</v>
      </c>
      <c r="AV388" s="309">
        <v>0.45438596491228073</v>
      </c>
      <c r="AW388" s="309"/>
      <c r="AX388" s="309"/>
      <c r="AY388" s="309"/>
      <c r="AZ388" s="309"/>
      <c r="BA388" s="309"/>
      <c r="BB388" s="309"/>
      <c r="BC388" s="303">
        <v>1295</v>
      </c>
      <c r="BD388" s="309">
        <v>0.43166666666666664</v>
      </c>
      <c r="BE388" s="309">
        <v>0.45438596491228073</v>
      </c>
      <c r="BF388" s="303"/>
      <c r="BG388" s="303">
        <v>1438</v>
      </c>
      <c r="BH388" s="309">
        <v>0.47933333333333333</v>
      </c>
      <c r="BI388" s="309">
        <v>0.50456140350877188</v>
      </c>
      <c r="BJ388" s="303">
        <f t="shared" si="326"/>
        <v>2850</v>
      </c>
      <c r="BK388" s="303">
        <v>1935</v>
      </c>
      <c r="BL388" s="309">
        <f t="shared" si="311"/>
        <v>0.64500000000000002</v>
      </c>
      <c r="BM388" s="309">
        <f t="shared" si="328"/>
        <v>0.67894736842105263</v>
      </c>
      <c r="BN388" s="205">
        <f t="shared" si="308"/>
        <v>1935</v>
      </c>
      <c r="BO388" s="205"/>
      <c r="BP388" s="310"/>
      <c r="BQ388" s="308">
        <f t="shared" si="312"/>
        <v>0</v>
      </c>
      <c r="BR388" s="310"/>
      <c r="BS388" s="308">
        <f t="shared" si="313"/>
        <v>0</v>
      </c>
      <c r="BT388" s="310">
        <f>$F388*0.1</f>
        <v>300</v>
      </c>
      <c r="BU388" s="308">
        <f t="shared" si="314"/>
        <v>0.1</v>
      </c>
      <c r="BV388" s="310">
        <f>$F388*0.2</f>
        <v>600</v>
      </c>
      <c r="BW388" s="308">
        <f t="shared" si="315"/>
        <v>0.2</v>
      </c>
      <c r="BX388" s="310">
        <f>$F388*0.3</f>
        <v>900</v>
      </c>
      <c r="BY388" s="308">
        <f t="shared" si="316"/>
        <v>0.3</v>
      </c>
      <c r="BZ388" s="310">
        <f>$F388*0.4</f>
        <v>1200</v>
      </c>
      <c r="CA388" s="308">
        <f t="shared" si="317"/>
        <v>0.4</v>
      </c>
      <c r="CB388" s="310">
        <f>$F388*0.5</f>
        <v>1500</v>
      </c>
      <c r="CC388" s="308">
        <f t="shared" si="318"/>
        <v>0.5</v>
      </c>
      <c r="CD388" s="310">
        <f>$F388*0.55</f>
        <v>1650.0000000000002</v>
      </c>
      <c r="CE388" s="308">
        <f t="shared" si="341"/>
        <v>0.55000000000000004</v>
      </c>
      <c r="CF388" s="310">
        <v>2100</v>
      </c>
      <c r="CG388" s="308">
        <f t="shared" si="320"/>
        <v>0.7</v>
      </c>
      <c r="CH388" s="310">
        <f>$F388*0.7</f>
        <v>2100</v>
      </c>
      <c r="CI388" s="308">
        <f t="shared" si="342"/>
        <v>0.7</v>
      </c>
      <c r="CJ388" s="310">
        <f>$F388*0.75</f>
        <v>2250</v>
      </c>
      <c r="CK388" s="308">
        <f t="shared" si="322"/>
        <v>0.75</v>
      </c>
      <c r="CL388" s="310">
        <f>$F388*0.75</f>
        <v>2250</v>
      </c>
      <c r="CM388" s="308">
        <f t="shared" si="323"/>
        <v>0.75</v>
      </c>
      <c r="CN388" s="310">
        <f>$F388*0.95</f>
        <v>2850</v>
      </c>
      <c r="CO388" s="308">
        <f t="shared" si="324"/>
        <v>0.95</v>
      </c>
      <c r="CP388" s="213" t="str">
        <f t="shared" si="329"/>
        <v>Đạt</v>
      </c>
      <c r="CQ388" s="213" t="str">
        <f t="shared" si="330"/>
        <v>Đạt</v>
      </c>
      <c r="CR388" s="312"/>
      <c r="CS388" s="312"/>
      <c r="CT388" s="235"/>
      <c r="CU388" s="163"/>
      <c r="CV388" s="323"/>
      <c r="CW388" s="195"/>
      <c r="CX388" s="196"/>
      <c r="CY388" s="196"/>
      <c r="CZ388" s="197"/>
      <c r="DA388" s="196"/>
      <c r="DB388" s="196"/>
      <c r="DC388" s="196"/>
      <c r="DE388" s="199"/>
      <c r="DF388" s="200"/>
      <c r="DG388" s="181"/>
    </row>
    <row r="389" spans="1:112" ht="25.5" hidden="1" outlineLevel="1" x14ac:dyDescent="0.25">
      <c r="A389" s="305" t="s">
        <v>34</v>
      </c>
      <c r="B389" s="306" t="s">
        <v>377</v>
      </c>
      <c r="C389" s="306"/>
      <c r="D389" s="307">
        <f>E389+F389</f>
        <v>111</v>
      </c>
      <c r="E389" s="307"/>
      <c r="F389" s="307">
        <f>G389+H389+K389+M389</f>
        <v>111</v>
      </c>
      <c r="G389" s="307"/>
      <c r="H389" s="307">
        <v>111</v>
      </c>
      <c r="I389" s="235"/>
      <c r="J389" s="235"/>
      <c r="K389" s="303"/>
      <c r="L389" s="235"/>
      <c r="M389" s="223"/>
      <c r="N389" s="223"/>
      <c r="O389" s="303"/>
      <c r="P389" s="303">
        <v>0</v>
      </c>
      <c r="Q389" s="308">
        <f t="shared" si="325"/>
        <v>0</v>
      </c>
      <c r="R389" s="303"/>
      <c r="S389" s="309">
        <v>0</v>
      </c>
      <c r="T389" s="309">
        <v>0</v>
      </c>
      <c r="U389" s="303"/>
      <c r="V389" s="309">
        <v>0</v>
      </c>
      <c r="W389" s="309">
        <v>0</v>
      </c>
      <c r="X389" s="303"/>
      <c r="Y389" s="309">
        <v>0</v>
      </c>
      <c r="Z389" s="309">
        <v>0</v>
      </c>
      <c r="AA389" s="303"/>
      <c r="AB389" s="309">
        <v>0</v>
      </c>
      <c r="AC389" s="309">
        <v>0</v>
      </c>
      <c r="AD389" s="303"/>
      <c r="AE389" s="309">
        <v>0</v>
      </c>
      <c r="AF389" s="309">
        <v>0</v>
      </c>
      <c r="AG389" s="303"/>
      <c r="AH389" s="309">
        <v>0</v>
      </c>
      <c r="AI389" s="309">
        <v>0</v>
      </c>
      <c r="AJ389" s="189"/>
      <c r="AK389" s="309">
        <v>0</v>
      </c>
      <c r="AL389" s="309">
        <v>0</v>
      </c>
      <c r="AM389" s="303"/>
      <c r="AN389" s="309">
        <v>0</v>
      </c>
      <c r="AO389" s="309">
        <v>0</v>
      </c>
      <c r="AP389" s="309"/>
      <c r="AQ389" s="303"/>
      <c r="AR389" s="309">
        <v>0</v>
      </c>
      <c r="AS389" s="309">
        <v>0</v>
      </c>
      <c r="AT389" s="303"/>
      <c r="AU389" s="309">
        <v>0</v>
      </c>
      <c r="AV389" s="309">
        <v>0</v>
      </c>
      <c r="AW389" s="309"/>
      <c r="AX389" s="309"/>
      <c r="AY389" s="309"/>
      <c r="AZ389" s="309"/>
      <c r="BA389" s="309"/>
      <c r="BB389" s="309"/>
      <c r="BC389" s="303"/>
      <c r="BD389" s="309">
        <v>0</v>
      </c>
      <c r="BE389" s="309">
        <v>0</v>
      </c>
      <c r="BF389" s="303"/>
      <c r="BG389" s="303"/>
      <c r="BH389" s="309">
        <v>0</v>
      </c>
      <c r="BI389" s="309">
        <v>0</v>
      </c>
      <c r="BJ389" s="303">
        <f t="shared" si="326"/>
        <v>105.44999999999999</v>
      </c>
      <c r="BK389" s="303"/>
      <c r="BL389" s="309">
        <f t="shared" si="311"/>
        <v>0</v>
      </c>
      <c r="BM389" s="309">
        <f t="shared" si="328"/>
        <v>0</v>
      </c>
      <c r="BN389" s="205">
        <f t="shared" si="308"/>
        <v>0</v>
      </c>
      <c r="BO389" s="205"/>
      <c r="BP389" s="310"/>
      <c r="BQ389" s="308">
        <f t="shared" si="312"/>
        <v>0</v>
      </c>
      <c r="BR389" s="310"/>
      <c r="BS389" s="308">
        <f t="shared" si="313"/>
        <v>0</v>
      </c>
      <c r="BT389" s="310">
        <f>$F389*0.1</f>
        <v>11.100000000000001</v>
      </c>
      <c r="BU389" s="308">
        <f t="shared" si="314"/>
        <v>0.10000000000000002</v>
      </c>
      <c r="BV389" s="310">
        <f>$F389*0.2</f>
        <v>22.200000000000003</v>
      </c>
      <c r="BW389" s="308">
        <f t="shared" si="315"/>
        <v>0.20000000000000004</v>
      </c>
      <c r="BX389" s="310">
        <f>$F389*0.3</f>
        <v>33.299999999999997</v>
      </c>
      <c r="BY389" s="308">
        <f t="shared" si="316"/>
        <v>0.3</v>
      </c>
      <c r="BZ389" s="310">
        <f>$F389*0.4</f>
        <v>44.400000000000006</v>
      </c>
      <c r="CA389" s="308">
        <f t="shared" si="317"/>
        <v>0.40000000000000008</v>
      </c>
      <c r="CB389" s="310">
        <f>$F389*0.5</f>
        <v>55.5</v>
      </c>
      <c r="CC389" s="308">
        <f t="shared" si="318"/>
        <v>0.5</v>
      </c>
      <c r="CD389" s="310">
        <f>$F389*0.55</f>
        <v>61.050000000000004</v>
      </c>
      <c r="CE389" s="308">
        <f t="shared" si="341"/>
        <v>0.55000000000000004</v>
      </c>
      <c r="CF389" s="310">
        <v>77.699999999999989</v>
      </c>
      <c r="CG389" s="308">
        <f t="shared" si="320"/>
        <v>0.69999999999999984</v>
      </c>
      <c r="CH389" s="310">
        <f>$F389*0.7</f>
        <v>77.699999999999989</v>
      </c>
      <c r="CI389" s="308">
        <f t="shared" si="342"/>
        <v>0.69999999999999984</v>
      </c>
      <c r="CJ389" s="310">
        <f>$F389*0.75</f>
        <v>83.25</v>
      </c>
      <c r="CK389" s="308">
        <f t="shared" si="322"/>
        <v>0.75</v>
      </c>
      <c r="CL389" s="310">
        <f>$F389*0.75</f>
        <v>83.25</v>
      </c>
      <c r="CM389" s="308">
        <f t="shared" si="323"/>
        <v>0.75</v>
      </c>
      <c r="CN389" s="310">
        <f>$F389*0.95</f>
        <v>105.44999999999999</v>
      </c>
      <c r="CO389" s="308">
        <f t="shared" si="324"/>
        <v>0.94999999999999984</v>
      </c>
      <c r="CP389" s="213" t="str">
        <f t="shared" si="329"/>
        <v>Không đạt</v>
      </c>
      <c r="CQ389" s="213" t="str">
        <f t="shared" si="330"/>
        <v>Không đạt</v>
      </c>
      <c r="CR389" s="312"/>
      <c r="CS389" s="312"/>
      <c r="CT389" s="235"/>
      <c r="CU389" s="163"/>
      <c r="CW389" s="195"/>
      <c r="CX389" s="196"/>
      <c r="CY389" s="196"/>
      <c r="CZ389" s="197"/>
      <c r="DA389" s="196"/>
      <c r="DB389" s="196"/>
      <c r="DC389" s="196"/>
      <c r="DE389" s="199"/>
      <c r="DF389" s="200"/>
      <c r="DG389" s="181"/>
    </row>
    <row r="390" spans="1:112" ht="18" customHeight="1" collapsed="1" x14ac:dyDescent="0.25">
      <c r="A390" s="213">
        <f>MAX(A$239:A388)+1</f>
        <v>44</v>
      </c>
      <c r="B390" s="240" t="s">
        <v>437</v>
      </c>
      <c r="C390" s="240"/>
      <c r="D390" s="188">
        <f t="shared" ref="D390:I390" si="351">D391+D392</f>
        <v>3009</v>
      </c>
      <c r="E390" s="188">
        <f t="shared" si="351"/>
        <v>0</v>
      </c>
      <c r="F390" s="188">
        <f t="shared" si="351"/>
        <v>3009</v>
      </c>
      <c r="G390" s="188">
        <f t="shared" si="351"/>
        <v>3000</v>
      </c>
      <c r="H390" s="188">
        <f t="shared" si="351"/>
        <v>9</v>
      </c>
      <c r="I390" s="188">
        <f t="shared" si="351"/>
        <v>0</v>
      </c>
      <c r="J390" s="188"/>
      <c r="K390" s="188">
        <f>K391+K392</f>
        <v>0</v>
      </c>
      <c r="L390" s="188">
        <f>L391+L392</f>
        <v>0</v>
      </c>
      <c r="M390" s="188">
        <f>M391+M392</f>
        <v>0</v>
      </c>
      <c r="N390" s="188">
        <f>N391+N392</f>
        <v>0</v>
      </c>
      <c r="O390" s="188">
        <f>O391+O392</f>
        <v>3000</v>
      </c>
      <c r="P390" s="188">
        <v>0</v>
      </c>
      <c r="Q390" s="186">
        <f t="shared" si="325"/>
        <v>0</v>
      </c>
      <c r="R390" s="189">
        <v>0</v>
      </c>
      <c r="S390" s="185">
        <v>0</v>
      </c>
      <c r="T390" s="185">
        <v>0</v>
      </c>
      <c r="U390" s="189">
        <v>784.26800000000003</v>
      </c>
      <c r="V390" s="185">
        <v>0.2606407444333666</v>
      </c>
      <c r="W390" s="185">
        <v>0.27435867835091221</v>
      </c>
      <c r="X390" s="189">
        <v>784.26800000000003</v>
      </c>
      <c r="Y390" s="185">
        <v>0.2606407444333666</v>
      </c>
      <c r="Z390" s="185">
        <v>0.27435867835091221</v>
      </c>
      <c r="AA390" s="189">
        <v>784.26800000000003</v>
      </c>
      <c r="AB390" s="185">
        <v>0.2606407444333666</v>
      </c>
      <c r="AC390" s="185">
        <v>0.27435867835091221</v>
      </c>
      <c r="AD390" s="189">
        <v>970</v>
      </c>
      <c r="AE390" s="185">
        <v>0.32236623462944503</v>
      </c>
      <c r="AF390" s="185">
        <v>0.33933287855731054</v>
      </c>
      <c r="AG390" s="189">
        <v>970</v>
      </c>
      <c r="AH390" s="185">
        <v>0.32236623462944503</v>
      </c>
      <c r="AI390" s="185">
        <v>0.33933287855731054</v>
      </c>
      <c r="AJ390" s="303">
        <v>970</v>
      </c>
      <c r="AK390" s="185">
        <v>0.32236623462944503</v>
      </c>
      <c r="AL390" s="185">
        <v>0.33933287855731054</v>
      </c>
      <c r="AM390" s="189">
        <v>991</v>
      </c>
      <c r="AN390" s="185">
        <v>0.32934529744101032</v>
      </c>
      <c r="AO390" s="185">
        <v>0.34667926046422143</v>
      </c>
      <c r="AP390" s="185"/>
      <c r="AQ390" s="189">
        <v>1005</v>
      </c>
      <c r="AR390" s="185">
        <v>0.33399800598205381</v>
      </c>
      <c r="AS390" s="185">
        <v>0.35157684840216197</v>
      </c>
      <c r="AT390" s="189">
        <v>1005</v>
      </c>
      <c r="AU390" s="185">
        <v>0.33399800598205381</v>
      </c>
      <c r="AV390" s="185">
        <v>0.35157684840216197</v>
      </c>
      <c r="AW390" s="185"/>
      <c r="AX390" s="185"/>
      <c r="AY390" s="185"/>
      <c r="AZ390" s="185"/>
      <c r="BA390" s="185"/>
      <c r="BB390" s="185"/>
      <c r="BC390" s="189">
        <v>1005</v>
      </c>
      <c r="BD390" s="185">
        <v>0.33399800598205381</v>
      </c>
      <c r="BE390" s="185">
        <v>0.35157684840216197</v>
      </c>
      <c r="BF390" s="189"/>
      <c r="BG390" s="189">
        <v>1260</v>
      </c>
      <c r="BH390" s="185">
        <v>0.41874376869391827</v>
      </c>
      <c r="BI390" s="185">
        <v>0.44078291441465084</v>
      </c>
      <c r="BJ390" s="189">
        <f t="shared" si="326"/>
        <v>2858.5499999999997</v>
      </c>
      <c r="BK390" s="189">
        <f>BK391+BK392</f>
        <v>1546.9059999999999</v>
      </c>
      <c r="BL390" s="185">
        <f t="shared" si="311"/>
        <v>0.51409305417082085</v>
      </c>
      <c r="BM390" s="185">
        <f t="shared" si="328"/>
        <v>0.54115058333770616</v>
      </c>
      <c r="BN390" s="205">
        <f t="shared" si="308"/>
        <v>576.90599999999995</v>
      </c>
      <c r="BO390" s="205"/>
      <c r="BP390" s="189">
        <f>BP391+BP392</f>
        <v>0</v>
      </c>
      <c r="BQ390" s="186">
        <f t="shared" si="312"/>
        <v>0</v>
      </c>
      <c r="BR390" s="189">
        <f>BR391+BR392</f>
        <v>0</v>
      </c>
      <c r="BS390" s="186">
        <f t="shared" si="313"/>
        <v>0</v>
      </c>
      <c r="BT390" s="189">
        <f>BT391+BT392</f>
        <v>300</v>
      </c>
      <c r="BU390" s="186">
        <f t="shared" si="314"/>
        <v>9.970089730807577E-2</v>
      </c>
      <c r="BV390" s="189">
        <f>BV391+BV392</f>
        <v>608.54999999999995</v>
      </c>
      <c r="BW390" s="186">
        <f t="shared" si="315"/>
        <v>0.2022432701894317</v>
      </c>
      <c r="BX390" s="189">
        <f>BX391+BX392</f>
        <v>908.55</v>
      </c>
      <c r="BY390" s="186">
        <f t="shared" si="316"/>
        <v>0.30194416749750747</v>
      </c>
      <c r="BZ390" s="189">
        <f>BZ391+BZ392</f>
        <v>1208.55</v>
      </c>
      <c r="CA390" s="186">
        <f t="shared" si="317"/>
        <v>0.40164506480558326</v>
      </c>
      <c r="CB390" s="189">
        <f>CB391+CB392</f>
        <v>1508.55</v>
      </c>
      <c r="CC390" s="186">
        <f t="shared" si="318"/>
        <v>0.501345962113659</v>
      </c>
      <c r="CD390" s="189">
        <f>CD391+CD392</f>
        <v>1658.5500000000002</v>
      </c>
      <c r="CE390" s="186">
        <f t="shared" si="341"/>
        <v>0.55119641076769699</v>
      </c>
      <c r="CF390" s="189">
        <f>CF391+CF392</f>
        <v>2108.5500000000002</v>
      </c>
      <c r="CG390" s="186">
        <f t="shared" si="320"/>
        <v>0.7007477567298106</v>
      </c>
      <c r="CH390" s="189">
        <f>CH391+CH392</f>
        <v>2108.5500000000002</v>
      </c>
      <c r="CI390" s="186">
        <f t="shared" si="342"/>
        <v>0.7007477567298106</v>
      </c>
      <c r="CJ390" s="189">
        <f>CJ391+CJ392</f>
        <v>2258.5500000000002</v>
      </c>
      <c r="CK390" s="186">
        <f t="shared" si="322"/>
        <v>0.75059820538384847</v>
      </c>
      <c r="CL390" s="189">
        <f>CL391+CL392</f>
        <v>2258.5500000000002</v>
      </c>
      <c r="CM390" s="186">
        <f t="shared" si="323"/>
        <v>0.75059820538384847</v>
      </c>
      <c r="CN390" s="189">
        <f>CN391+CN392</f>
        <v>2858.55</v>
      </c>
      <c r="CO390" s="186">
        <f t="shared" si="324"/>
        <v>0.95000000000000007</v>
      </c>
      <c r="CP390" s="213" t="str">
        <f t="shared" si="329"/>
        <v>Đạt</v>
      </c>
      <c r="CQ390" s="213" t="str">
        <f t="shared" si="330"/>
        <v>Đạt</v>
      </c>
      <c r="CR390" s="213"/>
      <c r="CS390" s="213"/>
      <c r="CT390" s="231"/>
      <c r="CU390" s="163"/>
      <c r="CW390" s="195"/>
      <c r="CX390" s="196"/>
      <c r="CY390" s="196"/>
      <c r="CZ390" s="197"/>
      <c r="DA390" s="196"/>
      <c r="DB390" s="196"/>
      <c r="DC390" s="196"/>
      <c r="DE390" s="199"/>
      <c r="DF390" s="200"/>
      <c r="DG390" s="181"/>
    </row>
    <row r="391" spans="1:112" s="324" customFormat="1" hidden="1" outlineLevel="1" x14ac:dyDescent="0.25">
      <c r="A391" s="305" t="s">
        <v>34</v>
      </c>
      <c r="B391" s="306" t="s">
        <v>376</v>
      </c>
      <c r="C391" s="306"/>
      <c r="D391" s="307">
        <f>E391+F391</f>
        <v>3000</v>
      </c>
      <c r="E391" s="307"/>
      <c r="F391" s="307">
        <f>G391+H391+K391+M391</f>
        <v>3000</v>
      </c>
      <c r="G391" s="303">
        <v>3000</v>
      </c>
      <c r="H391" s="303"/>
      <c r="I391" s="235"/>
      <c r="J391" s="235"/>
      <c r="K391" s="303"/>
      <c r="L391" s="235"/>
      <c r="M391" s="223"/>
      <c r="N391" s="223"/>
      <c r="O391" s="303">
        <f>G391+I391+L391+N391</f>
        <v>3000</v>
      </c>
      <c r="P391" s="303">
        <v>0</v>
      </c>
      <c r="Q391" s="308">
        <f t="shared" si="325"/>
        <v>0</v>
      </c>
      <c r="R391" s="303"/>
      <c r="S391" s="309">
        <v>0</v>
      </c>
      <c r="T391" s="309">
        <v>0</v>
      </c>
      <c r="U391" s="303">
        <v>784.26800000000003</v>
      </c>
      <c r="V391" s="309">
        <v>0.26142266666666669</v>
      </c>
      <c r="W391" s="309">
        <v>0.27518175438596493</v>
      </c>
      <c r="X391" s="303">
        <v>784.26800000000003</v>
      </c>
      <c r="Y391" s="309">
        <v>0.26142266666666669</v>
      </c>
      <c r="Z391" s="309">
        <v>0.27518175438596493</v>
      </c>
      <c r="AA391" s="303">
        <v>784.26800000000003</v>
      </c>
      <c r="AB391" s="309">
        <v>0.26142266666666669</v>
      </c>
      <c r="AC391" s="309">
        <v>0.27518175438596493</v>
      </c>
      <c r="AD391" s="303">
        <v>970</v>
      </c>
      <c r="AE391" s="309">
        <v>0.32333333333333331</v>
      </c>
      <c r="AF391" s="309">
        <v>0.34035087719298246</v>
      </c>
      <c r="AG391" s="303">
        <v>970</v>
      </c>
      <c r="AH391" s="309">
        <v>0.32333333333333331</v>
      </c>
      <c r="AI391" s="309">
        <v>0.34035087719298246</v>
      </c>
      <c r="AJ391" s="303">
        <v>970</v>
      </c>
      <c r="AK391" s="309">
        <v>0.32333333333333331</v>
      </c>
      <c r="AL391" s="309">
        <v>0.34035087719298246</v>
      </c>
      <c r="AM391" s="303">
        <v>991</v>
      </c>
      <c r="AN391" s="309">
        <v>0.33033333333333331</v>
      </c>
      <c r="AO391" s="309">
        <v>0.34771929824561404</v>
      </c>
      <c r="AP391" s="309"/>
      <c r="AQ391" s="303">
        <v>1005</v>
      </c>
      <c r="AR391" s="309">
        <v>0.33500000000000002</v>
      </c>
      <c r="AS391" s="309">
        <v>0.35263157894736841</v>
      </c>
      <c r="AT391" s="303">
        <v>1005</v>
      </c>
      <c r="AU391" s="309">
        <v>0.33500000000000002</v>
      </c>
      <c r="AV391" s="309">
        <v>0.35263157894736841</v>
      </c>
      <c r="AW391" s="309"/>
      <c r="AX391" s="309"/>
      <c r="AY391" s="309"/>
      <c r="AZ391" s="309"/>
      <c r="BA391" s="309"/>
      <c r="BB391" s="309"/>
      <c r="BC391" s="303">
        <v>1005</v>
      </c>
      <c r="BD391" s="309">
        <v>0.33500000000000002</v>
      </c>
      <c r="BE391" s="309">
        <v>0.35263157894736841</v>
      </c>
      <c r="BF391" s="303"/>
      <c r="BG391" s="303">
        <v>1260</v>
      </c>
      <c r="BH391" s="309">
        <v>0.42</v>
      </c>
      <c r="BI391" s="309">
        <v>0.44210526315789472</v>
      </c>
      <c r="BJ391" s="303">
        <f t="shared" si="326"/>
        <v>2850</v>
      </c>
      <c r="BK391" s="303">
        <v>1546.9059999999999</v>
      </c>
      <c r="BL391" s="309">
        <f t="shared" si="311"/>
        <v>0.51563533333333333</v>
      </c>
      <c r="BM391" s="309">
        <f t="shared" si="328"/>
        <v>0.54277403508771926</v>
      </c>
      <c r="BN391" s="205">
        <f t="shared" ref="BN391:BN456" si="352">BK391-AD391</f>
        <v>576.90599999999995</v>
      </c>
      <c r="BO391" s="205"/>
      <c r="BP391" s="310"/>
      <c r="BQ391" s="308">
        <f t="shared" si="312"/>
        <v>0</v>
      </c>
      <c r="BR391" s="310"/>
      <c r="BS391" s="308">
        <f t="shared" si="313"/>
        <v>0</v>
      </c>
      <c r="BT391" s="310">
        <f>$F391*0.1</f>
        <v>300</v>
      </c>
      <c r="BU391" s="308">
        <f t="shared" si="314"/>
        <v>0.1</v>
      </c>
      <c r="BV391" s="310">
        <f>$F391*0.2</f>
        <v>600</v>
      </c>
      <c r="BW391" s="308">
        <f t="shared" si="315"/>
        <v>0.2</v>
      </c>
      <c r="BX391" s="310">
        <f>$F391*0.3</f>
        <v>900</v>
      </c>
      <c r="BY391" s="308">
        <f t="shared" si="316"/>
        <v>0.3</v>
      </c>
      <c r="BZ391" s="310">
        <f>$F391*0.4</f>
        <v>1200</v>
      </c>
      <c r="CA391" s="308">
        <f t="shared" si="317"/>
        <v>0.4</v>
      </c>
      <c r="CB391" s="310">
        <f>$F391*0.5</f>
        <v>1500</v>
      </c>
      <c r="CC391" s="308">
        <f t="shared" si="318"/>
        <v>0.5</v>
      </c>
      <c r="CD391" s="310">
        <f>$F391*0.55</f>
        <v>1650.0000000000002</v>
      </c>
      <c r="CE391" s="308">
        <f t="shared" si="341"/>
        <v>0.55000000000000004</v>
      </c>
      <c r="CF391" s="310">
        <v>2100</v>
      </c>
      <c r="CG391" s="308">
        <f t="shared" si="320"/>
        <v>0.7</v>
      </c>
      <c r="CH391" s="310">
        <f>$F391*0.7</f>
        <v>2100</v>
      </c>
      <c r="CI391" s="308">
        <f t="shared" si="342"/>
        <v>0.7</v>
      </c>
      <c r="CJ391" s="310">
        <f>$F391*0.75</f>
        <v>2250</v>
      </c>
      <c r="CK391" s="308">
        <f t="shared" si="322"/>
        <v>0.75</v>
      </c>
      <c r="CL391" s="310">
        <f>$F391*0.75</f>
        <v>2250</v>
      </c>
      <c r="CM391" s="308">
        <f t="shared" si="323"/>
        <v>0.75</v>
      </c>
      <c r="CN391" s="310">
        <f>$F391*0.95</f>
        <v>2850</v>
      </c>
      <c r="CO391" s="308">
        <f t="shared" si="324"/>
        <v>0.95</v>
      </c>
      <c r="CP391" s="213" t="str">
        <f t="shared" si="329"/>
        <v>Đạt</v>
      </c>
      <c r="CQ391" s="213" t="str">
        <f t="shared" si="330"/>
        <v>Đạt</v>
      </c>
      <c r="CR391" s="312"/>
      <c r="CS391" s="312"/>
      <c r="CT391" s="235"/>
      <c r="CU391" s="163"/>
      <c r="CV391" s="323"/>
      <c r="CW391" s="195"/>
      <c r="CX391" s="196"/>
      <c r="CY391" s="196"/>
      <c r="CZ391" s="197"/>
      <c r="DA391" s="196"/>
      <c r="DB391" s="196"/>
      <c r="DC391" s="196"/>
      <c r="DE391" s="199"/>
      <c r="DF391" s="200"/>
      <c r="DG391" s="181"/>
    </row>
    <row r="392" spans="1:112" ht="25.5" hidden="1" outlineLevel="1" x14ac:dyDescent="0.25">
      <c r="A392" s="305" t="s">
        <v>34</v>
      </c>
      <c r="B392" s="306" t="s">
        <v>377</v>
      </c>
      <c r="C392" s="306"/>
      <c r="D392" s="307">
        <f>E392+F392</f>
        <v>9</v>
      </c>
      <c r="E392" s="307"/>
      <c r="F392" s="307">
        <f>G392+H392+K392+M392</f>
        <v>9</v>
      </c>
      <c r="G392" s="307"/>
      <c r="H392" s="307">
        <v>9</v>
      </c>
      <c r="I392" s="235"/>
      <c r="J392" s="235"/>
      <c r="K392" s="303"/>
      <c r="L392" s="235"/>
      <c r="M392" s="223"/>
      <c r="N392" s="223"/>
      <c r="O392" s="303"/>
      <c r="P392" s="303">
        <v>0</v>
      </c>
      <c r="Q392" s="308">
        <f t="shared" si="325"/>
        <v>0</v>
      </c>
      <c r="R392" s="303"/>
      <c r="S392" s="309">
        <v>0</v>
      </c>
      <c r="T392" s="309">
        <v>0</v>
      </c>
      <c r="U392" s="303"/>
      <c r="V392" s="309">
        <v>0</v>
      </c>
      <c r="W392" s="309">
        <v>0</v>
      </c>
      <c r="X392" s="303"/>
      <c r="Y392" s="309">
        <v>0</v>
      </c>
      <c r="Z392" s="309">
        <v>0</v>
      </c>
      <c r="AA392" s="303"/>
      <c r="AB392" s="309">
        <v>0</v>
      </c>
      <c r="AC392" s="309">
        <v>0</v>
      </c>
      <c r="AD392" s="303"/>
      <c r="AE392" s="309">
        <v>0</v>
      </c>
      <c r="AF392" s="309">
        <v>0</v>
      </c>
      <c r="AG392" s="303"/>
      <c r="AH392" s="309">
        <v>0</v>
      </c>
      <c r="AI392" s="309">
        <v>0</v>
      </c>
      <c r="AJ392" s="188"/>
      <c r="AK392" s="309">
        <v>0</v>
      </c>
      <c r="AL392" s="309">
        <v>0</v>
      </c>
      <c r="AM392" s="303"/>
      <c r="AN392" s="309">
        <v>0</v>
      </c>
      <c r="AO392" s="309">
        <v>0</v>
      </c>
      <c r="AP392" s="309"/>
      <c r="AQ392" s="303"/>
      <c r="AR392" s="309">
        <v>0</v>
      </c>
      <c r="AS392" s="309">
        <v>0</v>
      </c>
      <c r="AT392" s="303"/>
      <c r="AU392" s="309">
        <v>0</v>
      </c>
      <c r="AV392" s="309">
        <v>0</v>
      </c>
      <c r="AW392" s="309"/>
      <c r="AX392" s="309"/>
      <c r="AY392" s="309"/>
      <c r="AZ392" s="309"/>
      <c r="BA392" s="309"/>
      <c r="BB392" s="309"/>
      <c r="BC392" s="303"/>
      <c r="BD392" s="309">
        <v>0</v>
      </c>
      <c r="BE392" s="309">
        <v>0</v>
      </c>
      <c r="BF392" s="303"/>
      <c r="BG392" s="303"/>
      <c r="BH392" s="309">
        <v>0</v>
      </c>
      <c r="BI392" s="309">
        <v>0</v>
      </c>
      <c r="BJ392" s="303">
        <f t="shared" si="326"/>
        <v>8.5499999999999989</v>
      </c>
      <c r="BK392" s="303"/>
      <c r="BL392" s="309">
        <f t="shared" si="311"/>
        <v>0</v>
      </c>
      <c r="BM392" s="309">
        <f t="shared" si="328"/>
        <v>0</v>
      </c>
      <c r="BN392" s="205">
        <f t="shared" si="352"/>
        <v>0</v>
      </c>
      <c r="BO392" s="205"/>
      <c r="BP392" s="310"/>
      <c r="BQ392" s="308">
        <f t="shared" si="312"/>
        <v>0</v>
      </c>
      <c r="BR392" s="310"/>
      <c r="BS392" s="308">
        <f t="shared" si="313"/>
        <v>0</v>
      </c>
      <c r="BT392" s="310"/>
      <c r="BU392" s="308">
        <f t="shared" si="314"/>
        <v>0</v>
      </c>
      <c r="BV392" s="310">
        <f>H392*0.95</f>
        <v>8.5499999999999989</v>
      </c>
      <c r="BW392" s="308">
        <f t="shared" si="315"/>
        <v>0.94999999999999984</v>
      </c>
      <c r="BX392" s="310">
        <v>8.5499999999999989</v>
      </c>
      <c r="BY392" s="308">
        <f t="shared" si="316"/>
        <v>0.94999999999999984</v>
      </c>
      <c r="BZ392" s="310">
        <v>8.5499999999999989</v>
      </c>
      <c r="CA392" s="308">
        <f t="shared" si="317"/>
        <v>0.94999999999999984</v>
      </c>
      <c r="CB392" s="310">
        <v>8.5499999999999989</v>
      </c>
      <c r="CC392" s="308">
        <f t="shared" si="318"/>
        <v>0.94999999999999984</v>
      </c>
      <c r="CD392" s="310">
        <v>8.5499999999999989</v>
      </c>
      <c r="CE392" s="308">
        <f t="shared" si="341"/>
        <v>0.94999999999999984</v>
      </c>
      <c r="CF392" s="310">
        <v>8.5499999999999989</v>
      </c>
      <c r="CG392" s="308">
        <f t="shared" si="320"/>
        <v>0.94999999999999984</v>
      </c>
      <c r="CH392" s="310">
        <v>8.5499999999999989</v>
      </c>
      <c r="CI392" s="308">
        <f t="shared" si="342"/>
        <v>0.94999999999999984</v>
      </c>
      <c r="CJ392" s="310">
        <v>8.5499999999999989</v>
      </c>
      <c r="CK392" s="308">
        <f t="shared" si="322"/>
        <v>0.94999999999999984</v>
      </c>
      <c r="CL392" s="310">
        <v>8.5499999999999989</v>
      </c>
      <c r="CM392" s="308">
        <f t="shared" si="323"/>
        <v>0.94999999999999984</v>
      </c>
      <c r="CN392" s="310">
        <v>8.5499999999999989</v>
      </c>
      <c r="CO392" s="308">
        <f t="shared" si="324"/>
        <v>0.94999999999999984</v>
      </c>
      <c r="CP392" s="213" t="str">
        <f t="shared" si="329"/>
        <v>Không đạt</v>
      </c>
      <c r="CQ392" s="213" t="str">
        <f t="shared" si="330"/>
        <v>Không đạt</v>
      </c>
      <c r="CR392" s="312"/>
      <c r="CS392" s="312"/>
      <c r="CT392" s="235"/>
      <c r="CU392" s="163"/>
      <c r="CW392" s="195"/>
      <c r="CX392" s="196"/>
      <c r="CY392" s="196"/>
      <c r="CZ392" s="197"/>
      <c r="DA392" s="196"/>
      <c r="DB392" s="196"/>
      <c r="DC392" s="196"/>
      <c r="DE392" s="199"/>
      <c r="DF392" s="200"/>
      <c r="DG392" s="181"/>
    </row>
    <row r="393" spans="1:112" ht="18" customHeight="1" collapsed="1" x14ac:dyDescent="0.25">
      <c r="A393" s="213">
        <f>MAX(A$239:A391)+1</f>
        <v>45</v>
      </c>
      <c r="B393" s="240" t="s">
        <v>438</v>
      </c>
      <c r="C393" s="240"/>
      <c r="D393" s="188">
        <f t="shared" ref="D393:I393" si="353">D394+D395</f>
        <v>4360</v>
      </c>
      <c r="E393" s="188">
        <f t="shared" si="353"/>
        <v>0</v>
      </c>
      <c r="F393" s="188">
        <f t="shared" si="353"/>
        <v>4360</v>
      </c>
      <c r="G393" s="188">
        <f t="shared" si="353"/>
        <v>3000</v>
      </c>
      <c r="H393" s="188">
        <f t="shared" si="353"/>
        <v>1360</v>
      </c>
      <c r="I393" s="188">
        <f t="shared" si="353"/>
        <v>0</v>
      </c>
      <c r="J393" s="188"/>
      <c r="K393" s="188">
        <f>K394+K395</f>
        <v>0</v>
      </c>
      <c r="L393" s="188">
        <f>L394+L395</f>
        <v>0</v>
      </c>
      <c r="M393" s="188">
        <f>M394+M395</f>
        <v>0</v>
      </c>
      <c r="N393" s="188">
        <f>N394+N395</f>
        <v>0</v>
      </c>
      <c r="O393" s="188">
        <f>O394+O395</f>
        <v>3000</v>
      </c>
      <c r="P393" s="188">
        <v>0</v>
      </c>
      <c r="Q393" s="186">
        <f t="shared" si="325"/>
        <v>0</v>
      </c>
      <c r="R393" s="188">
        <v>0</v>
      </c>
      <c r="S393" s="185">
        <v>0</v>
      </c>
      <c r="T393" s="185">
        <v>0</v>
      </c>
      <c r="U393" s="188">
        <v>0</v>
      </c>
      <c r="V393" s="185">
        <v>0</v>
      </c>
      <c r="W393" s="185">
        <v>0</v>
      </c>
      <c r="X393" s="188">
        <v>0</v>
      </c>
      <c r="Y393" s="185">
        <v>0</v>
      </c>
      <c r="Z393" s="185">
        <v>0</v>
      </c>
      <c r="AA393" s="188">
        <v>0</v>
      </c>
      <c r="AB393" s="185">
        <v>0</v>
      </c>
      <c r="AC393" s="185">
        <v>0</v>
      </c>
      <c r="AD393" s="188">
        <v>574</v>
      </c>
      <c r="AE393" s="185">
        <v>0.13165137614678898</v>
      </c>
      <c r="AF393" s="185">
        <v>0.13858039594398841</v>
      </c>
      <c r="AG393" s="188">
        <v>574</v>
      </c>
      <c r="AH393" s="185">
        <v>0.13165137614678898</v>
      </c>
      <c r="AI393" s="185">
        <v>0.13858039594398841</v>
      </c>
      <c r="AJ393" s="303">
        <v>574</v>
      </c>
      <c r="AK393" s="185">
        <v>0.13165137614678898</v>
      </c>
      <c r="AL393" s="185">
        <v>0.13858039594398841</v>
      </c>
      <c r="AM393" s="188">
        <v>945</v>
      </c>
      <c r="AN393" s="185">
        <v>0.21674311926605505</v>
      </c>
      <c r="AO393" s="185">
        <v>0.22815065185900532</v>
      </c>
      <c r="AP393" s="185"/>
      <c r="AQ393" s="188">
        <v>945</v>
      </c>
      <c r="AR393" s="185">
        <v>0.21674311926605505</v>
      </c>
      <c r="AS393" s="185">
        <v>0.22815065185900532</v>
      </c>
      <c r="AT393" s="188">
        <v>945</v>
      </c>
      <c r="AU393" s="185">
        <v>0.21674311926605505</v>
      </c>
      <c r="AV393" s="185">
        <v>0.22815065185900532</v>
      </c>
      <c r="AW393" s="185"/>
      <c r="AX393" s="185"/>
      <c r="AY393" s="185"/>
      <c r="AZ393" s="185"/>
      <c r="BA393" s="185"/>
      <c r="BB393" s="185"/>
      <c r="BC393" s="188">
        <v>945</v>
      </c>
      <c r="BD393" s="185">
        <v>0.21674311926605505</v>
      </c>
      <c r="BE393" s="185">
        <v>0.22815065185900532</v>
      </c>
      <c r="BF393" s="188"/>
      <c r="BG393" s="188">
        <v>1565</v>
      </c>
      <c r="BH393" s="185">
        <v>0.35894495412844035</v>
      </c>
      <c r="BI393" s="185">
        <v>0.37783679381941093</v>
      </c>
      <c r="BJ393" s="188">
        <f t="shared" si="326"/>
        <v>4142</v>
      </c>
      <c r="BK393" s="188">
        <v>2299</v>
      </c>
      <c r="BL393" s="185">
        <f t="shared" si="311"/>
        <v>0.52729357798165133</v>
      </c>
      <c r="BM393" s="185">
        <f t="shared" si="328"/>
        <v>0.55504587155963303</v>
      </c>
      <c r="BN393" s="205">
        <f t="shared" si="352"/>
        <v>1725</v>
      </c>
      <c r="BO393" s="205"/>
      <c r="BP393" s="189">
        <f>BP394+BP395</f>
        <v>0</v>
      </c>
      <c r="BQ393" s="186">
        <f t="shared" si="312"/>
        <v>0</v>
      </c>
      <c r="BR393" s="189">
        <f>BR394+BR395</f>
        <v>0</v>
      </c>
      <c r="BS393" s="186">
        <f t="shared" si="313"/>
        <v>0</v>
      </c>
      <c r="BT393" s="189">
        <f>BT394+BT395</f>
        <v>436</v>
      </c>
      <c r="BU393" s="186">
        <f t="shared" si="314"/>
        <v>0.1</v>
      </c>
      <c r="BV393" s="189">
        <f>BV394+BV395</f>
        <v>872</v>
      </c>
      <c r="BW393" s="186">
        <f t="shared" si="315"/>
        <v>0.2</v>
      </c>
      <c r="BX393" s="189">
        <f>BX394+BX395</f>
        <v>1308</v>
      </c>
      <c r="BY393" s="186">
        <f t="shared" si="316"/>
        <v>0.3</v>
      </c>
      <c r="BZ393" s="189">
        <f>BZ394+BZ395</f>
        <v>1744</v>
      </c>
      <c r="CA393" s="186">
        <f t="shared" si="317"/>
        <v>0.4</v>
      </c>
      <c r="CB393" s="189">
        <f>CB394+CB395</f>
        <v>2180</v>
      </c>
      <c r="CC393" s="186">
        <f t="shared" si="318"/>
        <v>0.5</v>
      </c>
      <c r="CD393" s="189">
        <f>CD394+CD395</f>
        <v>2398.0000000000005</v>
      </c>
      <c r="CE393" s="186">
        <f t="shared" si="341"/>
        <v>0.55000000000000016</v>
      </c>
      <c r="CF393" s="189">
        <f>CF394+CF395</f>
        <v>3052</v>
      </c>
      <c r="CG393" s="186">
        <f t="shared" si="320"/>
        <v>0.7</v>
      </c>
      <c r="CH393" s="189">
        <f>CH394+CH395</f>
        <v>3052</v>
      </c>
      <c r="CI393" s="186">
        <f t="shared" si="342"/>
        <v>0.7</v>
      </c>
      <c r="CJ393" s="189">
        <f>CJ394+CJ395</f>
        <v>3270</v>
      </c>
      <c r="CK393" s="186">
        <f t="shared" si="322"/>
        <v>0.75</v>
      </c>
      <c r="CL393" s="189">
        <f>CL394+CL395</f>
        <v>3270</v>
      </c>
      <c r="CM393" s="186">
        <f t="shared" si="323"/>
        <v>0.75</v>
      </c>
      <c r="CN393" s="189">
        <f>CN394+CN395</f>
        <v>4142</v>
      </c>
      <c r="CO393" s="186">
        <f t="shared" si="324"/>
        <v>0.95</v>
      </c>
      <c r="CP393" s="213" t="str">
        <f t="shared" si="329"/>
        <v>Đạt</v>
      </c>
      <c r="CQ393" s="213" t="str">
        <f t="shared" si="330"/>
        <v>Đạt</v>
      </c>
      <c r="CR393" s="213"/>
      <c r="CS393" s="213"/>
      <c r="CT393" s="231"/>
      <c r="CU393" s="163"/>
      <c r="CW393" s="195"/>
      <c r="CX393" s="196"/>
      <c r="CY393" s="196"/>
      <c r="CZ393" s="197"/>
      <c r="DA393" s="196"/>
      <c r="DB393" s="196"/>
      <c r="DC393" s="196"/>
      <c r="DE393" s="199"/>
      <c r="DF393" s="200"/>
      <c r="DG393" s="181"/>
    </row>
    <row r="394" spans="1:112" s="324" customFormat="1" hidden="1" outlineLevel="1" x14ac:dyDescent="0.25">
      <c r="A394" s="305" t="s">
        <v>34</v>
      </c>
      <c r="B394" s="306" t="s">
        <v>376</v>
      </c>
      <c r="C394" s="306"/>
      <c r="D394" s="307">
        <f>E394+F394</f>
        <v>3000</v>
      </c>
      <c r="E394" s="307"/>
      <c r="F394" s="307">
        <f>G394+H394+K394+M394</f>
        <v>3000</v>
      </c>
      <c r="G394" s="303">
        <v>3000</v>
      </c>
      <c r="H394" s="303"/>
      <c r="I394" s="235"/>
      <c r="J394" s="235"/>
      <c r="K394" s="303"/>
      <c r="L394" s="235"/>
      <c r="M394" s="223"/>
      <c r="N394" s="223"/>
      <c r="O394" s="303">
        <f>G394+I394+L394+N394</f>
        <v>3000</v>
      </c>
      <c r="P394" s="303">
        <v>0</v>
      </c>
      <c r="Q394" s="308">
        <f t="shared" si="325"/>
        <v>0</v>
      </c>
      <c r="R394" s="303"/>
      <c r="S394" s="309">
        <v>0</v>
      </c>
      <c r="T394" s="309">
        <v>0</v>
      </c>
      <c r="U394" s="303"/>
      <c r="V394" s="309">
        <v>0</v>
      </c>
      <c r="W394" s="309">
        <v>0</v>
      </c>
      <c r="X394" s="303"/>
      <c r="Y394" s="309">
        <v>0</v>
      </c>
      <c r="Z394" s="309">
        <v>0</v>
      </c>
      <c r="AA394" s="303"/>
      <c r="AB394" s="309">
        <v>0</v>
      </c>
      <c r="AC394" s="309">
        <v>0</v>
      </c>
      <c r="AD394" s="303">
        <v>574</v>
      </c>
      <c r="AE394" s="309">
        <v>0.19133333333333333</v>
      </c>
      <c r="AF394" s="309">
        <v>0.20140350877192983</v>
      </c>
      <c r="AG394" s="303">
        <v>574</v>
      </c>
      <c r="AH394" s="309">
        <v>0.19133333333333333</v>
      </c>
      <c r="AI394" s="309">
        <v>0.20140350877192983</v>
      </c>
      <c r="AJ394" s="303">
        <v>574</v>
      </c>
      <c r="AK394" s="309">
        <v>0.19133333333333333</v>
      </c>
      <c r="AL394" s="309">
        <v>0.20140350877192983</v>
      </c>
      <c r="AM394" s="303">
        <v>945</v>
      </c>
      <c r="AN394" s="309">
        <v>0.315</v>
      </c>
      <c r="AO394" s="309">
        <v>0.33157894736842103</v>
      </c>
      <c r="AP394" s="309"/>
      <c r="AQ394" s="303">
        <v>945</v>
      </c>
      <c r="AR394" s="309">
        <v>0.315</v>
      </c>
      <c r="AS394" s="309">
        <v>0.33157894736842103</v>
      </c>
      <c r="AT394" s="303">
        <v>945</v>
      </c>
      <c r="AU394" s="309">
        <v>0.315</v>
      </c>
      <c r="AV394" s="309">
        <v>0.33157894736842103</v>
      </c>
      <c r="AW394" s="309"/>
      <c r="AX394" s="309"/>
      <c r="AY394" s="309"/>
      <c r="AZ394" s="309"/>
      <c r="BA394" s="309"/>
      <c r="BB394" s="309"/>
      <c r="BC394" s="303">
        <v>945</v>
      </c>
      <c r="BD394" s="309">
        <v>0.315</v>
      </c>
      <c r="BE394" s="309">
        <v>0.33157894736842103</v>
      </c>
      <c r="BF394" s="303"/>
      <c r="BG394" s="303">
        <v>1565</v>
      </c>
      <c r="BH394" s="309">
        <v>0.52166666666666661</v>
      </c>
      <c r="BI394" s="309">
        <v>0.5491228070175439</v>
      </c>
      <c r="BJ394" s="303">
        <f t="shared" si="326"/>
        <v>2850</v>
      </c>
      <c r="BK394" s="303">
        <v>1565</v>
      </c>
      <c r="BL394" s="309">
        <f t="shared" si="311"/>
        <v>0.52166666666666661</v>
      </c>
      <c r="BM394" s="309">
        <f t="shared" si="328"/>
        <v>0.5491228070175439</v>
      </c>
      <c r="BN394" s="205">
        <f t="shared" si="352"/>
        <v>991</v>
      </c>
      <c r="BO394" s="205"/>
      <c r="BP394" s="310"/>
      <c r="BQ394" s="308">
        <f t="shared" si="312"/>
        <v>0</v>
      </c>
      <c r="BR394" s="310"/>
      <c r="BS394" s="308">
        <f t="shared" si="313"/>
        <v>0</v>
      </c>
      <c r="BT394" s="310">
        <f>$F394*0.1</f>
        <v>300</v>
      </c>
      <c r="BU394" s="308">
        <f t="shared" si="314"/>
        <v>0.1</v>
      </c>
      <c r="BV394" s="310">
        <f>$F394*0.2</f>
        <v>600</v>
      </c>
      <c r="BW394" s="308">
        <f t="shared" si="315"/>
        <v>0.2</v>
      </c>
      <c r="BX394" s="310">
        <f>$F394*0.3</f>
        <v>900</v>
      </c>
      <c r="BY394" s="308">
        <f t="shared" si="316"/>
        <v>0.3</v>
      </c>
      <c r="BZ394" s="310">
        <f>$F394*0.4</f>
        <v>1200</v>
      </c>
      <c r="CA394" s="308">
        <f t="shared" si="317"/>
        <v>0.4</v>
      </c>
      <c r="CB394" s="310">
        <f>$F394*0.5</f>
        <v>1500</v>
      </c>
      <c r="CC394" s="308">
        <f t="shared" si="318"/>
        <v>0.5</v>
      </c>
      <c r="CD394" s="310">
        <f>$F394*0.55</f>
        <v>1650.0000000000002</v>
      </c>
      <c r="CE394" s="308">
        <f t="shared" si="341"/>
        <v>0.55000000000000004</v>
      </c>
      <c r="CF394" s="310">
        <v>2100</v>
      </c>
      <c r="CG394" s="308">
        <f t="shared" si="320"/>
        <v>0.7</v>
      </c>
      <c r="CH394" s="310">
        <f>$F394*0.7</f>
        <v>2100</v>
      </c>
      <c r="CI394" s="308">
        <f t="shared" si="342"/>
        <v>0.7</v>
      </c>
      <c r="CJ394" s="310">
        <f>$F394*0.75</f>
        <v>2250</v>
      </c>
      <c r="CK394" s="308">
        <f t="shared" si="322"/>
        <v>0.75</v>
      </c>
      <c r="CL394" s="310">
        <f>$F394*0.75</f>
        <v>2250</v>
      </c>
      <c r="CM394" s="308">
        <f t="shared" si="323"/>
        <v>0.75</v>
      </c>
      <c r="CN394" s="310">
        <f>$F394*0.95</f>
        <v>2850</v>
      </c>
      <c r="CO394" s="308">
        <f t="shared" si="324"/>
        <v>0.95</v>
      </c>
      <c r="CP394" s="213" t="str">
        <f t="shared" si="329"/>
        <v>Đạt</v>
      </c>
      <c r="CQ394" s="213" t="str">
        <f t="shared" si="330"/>
        <v>Đạt</v>
      </c>
      <c r="CR394" s="312"/>
      <c r="CS394" s="312"/>
      <c r="CT394" s="235"/>
      <c r="CU394" s="163"/>
      <c r="CV394" s="323"/>
      <c r="CW394" s="195"/>
      <c r="CX394" s="196"/>
      <c r="CY394" s="196"/>
      <c r="CZ394" s="197"/>
      <c r="DA394" s="196"/>
      <c r="DB394" s="196"/>
      <c r="DC394" s="196"/>
      <c r="DE394" s="199"/>
      <c r="DF394" s="200"/>
      <c r="DG394" s="181"/>
    </row>
    <row r="395" spans="1:112" ht="25.5" hidden="1" outlineLevel="1" x14ac:dyDescent="0.25">
      <c r="A395" s="305" t="s">
        <v>34</v>
      </c>
      <c r="B395" s="306" t="s">
        <v>377</v>
      </c>
      <c r="C395" s="306"/>
      <c r="D395" s="307">
        <f>E395+F395</f>
        <v>1360</v>
      </c>
      <c r="E395" s="307"/>
      <c r="F395" s="307">
        <f>G395+H395+K395+M395</f>
        <v>1360</v>
      </c>
      <c r="G395" s="307"/>
      <c r="H395" s="307">
        <v>1360</v>
      </c>
      <c r="I395" s="235"/>
      <c r="J395" s="235"/>
      <c r="K395" s="303"/>
      <c r="L395" s="235"/>
      <c r="M395" s="223"/>
      <c r="N395" s="223"/>
      <c r="O395" s="303"/>
      <c r="P395" s="303">
        <v>0</v>
      </c>
      <c r="Q395" s="308">
        <f t="shared" si="325"/>
        <v>0</v>
      </c>
      <c r="R395" s="303"/>
      <c r="S395" s="309">
        <v>0</v>
      </c>
      <c r="T395" s="309">
        <v>0</v>
      </c>
      <c r="U395" s="303"/>
      <c r="V395" s="309">
        <v>0</v>
      </c>
      <c r="W395" s="309">
        <v>0</v>
      </c>
      <c r="X395" s="303"/>
      <c r="Y395" s="309">
        <v>0</v>
      </c>
      <c r="Z395" s="309">
        <v>0</v>
      </c>
      <c r="AA395" s="303"/>
      <c r="AB395" s="309">
        <v>0</v>
      </c>
      <c r="AC395" s="309">
        <v>0</v>
      </c>
      <c r="AD395" s="303"/>
      <c r="AE395" s="309">
        <v>0</v>
      </c>
      <c r="AF395" s="309">
        <v>0</v>
      </c>
      <c r="AG395" s="303"/>
      <c r="AH395" s="309">
        <v>0</v>
      </c>
      <c r="AI395" s="309">
        <v>0</v>
      </c>
      <c r="AJ395" s="315"/>
      <c r="AK395" s="309">
        <v>0</v>
      </c>
      <c r="AL395" s="309">
        <v>0</v>
      </c>
      <c r="AM395" s="303"/>
      <c r="AN395" s="309">
        <v>0</v>
      </c>
      <c r="AO395" s="309">
        <v>0</v>
      </c>
      <c r="AP395" s="309"/>
      <c r="AQ395" s="303"/>
      <c r="AR395" s="309">
        <v>0</v>
      </c>
      <c r="AS395" s="309">
        <v>0</v>
      </c>
      <c r="AT395" s="303"/>
      <c r="AU395" s="309">
        <v>0</v>
      </c>
      <c r="AV395" s="309">
        <v>0</v>
      </c>
      <c r="AW395" s="309"/>
      <c r="AX395" s="309"/>
      <c r="AY395" s="309"/>
      <c r="AZ395" s="309"/>
      <c r="BA395" s="309"/>
      <c r="BB395" s="309"/>
      <c r="BC395" s="303"/>
      <c r="BD395" s="309">
        <v>0</v>
      </c>
      <c r="BE395" s="309">
        <v>0</v>
      </c>
      <c r="BF395" s="303"/>
      <c r="BG395" s="303"/>
      <c r="BH395" s="309">
        <v>0</v>
      </c>
      <c r="BI395" s="309">
        <v>0</v>
      </c>
      <c r="BJ395" s="303">
        <f t="shared" si="326"/>
        <v>1292</v>
      </c>
      <c r="BK395" s="303"/>
      <c r="BL395" s="309">
        <f t="shared" ref="BL395:BL460" si="354">BK395/$D395</f>
        <v>0</v>
      </c>
      <c r="BM395" s="309">
        <f t="shared" si="328"/>
        <v>0</v>
      </c>
      <c r="BN395" s="205">
        <f t="shared" si="352"/>
        <v>0</v>
      </c>
      <c r="BO395" s="205"/>
      <c r="BP395" s="310"/>
      <c r="BQ395" s="308">
        <f t="shared" ref="BQ395:BR460" si="355">BP395/$D395</f>
        <v>0</v>
      </c>
      <c r="BR395" s="310"/>
      <c r="BS395" s="308">
        <f t="shared" ref="BS395:BT460" si="356">BR395/$D395</f>
        <v>0</v>
      </c>
      <c r="BT395" s="310">
        <f>$F395*0.1</f>
        <v>136</v>
      </c>
      <c r="BU395" s="308">
        <f t="shared" ref="BU395:BV460" si="357">BT395/$D395</f>
        <v>0.1</v>
      </c>
      <c r="BV395" s="310">
        <f>$F395*0.2</f>
        <v>272</v>
      </c>
      <c r="BW395" s="308">
        <f t="shared" ref="BW395:BX460" si="358">BV395/$D395</f>
        <v>0.2</v>
      </c>
      <c r="BX395" s="310">
        <f>$F395*0.3</f>
        <v>408</v>
      </c>
      <c r="BY395" s="308">
        <f t="shared" ref="BY395:BZ460" si="359">BX395/$D395</f>
        <v>0.3</v>
      </c>
      <c r="BZ395" s="310">
        <f>$F395*0.4</f>
        <v>544</v>
      </c>
      <c r="CA395" s="308">
        <f t="shared" ref="CA395:CB460" si="360">BZ395/$D395</f>
        <v>0.4</v>
      </c>
      <c r="CB395" s="310">
        <f>$F395*0.5</f>
        <v>680</v>
      </c>
      <c r="CC395" s="308">
        <f t="shared" ref="CC395:CE458" si="361">CB395/$D395</f>
        <v>0.5</v>
      </c>
      <c r="CD395" s="310">
        <f>$F395*0.55</f>
        <v>748.00000000000011</v>
      </c>
      <c r="CE395" s="308">
        <f t="shared" si="341"/>
        <v>0.55000000000000004</v>
      </c>
      <c r="CF395" s="310">
        <v>951.99999999999989</v>
      </c>
      <c r="CG395" s="308">
        <f t="shared" ref="CG395:CI458" si="362">CF395/$D395</f>
        <v>0.7</v>
      </c>
      <c r="CH395" s="310">
        <f>$F395*0.7</f>
        <v>951.99999999999989</v>
      </c>
      <c r="CI395" s="308">
        <f t="shared" si="342"/>
        <v>0.7</v>
      </c>
      <c r="CJ395" s="310">
        <f>$F395*0.75</f>
        <v>1020</v>
      </c>
      <c r="CK395" s="308">
        <f t="shared" ref="CK395:CL460" si="363">CJ395/$D395</f>
        <v>0.75</v>
      </c>
      <c r="CL395" s="310">
        <f>$F395*0.75</f>
        <v>1020</v>
      </c>
      <c r="CM395" s="308">
        <f t="shared" ref="CM395:CN460" si="364">CL395/$D395</f>
        <v>0.75</v>
      </c>
      <c r="CN395" s="310">
        <f>$F395*0.95</f>
        <v>1292</v>
      </c>
      <c r="CO395" s="308">
        <f t="shared" ref="CO395:CO460" si="365">CN395/$D395</f>
        <v>0.95</v>
      </c>
      <c r="CP395" s="213" t="str">
        <f t="shared" si="329"/>
        <v>Không đạt</v>
      </c>
      <c r="CQ395" s="213" t="str">
        <f t="shared" si="330"/>
        <v>Không đạt</v>
      </c>
      <c r="CR395" s="312"/>
      <c r="CS395" s="312"/>
      <c r="CT395" s="235"/>
      <c r="CU395" s="163"/>
      <c r="CW395" s="195"/>
      <c r="CX395" s="196"/>
      <c r="CY395" s="196"/>
      <c r="CZ395" s="197"/>
      <c r="DA395" s="196"/>
      <c r="DB395" s="196"/>
      <c r="DC395" s="196"/>
      <c r="DE395" s="199"/>
      <c r="DF395" s="200"/>
      <c r="DG395" s="181"/>
    </row>
    <row r="396" spans="1:112" ht="18" customHeight="1" collapsed="1" x14ac:dyDescent="0.25">
      <c r="A396" s="213">
        <f>MAX(A$239:A394)+1</f>
        <v>46</v>
      </c>
      <c r="B396" s="240" t="s">
        <v>439</v>
      </c>
      <c r="C396" s="240"/>
      <c r="D396" s="188">
        <f t="shared" ref="D396:I396" si="366">D397+D398</f>
        <v>3009</v>
      </c>
      <c r="E396" s="188">
        <f t="shared" si="366"/>
        <v>0</v>
      </c>
      <c r="F396" s="188">
        <f t="shared" si="366"/>
        <v>3009</v>
      </c>
      <c r="G396" s="188">
        <f t="shared" si="366"/>
        <v>3000</v>
      </c>
      <c r="H396" s="188">
        <f t="shared" si="366"/>
        <v>9</v>
      </c>
      <c r="I396" s="188">
        <f t="shared" si="366"/>
        <v>0</v>
      </c>
      <c r="J396" s="188"/>
      <c r="K396" s="188">
        <f>K397+K398</f>
        <v>0</v>
      </c>
      <c r="L396" s="188">
        <f>L397+L398</f>
        <v>0</v>
      </c>
      <c r="M396" s="188">
        <f>M397+M398</f>
        <v>0</v>
      </c>
      <c r="N396" s="188">
        <f>N397+N398</f>
        <v>0</v>
      </c>
      <c r="O396" s="188">
        <f>O397+O398</f>
        <v>3000</v>
      </c>
      <c r="P396" s="188">
        <v>0</v>
      </c>
      <c r="Q396" s="186">
        <f t="shared" ref="Q396:Q461" si="367">P396/$D396</f>
        <v>0</v>
      </c>
      <c r="R396" s="188">
        <v>512.505</v>
      </c>
      <c r="S396" s="185">
        <v>0.17032402791625126</v>
      </c>
      <c r="T396" s="185">
        <v>0.17928845043815922</v>
      </c>
      <c r="U396" s="315">
        <v>557.74099999999999</v>
      </c>
      <c r="V396" s="185">
        <v>0.18535759388501163</v>
      </c>
      <c r="W396" s="185">
        <v>0.19511325672106489</v>
      </c>
      <c r="X396" s="315">
        <v>557.74099999999999</v>
      </c>
      <c r="Y396" s="185">
        <v>0.18535759388501163</v>
      </c>
      <c r="Z396" s="185">
        <v>0.19511325672106489</v>
      </c>
      <c r="AA396" s="315">
        <v>557.74099999999999</v>
      </c>
      <c r="AB396" s="185">
        <v>0.18535759388501163</v>
      </c>
      <c r="AC396" s="185">
        <v>0.19511325672106489</v>
      </c>
      <c r="AD396" s="315">
        <v>1210</v>
      </c>
      <c r="AE396" s="185">
        <v>0.40212695247590563</v>
      </c>
      <c r="AF396" s="185">
        <v>0.42329152892200594</v>
      </c>
      <c r="AG396" s="315">
        <v>1210</v>
      </c>
      <c r="AH396" s="185">
        <v>0.40212695247590563</v>
      </c>
      <c r="AI396" s="185">
        <v>0.42329152892200594</v>
      </c>
      <c r="AJ396" s="303">
        <v>1210</v>
      </c>
      <c r="AK396" s="185">
        <v>0.40212695247590563</v>
      </c>
      <c r="AL396" s="185">
        <v>0.42329152892200594</v>
      </c>
      <c r="AM396" s="346">
        <v>1210</v>
      </c>
      <c r="AN396" s="185">
        <v>0.40212695247590563</v>
      </c>
      <c r="AO396" s="185">
        <v>0.42329152892200594</v>
      </c>
      <c r="AP396" s="185"/>
      <c r="AQ396" s="188">
        <v>1351</v>
      </c>
      <c r="AR396" s="185">
        <v>0.44898637421070126</v>
      </c>
      <c r="AS396" s="185">
        <v>0.47261723601126449</v>
      </c>
      <c r="AT396" s="188">
        <v>1351</v>
      </c>
      <c r="AU396" s="185">
        <v>0.44898637421070126</v>
      </c>
      <c r="AV396" s="185">
        <v>0.47261723601126449</v>
      </c>
      <c r="AW396" s="185"/>
      <c r="AX396" s="185"/>
      <c r="AY396" s="185"/>
      <c r="AZ396" s="185"/>
      <c r="BA396" s="185"/>
      <c r="BB396" s="185"/>
      <c r="BC396" s="188">
        <v>1351</v>
      </c>
      <c r="BD396" s="185">
        <v>0.44898637421070126</v>
      </c>
      <c r="BE396" s="185">
        <v>0.47261723601126449</v>
      </c>
      <c r="BF396" s="188"/>
      <c r="BG396" s="188">
        <v>2041</v>
      </c>
      <c r="BH396" s="185">
        <v>0.67829843801927547</v>
      </c>
      <c r="BI396" s="185">
        <v>0.71399835580976379</v>
      </c>
      <c r="BJ396" s="188">
        <f t="shared" ref="BJ396:BJ459" si="368">E396+(F396*0.95)</f>
        <v>2858.5499999999997</v>
      </c>
      <c r="BK396" s="188">
        <f>BK397+BK398</f>
        <v>2590.1149999999998</v>
      </c>
      <c r="BL396" s="185">
        <f t="shared" si="354"/>
        <v>0.86078929877035548</v>
      </c>
      <c r="BM396" s="185">
        <f t="shared" si="328"/>
        <v>0.90609399870563745</v>
      </c>
      <c r="BN396" s="205">
        <f t="shared" si="352"/>
        <v>1380.1149999999998</v>
      </c>
      <c r="BO396" s="205"/>
      <c r="BP396" s="189">
        <f>BP397+BP398</f>
        <v>0</v>
      </c>
      <c r="BQ396" s="186">
        <f t="shared" si="355"/>
        <v>0</v>
      </c>
      <c r="BR396" s="189">
        <f>BR397+BR398</f>
        <v>0</v>
      </c>
      <c r="BS396" s="186">
        <f t="shared" si="356"/>
        <v>0</v>
      </c>
      <c r="BT396" s="189">
        <f>BT397+BT398</f>
        <v>897</v>
      </c>
      <c r="BU396" s="186">
        <f t="shared" si="357"/>
        <v>0.29810568295114653</v>
      </c>
      <c r="BV396" s="189">
        <f>BV397+BV398</f>
        <v>897</v>
      </c>
      <c r="BW396" s="186">
        <f t="shared" si="358"/>
        <v>0.29810568295114653</v>
      </c>
      <c r="BX396" s="189">
        <f>BX397+BX398</f>
        <v>897</v>
      </c>
      <c r="BY396" s="186">
        <f t="shared" si="359"/>
        <v>0.29810568295114653</v>
      </c>
      <c r="BZ396" s="189">
        <f>BZ397+BZ398</f>
        <v>2848</v>
      </c>
      <c r="CA396" s="186">
        <f t="shared" si="360"/>
        <v>0.94649385177799938</v>
      </c>
      <c r="CB396" s="189">
        <f>CB397+CB398</f>
        <v>2856.55</v>
      </c>
      <c r="CC396" s="186">
        <f t="shared" si="361"/>
        <v>0.94933532735127957</v>
      </c>
      <c r="CD396" s="189">
        <f>CD397+CD398</f>
        <v>2856.55</v>
      </c>
      <c r="CE396" s="186">
        <f t="shared" si="341"/>
        <v>0.94933532735127957</v>
      </c>
      <c r="CF396" s="189">
        <f>CF397+CF398</f>
        <v>2856.55</v>
      </c>
      <c r="CG396" s="186">
        <f t="shared" si="362"/>
        <v>0.94933532735127957</v>
      </c>
      <c r="CH396" s="189">
        <f>CH397+CH398</f>
        <v>2856.55</v>
      </c>
      <c r="CI396" s="186">
        <f t="shared" si="342"/>
        <v>0.94933532735127957</v>
      </c>
      <c r="CJ396" s="189">
        <f>CJ397+CJ398</f>
        <v>2856.55</v>
      </c>
      <c r="CK396" s="186">
        <f t="shared" si="363"/>
        <v>0.94933532735127957</v>
      </c>
      <c r="CL396" s="189">
        <f>CL397+CL398</f>
        <v>2856.55</v>
      </c>
      <c r="CM396" s="186">
        <f t="shared" si="364"/>
        <v>0.94933532735127957</v>
      </c>
      <c r="CN396" s="189">
        <f>CN397+CN398</f>
        <v>2856.55</v>
      </c>
      <c r="CO396" s="186">
        <f t="shared" si="365"/>
        <v>0.94933532735127957</v>
      </c>
      <c r="CP396" s="213" t="str">
        <f t="shared" si="329"/>
        <v>Đạt</v>
      </c>
      <c r="CQ396" s="213" t="str">
        <f t="shared" si="330"/>
        <v>Đạt</v>
      </c>
      <c r="CR396" s="213"/>
      <c r="CS396" s="213"/>
      <c r="CT396" s="231"/>
      <c r="CU396" s="163"/>
      <c r="CW396" s="195"/>
      <c r="CX396" s="196"/>
      <c r="CY396" s="196"/>
      <c r="CZ396" s="197"/>
      <c r="DA396" s="196"/>
      <c r="DB396" s="196"/>
      <c r="DC396" s="196"/>
      <c r="DE396" s="199"/>
      <c r="DF396" s="200"/>
      <c r="DG396" s="181"/>
    </row>
    <row r="397" spans="1:112" s="324" customFormat="1" hidden="1" outlineLevel="1" x14ac:dyDescent="0.25">
      <c r="A397" s="305" t="s">
        <v>34</v>
      </c>
      <c r="B397" s="306" t="s">
        <v>376</v>
      </c>
      <c r="C397" s="306"/>
      <c r="D397" s="307">
        <f>E397+F397</f>
        <v>3000</v>
      </c>
      <c r="E397" s="307"/>
      <c r="F397" s="307">
        <f>G397+H397+K397+M397</f>
        <v>3000</v>
      </c>
      <c r="G397" s="303">
        <v>3000</v>
      </c>
      <c r="H397" s="303"/>
      <c r="I397" s="235"/>
      <c r="J397" s="235"/>
      <c r="K397" s="303"/>
      <c r="L397" s="235"/>
      <c r="M397" s="223"/>
      <c r="N397" s="223"/>
      <c r="O397" s="303">
        <f>G397+I397+L397+N397</f>
        <v>3000</v>
      </c>
      <c r="P397" s="303">
        <v>0</v>
      </c>
      <c r="Q397" s="308">
        <f t="shared" si="367"/>
        <v>0</v>
      </c>
      <c r="R397" s="303">
        <v>512.505</v>
      </c>
      <c r="S397" s="313">
        <v>0.17083499999999999</v>
      </c>
      <c r="T397" s="313">
        <v>0.1798263157894737</v>
      </c>
      <c r="U397" s="303">
        <v>557.74099999999999</v>
      </c>
      <c r="V397" s="313">
        <v>0.18591366666666667</v>
      </c>
      <c r="W397" s="313">
        <v>0.19569859649122806</v>
      </c>
      <c r="X397" s="303">
        <v>557.74099999999999</v>
      </c>
      <c r="Y397" s="313">
        <v>0.18591366666666667</v>
      </c>
      <c r="Z397" s="313">
        <v>0.19569859649122806</v>
      </c>
      <c r="AA397" s="303">
        <v>557.74099999999999</v>
      </c>
      <c r="AB397" s="313">
        <v>0.18591366666666667</v>
      </c>
      <c r="AC397" s="313">
        <v>0.19569859649122806</v>
      </c>
      <c r="AD397" s="303">
        <v>1210</v>
      </c>
      <c r="AE397" s="313">
        <v>0.40333333333333332</v>
      </c>
      <c r="AF397" s="313">
        <v>0.42456140350877192</v>
      </c>
      <c r="AG397" s="303">
        <v>1210</v>
      </c>
      <c r="AH397" s="313">
        <v>0.40333333333333332</v>
      </c>
      <c r="AI397" s="313">
        <v>0.42456140350877192</v>
      </c>
      <c r="AJ397" s="303">
        <v>1210</v>
      </c>
      <c r="AK397" s="313">
        <v>0.40333333333333332</v>
      </c>
      <c r="AL397" s="313">
        <v>0.42456140350877192</v>
      </c>
      <c r="AM397" s="303">
        <v>1210</v>
      </c>
      <c r="AN397" s="313">
        <v>0.40333333333333332</v>
      </c>
      <c r="AO397" s="313">
        <v>0.42456140350877192</v>
      </c>
      <c r="AP397" s="313"/>
      <c r="AQ397" s="303">
        <v>1351</v>
      </c>
      <c r="AR397" s="313">
        <v>0.45033333333333331</v>
      </c>
      <c r="AS397" s="313">
        <v>0.47403508771929825</v>
      </c>
      <c r="AT397" s="303">
        <v>1351</v>
      </c>
      <c r="AU397" s="313">
        <v>0.45033333333333331</v>
      </c>
      <c r="AV397" s="313">
        <v>0.47403508771929825</v>
      </c>
      <c r="AW397" s="313"/>
      <c r="AX397" s="313"/>
      <c r="AY397" s="313"/>
      <c r="AZ397" s="313"/>
      <c r="BA397" s="313"/>
      <c r="BB397" s="313"/>
      <c r="BC397" s="303">
        <v>1351</v>
      </c>
      <c r="BD397" s="313">
        <v>0.45033333333333331</v>
      </c>
      <c r="BE397" s="313">
        <v>0.47403508771929825</v>
      </c>
      <c r="BF397" s="303"/>
      <c r="BG397" s="303">
        <v>2041</v>
      </c>
      <c r="BH397" s="313">
        <v>0.68033333333333335</v>
      </c>
      <c r="BI397" s="313">
        <v>0.71614035087719297</v>
      </c>
      <c r="BJ397" s="303">
        <f t="shared" si="368"/>
        <v>2850</v>
      </c>
      <c r="BK397" s="303">
        <v>2590.1149999999998</v>
      </c>
      <c r="BL397" s="313">
        <f t="shared" si="354"/>
        <v>0.86337166666666665</v>
      </c>
      <c r="BM397" s="313">
        <f t="shared" si="328"/>
        <v>0.90881228070175435</v>
      </c>
      <c r="BN397" s="205">
        <f t="shared" si="352"/>
        <v>1380.1149999999998</v>
      </c>
      <c r="BO397" s="205"/>
      <c r="BP397" s="310"/>
      <c r="BQ397" s="311">
        <f t="shared" si="355"/>
        <v>0</v>
      </c>
      <c r="BR397" s="310"/>
      <c r="BS397" s="311">
        <f t="shared" si="356"/>
        <v>0</v>
      </c>
      <c r="BT397" s="310">
        <v>897</v>
      </c>
      <c r="BU397" s="308">
        <f t="shared" si="357"/>
        <v>0.29899999999999999</v>
      </c>
      <c r="BV397" s="310">
        <v>897</v>
      </c>
      <c r="BW397" s="311">
        <f t="shared" si="358"/>
        <v>0.29899999999999999</v>
      </c>
      <c r="BX397" s="310">
        <f>98+799</f>
        <v>897</v>
      </c>
      <c r="BY397" s="311">
        <f t="shared" si="359"/>
        <v>0.29899999999999999</v>
      </c>
      <c r="BZ397" s="310">
        <v>2848</v>
      </c>
      <c r="CA397" s="311">
        <f t="shared" si="360"/>
        <v>0.94933333333333336</v>
      </c>
      <c r="CB397" s="310">
        <v>2848</v>
      </c>
      <c r="CC397" s="311">
        <f t="shared" si="361"/>
        <v>0.94933333333333336</v>
      </c>
      <c r="CD397" s="310">
        <v>2848</v>
      </c>
      <c r="CE397" s="311">
        <f t="shared" si="341"/>
        <v>0.94933333333333336</v>
      </c>
      <c r="CF397" s="310">
        <v>2848</v>
      </c>
      <c r="CG397" s="311">
        <f t="shared" si="362"/>
        <v>0.94933333333333336</v>
      </c>
      <c r="CH397" s="310">
        <v>2848</v>
      </c>
      <c r="CI397" s="311">
        <f t="shared" si="342"/>
        <v>0.94933333333333336</v>
      </c>
      <c r="CJ397" s="310">
        <v>2848</v>
      </c>
      <c r="CK397" s="311">
        <f t="shared" si="363"/>
        <v>0.94933333333333336</v>
      </c>
      <c r="CL397" s="310">
        <v>2848</v>
      </c>
      <c r="CM397" s="311">
        <f t="shared" si="364"/>
        <v>0.94933333333333336</v>
      </c>
      <c r="CN397" s="310">
        <v>2848</v>
      </c>
      <c r="CO397" s="311">
        <f t="shared" si="365"/>
        <v>0.94933333333333336</v>
      </c>
      <c r="CP397" s="213" t="str">
        <f t="shared" si="329"/>
        <v>Đạt</v>
      </c>
      <c r="CQ397" s="213" t="str">
        <f t="shared" si="330"/>
        <v>Đạt</v>
      </c>
      <c r="CR397" s="312"/>
      <c r="CS397" s="312"/>
      <c r="CT397" s="235"/>
      <c r="CU397" s="163"/>
      <c r="CV397" s="323"/>
      <c r="CW397" s="195"/>
      <c r="CX397" s="196"/>
      <c r="CY397" s="196"/>
      <c r="CZ397" s="197"/>
      <c r="DA397" s="196"/>
      <c r="DB397" s="196"/>
      <c r="DC397" s="196"/>
      <c r="DE397" s="199"/>
      <c r="DF397" s="200"/>
      <c r="DG397" s="181"/>
    </row>
    <row r="398" spans="1:112" ht="25.5" hidden="1" outlineLevel="1" x14ac:dyDescent="0.25">
      <c r="A398" s="305" t="s">
        <v>34</v>
      </c>
      <c r="B398" s="306" t="s">
        <v>377</v>
      </c>
      <c r="C398" s="306"/>
      <c r="D398" s="307">
        <f>E398+F398</f>
        <v>9</v>
      </c>
      <c r="E398" s="307"/>
      <c r="F398" s="307">
        <f>G398+H398+K398+M398</f>
        <v>9</v>
      </c>
      <c r="G398" s="307"/>
      <c r="H398" s="307">
        <v>9</v>
      </c>
      <c r="I398" s="235"/>
      <c r="J398" s="235"/>
      <c r="K398" s="303"/>
      <c r="L398" s="235"/>
      <c r="M398" s="223"/>
      <c r="N398" s="223"/>
      <c r="O398" s="303"/>
      <c r="P398" s="303">
        <v>0</v>
      </c>
      <c r="Q398" s="308">
        <f t="shared" si="367"/>
        <v>0</v>
      </c>
      <c r="R398" s="303"/>
      <c r="S398" s="313">
        <v>0</v>
      </c>
      <c r="T398" s="313">
        <v>0</v>
      </c>
      <c r="U398" s="303"/>
      <c r="V398" s="313">
        <v>0</v>
      </c>
      <c r="W398" s="313">
        <v>0</v>
      </c>
      <c r="X398" s="303"/>
      <c r="Y398" s="313">
        <v>0</v>
      </c>
      <c r="Z398" s="313">
        <v>0</v>
      </c>
      <c r="AA398" s="303"/>
      <c r="AB398" s="313">
        <v>0</v>
      </c>
      <c r="AC398" s="313">
        <v>0</v>
      </c>
      <c r="AD398" s="303"/>
      <c r="AE398" s="313">
        <v>0</v>
      </c>
      <c r="AF398" s="313">
        <v>0</v>
      </c>
      <c r="AG398" s="303"/>
      <c r="AH398" s="313">
        <v>0</v>
      </c>
      <c r="AI398" s="313">
        <v>0</v>
      </c>
      <c r="AJ398" s="188"/>
      <c r="AK398" s="313">
        <v>0</v>
      </c>
      <c r="AL398" s="313">
        <v>0</v>
      </c>
      <c r="AM398" s="303"/>
      <c r="AN398" s="313">
        <v>0</v>
      </c>
      <c r="AO398" s="313">
        <v>0</v>
      </c>
      <c r="AP398" s="313"/>
      <c r="AQ398" s="303"/>
      <c r="AR398" s="313">
        <v>0</v>
      </c>
      <c r="AS398" s="313">
        <v>0</v>
      </c>
      <c r="AT398" s="303"/>
      <c r="AU398" s="313">
        <v>0</v>
      </c>
      <c r="AV398" s="313">
        <v>0</v>
      </c>
      <c r="AW398" s="313"/>
      <c r="AX398" s="313"/>
      <c r="AY398" s="313"/>
      <c r="AZ398" s="313"/>
      <c r="BA398" s="313"/>
      <c r="BB398" s="313"/>
      <c r="BC398" s="303"/>
      <c r="BD398" s="313">
        <v>0</v>
      </c>
      <c r="BE398" s="313">
        <v>0</v>
      </c>
      <c r="BF398" s="303"/>
      <c r="BG398" s="303"/>
      <c r="BH398" s="313">
        <v>0</v>
      </c>
      <c r="BI398" s="313">
        <v>0</v>
      </c>
      <c r="BJ398" s="303">
        <f t="shared" si="368"/>
        <v>8.5499999999999989</v>
      </c>
      <c r="BK398" s="303"/>
      <c r="BL398" s="313">
        <f t="shared" si="354"/>
        <v>0</v>
      </c>
      <c r="BM398" s="313">
        <f t="shared" ref="BM398:BM463" si="369">BK398/(E398+0.95*F398)</f>
        <v>0</v>
      </c>
      <c r="BN398" s="205">
        <f t="shared" si="352"/>
        <v>0</v>
      </c>
      <c r="BO398" s="205"/>
      <c r="BP398" s="310"/>
      <c r="BQ398" s="311">
        <f t="shared" si="355"/>
        <v>0</v>
      </c>
      <c r="BR398" s="310"/>
      <c r="BS398" s="311">
        <f t="shared" si="356"/>
        <v>0</v>
      </c>
      <c r="BT398" s="310"/>
      <c r="BU398" s="308">
        <f t="shared" si="357"/>
        <v>0</v>
      </c>
      <c r="BV398" s="310"/>
      <c r="BW398" s="311">
        <f t="shared" si="358"/>
        <v>0</v>
      </c>
      <c r="BX398" s="310"/>
      <c r="BY398" s="311">
        <f t="shared" si="359"/>
        <v>0</v>
      </c>
      <c r="BZ398" s="310"/>
      <c r="CA398" s="311">
        <f t="shared" si="360"/>
        <v>0</v>
      </c>
      <c r="CB398" s="310">
        <f>9*0.95</f>
        <v>8.5499999999999989</v>
      </c>
      <c r="CC398" s="311">
        <f t="shared" si="361"/>
        <v>0.94999999999999984</v>
      </c>
      <c r="CD398" s="310">
        <v>8.5499999999999989</v>
      </c>
      <c r="CE398" s="311">
        <f t="shared" si="341"/>
        <v>0.94999999999999984</v>
      </c>
      <c r="CF398" s="310">
        <v>8.5499999999999989</v>
      </c>
      <c r="CG398" s="311">
        <f t="shared" si="362"/>
        <v>0.94999999999999984</v>
      </c>
      <c r="CH398" s="310">
        <v>8.5499999999999989</v>
      </c>
      <c r="CI398" s="311">
        <f t="shared" si="342"/>
        <v>0.94999999999999984</v>
      </c>
      <c r="CJ398" s="310">
        <v>8.5499999999999989</v>
      </c>
      <c r="CK398" s="311">
        <f t="shared" si="363"/>
        <v>0.94999999999999984</v>
      </c>
      <c r="CL398" s="310">
        <v>8.5499999999999989</v>
      </c>
      <c r="CM398" s="311">
        <f t="shared" si="364"/>
        <v>0.94999999999999984</v>
      </c>
      <c r="CN398" s="310">
        <v>8.5499999999999989</v>
      </c>
      <c r="CO398" s="311">
        <f t="shared" si="365"/>
        <v>0.94999999999999984</v>
      </c>
      <c r="CP398" s="213" t="str">
        <f t="shared" ref="CP398:CP461" si="370">IF(BM398&gt;34.7%,"Đạt","Không đạt")</f>
        <v>Không đạt</v>
      </c>
      <c r="CQ398" s="213" t="str">
        <f t="shared" ref="CQ398:CQ461" si="371">IF(BM398&gt;43.8%,"Đạt","Không đạt")</f>
        <v>Không đạt</v>
      </c>
      <c r="CR398" s="312"/>
      <c r="CS398" s="312"/>
      <c r="CT398" s="235"/>
      <c r="CU398" s="163"/>
      <c r="CW398" s="195"/>
      <c r="CX398" s="196"/>
      <c r="CY398" s="196"/>
      <c r="CZ398" s="197"/>
      <c r="DA398" s="196"/>
      <c r="DB398" s="196"/>
      <c r="DC398" s="196"/>
      <c r="DE398" s="199"/>
      <c r="DF398" s="200"/>
      <c r="DG398" s="181"/>
    </row>
    <row r="399" spans="1:112" ht="18" customHeight="1" collapsed="1" x14ac:dyDescent="0.25">
      <c r="A399" s="316">
        <f>MAX(A$239:A397)+1</f>
        <v>47</v>
      </c>
      <c r="B399" s="240" t="s">
        <v>440</v>
      </c>
      <c r="C399" s="240"/>
      <c r="D399" s="188">
        <f t="shared" ref="D399:I399" si="372">D400+D401</f>
        <v>3170</v>
      </c>
      <c r="E399" s="188">
        <f t="shared" si="372"/>
        <v>0</v>
      </c>
      <c r="F399" s="188">
        <f t="shared" si="372"/>
        <v>3170</v>
      </c>
      <c r="G399" s="188">
        <f t="shared" si="372"/>
        <v>3000</v>
      </c>
      <c r="H399" s="188">
        <f t="shared" si="372"/>
        <v>170</v>
      </c>
      <c r="I399" s="188">
        <f t="shared" si="372"/>
        <v>0</v>
      </c>
      <c r="J399" s="188"/>
      <c r="K399" s="188">
        <f>K400+K401</f>
        <v>0</v>
      </c>
      <c r="L399" s="188">
        <f>L400+L401</f>
        <v>0</v>
      </c>
      <c r="M399" s="188">
        <f>M400+M401</f>
        <v>0</v>
      </c>
      <c r="N399" s="188">
        <f>N400+N401</f>
        <v>0</v>
      </c>
      <c r="O399" s="188">
        <f>O400+O401</f>
        <v>3000</v>
      </c>
      <c r="P399" s="188">
        <v>0</v>
      </c>
      <c r="Q399" s="186">
        <f t="shared" si="367"/>
        <v>0</v>
      </c>
      <c r="R399" s="188">
        <v>0</v>
      </c>
      <c r="S399" s="185">
        <v>0</v>
      </c>
      <c r="T399" s="185">
        <v>0</v>
      </c>
      <c r="U399" s="188">
        <v>0</v>
      </c>
      <c r="V399" s="185">
        <v>0</v>
      </c>
      <c r="W399" s="185">
        <v>0</v>
      </c>
      <c r="X399" s="188">
        <v>0</v>
      </c>
      <c r="Y399" s="185">
        <v>0</v>
      </c>
      <c r="Z399" s="185">
        <v>0</v>
      </c>
      <c r="AA399" s="188">
        <v>0</v>
      </c>
      <c r="AB399" s="185">
        <v>0</v>
      </c>
      <c r="AC399" s="185">
        <v>0</v>
      </c>
      <c r="AD399" s="188">
        <v>0</v>
      </c>
      <c r="AE399" s="185">
        <v>0</v>
      </c>
      <c r="AF399" s="185">
        <v>0</v>
      </c>
      <c r="AG399" s="188">
        <v>0</v>
      </c>
      <c r="AH399" s="185">
        <v>0</v>
      </c>
      <c r="AI399" s="185">
        <v>0</v>
      </c>
      <c r="AJ399" s="303">
        <v>0</v>
      </c>
      <c r="AK399" s="185">
        <v>0</v>
      </c>
      <c r="AL399" s="185">
        <v>0</v>
      </c>
      <c r="AM399" s="188">
        <v>498</v>
      </c>
      <c r="AN399" s="185">
        <v>0.15709779179810726</v>
      </c>
      <c r="AO399" s="185">
        <v>0.1653660966295866</v>
      </c>
      <c r="AP399" s="185"/>
      <c r="AQ399" s="188">
        <v>666</v>
      </c>
      <c r="AR399" s="185">
        <v>0.21009463722397476</v>
      </c>
      <c r="AS399" s="185">
        <v>0.22115224970944711</v>
      </c>
      <c r="AT399" s="188">
        <v>707</v>
      </c>
      <c r="AU399" s="185">
        <v>0.22302839116719242</v>
      </c>
      <c r="AV399" s="185">
        <v>0.23476672754441308</v>
      </c>
      <c r="AW399" s="185"/>
      <c r="AX399" s="185"/>
      <c r="AY399" s="185"/>
      <c r="AZ399" s="185"/>
      <c r="BA399" s="185"/>
      <c r="BB399" s="185"/>
      <c r="BC399" s="188">
        <v>707</v>
      </c>
      <c r="BD399" s="185">
        <v>0.22302839116719242</v>
      </c>
      <c r="BE399" s="185">
        <v>0.23476672754441308</v>
      </c>
      <c r="BF399" s="188"/>
      <c r="BG399" s="188">
        <v>984</v>
      </c>
      <c r="BH399" s="185">
        <v>0.31041009463722397</v>
      </c>
      <c r="BI399" s="185">
        <v>0.32674746803918314</v>
      </c>
      <c r="BJ399" s="188">
        <f t="shared" si="368"/>
        <v>3011.5</v>
      </c>
      <c r="BK399" s="188">
        <v>989</v>
      </c>
      <c r="BL399" s="185">
        <f t="shared" si="354"/>
        <v>0.31198738170347001</v>
      </c>
      <c r="BM399" s="185">
        <f t="shared" si="369"/>
        <v>0.328407770214179</v>
      </c>
      <c r="BN399" s="205">
        <f t="shared" si="352"/>
        <v>989</v>
      </c>
      <c r="BO399" s="205"/>
      <c r="BP399" s="189">
        <f>BP400+BP401</f>
        <v>0</v>
      </c>
      <c r="BQ399" s="186">
        <f t="shared" si="355"/>
        <v>0</v>
      </c>
      <c r="BR399" s="189">
        <f>BR400+BR401</f>
        <v>0</v>
      </c>
      <c r="BS399" s="186">
        <f t="shared" si="356"/>
        <v>0</v>
      </c>
      <c r="BT399" s="189">
        <f>BT400+BT401</f>
        <v>900</v>
      </c>
      <c r="BU399" s="186">
        <f t="shared" si="357"/>
        <v>0.28391167192429023</v>
      </c>
      <c r="BV399" s="189">
        <f>BV400+BV401</f>
        <v>900</v>
      </c>
      <c r="BW399" s="186">
        <f t="shared" si="358"/>
        <v>0.28391167192429023</v>
      </c>
      <c r="BX399" s="189">
        <f>BX400+BX401</f>
        <v>1140</v>
      </c>
      <c r="BY399" s="186">
        <f t="shared" si="359"/>
        <v>0.35962145110410093</v>
      </c>
      <c r="BZ399" s="189">
        <f>BZ400+BZ401</f>
        <v>1350</v>
      </c>
      <c r="CA399" s="186">
        <f t="shared" si="360"/>
        <v>0.42586750788643535</v>
      </c>
      <c r="CB399" s="189">
        <f>CB400+CB401</f>
        <v>1880</v>
      </c>
      <c r="CC399" s="186">
        <f t="shared" si="361"/>
        <v>0.59305993690851733</v>
      </c>
      <c r="CD399" s="189">
        <f>CD400+CD401</f>
        <v>1885</v>
      </c>
      <c r="CE399" s="186">
        <f t="shared" si="341"/>
        <v>0.59463722397476337</v>
      </c>
      <c r="CF399" s="189">
        <f>CF400+CF401</f>
        <v>2935</v>
      </c>
      <c r="CG399" s="186">
        <f t="shared" si="362"/>
        <v>0.92586750788643535</v>
      </c>
      <c r="CH399" s="189">
        <f>CH400+CH401</f>
        <v>2935</v>
      </c>
      <c r="CI399" s="186">
        <f t="shared" si="342"/>
        <v>0.92586750788643535</v>
      </c>
      <c r="CJ399" s="189">
        <f>CJ400+CJ401</f>
        <v>2935</v>
      </c>
      <c r="CK399" s="186">
        <f t="shared" si="363"/>
        <v>0.92586750788643535</v>
      </c>
      <c r="CL399" s="189">
        <f>CL400+CL401</f>
        <v>3011.5</v>
      </c>
      <c r="CM399" s="186">
        <f t="shared" si="364"/>
        <v>0.95</v>
      </c>
      <c r="CN399" s="189">
        <f>CN400+CN401</f>
        <v>3011.5</v>
      </c>
      <c r="CO399" s="186">
        <f t="shared" si="365"/>
        <v>0.95</v>
      </c>
      <c r="CP399" s="213" t="str">
        <f t="shared" si="370"/>
        <v>Không đạt</v>
      </c>
      <c r="CQ399" s="213" t="str">
        <f t="shared" si="371"/>
        <v>Không đạt</v>
      </c>
      <c r="CR399" s="213"/>
      <c r="CS399" s="213"/>
      <c r="CT399" s="231"/>
      <c r="CU399" s="163"/>
      <c r="CW399" s="195"/>
      <c r="CX399" s="196"/>
      <c r="CY399" s="196"/>
      <c r="CZ399" s="197"/>
      <c r="DA399" s="196"/>
      <c r="DB399" s="196"/>
      <c r="DC399" s="196"/>
      <c r="DE399" s="199"/>
      <c r="DF399" s="200"/>
      <c r="DG399" s="181"/>
    </row>
    <row r="400" spans="1:112" s="324" customFormat="1" hidden="1" outlineLevel="1" x14ac:dyDescent="0.25">
      <c r="A400" s="305" t="s">
        <v>34</v>
      </c>
      <c r="B400" s="306" t="s">
        <v>376</v>
      </c>
      <c r="C400" s="306"/>
      <c r="D400" s="307">
        <f>E400+F400</f>
        <v>3000</v>
      </c>
      <c r="E400" s="307"/>
      <c r="F400" s="307">
        <f>G400+H400+K400+M400</f>
        <v>3000</v>
      </c>
      <c r="G400" s="303">
        <v>3000</v>
      </c>
      <c r="H400" s="303"/>
      <c r="I400" s="235"/>
      <c r="J400" s="235"/>
      <c r="K400" s="303"/>
      <c r="L400" s="235"/>
      <c r="M400" s="223"/>
      <c r="N400" s="223"/>
      <c r="O400" s="303">
        <f>G400+I400+L400+N400</f>
        <v>3000</v>
      </c>
      <c r="P400" s="303">
        <v>0</v>
      </c>
      <c r="Q400" s="308">
        <f t="shared" si="367"/>
        <v>0</v>
      </c>
      <c r="R400" s="303"/>
      <c r="S400" s="313">
        <v>0</v>
      </c>
      <c r="T400" s="313">
        <v>0</v>
      </c>
      <c r="U400" s="303"/>
      <c r="V400" s="313">
        <v>0</v>
      </c>
      <c r="W400" s="313">
        <v>0</v>
      </c>
      <c r="X400" s="303"/>
      <c r="Y400" s="313">
        <v>0</v>
      </c>
      <c r="Z400" s="313">
        <v>0</v>
      </c>
      <c r="AA400" s="303"/>
      <c r="AB400" s="313">
        <v>0</v>
      </c>
      <c r="AC400" s="313">
        <v>0</v>
      </c>
      <c r="AD400" s="303"/>
      <c r="AE400" s="313">
        <v>0</v>
      </c>
      <c r="AF400" s="313">
        <v>0</v>
      </c>
      <c r="AG400" s="303"/>
      <c r="AH400" s="313">
        <v>0</v>
      </c>
      <c r="AI400" s="313">
        <v>0</v>
      </c>
      <c r="AJ400" s="303"/>
      <c r="AK400" s="313">
        <v>0</v>
      </c>
      <c r="AL400" s="313">
        <v>0</v>
      </c>
      <c r="AM400" s="303">
        <v>498</v>
      </c>
      <c r="AN400" s="313">
        <v>0.16600000000000001</v>
      </c>
      <c r="AO400" s="313">
        <v>0.17473684210526316</v>
      </c>
      <c r="AP400" s="313"/>
      <c r="AQ400" s="303">
        <v>666</v>
      </c>
      <c r="AR400" s="313">
        <v>0.222</v>
      </c>
      <c r="AS400" s="313">
        <v>0.2336842105263158</v>
      </c>
      <c r="AT400" s="303">
        <v>707</v>
      </c>
      <c r="AU400" s="313">
        <v>0.23566666666666666</v>
      </c>
      <c r="AV400" s="313">
        <v>0.2480701754385965</v>
      </c>
      <c r="AW400" s="313"/>
      <c r="AX400" s="313"/>
      <c r="AY400" s="313"/>
      <c r="AZ400" s="313"/>
      <c r="BA400" s="313"/>
      <c r="BB400" s="313"/>
      <c r="BC400" s="303">
        <v>707</v>
      </c>
      <c r="BD400" s="313">
        <v>0.23566666666666666</v>
      </c>
      <c r="BE400" s="313">
        <v>0.2480701754385965</v>
      </c>
      <c r="BF400" s="303"/>
      <c r="BG400" s="303">
        <v>984</v>
      </c>
      <c r="BH400" s="313">
        <v>0.32800000000000001</v>
      </c>
      <c r="BI400" s="313">
        <v>0.34526315789473683</v>
      </c>
      <c r="BJ400" s="303">
        <f t="shared" si="368"/>
        <v>2850</v>
      </c>
      <c r="BK400" s="303">
        <v>984</v>
      </c>
      <c r="BL400" s="313">
        <f t="shared" si="354"/>
        <v>0.32800000000000001</v>
      </c>
      <c r="BM400" s="313">
        <f t="shared" si="369"/>
        <v>0.34526315789473683</v>
      </c>
      <c r="BN400" s="205">
        <f t="shared" si="352"/>
        <v>984</v>
      </c>
      <c r="BO400" s="205"/>
      <c r="BP400" s="310"/>
      <c r="BQ400" s="311">
        <f t="shared" si="355"/>
        <v>0</v>
      </c>
      <c r="BR400" s="310"/>
      <c r="BS400" s="311">
        <f t="shared" si="356"/>
        <v>0</v>
      </c>
      <c r="BT400" s="310">
        <v>900</v>
      </c>
      <c r="BU400" s="308">
        <f t="shared" si="357"/>
        <v>0.3</v>
      </c>
      <c r="BV400" s="310">
        <v>900</v>
      </c>
      <c r="BW400" s="347">
        <f t="shared" si="358"/>
        <v>0.3</v>
      </c>
      <c r="BX400" s="310">
        <v>1140</v>
      </c>
      <c r="BY400" s="311">
        <f t="shared" si="359"/>
        <v>0.38</v>
      </c>
      <c r="BZ400" s="310">
        <v>1350</v>
      </c>
      <c r="CA400" s="311">
        <f t="shared" si="360"/>
        <v>0.45</v>
      </c>
      <c r="CB400" s="310">
        <v>1800</v>
      </c>
      <c r="CC400" s="311">
        <f t="shared" si="361"/>
        <v>0.6</v>
      </c>
      <c r="CD400" s="310">
        <v>1800</v>
      </c>
      <c r="CE400" s="311">
        <f t="shared" si="341"/>
        <v>0.6</v>
      </c>
      <c r="CF400" s="310">
        <v>2850</v>
      </c>
      <c r="CG400" s="311">
        <f t="shared" si="362"/>
        <v>0.95</v>
      </c>
      <c r="CH400" s="310">
        <v>2850</v>
      </c>
      <c r="CI400" s="311">
        <f t="shared" si="342"/>
        <v>0.95</v>
      </c>
      <c r="CJ400" s="310">
        <v>2850</v>
      </c>
      <c r="CK400" s="311">
        <f t="shared" si="363"/>
        <v>0.95</v>
      </c>
      <c r="CL400" s="310">
        <v>2850</v>
      </c>
      <c r="CM400" s="311">
        <f t="shared" si="364"/>
        <v>0.95</v>
      </c>
      <c r="CN400" s="310">
        <v>2850</v>
      </c>
      <c r="CO400" s="311">
        <f t="shared" si="365"/>
        <v>0.95</v>
      </c>
      <c r="CP400" s="213" t="str">
        <f t="shared" si="370"/>
        <v>Không đạt</v>
      </c>
      <c r="CQ400" s="213" t="str">
        <f t="shared" si="371"/>
        <v>Không đạt</v>
      </c>
      <c r="CR400" s="312"/>
      <c r="CS400" s="312"/>
      <c r="CT400" s="235"/>
      <c r="CU400" s="163"/>
      <c r="CV400" s="323"/>
      <c r="CW400" s="195"/>
      <c r="CX400" s="196"/>
      <c r="CY400" s="196"/>
      <c r="CZ400" s="197"/>
      <c r="DA400" s="196"/>
      <c r="DB400" s="196"/>
      <c r="DC400" s="196"/>
      <c r="DE400" s="199"/>
      <c r="DF400" s="200"/>
      <c r="DG400" s="181"/>
    </row>
    <row r="401" spans="1:112" ht="25.5" hidden="1" outlineLevel="1" x14ac:dyDescent="0.25">
      <c r="A401" s="305" t="s">
        <v>34</v>
      </c>
      <c r="B401" s="306" t="s">
        <v>377</v>
      </c>
      <c r="C401" s="306"/>
      <c r="D401" s="307">
        <f>E401+F401</f>
        <v>170</v>
      </c>
      <c r="E401" s="307"/>
      <c r="F401" s="307">
        <f>G401+H401+K401+M401</f>
        <v>170</v>
      </c>
      <c r="G401" s="307"/>
      <c r="H401" s="307">
        <v>170</v>
      </c>
      <c r="I401" s="235"/>
      <c r="J401" s="235"/>
      <c r="K401" s="303"/>
      <c r="L401" s="235"/>
      <c r="M401" s="223"/>
      <c r="N401" s="223"/>
      <c r="O401" s="303"/>
      <c r="P401" s="303">
        <v>0</v>
      </c>
      <c r="Q401" s="308">
        <f t="shared" si="367"/>
        <v>0</v>
      </c>
      <c r="R401" s="303"/>
      <c r="S401" s="313">
        <v>0</v>
      </c>
      <c r="T401" s="313">
        <v>0</v>
      </c>
      <c r="U401" s="303"/>
      <c r="V401" s="313">
        <v>0</v>
      </c>
      <c r="W401" s="313">
        <v>0</v>
      </c>
      <c r="X401" s="303"/>
      <c r="Y401" s="313">
        <v>0</v>
      </c>
      <c r="Z401" s="313">
        <v>0</v>
      </c>
      <c r="AA401" s="303"/>
      <c r="AB401" s="313">
        <v>0</v>
      </c>
      <c r="AC401" s="313">
        <v>0</v>
      </c>
      <c r="AD401" s="303"/>
      <c r="AE401" s="313">
        <v>0</v>
      </c>
      <c r="AF401" s="313">
        <v>0</v>
      </c>
      <c r="AG401" s="303"/>
      <c r="AH401" s="313">
        <v>0</v>
      </c>
      <c r="AI401" s="313">
        <v>0</v>
      </c>
      <c r="AJ401" s="188"/>
      <c r="AK401" s="313">
        <v>0</v>
      </c>
      <c r="AL401" s="313">
        <v>0</v>
      </c>
      <c r="AM401" s="303"/>
      <c r="AN401" s="313">
        <v>0</v>
      </c>
      <c r="AO401" s="313">
        <v>0</v>
      </c>
      <c r="AP401" s="313"/>
      <c r="AQ401" s="303"/>
      <c r="AR401" s="313">
        <v>0</v>
      </c>
      <c r="AS401" s="313">
        <v>0</v>
      </c>
      <c r="AT401" s="303"/>
      <c r="AU401" s="313">
        <v>0</v>
      </c>
      <c r="AV401" s="313">
        <v>0</v>
      </c>
      <c r="AW401" s="313"/>
      <c r="AX401" s="313"/>
      <c r="AY401" s="313"/>
      <c r="AZ401" s="313"/>
      <c r="BA401" s="313"/>
      <c r="BB401" s="313"/>
      <c r="BC401" s="303"/>
      <c r="BD401" s="313">
        <v>0</v>
      </c>
      <c r="BE401" s="313">
        <v>0</v>
      </c>
      <c r="BF401" s="303"/>
      <c r="BG401" s="303"/>
      <c r="BH401" s="313">
        <v>0</v>
      </c>
      <c r="BI401" s="313">
        <v>0</v>
      </c>
      <c r="BJ401" s="303">
        <f t="shared" si="368"/>
        <v>161.5</v>
      </c>
      <c r="BK401" s="303"/>
      <c r="BL401" s="313">
        <f t="shared" si="354"/>
        <v>0</v>
      </c>
      <c r="BM401" s="313">
        <f t="shared" si="369"/>
        <v>0</v>
      </c>
      <c r="BN401" s="205">
        <f t="shared" si="352"/>
        <v>0</v>
      </c>
      <c r="BO401" s="205"/>
      <c r="BP401" s="310"/>
      <c r="BQ401" s="311">
        <f t="shared" si="355"/>
        <v>0</v>
      </c>
      <c r="BR401" s="310"/>
      <c r="BS401" s="311">
        <f t="shared" si="356"/>
        <v>0</v>
      </c>
      <c r="BT401" s="310"/>
      <c r="BU401" s="308">
        <f t="shared" si="357"/>
        <v>0</v>
      </c>
      <c r="BV401" s="310"/>
      <c r="BW401" s="311">
        <f t="shared" si="358"/>
        <v>0</v>
      </c>
      <c r="BX401" s="310"/>
      <c r="BY401" s="311">
        <f t="shared" si="359"/>
        <v>0</v>
      </c>
      <c r="BZ401" s="310"/>
      <c r="CA401" s="311">
        <f t="shared" si="360"/>
        <v>0</v>
      </c>
      <c r="CB401" s="310">
        <v>80</v>
      </c>
      <c r="CC401" s="311">
        <f t="shared" si="361"/>
        <v>0.47058823529411764</v>
      </c>
      <c r="CD401" s="310">
        <v>85</v>
      </c>
      <c r="CE401" s="311">
        <f t="shared" si="341"/>
        <v>0.5</v>
      </c>
      <c r="CF401" s="310">
        <v>85</v>
      </c>
      <c r="CG401" s="311">
        <f t="shared" si="362"/>
        <v>0.5</v>
      </c>
      <c r="CH401" s="310">
        <v>85</v>
      </c>
      <c r="CI401" s="311">
        <f t="shared" si="342"/>
        <v>0.5</v>
      </c>
      <c r="CJ401" s="310">
        <v>85</v>
      </c>
      <c r="CK401" s="311">
        <f t="shared" si="363"/>
        <v>0.5</v>
      </c>
      <c r="CL401" s="310">
        <v>161.5</v>
      </c>
      <c r="CM401" s="311">
        <f t="shared" si="364"/>
        <v>0.95</v>
      </c>
      <c r="CN401" s="310">
        <v>161.5</v>
      </c>
      <c r="CO401" s="311">
        <f t="shared" si="365"/>
        <v>0.95</v>
      </c>
      <c r="CP401" s="213" t="str">
        <f t="shared" si="370"/>
        <v>Không đạt</v>
      </c>
      <c r="CQ401" s="213" t="str">
        <f t="shared" si="371"/>
        <v>Không đạt</v>
      </c>
      <c r="CR401" s="312"/>
      <c r="CS401" s="312"/>
      <c r="CT401" s="235"/>
      <c r="CU401" s="163"/>
      <c r="CW401" s="195"/>
      <c r="CX401" s="196"/>
      <c r="CY401" s="196"/>
      <c r="CZ401" s="197"/>
      <c r="DA401" s="196"/>
      <c r="DB401" s="196"/>
      <c r="DC401" s="196"/>
      <c r="DE401" s="199"/>
      <c r="DF401" s="200"/>
      <c r="DG401" s="181"/>
    </row>
    <row r="402" spans="1:112" ht="18" customHeight="1" collapsed="1" x14ac:dyDescent="0.25">
      <c r="A402" s="213">
        <f>MAX(A$239:A400)+1</f>
        <v>48</v>
      </c>
      <c r="B402" s="240" t="s">
        <v>441</v>
      </c>
      <c r="C402" s="240"/>
      <c r="D402" s="188">
        <f t="shared" ref="D402:I402" si="373">D403</f>
        <v>3000</v>
      </c>
      <c r="E402" s="188">
        <f t="shared" si="373"/>
        <v>0</v>
      </c>
      <c r="F402" s="188">
        <f t="shared" si="373"/>
        <v>3000</v>
      </c>
      <c r="G402" s="188">
        <f t="shared" si="373"/>
        <v>3000</v>
      </c>
      <c r="H402" s="188">
        <f t="shared" si="373"/>
        <v>0</v>
      </c>
      <c r="I402" s="188">
        <f t="shared" si="373"/>
        <v>0</v>
      </c>
      <c r="J402" s="188"/>
      <c r="K402" s="188">
        <f>K403</f>
        <v>0</v>
      </c>
      <c r="L402" s="188">
        <f>L403</f>
        <v>0</v>
      </c>
      <c r="M402" s="231"/>
      <c r="N402" s="231"/>
      <c r="O402" s="188">
        <f>G402+I402+L402+N402</f>
        <v>3000</v>
      </c>
      <c r="P402" s="188">
        <v>0</v>
      </c>
      <c r="Q402" s="186">
        <f t="shared" si="367"/>
        <v>0</v>
      </c>
      <c r="R402" s="188">
        <v>0</v>
      </c>
      <c r="S402" s="185">
        <v>0</v>
      </c>
      <c r="T402" s="185">
        <v>0</v>
      </c>
      <c r="U402" s="188">
        <v>0</v>
      </c>
      <c r="V402" s="185">
        <v>0</v>
      </c>
      <c r="W402" s="185">
        <v>0</v>
      </c>
      <c r="X402" s="188">
        <v>0</v>
      </c>
      <c r="Y402" s="185">
        <v>0</v>
      </c>
      <c r="Z402" s="185">
        <v>0</v>
      </c>
      <c r="AA402" s="188">
        <v>0</v>
      </c>
      <c r="AB402" s="185">
        <v>0</v>
      </c>
      <c r="AC402" s="185">
        <v>0</v>
      </c>
      <c r="AD402" s="188">
        <v>0</v>
      </c>
      <c r="AE402" s="185">
        <v>0</v>
      </c>
      <c r="AF402" s="185">
        <v>0</v>
      </c>
      <c r="AG402" s="188">
        <v>0</v>
      </c>
      <c r="AH402" s="185">
        <v>0</v>
      </c>
      <c r="AI402" s="185">
        <v>0</v>
      </c>
      <c r="AJ402" s="303">
        <v>0</v>
      </c>
      <c r="AK402" s="185">
        <v>0</v>
      </c>
      <c r="AL402" s="185">
        <v>0</v>
      </c>
      <c r="AM402" s="188">
        <v>718</v>
      </c>
      <c r="AN402" s="185">
        <v>0.23933333333333334</v>
      </c>
      <c r="AO402" s="185">
        <v>0.2519298245614035</v>
      </c>
      <c r="AP402" s="185"/>
      <c r="AQ402" s="188">
        <v>1343</v>
      </c>
      <c r="AR402" s="185">
        <v>0.44766666666666666</v>
      </c>
      <c r="AS402" s="185">
        <v>0.47122807017543861</v>
      </c>
      <c r="AT402" s="188">
        <v>1343</v>
      </c>
      <c r="AU402" s="185">
        <v>0.44766666666666666</v>
      </c>
      <c r="AV402" s="185">
        <v>0.47122807017543861</v>
      </c>
      <c r="AW402" s="185"/>
      <c r="AX402" s="185"/>
      <c r="AY402" s="185"/>
      <c r="AZ402" s="185"/>
      <c r="BA402" s="185"/>
      <c r="BB402" s="185"/>
      <c r="BC402" s="188">
        <v>1343</v>
      </c>
      <c r="BD402" s="185">
        <v>0.44766666666666666</v>
      </c>
      <c r="BE402" s="185">
        <v>0.47122807017543861</v>
      </c>
      <c r="BF402" s="188"/>
      <c r="BG402" s="188">
        <v>2338</v>
      </c>
      <c r="BH402" s="185">
        <v>0.77933333333333332</v>
      </c>
      <c r="BI402" s="185">
        <v>0.8203508771929825</v>
      </c>
      <c r="BJ402" s="188">
        <f t="shared" si="368"/>
        <v>2850</v>
      </c>
      <c r="BK402" s="188">
        <v>2360.4699999999998</v>
      </c>
      <c r="BL402" s="185">
        <f t="shared" si="354"/>
        <v>0.78682333333333332</v>
      </c>
      <c r="BM402" s="185">
        <f t="shared" si="369"/>
        <v>0.82823508771929821</v>
      </c>
      <c r="BN402" s="205">
        <f t="shared" si="352"/>
        <v>2360.4699999999998</v>
      </c>
      <c r="BO402" s="205"/>
      <c r="BP402" s="189">
        <f>BP403</f>
        <v>0</v>
      </c>
      <c r="BQ402" s="186">
        <f t="shared" si="355"/>
        <v>0</v>
      </c>
      <c r="BR402" s="189">
        <f>BR403</f>
        <v>0</v>
      </c>
      <c r="BS402" s="186">
        <f t="shared" si="356"/>
        <v>0</v>
      </c>
      <c r="BT402" s="189">
        <f>BT403</f>
        <v>300</v>
      </c>
      <c r="BU402" s="186">
        <f t="shared" si="357"/>
        <v>0.1</v>
      </c>
      <c r="BV402" s="189">
        <f>BV403</f>
        <v>600</v>
      </c>
      <c r="BW402" s="186">
        <f t="shared" si="358"/>
        <v>0.2</v>
      </c>
      <c r="BX402" s="189">
        <f>BX403</f>
        <v>900</v>
      </c>
      <c r="BY402" s="186">
        <f t="shared" si="359"/>
        <v>0.3</v>
      </c>
      <c r="BZ402" s="189">
        <f>BZ403</f>
        <v>1200</v>
      </c>
      <c r="CA402" s="186">
        <f t="shared" si="360"/>
        <v>0.4</v>
      </c>
      <c r="CB402" s="189">
        <f>CB403</f>
        <v>1500</v>
      </c>
      <c r="CC402" s="186">
        <f t="shared" si="361"/>
        <v>0.5</v>
      </c>
      <c r="CD402" s="189">
        <f>CD403</f>
        <v>1650.0000000000002</v>
      </c>
      <c r="CE402" s="186">
        <f t="shared" si="341"/>
        <v>0.55000000000000004</v>
      </c>
      <c r="CF402" s="189">
        <f>CF403</f>
        <v>2100</v>
      </c>
      <c r="CG402" s="186">
        <f t="shared" si="362"/>
        <v>0.7</v>
      </c>
      <c r="CH402" s="189">
        <f>CH403</f>
        <v>2100</v>
      </c>
      <c r="CI402" s="186">
        <f t="shared" si="342"/>
        <v>0.7</v>
      </c>
      <c r="CJ402" s="189">
        <f>CJ403</f>
        <v>2250</v>
      </c>
      <c r="CK402" s="186">
        <f t="shared" si="363"/>
        <v>0.75</v>
      </c>
      <c r="CL402" s="189">
        <f>CL403</f>
        <v>2250</v>
      </c>
      <c r="CM402" s="186">
        <f t="shared" si="364"/>
        <v>0.75</v>
      </c>
      <c r="CN402" s="189">
        <f>CN403</f>
        <v>2850</v>
      </c>
      <c r="CO402" s="186">
        <f t="shared" si="365"/>
        <v>0.95</v>
      </c>
      <c r="CP402" s="213" t="str">
        <f t="shared" si="370"/>
        <v>Đạt</v>
      </c>
      <c r="CQ402" s="213" t="str">
        <f t="shared" si="371"/>
        <v>Đạt</v>
      </c>
      <c r="CR402" s="213"/>
      <c r="CS402" s="213"/>
      <c r="CT402" s="231"/>
      <c r="CU402" s="163"/>
      <c r="CW402" s="195"/>
      <c r="CX402" s="196"/>
      <c r="CY402" s="196"/>
      <c r="CZ402" s="197"/>
      <c r="DA402" s="196"/>
      <c r="DB402" s="196"/>
      <c r="DC402" s="196"/>
      <c r="DE402" s="199"/>
      <c r="DF402" s="200"/>
      <c r="DG402" s="181"/>
    </row>
    <row r="403" spans="1:112" s="324" customFormat="1" hidden="1" outlineLevel="1" x14ac:dyDescent="0.25">
      <c r="A403" s="305" t="s">
        <v>34</v>
      </c>
      <c r="B403" s="306" t="s">
        <v>376</v>
      </c>
      <c r="C403" s="306"/>
      <c r="D403" s="307">
        <f>E403+F403</f>
        <v>3000</v>
      </c>
      <c r="E403" s="307"/>
      <c r="F403" s="307">
        <f>G403+H403+K403+M403</f>
        <v>3000</v>
      </c>
      <c r="G403" s="303">
        <v>3000</v>
      </c>
      <c r="H403" s="303"/>
      <c r="I403" s="235"/>
      <c r="J403" s="235"/>
      <c r="K403" s="303"/>
      <c r="L403" s="235"/>
      <c r="M403" s="223"/>
      <c r="N403" s="223"/>
      <c r="O403" s="303">
        <f>G403+I403+L403+N403</f>
        <v>3000</v>
      </c>
      <c r="P403" s="303">
        <v>0</v>
      </c>
      <c r="Q403" s="308">
        <f t="shared" si="367"/>
        <v>0</v>
      </c>
      <c r="R403" s="303"/>
      <c r="S403" s="309">
        <v>0</v>
      </c>
      <c r="T403" s="309">
        <v>0</v>
      </c>
      <c r="U403" s="303"/>
      <c r="V403" s="309">
        <v>0</v>
      </c>
      <c r="W403" s="309">
        <v>0</v>
      </c>
      <c r="X403" s="303"/>
      <c r="Y403" s="309">
        <v>0</v>
      </c>
      <c r="Z403" s="309">
        <v>0</v>
      </c>
      <c r="AA403" s="303"/>
      <c r="AB403" s="309">
        <v>0</v>
      </c>
      <c r="AC403" s="309">
        <v>0</v>
      </c>
      <c r="AD403" s="303"/>
      <c r="AE403" s="309">
        <v>0</v>
      </c>
      <c r="AF403" s="309">
        <v>0</v>
      </c>
      <c r="AG403" s="303"/>
      <c r="AH403" s="309">
        <v>0</v>
      </c>
      <c r="AI403" s="309">
        <v>0</v>
      </c>
      <c r="AJ403" s="188"/>
      <c r="AK403" s="309">
        <v>0</v>
      </c>
      <c r="AL403" s="309">
        <v>0</v>
      </c>
      <c r="AM403" s="303">
        <v>718</v>
      </c>
      <c r="AN403" s="309">
        <v>0.23933333333333334</v>
      </c>
      <c r="AO403" s="309">
        <v>0.2519298245614035</v>
      </c>
      <c r="AP403" s="309"/>
      <c r="AQ403" s="303">
        <v>1343</v>
      </c>
      <c r="AR403" s="309">
        <v>0.44766666666666666</v>
      </c>
      <c r="AS403" s="309">
        <v>0.47122807017543861</v>
      </c>
      <c r="AT403" s="303">
        <v>1343</v>
      </c>
      <c r="AU403" s="309">
        <v>0.44766666666666666</v>
      </c>
      <c r="AV403" s="309">
        <v>0.47122807017543861</v>
      </c>
      <c r="AW403" s="309"/>
      <c r="AX403" s="309"/>
      <c r="AY403" s="309"/>
      <c r="AZ403" s="309"/>
      <c r="BA403" s="309"/>
      <c r="BB403" s="309"/>
      <c r="BC403" s="303">
        <v>1343</v>
      </c>
      <c r="BD403" s="309">
        <v>0.44766666666666666</v>
      </c>
      <c r="BE403" s="309">
        <v>0.47122807017543861</v>
      </c>
      <c r="BF403" s="303"/>
      <c r="BG403" s="303">
        <v>2338</v>
      </c>
      <c r="BH403" s="309">
        <v>0.77933333333333332</v>
      </c>
      <c r="BI403" s="309">
        <v>0.8203508771929825</v>
      </c>
      <c r="BJ403" s="303">
        <f t="shared" si="368"/>
        <v>2850</v>
      </c>
      <c r="BK403" s="303">
        <v>2343</v>
      </c>
      <c r="BL403" s="309">
        <f t="shared" si="354"/>
        <v>0.78100000000000003</v>
      </c>
      <c r="BM403" s="309">
        <f t="shared" si="369"/>
        <v>0.82210526315789478</v>
      </c>
      <c r="BN403" s="205">
        <f t="shared" si="352"/>
        <v>2343</v>
      </c>
      <c r="BO403" s="205"/>
      <c r="BP403" s="310"/>
      <c r="BQ403" s="308">
        <f t="shared" si="355"/>
        <v>0</v>
      </c>
      <c r="BR403" s="310"/>
      <c r="BS403" s="308">
        <f t="shared" si="356"/>
        <v>0</v>
      </c>
      <c r="BT403" s="310">
        <f>$F403*0.1</f>
        <v>300</v>
      </c>
      <c r="BU403" s="308">
        <f t="shared" si="357"/>
        <v>0.1</v>
      </c>
      <c r="BV403" s="310">
        <f>$F403*0.2</f>
        <v>600</v>
      </c>
      <c r="BW403" s="308">
        <f t="shared" si="358"/>
        <v>0.2</v>
      </c>
      <c r="BX403" s="310">
        <f>$F403*0.3</f>
        <v>900</v>
      </c>
      <c r="BY403" s="308">
        <f t="shared" si="359"/>
        <v>0.3</v>
      </c>
      <c r="BZ403" s="310">
        <f>$F403*0.4</f>
        <v>1200</v>
      </c>
      <c r="CA403" s="308">
        <f t="shared" si="360"/>
        <v>0.4</v>
      </c>
      <c r="CB403" s="310">
        <f>$F403*0.5</f>
        <v>1500</v>
      </c>
      <c r="CC403" s="308">
        <f t="shared" si="361"/>
        <v>0.5</v>
      </c>
      <c r="CD403" s="310">
        <f>$F403*0.55</f>
        <v>1650.0000000000002</v>
      </c>
      <c r="CE403" s="308">
        <f t="shared" si="341"/>
        <v>0.55000000000000004</v>
      </c>
      <c r="CF403" s="310">
        <v>2100</v>
      </c>
      <c r="CG403" s="308">
        <f t="shared" si="362"/>
        <v>0.7</v>
      </c>
      <c r="CH403" s="310">
        <f>$F403*0.7</f>
        <v>2100</v>
      </c>
      <c r="CI403" s="308">
        <f t="shared" si="342"/>
        <v>0.7</v>
      </c>
      <c r="CJ403" s="310">
        <f>$F403*0.75</f>
        <v>2250</v>
      </c>
      <c r="CK403" s="308">
        <f t="shared" si="363"/>
        <v>0.75</v>
      </c>
      <c r="CL403" s="310">
        <f>$F403*0.75</f>
        <v>2250</v>
      </c>
      <c r="CM403" s="308">
        <f t="shared" si="364"/>
        <v>0.75</v>
      </c>
      <c r="CN403" s="310">
        <f>$F403*0.95</f>
        <v>2850</v>
      </c>
      <c r="CO403" s="308">
        <f t="shared" si="365"/>
        <v>0.95</v>
      </c>
      <c r="CP403" s="213" t="str">
        <f t="shared" si="370"/>
        <v>Đạt</v>
      </c>
      <c r="CQ403" s="213" t="str">
        <f t="shared" si="371"/>
        <v>Đạt</v>
      </c>
      <c r="CR403" s="312"/>
      <c r="CS403" s="312"/>
      <c r="CT403" s="235"/>
      <c r="CU403" s="163"/>
      <c r="CV403" s="323"/>
      <c r="CW403" s="195"/>
      <c r="CX403" s="196"/>
      <c r="CY403" s="196"/>
      <c r="CZ403" s="197"/>
      <c r="DA403" s="196"/>
      <c r="DB403" s="196"/>
      <c r="DC403" s="196"/>
      <c r="DE403" s="199"/>
      <c r="DF403" s="200"/>
      <c r="DG403" s="181"/>
    </row>
    <row r="404" spans="1:112" ht="18" customHeight="1" collapsed="1" x14ac:dyDescent="0.25">
      <c r="A404" s="213">
        <f>MAX(A$239:A403)+1</f>
        <v>49</v>
      </c>
      <c r="B404" s="240" t="s">
        <v>442</v>
      </c>
      <c r="C404" s="240"/>
      <c r="D404" s="188">
        <f t="shared" ref="D404:I404" si="374">D405</f>
        <v>3000</v>
      </c>
      <c r="E404" s="188">
        <f t="shared" si="374"/>
        <v>0</v>
      </c>
      <c r="F404" s="188">
        <f t="shared" si="374"/>
        <v>3000</v>
      </c>
      <c r="G404" s="188">
        <f t="shared" si="374"/>
        <v>3000</v>
      </c>
      <c r="H404" s="188">
        <f t="shared" si="374"/>
        <v>0</v>
      </c>
      <c r="I404" s="188">
        <f t="shared" si="374"/>
        <v>0</v>
      </c>
      <c r="J404" s="188"/>
      <c r="K404" s="188">
        <f>K405</f>
        <v>0</v>
      </c>
      <c r="L404" s="188">
        <f>L405</f>
        <v>0</v>
      </c>
      <c r="M404" s="231"/>
      <c r="N404" s="231"/>
      <c r="O404" s="188">
        <f>G404+I404+L404+N404</f>
        <v>3000</v>
      </c>
      <c r="P404" s="188">
        <v>0</v>
      </c>
      <c r="Q404" s="186">
        <f t="shared" si="367"/>
        <v>0</v>
      </c>
      <c r="R404" s="188">
        <v>0</v>
      </c>
      <c r="S404" s="185">
        <v>0</v>
      </c>
      <c r="T404" s="185">
        <v>0</v>
      </c>
      <c r="U404" s="188">
        <v>0</v>
      </c>
      <c r="V404" s="185">
        <v>0</v>
      </c>
      <c r="W404" s="185">
        <v>0</v>
      </c>
      <c r="X404" s="188">
        <v>0</v>
      </c>
      <c r="Y404" s="185">
        <v>0</v>
      </c>
      <c r="Z404" s="185">
        <v>0</v>
      </c>
      <c r="AA404" s="188">
        <v>0</v>
      </c>
      <c r="AB404" s="185">
        <v>0</v>
      </c>
      <c r="AC404" s="185">
        <v>0</v>
      </c>
      <c r="AD404" s="188">
        <v>598</v>
      </c>
      <c r="AE404" s="185">
        <v>0.19933333333333333</v>
      </c>
      <c r="AF404" s="185">
        <v>0.20982456140350877</v>
      </c>
      <c r="AG404" s="188">
        <v>598</v>
      </c>
      <c r="AH404" s="185">
        <v>0.19933333333333333</v>
      </c>
      <c r="AI404" s="185">
        <v>0.20982456140350877</v>
      </c>
      <c r="AJ404" s="303">
        <v>598</v>
      </c>
      <c r="AK404" s="185">
        <v>0.19933333333333333</v>
      </c>
      <c r="AL404" s="185">
        <v>0.20982456140350877</v>
      </c>
      <c r="AM404" s="188">
        <v>857</v>
      </c>
      <c r="AN404" s="185">
        <v>0.28566666666666668</v>
      </c>
      <c r="AO404" s="185">
        <v>0.30070175438596491</v>
      </c>
      <c r="AP404" s="185"/>
      <c r="AQ404" s="188">
        <v>857</v>
      </c>
      <c r="AR404" s="185">
        <v>0.28566666666666668</v>
      </c>
      <c r="AS404" s="185">
        <v>0.30070175438596491</v>
      </c>
      <c r="AT404" s="188">
        <v>857</v>
      </c>
      <c r="AU404" s="185">
        <v>0.28566666666666668</v>
      </c>
      <c r="AV404" s="185">
        <v>0.30070175438596491</v>
      </c>
      <c r="AW404" s="185"/>
      <c r="AX404" s="185"/>
      <c r="AY404" s="185"/>
      <c r="AZ404" s="185"/>
      <c r="BA404" s="185"/>
      <c r="BB404" s="185"/>
      <c r="BC404" s="188">
        <v>857</v>
      </c>
      <c r="BD404" s="185">
        <v>0.28566666666666668</v>
      </c>
      <c r="BE404" s="185">
        <v>0.30070175438596491</v>
      </c>
      <c r="BF404" s="188"/>
      <c r="BG404" s="188">
        <v>1661</v>
      </c>
      <c r="BH404" s="185">
        <v>0.55366666666666664</v>
      </c>
      <c r="BI404" s="185">
        <v>0.58280701754385966</v>
      </c>
      <c r="BJ404" s="188">
        <f t="shared" si="368"/>
        <v>2850</v>
      </c>
      <c r="BK404" s="188">
        <v>1888</v>
      </c>
      <c r="BL404" s="185">
        <f t="shared" si="354"/>
        <v>0.6293333333333333</v>
      </c>
      <c r="BM404" s="185">
        <f t="shared" si="369"/>
        <v>0.66245614035087719</v>
      </c>
      <c r="BN404" s="205">
        <f t="shared" si="352"/>
        <v>1290</v>
      </c>
      <c r="BO404" s="205"/>
      <c r="BP404" s="189">
        <f>BP405</f>
        <v>0</v>
      </c>
      <c r="BQ404" s="186">
        <f t="shared" si="355"/>
        <v>0</v>
      </c>
      <c r="BR404" s="189">
        <f>BR405</f>
        <v>0</v>
      </c>
      <c r="BS404" s="186">
        <f t="shared" si="356"/>
        <v>0</v>
      </c>
      <c r="BT404" s="189">
        <f>BT405</f>
        <v>300</v>
      </c>
      <c r="BU404" s="186">
        <f t="shared" si="357"/>
        <v>0.1</v>
      </c>
      <c r="BV404" s="189">
        <f>BV405</f>
        <v>600</v>
      </c>
      <c r="BW404" s="186">
        <f t="shared" si="358"/>
        <v>0.2</v>
      </c>
      <c r="BX404" s="189">
        <f>BX405</f>
        <v>1200</v>
      </c>
      <c r="BY404" s="186">
        <f t="shared" si="359"/>
        <v>0.4</v>
      </c>
      <c r="BZ404" s="189">
        <f>BZ405</f>
        <v>1800</v>
      </c>
      <c r="CA404" s="186">
        <f t="shared" si="360"/>
        <v>0.6</v>
      </c>
      <c r="CB404" s="189">
        <f>CB405</f>
        <v>2100</v>
      </c>
      <c r="CC404" s="186">
        <f t="shared" si="361"/>
        <v>0.7</v>
      </c>
      <c r="CD404" s="189">
        <f>CD405</f>
        <v>2100</v>
      </c>
      <c r="CE404" s="186">
        <f t="shared" si="341"/>
        <v>0.7</v>
      </c>
      <c r="CF404" s="189">
        <f>CF405</f>
        <v>2250</v>
      </c>
      <c r="CG404" s="186">
        <f t="shared" si="362"/>
        <v>0.75</v>
      </c>
      <c r="CH404" s="189">
        <f>CH405</f>
        <v>2400</v>
      </c>
      <c r="CI404" s="186">
        <f t="shared" si="342"/>
        <v>0.8</v>
      </c>
      <c r="CJ404" s="189">
        <f>CJ405</f>
        <v>2550</v>
      </c>
      <c r="CK404" s="186">
        <f t="shared" si="363"/>
        <v>0.85</v>
      </c>
      <c r="CL404" s="189">
        <f>CL405</f>
        <v>2700</v>
      </c>
      <c r="CM404" s="186">
        <f t="shared" si="364"/>
        <v>0.9</v>
      </c>
      <c r="CN404" s="189">
        <f>CN405</f>
        <v>2850</v>
      </c>
      <c r="CO404" s="186">
        <f t="shared" si="365"/>
        <v>0.95</v>
      </c>
      <c r="CP404" s="213" t="str">
        <f t="shared" si="370"/>
        <v>Đạt</v>
      </c>
      <c r="CQ404" s="213" t="str">
        <f t="shared" si="371"/>
        <v>Đạt</v>
      </c>
      <c r="CR404" s="213"/>
      <c r="CS404" s="213"/>
      <c r="CT404" s="231"/>
      <c r="CU404" s="163"/>
      <c r="CW404" s="195"/>
      <c r="CX404" s="196"/>
      <c r="CY404" s="196"/>
      <c r="CZ404" s="197"/>
      <c r="DA404" s="196"/>
      <c r="DB404" s="196"/>
      <c r="DC404" s="196"/>
      <c r="DE404" s="199"/>
      <c r="DF404" s="200"/>
      <c r="DG404" s="181"/>
    </row>
    <row r="405" spans="1:112" s="324" customFormat="1" hidden="1" outlineLevel="1" x14ac:dyDescent="0.25">
      <c r="A405" s="305" t="s">
        <v>34</v>
      </c>
      <c r="B405" s="306" t="s">
        <v>376</v>
      </c>
      <c r="C405" s="306"/>
      <c r="D405" s="307">
        <f>E405+F405</f>
        <v>3000</v>
      </c>
      <c r="E405" s="307"/>
      <c r="F405" s="307">
        <f>G405+H405+K405+M405</f>
        <v>3000</v>
      </c>
      <c r="G405" s="303">
        <v>3000</v>
      </c>
      <c r="H405" s="303"/>
      <c r="I405" s="235"/>
      <c r="J405" s="235"/>
      <c r="K405" s="303"/>
      <c r="L405" s="235"/>
      <c r="M405" s="223"/>
      <c r="N405" s="223"/>
      <c r="O405" s="303">
        <f>G405+I405+L405+N405</f>
        <v>3000</v>
      </c>
      <c r="P405" s="303">
        <v>0</v>
      </c>
      <c r="Q405" s="308">
        <f t="shared" si="367"/>
        <v>0</v>
      </c>
      <c r="R405" s="303">
        <v>0</v>
      </c>
      <c r="S405" s="313">
        <v>0</v>
      </c>
      <c r="T405" s="313">
        <v>0</v>
      </c>
      <c r="U405" s="303">
        <v>0</v>
      </c>
      <c r="V405" s="313">
        <v>0</v>
      </c>
      <c r="W405" s="313">
        <v>0</v>
      </c>
      <c r="X405" s="303">
        <v>0</v>
      </c>
      <c r="Y405" s="313">
        <v>0</v>
      </c>
      <c r="Z405" s="313">
        <v>0</v>
      </c>
      <c r="AA405" s="303">
        <v>0</v>
      </c>
      <c r="AB405" s="313">
        <v>0</v>
      </c>
      <c r="AC405" s="313">
        <v>0</v>
      </c>
      <c r="AD405" s="303">
        <v>598</v>
      </c>
      <c r="AE405" s="313">
        <v>0.19933333333333333</v>
      </c>
      <c r="AF405" s="313">
        <v>0.20982456140350877</v>
      </c>
      <c r="AG405" s="303">
        <v>598</v>
      </c>
      <c r="AH405" s="313">
        <v>0.19933333333333333</v>
      </c>
      <c r="AI405" s="313">
        <v>0.20982456140350877</v>
      </c>
      <c r="AJ405" s="188">
        <v>598</v>
      </c>
      <c r="AK405" s="313">
        <v>0.19933333333333333</v>
      </c>
      <c r="AL405" s="313">
        <v>0.20982456140350877</v>
      </c>
      <c r="AM405" s="303">
        <v>857</v>
      </c>
      <c r="AN405" s="313">
        <v>0.28566666666666668</v>
      </c>
      <c r="AO405" s="313">
        <v>0.30070175438596491</v>
      </c>
      <c r="AP405" s="313"/>
      <c r="AQ405" s="303">
        <v>857</v>
      </c>
      <c r="AR405" s="313">
        <v>0.28566666666666668</v>
      </c>
      <c r="AS405" s="313">
        <v>0.30070175438596491</v>
      </c>
      <c r="AT405" s="303">
        <v>857</v>
      </c>
      <c r="AU405" s="313">
        <v>0.28566666666666668</v>
      </c>
      <c r="AV405" s="313">
        <v>0.30070175438596491</v>
      </c>
      <c r="AW405" s="313"/>
      <c r="AX405" s="313"/>
      <c r="AY405" s="313"/>
      <c r="AZ405" s="313"/>
      <c r="BA405" s="313"/>
      <c r="BB405" s="313"/>
      <c r="BC405" s="303">
        <v>857</v>
      </c>
      <c r="BD405" s="313">
        <v>0.28566666666666668</v>
      </c>
      <c r="BE405" s="313">
        <v>0.30070175438596491</v>
      </c>
      <c r="BF405" s="303"/>
      <c r="BG405" s="303">
        <v>1661</v>
      </c>
      <c r="BH405" s="313">
        <v>0.55366666666666664</v>
      </c>
      <c r="BI405" s="313">
        <v>0.58280701754385966</v>
      </c>
      <c r="BJ405" s="303">
        <f t="shared" si="368"/>
        <v>2850</v>
      </c>
      <c r="BK405" s="303">
        <v>1661</v>
      </c>
      <c r="BL405" s="313">
        <f t="shared" si="354"/>
        <v>0.55366666666666664</v>
      </c>
      <c r="BM405" s="313">
        <f t="shared" si="369"/>
        <v>0.58280701754385966</v>
      </c>
      <c r="BN405" s="205">
        <f t="shared" si="352"/>
        <v>1063</v>
      </c>
      <c r="BO405" s="205"/>
      <c r="BP405" s="310">
        <v>0</v>
      </c>
      <c r="BQ405" s="311">
        <f t="shared" si="355"/>
        <v>0</v>
      </c>
      <c r="BR405" s="310">
        <v>0</v>
      </c>
      <c r="BS405" s="311">
        <f t="shared" si="356"/>
        <v>0</v>
      </c>
      <c r="BT405" s="310">
        <v>300</v>
      </c>
      <c r="BU405" s="308">
        <f t="shared" si="357"/>
        <v>0.1</v>
      </c>
      <c r="BV405" s="310">
        <v>600</v>
      </c>
      <c r="BW405" s="311">
        <f t="shared" si="358"/>
        <v>0.2</v>
      </c>
      <c r="BX405" s="310">
        <v>1200</v>
      </c>
      <c r="BY405" s="311">
        <f t="shared" si="359"/>
        <v>0.4</v>
      </c>
      <c r="BZ405" s="310">
        <v>1800</v>
      </c>
      <c r="CA405" s="311">
        <f t="shared" si="360"/>
        <v>0.6</v>
      </c>
      <c r="CB405" s="310">
        <v>2100</v>
      </c>
      <c r="CC405" s="311">
        <f t="shared" si="361"/>
        <v>0.7</v>
      </c>
      <c r="CD405" s="310">
        <v>2100</v>
      </c>
      <c r="CE405" s="311">
        <f t="shared" si="341"/>
        <v>0.7</v>
      </c>
      <c r="CF405" s="310">
        <v>2250</v>
      </c>
      <c r="CG405" s="311">
        <f t="shared" si="362"/>
        <v>0.75</v>
      </c>
      <c r="CH405" s="310">
        <v>2400</v>
      </c>
      <c r="CI405" s="311">
        <f t="shared" si="342"/>
        <v>0.8</v>
      </c>
      <c r="CJ405" s="310">
        <v>2550</v>
      </c>
      <c r="CK405" s="311">
        <f t="shared" si="363"/>
        <v>0.85</v>
      </c>
      <c r="CL405" s="310">
        <v>2700</v>
      </c>
      <c r="CM405" s="311">
        <f t="shared" si="364"/>
        <v>0.9</v>
      </c>
      <c r="CN405" s="310">
        <v>2850</v>
      </c>
      <c r="CO405" s="311">
        <f t="shared" si="365"/>
        <v>0.95</v>
      </c>
      <c r="CP405" s="213" t="str">
        <f t="shared" si="370"/>
        <v>Đạt</v>
      </c>
      <c r="CQ405" s="213" t="str">
        <f t="shared" si="371"/>
        <v>Đạt</v>
      </c>
      <c r="CR405" s="312"/>
      <c r="CS405" s="312"/>
      <c r="CT405" s="235"/>
      <c r="CU405" s="163"/>
      <c r="CV405" s="323"/>
      <c r="CW405" s="195"/>
      <c r="CX405" s="196"/>
      <c r="CY405" s="196"/>
      <c r="CZ405" s="197"/>
      <c r="DA405" s="196"/>
      <c r="DB405" s="196"/>
      <c r="DC405" s="196"/>
      <c r="DE405" s="199"/>
      <c r="DF405" s="200"/>
      <c r="DG405" s="181"/>
    </row>
    <row r="406" spans="1:112" ht="18" customHeight="1" collapsed="1" x14ac:dyDescent="0.25">
      <c r="A406" s="316">
        <f>MAX(A$239:A405)+1</f>
        <v>50</v>
      </c>
      <c r="B406" s="240" t="s">
        <v>443</v>
      </c>
      <c r="C406" s="240"/>
      <c r="D406" s="188">
        <f t="shared" ref="D406:I406" si="375">D407+D408</f>
        <v>3144</v>
      </c>
      <c r="E406" s="188">
        <f t="shared" si="375"/>
        <v>0</v>
      </c>
      <c r="F406" s="188">
        <f t="shared" si="375"/>
        <v>3144</v>
      </c>
      <c r="G406" s="188">
        <f t="shared" si="375"/>
        <v>3000</v>
      </c>
      <c r="H406" s="188">
        <f t="shared" si="375"/>
        <v>144</v>
      </c>
      <c r="I406" s="188">
        <f t="shared" si="375"/>
        <v>0</v>
      </c>
      <c r="J406" s="188"/>
      <c r="K406" s="188">
        <f>K407+K408</f>
        <v>0</v>
      </c>
      <c r="L406" s="188">
        <f>L407+L408</f>
        <v>0</v>
      </c>
      <c r="M406" s="188">
        <f>M407+M408</f>
        <v>0</v>
      </c>
      <c r="N406" s="188">
        <f>N407+N408</f>
        <v>0</v>
      </c>
      <c r="O406" s="188">
        <f>O407+O408</f>
        <v>3000</v>
      </c>
      <c r="P406" s="188">
        <v>0</v>
      </c>
      <c r="Q406" s="186">
        <f t="shared" si="367"/>
        <v>0</v>
      </c>
      <c r="R406" s="188">
        <v>0</v>
      </c>
      <c r="S406" s="185">
        <v>0</v>
      </c>
      <c r="T406" s="185">
        <v>0</v>
      </c>
      <c r="U406" s="188">
        <v>0</v>
      </c>
      <c r="V406" s="185">
        <v>0</v>
      </c>
      <c r="W406" s="185">
        <v>0</v>
      </c>
      <c r="X406" s="188">
        <v>0</v>
      </c>
      <c r="Y406" s="185">
        <v>0</v>
      </c>
      <c r="Z406" s="185">
        <v>0</v>
      </c>
      <c r="AA406" s="188">
        <v>0</v>
      </c>
      <c r="AB406" s="185">
        <v>0</v>
      </c>
      <c r="AC406" s="185">
        <v>0</v>
      </c>
      <c r="AD406" s="188">
        <v>0</v>
      </c>
      <c r="AE406" s="185">
        <v>0</v>
      </c>
      <c r="AF406" s="185">
        <v>0</v>
      </c>
      <c r="AG406" s="188">
        <v>0</v>
      </c>
      <c r="AH406" s="185">
        <v>0</v>
      </c>
      <c r="AI406" s="185">
        <v>0</v>
      </c>
      <c r="AJ406" s="303">
        <v>0</v>
      </c>
      <c r="AK406" s="185">
        <v>0</v>
      </c>
      <c r="AL406" s="185">
        <v>0</v>
      </c>
      <c r="AM406" s="188">
        <v>979</v>
      </c>
      <c r="AN406" s="185">
        <v>0.31138676844783714</v>
      </c>
      <c r="AO406" s="185">
        <v>0.32777554573456547</v>
      </c>
      <c r="AP406" s="185"/>
      <c r="AQ406" s="188">
        <v>1595</v>
      </c>
      <c r="AR406" s="185">
        <v>0.50731552162849869</v>
      </c>
      <c r="AS406" s="185">
        <v>0.53401633855631447</v>
      </c>
      <c r="AT406" s="188">
        <v>1599.7</v>
      </c>
      <c r="AU406" s="185">
        <v>0.5088104325699746</v>
      </c>
      <c r="AV406" s="185">
        <v>0.53558992902102587</v>
      </c>
      <c r="AW406" s="185"/>
      <c r="AX406" s="185"/>
      <c r="AY406" s="185"/>
      <c r="AZ406" s="185"/>
      <c r="BA406" s="185"/>
      <c r="BB406" s="185"/>
      <c r="BC406" s="188">
        <v>1599.7</v>
      </c>
      <c r="BD406" s="185">
        <v>0.5088104325699746</v>
      </c>
      <c r="BE406" s="185">
        <v>0.53558992902102587</v>
      </c>
      <c r="BF406" s="188"/>
      <c r="BG406" s="188">
        <v>2146</v>
      </c>
      <c r="BH406" s="185">
        <v>0.68256997455470736</v>
      </c>
      <c r="BI406" s="185">
        <v>0.71849471005758681</v>
      </c>
      <c r="BJ406" s="188">
        <f t="shared" si="368"/>
        <v>2986.7999999999997</v>
      </c>
      <c r="BK406" s="188">
        <f>BK407+BK408</f>
        <v>2545</v>
      </c>
      <c r="BL406" s="185">
        <f t="shared" si="354"/>
        <v>0.80947837150127222</v>
      </c>
      <c r="BM406" s="185">
        <f t="shared" si="369"/>
        <v>0.85208249631712873</v>
      </c>
      <c r="BN406" s="205">
        <f t="shared" si="352"/>
        <v>2545</v>
      </c>
      <c r="BO406" s="205"/>
      <c r="BP406" s="189">
        <f>BP407+BP408</f>
        <v>900</v>
      </c>
      <c r="BQ406" s="186">
        <f t="shared" si="355"/>
        <v>0.2862595419847328</v>
      </c>
      <c r="BR406" s="189">
        <f>BR407+BR408</f>
        <v>1900</v>
      </c>
      <c r="BS406" s="186">
        <f t="shared" si="356"/>
        <v>0.60432569974554706</v>
      </c>
      <c r="BT406" s="189">
        <f>BT407+BT408</f>
        <v>2836.8</v>
      </c>
      <c r="BU406" s="186">
        <f t="shared" si="357"/>
        <v>0.90229007633587788</v>
      </c>
      <c r="BV406" s="189">
        <f>BV407+BV408</f>
        <v>2986.8</v>
      </c>
      <c r="BW406" s="186">
        <f t="shared" si="358"/>
        <v>0.95000000000000007</v>
      </c>
      <c r="BX406" s="189">
        <f>BX407+BX408</f>
        <v>2986.8</v>
      </c>
      <c r="BY406" s="186">
        <f t="shared" si="359"/>
        <v>0.95000000000000007</v>
      </c>
      <c r="BZ406" s="189">
        <f>BZ407+BZ408</f>
        <v>2986.8</v>
      </c>
      <c r="CA406" s="186">
        <f t="shared" si="360"/>
        <v>0.95000000000000007</v>
      </c>
      <c r="CB406" s="189">
        <f>CB407+CB408</f>
        <v>2986.8</v>
      </c>
      <c r="CC406" s="186">
        <f t="shared" si="361"/>
        <v>0.95000000000000007</v>
      </c>
      <c r="CD406" s="189">
        <f>CD407+CD408</f>
        <v>2986.8</v>
      </c>
      <c r="CE406" s="186">
        <f t="shared" si="341"/>
        <v>0.95000000000000007</v>
      </c>
      <c r="CF406" s="189">
        <f>CF407+CF408</f>
        <v>2986.8</v>
      </c>
      <c r="CG406" s="186">
        <f t="shared" si="362"/>
        <v>0.95000000000000007</v>
      </c>
      <c r="CH406" s="189">
        <f>CH407+CH408</f>
        <v>2986.8</v>
      </c>
      <c r="CI406" s="186">
        <f t="shared" si="342"/>
        <v>0.95000000000000007</v>
      </c>
      <c r="CJ406" s="189">
        <f>CJ407+CJ408</f>
        <v>2986.8</v>
      </c>
      <c r="CK406" s="186">
        <f t="shared" si="363"/>
        <v>0.95000000000000007</v>
      </c>
      <c r="CL406" s="189">
        <f>CL407+CL408</f>
        <v>2986.8</v>
      </c>
      <c r="CM406" s="186">
        <f t="shared" si="364"/>
        <v>0.95000000000000007</v>
      </c>
      <c r="CN406" s="189">
        <f>CN407+CN408</f>
        <v>2986.8</v>
      </c>
      <c r="CO406" s="186">
        <f t="shared" si="365"/>
        <v>0.95000000000000007</v>
      </c>
      <c r="CP406" s="213" t="str">
        <f t="shared" si="370"/>
        <v>Đạt</v>
      </c>
      <c r="CQ406" s="213" t="str">
        <f t="shared" si="371"/>
        <v>Đạt</v>
      </c>
      <c r="CR406" s="213"/>
      <c r="CS406" s="213"/>
      <c r="CT406" s="231"/>
      <c r="CU406" s="163"/>
      <c r="CW406" s="195"/>
      <c r="CX406" s="196"/>
      <c r="CY406" s="196"/>
      <c r="CZ406" s="197"/>
      <c r="DA406" s="196"/>
      <c r="DB406" s="196"/>
      <c r="DC406" s="196"/>
      <c r="DE406" s="199"/>
      <c r="DF406" s="200"/>
      <c r="DG406" s="181"/>
    </row>
    <row r="407" spans="1:112" s="324" customFormat="1" hidden="1" outlineLevel="1" x14ac:dyDescent="0.25">
      <c r="A407" s="305" t="s">
        <v>34</v>
      </c>
      <c r="B407" s="306" t="s">
        <v>376</v>
      </c>
      <c r="C407" s="306"/>
      <c r="D407" s="307">
        <f>E407+F407</f>
        <v>3000</v>
      </c>
      <c r="E407" s="307"/>
      <c r="F407" s="307">
        <f>G407+H407+K407+M407</f>
        <v>3000</v>
      </c>
      <c r="G407" s="303">
        <v>3000</v>
      </c>
      <c r="H407" s="303"/>
      <c r="I407" s="235"/>
      <c r="J407" s="235"/>
      <c r="K407" s="303"/>
      <c r="L407" s="235"/>
      <c r="M407" s="223"/>
      <c r="N407" s="223"/>
      <c r="O407" s="303">
        <f>G407+I407+L407+N407</f>
        <v>3000</v>
      </c>
      <c r="P407" s="303">
        <v>0</v>
      </c>
      <c r="Q407" s="308">
        <f t="shared" si="367"/>
        <v>0</v>
      </c>
      <c r="R407" s="303"/>
      <c r="S407" s="309">
        <v>0</v>
      </c>
      <c r="T407" s="309">
        <v>0</v>
      </c>
      <c r="U407" s="303"/>
      <c r="V407" s="309">
        <v>0</v>
      </c>
      <c r="W407" s="309">
        <v>0</v>
      </c>
      <c r="X407" s="303"/>
      <c r="Y407" s="309">
        <v>0</v>
      </c>
      <c r="Z407" s="309">
        <v>0</v>
      </c>
      <c r="AA407" s="303"/>
      <c r="AB407" s="309">
        <v>0</v>
      </c>
      <c r="AC407" s="309">
        <v>0</v>
      </c>
      <c r="AD407" s="303"/>
      <c r="AE407" s="309">
        <v>0</v>
      </c>
      <c r="AF407" s="309">
        <v>0</v>
      </c>
      <c r="AG407" s="303"/>
      <c r="AH407" s="309">
        <v>0</v>
      </c>
      <c r="AI407" s="309">
        <v>0</v>
      </c>
      <c r="AJ407" s="303"/>
      <c r="AK407" s="309">
        <v>0</v>
      </c>
      <c r="AL407" s="309">
        <v>0</v>
      </c>
      <c r="AM407" s="303">
        <v>979</v>
      </c>
      <c r="AN407" s="309">
        <v>0.32633333333333331</v>
      </c>
      <c r="AO407" s="309">
        <v>0.34350877192982454</v>
      </c>
      <c r="AP407" s="309"/>
      <c r="AQ407" s="214">
        <v>1595</v>
      </c>
      <c r="AR407" s="309">
        <v>0.53166666666666662</v>
      </c>
      <c r="AS407" s="309">
        <v>0.55964912280701751</v>
      </c>
      <c r="AT407" s="214">
        <v>1599.7</v>
      </c>
      <c r="AU407" s="309">
        <v>0.53323333333333334</v>
      </c>
      <c r="AV407" s="309">
        <v>0.56129824561403507</v>
      </c>
      <c r="AW407" s="309"/>
      <c r="AX407" s="309"/>
      <c r="AY407" s="309"/>
      <c r="AZ407" s="309"/>
      <c r="BA407" s="309"/>
      <c r="BB407" s="309"/>
      <c r="BC407" s="214">
        <v>1599.7</v>
      </c>
      <c r="BD407" s="309">
        <v>0.53323333333333334</v>
      </c>
      <c r="BE407" s="309">
        <v>0.56129824561403507</v>
      </c>
      <c r="BF407" s="214"/>
      <c r="BG407" s="214">
        <v>2146</v>
      </c>
      <c r="BH407" s="309">
        <v>0.71533333333333338</v>
      </c>
      <c r="BI407" s="309">
        <v>0.75298245614035086</v>
      </c>
      <c r="BJ407" s="214">
        <f t="shared" si="368"/>
        <v>2850</v>
      </c>
      <c r="BK407" s="214">
        <v>2545</v>
      </c>
      <c r="BL407" s="309">
        <f t="shared" si="354"/>
        <v>0.84833333333333338</v>
      </c>
      <c r="BM407" s="309">
        <f t="shared" si="369"/>
        <v>0.89298245614035088</v>
      </c>
      <c r="BN407" s="205">
        <f t="shared" si="352"/>
        <v>2545</v>
      </c>
      <c r="BO407" s="205"/>
      <c r="BP407" s="310">
        <v>900</v>
      </c>
      <c r="BQ407" s="308">
        <f t="shared" si="355"/>
        <v>0.3</v>
      </c>
      <c r="BR407" s="310">
        <f>BP407+1000</f>
        <v>1900</v>
      </c>
      <c r="BS407" s="308">
        <f t="shared" si="356"/>
        <v>0.6333333333333333</v>
      </c>
      <c r="BT407" s="310">
        <f>BR407+800</f>
        <v>2700</v>
      </c>
      <c r="BU407" s="308">
        <f t="shared" si="357"/>
        <v>0.9</v>
      </c>
      <c r="BV407" s="310">
        <f>F407*0.95</f>
        <v>2850</v>
      </c>
      <c r="BW407" s="308">
        <f t="shared" si="358"/>
        <v>0.95</v>
      </c>
      <c r="BX407" s="310">
        <v>2850</v>
      </c>
      <c r="BY407" s="308">
        <f t="shared" si="359"/>
        <v>0.95</v>
      </c>
      <c r="BZ407" s="310">
        <v>2850</v>
      </c>
      <c r="CA407" s="308">
        <f t="shared" si="360"/>
        <v>0.95</v>
      </c>
      <c r="CB407" s="310">
        <v>2850</v>
      </c>
      <c r="CC407" s="308">
        <f t="shared" si="361"/>
        <v>0.95</v>
      </c>
      <c r="CD407" s="310">
        <v>2850</v>
      </c>
      <c r="CE407" s="308">
        <f t="shared" si="341"/>
        <v>0.95</v>
      </c>
      <c r="CF407" s="310">
        <v>2850</v>
      </c>
      <c r="CG407" s="308">
        <f t="shared" si="362"/>
        <v>0.95</v>
      </c>
      <c r="CH407" s="310">
        <v>2850</v>
      </c>
      <c r="CI407" s="308">
        <f t="shared" si="342"/>
        <v>0.95</v>
      </c>
      <c r="CJ407" s="310">
        <v>2850</v>
      </c>
      <c r="CK407" s="308">
        <f t="shared" si="363"/>
        <v>0.95</v>
      </c>
      <c r="CL407" s="310">
        <v>2850</v>
      </c>
      <c r="CM407" s="308">
        <f t="shared" si="364"/>
        <v>0.95</v>
      </c>
      <c r="CN407" s="310">
        <v>2850</v>
      </c>
      <c r="CO407" s="308">
        <f t="shared" si="365"/>
        <v>0.95</v>
      </c>
      <c r="CP407" s="213" t="str">
        <f t="shared" si="370"/>
        <v>Đạt</v>
      </c>
      <c r="CQ407" s="213" t="str">
        <f t="shared" si="371"/>
        <v>Đạt</v>
      </c>
      <c r="CR407" s="312"/>
      <c r="CS407" s="312"/>
      <c r="CT407" s="235"/>
      <c r="CU407" s="163"/>
      <c r="CV407" s="323"/>
      <c r="CW407" s="195"/>
      <c r="CX407" s="196"/>
      <c r="CY407" s="196"/>
      <c r="CZ407" s="197"/>
      <c r="DA407" s="196"/>
      <c r="DB407" s="196"/>
      <c r="DC407" s="196"/>
      <c r="DE407" s="199"/>
      <c r="DF407" s="200"/>
      <c r="DG407" s="181"/>
      <c r="DH407" s="337"/>
    </row>
    <row r="408" spans="1:112" ht="25.5" hidden="1" outlineLevel="1" x14ac:dyDescent="0.25">
      <c r="A408" s="305" t="s">
        <v>34</v>
      </c>
      <c r="B408" s="306" t="s">
        <v>377</v>
      </c>
      <c r="C408" s="306"/>
      <c r="D408" s="307">
        <f>E408+F408</f>
        <v>144</v>
      </c>
      <c r="E408" s="307"/>
      <c r="F408" s="307">
        <f>G408+H408+K408+M408</f>
        <v>144</v>
      </c>
      <c r="G408" s="307"/>
      <c r="H408" s="307">
        <v>144</v>
      </c>
      <c r="I408" s="235"/>
      <c r="J408" s="235"/>
      <c r="K408" s="303"/>
      <c r="L408" s="235"/>
      <c r="M408" s="223"/>
      <c r="N408" s="223"/>
      <c r="O408" s="303"/>
      <c r="P408" s="303">
        <v>0</v>
      </c>
      <c r="Q408" s="308">
        <f t="shared" si="367"/>
        <v>0</v>
      </c>
      <c r="R408" s="303"/>
      <c r="S408" s="309">
        <v>0</v>
      </c>
      <c r="T408" s="309">
        <v>0</v>
      </c>
      <c r="U408" s="303"/>
      <c r="V408" s="309">
        <v>0</v>
      </c>
      <c r="W408" s="309">
        <v>0</v>
      </c>
      <c r="X408" s="303"/>
      <c r="Y408" s="309">
        <v>0</v>
      </c>
      <c r="Z408" s="309">
        <v>0</v>
      </c>
      <c r="AA408" s="303"/>
      <c r="AB408" s="309">
        <v>0</v>
      </c>
      <c r="AC408" s="309">
        <v>0</v>
      </c>
      <c r="AD408" s="303"/>
      <c r="AE408" s="309">
        <v>0</v>
      </c>
      <c r="AF408" s="309">
        <v>0</v>
      </c>
      <c r="AG408" s="303"/>
      <c r="AH408" s="309">
        <v>0</v>
      </c>
      <c r="AI408" s="309">
        <v>0</v>
      </c>
      <c r="AJ408" s="188"/>
      <c r="AK408" s="309">
        <v>0</v>
      </c>
      <c r="AL408" s="309">
        <v>0</v>
      </c>
      <c r="AM408" s="303"/>
      <c r="AN408" s="309">
        <v>0</v>
      </c>
      <c r="AO408" s="309">
        <v>0</v>
      </c>
      <c r="AP408" s="309"/>
      <c r="AQ408" s="303"/>
      <c r="AR408" s="309">
        <v>0</v>
      </c>
      <c r="AS408" s="309">
        <v>0</v>
      </c>
      <c r="AT408" s="303"/>
      <c r="AU408" s="309">
        <v>0</v>
      </c>
      <c r="AV408" s="309">
        <v>0</v>
      </c>
      <c r="AW408" s="309"/>
      <c r="AX408" s="309"/>
      <c r="AY408" s="309"/>
      <c r="AZ408" s="309"/>
      <c r="BA408" s="309"/>
      <c r="BB408" s="309"/>
      <c r="BC408" s="303"/>
      <c r="BD408" s="309">
        <v>0</v>
      </c>
      <c r="BE408" s="309">
        <v>0</v>
      </c>
      <c r="BF408" s="303"/>
      <c r="BG408" s="303"/>
      <c r="BH408" s="309">
        <v>0</v>
      </c>
      <c r="BI408" s="309">
        <v>0</v>
      </c>
      <c r="BJ408" s="303">
        <f t="shared" si="368"/>
        <v>136.79999999999998</v>
      </c>
      <c r="BK408" s="303"/>
      <c r="BL408" s="309">
        <f t="shared" si="354"/>
        <v>0</v>
      </c>
      <c r="BM408" s="309">
        <f t="shared" si="369"/>
        <v>0</v>
      </c>
      <c r="BN408" s="205">
        <f t="shared" si="352"/>
        <v>0</v>
      </c>
      <c r="BO408" s="205"/>
      <c r="BP408" s="310"/>
      <c r="BQ408" s="308">
        <f t="shared" si="355"/>
        <v>0</v>
      </c>
      <c r="BR408" s="310"/>
      <c r="BS408" s="308">
        <f t="shared" si="356"/>
        <v>0</v>
      </c>
      <c r="BT408" s="310">
        <f>H408*0.95</f>
        <v>136.79999999999998</v>
      </c>
      <c r="BU408" s="308">
        <f t="shared" si="357"/>
        <v>0.94999999999999984</v>
      </c>
      <c r="BV408" s="310">
        <v>136.79999999999998</v>
      </c>
      <c r="BW408" s="308">
        <f t="shared" si="358"/>
        <v>0.94999999999999984</v>
      </c>
      <c r="BX408" s="310">
        <v>136.79999999999998</v>
      </c>
      <c r="BY408" s="308">
        <f t="shared" si="359"/>
        <v>0.94999999999999984</v>
      </c>
      <c r="BZ408" s="310">
        <v>136.79999999999998</v>
      </c>
      <c r="CA408" s="308">
        <f t="shared" si="360"/>
        <v>0.94999999999999984</v>
      </c>
      <c r="CB408" s="310">
        <v>136.79999999999998</v>
      </c>
      <c r="CC408" s="308">
        <f t="shared" si="361"/>
        <v>0.94999999999999984</v>
      </c>
      <c r="CD408" s="310">
        <v>136.79999999999998</v>
      </c>
      <c r="CE408" s="308">
        <f t="shared" si="341"/>
        <v>0.94999999999999984</v>
      </c>
      <c r="CF408" s="310">
        <v>136.79999999999998</v>
      </c>
      <c r="CG408" s="308">
        <f t="shared" si="362"/>
        <v>0.94999999999999984</v>
      </c>
      <c r="CH408" s="310">
        <v>136.79999999999998</v>
      </c>
      <c r="CI408" s="308">
        <f t="shared" si="342"/>
        <v>0.94999999999999984</v>
      </c>
      <c r="CJ408" s="310">
        <v>136.79999999999998</v>
      </c>
      <c r="CK408" s="308">
        <f t="shared" si="363"/>
        <v>0.94999999999999984</v>
      </c>
      <c r="CL408" s="310">
        <v>136.79999999999998</v>
      </c>
      <c r="CM408" s="308">
        <f t="shared" si="364"/>
        <v>0.94999999999999984</v>
      </c>
      <c r="CN408" s="310">
        <v>136.79999999999998</v>
      </c>
      <c r="CO408" s="308">
        <f t="shared" si="365"/>
        <v>0.94999999999999984</v>
      </c>
      <c r="CP408" s="213" t="str">
        <f t="shared" si="370"/>
        <v>Không đạt</v>
      </c>
      <c r="CQ408" s="213" t="str">
        <f t="shared" si="371"/>
        <v>Không đạt</v>
      </c>
      <c r="CR408" s="312"/>
      <c r="CS408" s="312"/>
      <c r="CT408" s="235"/>
      <c r="CU408" s="163"/>
      <c r="CW408" s="195"/>
      <c r="CX408" s="196"/>
      <c r="CY408" s="196"/>
      <c r="CZ408" s="197"/>
      <c r="DA408" s="196"/>
      <c r="DB408" s="196"/>
      <c r="DC408" s="196"/>
      <c r="DE408" s="199"/>
      <c r="DF408" s="200"/>
      <c r="DG408" s="181"/>
    </row>
    <row r="409" spans="1:112" ht="18" customHeight="1" collapsed="1" x14ac:dyDescent="0.25">
      <c r="A409" s="316">
        <f>MAX(A$239:A407)+1</f>
        <v>51</v>
      </c>
      <c r="B409" s="240" t="s">
        <v>444</v>
      </c>
      <c r="C409" s="240"/>
      <c r="D409" s="188">
        <f t="shared" ref="D409:I409" si="376">D410+D411</f>
        <v>3077</v>
      </c>
      <c r="E409" s="188">
        <f t="shared" si="376"/>
        <v>0</v>
      </c>
      <c r="F409" s="188">
        <f t="shared" si="376"/>
        <v>3077</v>
      </c>
      <c r="G409" s="188">
        <f t="shared" si="376"/>
        <v>3000</v>
      </c>
      <c r="H409" s="188">
        <f t="shared" si="376"/>
        <v>77</v>
      </c>
      <c r="I409" s="188">
        <f t="shared" si="376"/>
        <v>0</v>
      </c>
      <c r="J409" s="188"/>
      <c r="K409" s="188">
        <f>K410+K411</f>
        <v>0</v>
      </c>
      <c r="L409" s="188">
        <f>L410+L411</f>
        <v>0</v>
      </c>
      <c r="M409" s="188">
        <f>M410+M411</f>
        <v>0</v>
      </c>
      <c r="N409" s="188">
        <f>N410+N411</f>
        <v>0</v>
      </c>
      <c r="O409" s="188">
        <f>O410+O411</f>
        <v>3000</v>
      </c>
      <c r="P409" s="188">
        <v>0</v>
      </c>
      <c r="Q409" s="186">
        <f t="shared" si="367"/>
        <v>0</v>
      </c>
      <c r="R409" s="188">
        <v>0</v>
      </c>
      <c r="S409" s="185">
        <v>0</v>
      </c>
      <c r="T409" s="185">
        <v>0</v>
      </c>
      <c r="U409" s="188">
        <v>0</v>
      </c>
      <c r="V409" s="185">
        <v>0</v>
      </c>
      <c r="W409" s="185">
        <v>0</v>
      </c>
      <c r="X409" s="188">
        <v>0</v>
      </c>
      <c r="Y409" s="185">
        <v>0</v>
      </c>
      <c r="Z409" s="185">
        <v>0</v>
      </c>
      <c r="AA409" s="188">
        <v>0</v>
      </c>
      <c r="AB409" s="185">
        <v>0</v>
      </c>
      <c r="AC409" s="185">
        <v>0</v>
      </c>
      <c r="AD409" s="188">
        <v>6</v>
      </c>
      <c r="AE409" s="185">
        <v>1.9499512512187196E-3</v>
      </c>
      <c r="AF409" s="185">
        <v>2.0525802644407575E-3</v>
      </c>
      <c r="AG409" s="188">
        <v>6</v>
      </c>
      <c r="AH409" s="185">
        <v>1.9499512512187196E-3</v>
      </c>
      <c r="AI409" s="185">
        <v>2.0525802644407575E-3</v>
      </c>
      <c r="AJ409" s="303">
        <v>6</v>
      </c>
      <c r="AK409" s="185">
        <v>1.9499512512187196E-3</v>
      </c>
      <c r="AL409" s="185">
        <v>2.0525802644407575E-3</v>
      </c>
      <c r="AM409" s="188">
        <v>783</v>
      </c>
      <c r="AN409" s="185">
        <v>0.25446863828404293</v>
      </c>
      <c r="AO409" s="185">
        <v>0.26786172450951889</v>
      </c>
      <c r="AP409" s="185"/>
      <c r="AQ409" s="314">
        <v>783</v>
      </c>
      <c r="AR409" s="185">
        <v>0.25446863828404293</v>
      </c>
      <c r="AS409" s="185">
        <v>0.26786172450951889</v>
      </c>
      <c r="AT409" s="314">
        <v>809.83100000000002</v>
      </c>
      <c r="AU409" s="185">
        <v>0.26318849528761784</v>
      </c>
      <c r="AV409" s="185">
        <v>0.2770405213553872</v>
      </c>
      <c r="AW409" s="185"/>
      <c r="AX409" s="185"/>
      <c r="AY409" s="185"/>
      <c r="AZ409" s="185"/>
      <c r="BA409" s="185"/>
      <c r="BB409" s="185"/>
      <c r="BC409" s="314">
        <v>809.83100000000002</v>
      </c>
      <c r="BD409" s="185">
        <v>0.26318849528761784</v>
      </c>
      <c r="BE409" s="185">
        <v>0.2770405213553872</v>
      </c>
      <c r="BF409" s="314"/>
      <c r="BG409" s="314">
        <v>1381</v>
      </c>
      <c r="BH409" s="185">
        <v>0.44881377965550862</v>
      </c>
      <c r="BI409" s="185">
        <v>0.47243555753211441</v>
      </c>
      <c r="BJ409" s="188">
        <f t="shared" si="368"/>
        <v>2923.1499999999996</v>
      </c>
      <c r="BK409" s="188">
        <f>BK410+BK411</f>
        <v>1381</v>
      </c>
      <c r="BL409" s="185">
        <f t="shared" si="354"/>
        <v>0.44881377965550862</v>
      </c>
      <c r="BM409" s="185">
        <f t="shared" si="369"/>
        <v>0.47243555753211441</v>
      </c>
      <c r="BN409" s="205">
        <f t="shared" si="352"/>
        <v>1375</v>
      </c>
      <c r="BO409" s="205"/>
      <c r="BP409" s="189">
        <f>BP410+BP411</f>
        <v>0</v>
      </c>
      <c r="BQ409" s="186">
        <f t="shared" si="355"/>
        <v>0</v>
      </c>
      <c r="BR409" s="189">
        <f>BR410+BR411</f>
        <v>0</v>
      </c>
      <c r="BS409" s="186">
        <f t="shared" si="356"/>
        <v>0</v>
      </c>
      <c r="BT409" s="189">
        <f>BT410+BT411</f>
        <v>307.7</v>
      </c>
      <c r="BU409" s="186">
        <f t="shared" si="357"/>
        <v>9.9999999999999992E-2</v>
      </c>
      <c r="BV409" s="189">
        <f>BV410+BV411</f>
        <v>615.4</v>
      </c>
      <c r="BW409" s="186">
        <f t="shared" si="358"/>
        <v>0.19999999999999998</v>
      </c>
      <c r="BX409" s="189">
        <f>BX410+BX411</f>
        <v>923.1</v>
      </c>
      <c r="BY409" s="186">
        <f t="shared" si="359"/>
        <v>0.3</v>
      </c>
      <c r="BZ409" s="189">
        <f>BZ410+BZ411</f>
        <v>1230.8</v>
      </c>
      <c r="CA409" s="186">
        <f t="shared" si="360"/>
        <v>0.39999999999999997</v>
      </c>
      <c r="CB409" s="189">
        <f>CB410+CB411</f>
        <v>1538.5</v>
      </c>
      <c r="CC409" s="186">
        <f t="shared" si="361"/>
        <v>0.5</v>
      </c>
      <c r="CD409" s="189">
        <f>CD410+CD411</f>
        <v>1692.3500000000001</v>
      </c>
      <c r="CE409" s="186">
        <f t="shared" si="341"/>
        <v>0.55000000000000004</v>
      </c>
      <c r="CF409" s="189">
        <f>CF410+CF411</f>
        <v>2153.9</v>
      </c>
      <c r="CG409" s="186">
        <f t="shared" si="362"/>
        <v>0.70000000000000007</v>
      </c>
      <c r="CH409" s="189">
        <f>CH410+CH411</f>
        <v>2153.9</v>
      </c>
      <c r="CI409" s="186">
        <f t="shared" si="342"/>
        <v>0.70000000000000007</v>
      </c>
      <c r="CJ409" s="189">
        <f>CJ410+CJ411</f>
        <v>2307.75</v>
      </c>
      <c r="CK409" s="186">
        <f t="shared" si="363"/>
        <v>0.75</v>
      </c>
      <c r="CL409" s="189">
        <f>CL410+CL411</f>
        <v>2307.75</v>
      </c>
      <c r="CM409" s="186">
        <f t="shared" si="364"/>
        <v>0.75</v>
      </c>
      <c r="CN409" s="189">
        <f>CN410+CN411</f>
        <v>2923.15</v>
      </c>
      <c r="CO409" s="186">
        <f t="shared" si="365"/>
        <v>0.95000000000000007</v>
      </c>
      <c r="CP409" s="213" t="str">
        <f t="shared" si="370"/>
        <v>Đạt</v>
      </c>
      <c r="CQ409" s="213" t="str">
        <f t="shared" si="371"/>
        <v>Đạt</v>
      </c>
      <c r="CR409" s="213"/>
      <c r="CS409" s="213"/>
      <c r="CT409" s="231"/>
      <c r="CU409" s="163"/>
      <c r="CW409" s="195"/>
      <c r="CX409" s="196"/>
      <c r="CY409" s="196"/>
      <c r="CZ409" s="197"/>
      <c r="DA409" s="196"/>
      <c r="DB409" s="196"/>
      <c r="DC409" s="196"/>
      <c r="DE409" s="199"/>
      <c r="DF409" s="200"/>
      <c r="DG409" s="181"/>
    </row>
    <row r="410" spans="1:112" s="324" customFormat="1" hidden="1" outlineLevel="1" x14ac:dyDescent="0.25">
      <c r="A410" s="305" t="s">
        <v>34</v>
      </c>
      <c r="B410" s="306" t="s">
        <v>376</v>
      </c>
      <c r="C410" s="306"/>
      <c r="D410" s="307">
        <f>E410+F410</f>
        <v>3000</v>
      </c>
      <c r="E410" s="307"/>
      <c r="F410" s="307">
        <f>G410+H410+K410+M410</f>
        <v>3000</v>
      </c>
      <c r="G410" s="303">
        <v>3000</v>
      </c>
      <c r="H410" s="303"/>
      <c r="I410" s="235"/>
      <c r="J410" s="235"/>
      <c r="K410" s="303"/>
      <c r="L410" s="235"/>
      <c r="M410" s="223"/>
      <c r="N410" s="223"/>
      <c r="O410" s="303">
        <f>G410+I410+L410+N410</f>
        <v>3000</v>
      </c>
      <c r="P410" s="303">
        <v>0</v>
      </c>
      <c r="Q410" s="308">
        <f t="shared" si="367"/>
        <v>0</v>
      </c>
      <c r="R410" s="303"/>
      <c r="S410" s="309">
        <v>0</v>
      </c>
      <c r="T410" s="309">
        <v>0</v>
      </c>
      <c r="U410" s="303"/>
      <c r="V410" s="309">
        <v>0</v>
      </c>
      <c r="W410" s="309">
        <v>0</v>
      </c>
      <c r="X410" s="303"/>
      <c r="Y410" s="309">
        <v>0</v>
      </c>
      <c r="Z410" s="309">
        <v>0</v>
      </c>
      <c r="AA410" s="303"/>
      <c r="AB410" s="309">
        <v>0</v>
      </c>
      <c r="AC410" s="309">
        <v>0</v>
      </c>
      <c r="AD410" s="303">
        <v>6</v>
      </c>
      <c r="AE410" s="309">
        <v>2E-3</v>
      </c>
      <c r="AF410" s="309">
        <v>2.1052631578947368E-3</v>
      </c>
      <c r="AG410" s="303">
        <v>6</v>
      </c>
      <c r="AH410" s="309">
        <v>2E-3</v>
      </c>
      <c r="AI410" s="309">
        <v>2.1052631578947368E-3</v>
      </c>
      <c r="AJ410" s="303">
        <v>6</v>
      </c>
      <c r="AK410" s="309">
        <v>2E-3</v>
      </c>
      <c r="AL410" s="309">
        <v>2.1052631578947368E-3</v>
      </c>
      <c r="AM410" s="303">
        <v>783</v>
      </c>
      <c r="AN410" s="309">
        <v>0.26100000000000001</v>
      </c>
      <c r="AO410" s="309">
        <v>0.27473684210526317</v>
      </c>
      <c r="AP410" s="309"/>
      <c r="AQ410" s="303">
        <v>783</v>
      </c>
      <c r="AR410" s="309">
        <v>0.26100000000000001</v>
      </c>
      <c r="AS410" s="309">
        <v>0.27473684210526317</v>
      </c>
      <c r="AT410" s="303">
        <v>809.83100000000002</v>
      </c>
      <c r="AU410" s="309">
        <v>0.26994366666666669</v>
      </c>
      <c r="AV410" s="309">
        <v>0.28415122807017545</v>
      </c>
      <c r="AW410" s="309"/>
      <c r="AX410" s="309"/>
      <c r="AY410" s="309"/>
      <c r="AZ410" s="309"/>
      <c r="BA410" s="309"/>
      <c r="BB410" s="309"/>
      <c r="BC410" s="303">
        <v>809.83100000000002</v>
      </c>
      <c r="BD410" s="309">
        <v>0.26994366666666669</v>
      </c>
      <c r="BE410" s="309">
        <v>0.28415122807017545</v>
      </c>
      <c r="BF410" s="303"/>
      <c r="BG410" s="303">
        <v>1381</v>
      </c>
      <c r="BH410" s="309">
        <v>0.46033333333333332</v>
      </c>
      <c r="BI410" s="309">
        <v>0.48456140350877192</v>
      </c>
      <c r="BJ410" s="303">
        <f t="shared" si="368"/>
        <v>2850</v>
      </c>
      <c r="BK410" s="303">
        <v>1381</v>
      </c>
      <c r="BL410" s="309">
        <f t="shared" si="354"/>
        <v>0.46033333333333332</v>
      </c>
      <c r="BM410" s="309">
        <f t="shared" si="369"/>
        <v>0.48456140350877192</v>
      </c>
      <c r="BN410" s="205">
        <f t="shared" si="352"/>
        <v>1375</v>
      </c>
      <c r="BO410" s="205"/>
      <c r="BP410" s="310"/>
      <c r="BQ410" s="308">
        <f t="shared" si="355"/>
        <v>0</v>
      </c>
      <c r="BR410" s="310"/>
      <c r="BS410" s="308">
        <f t="shared" si="356"/>
        <v>0</v>
      </c>
      <c r="BT410" s="310">
        <f>$F410*0.1</f>
        <v>300</v>
      </c>
      <c r="BU410" s="308">
        <f t="shared" si="357"/>
        <v>0.1</v>
      </c>
      <c r="BV410" s="310">
        <f>$F410*0.2</f>
        <v>600</v>
      </c>
      <c r="BW410" s="308">
        <f t="shared" si="358"/>
        <v>0.2</v>
      </c>
      <c r="BX410" s="310">
        <f>$F410*0.3</f>
        <v>900</v>
      </c>
      <c r="BY410" s="308">
        <f t="shared" si="359"/>
        <v>0.3</v>
      </c>
      <c r="BZ410" s="310">
        <f>$F410*0.4</f>
        <v>1200</v>
      </c>
      <c r="CA410" s="308">
        <f t="shared" si="360"/>
        <v>0.4</v>
      </c>
      <c r="CB410" s="310">
        <f>$F410*0.5</f>
        <v>1500</v>
      </c>
      <c r="CC410" s="308">
        <f t="shared" si="361"/>
        <v>0.5</v>
      </c>
      <c r="CD410" s="310">
        <f>$F410*0.55</f>
        <v>1650.0000000000002</v>
      </c>
      <c r="CE410" s="308">
        <f t="shared" si="341"/>
        <v>0.55000000000000004</v>
      </c>
      <c r="CF410" s="310">
        <v>2100</v>
      </c>
      <c r="CG410" s="308">
        <f t="shared" si="362"/>
        <v>0.7</v>
      </c>
      <c r="CH410" s="310">
        <f>$F410*0.7</f>
        <v>2100</v>
      </c>
      <c r="CI410" s="308">
        <f t="shared" si="342"/>
        <v>0.7</v>
      </c>
      <c r="CJ410" s="310">
        <f>$F410*0.75</f>
        <v>2250</v>
      </c>
      <c r="CK410" s="308">
        <f t="shared" si="363"/>
        <v>0.75</v>
      </c>
      <c r="CL410" s="310">
        <f>$F410*0.75</f>
        <v>2250</v>
      </c>
      <c r="CM410" s="308">
        <f t="shared" si="364"/>
        <v>0.75</v>
      </c>
      <c r="CN410" s="310">
        <f>$F410*0.95</f>
        <v>2850</v>
      </c>
      <c r="CO410" s="308">
        <f t="shared" si="365"/>
        <v>0.95</v>
      </c>
      <c r="CP410" s="213" t="str">
        <f t="shared" si="370"/>
        <v>Đạt</v>
      </c>
      <c r="CQ410" s="213" t="str">
        <f t="shared" si="371"/>
        <v>Đạt</v>
      </c>
      <c r="CR410" s="312"/>
      <c r="CS410" s="312"/>
      <c r="CT410" s="235"/>
      <c r="CU410" s="163"/>
      <c r="CV410" s="323"/>
      <c r="CW410" s="195"/>
      <c r="CX410" s="196"/>
      <c r="CY410" s="196"/>
      <c r="CZ410" s="197"/>
      <c r="DA410" s="196"/>
      <c r="DB410" s="196"/>
      <c r="DC410" s="196"/>
      <c r="DE410" s="199"/>
      <c r="DF410" s="200"/>
      <c r="DG410" s="181"/>
    </row>
    <row r="411" spans="1:112" ht="25.5" hidden="1" outlineLevel="1" x14ac:dyDescent="0.25">
      <c r="A411" s="305" t="s">
        <v>34</v>
      </c>
      <c r="B411" s="306" t="s">
        <v>377</v>
      </c>
      <c r="C411" s="306"/>
      <c r="D411" s="307">
        <f>E411+F411</f>
        <v>77</v>
      </c>
      <c r="E411" s="307"/>
      <c r="F411" s="307">
        <f>G411+H411+K411+M411</f>
        <v>77</v>
      </c>
      <c r="G411" s="307"/>
      <c r="H411" s="307">
        <v>77</v>
      </c>
      <c r="I411" s="235"/>
      <c r="J411" s="235"/>
      <c r="K411" s="303"/>
      <c r="L411" s="235"/>
      <c r="M411" s="223"/>
      <c r="N411" s="223"/>
      <c r="O411" s="303"/>
      <c r="P411" s="303">
        <v>0</v>
      </c>
      <c r="Q411" s="308">
        <f t="shared" si="367"/>
        <v>0</v>
      </c>
      <c r="R411" s="303"/>
      <c r="S411" s="309">
        <v>0</v>
      </c>
      <c r="T411" s="309">
        <v>0</v>
      </c>
      <c r="U411" s="303"/>
      <c r="V411" s="309">
        <v>0</v>
      </c>
      <c r="W411" s="309">
        <v>0</v>
      </c>
      <c r="X411" s="303"/>
      <c r="Y411" s="309">
        <v>0</v>
      </c>
      <c r="Z411" s="309">
        <v>0</v>
      </c>
      <c r="AA411" s="303"/>
      <c r="AB411" s="309">
        <v>0</v>
      </c>
      <c r="AC411" s="309">
        <v>0</v>
      </c>
      <c r="AD411" s="303"/>
      <c r="AE411" s="309">
        <v>0</v>
      </c>
      <c r="AF411" s="309">
        <v>0</v>
      </c>
      <c r="AG411" s="303"/>
      <c r="AH411" s="309">
        <v>0</v>
      </c>
      <c r="AI411" s="309">
        <v>0</v>
      </c>
      <c r="AJ411" s="188"/>
      <c r="AK411" s="309">
        <v>0</v>
      </c>
      <c r="AL411" s="309">
        <v>0</v>
      </c>
      <c r="AM411" s="303"/>
      <c r="AN411" s="309">
        <v>0</v>
      </c>
      <c r="AO411" s="309">
        <v>0</v>
      </c>
      <c r="AP411" s="309"/>
      <c r="AQ411" s="303"/>
      <c r="AR411" s="309">
        <v>0</v>
      </c>
      <c r="AS411" s="309">
        <v>0</v>
      </c>
      <c r="AT411" s="303"/>
      <c r="AU411" s="309">
        <v>0</v>
      </c>
      <c r="AV411" s="309">
        <v>0</v>
      </c>
      <c r="AW411" s="309"/>
      <c r="AX411" s="309"/>
      <c r="AY411" s="309"/>
      <c r="AZ411" s="309"/>
      <c r="BA411" s="309"/>
      <c r="BB411" s="309"/>
      <c r="BC411" s="303"/>
      <c r="BD411" s="309">
        <v>0</v>
      </c>
      <c r="BE411" s="309">
        <v>0</v>
      </c>
      <c r="BF411" s="303"/>
      <c r="BG411" s="303"/>
      <c r="BH411" s="309">
        <v>0</v>
      </c>
      <c r="BI411" s="309">
        <v>0</v>
      </c>
      <c r="BJ411" s="303">
        <f t="shared" si="368"/>
        <v>73.149999999999991</v>
      </c>
      <c r="BK411" s="303"/>
      <c r="BL411" s="309">
        <f t="shared" si="354"/>
        <v>0</v>
      </c>
      <c r="BM411" s="309">
        <f t="shared" si="369"/>
        <v>0</v>
      </c>
      <c r="BN411" s="205">
        <f t="shared" si="352"/>
        <v>0</v>
      </c>
      <c r="BO411" s="205"/>
      <c r="BP411" s="310"/>
      <c r="BQ411" s="308">
        <f t="shared" si="355"/>
        <v>0</v>
      </c>
      <c r="BR411" s="310"/>
      <c r="BS411" s="308">
        <f t="shared" si="356"/>
        <v>0</v>
      </c>
      <c r="BT411" s="310">
        <f>$F411*0.1</f>
        <v>7.7</v>
      </c>
      <c r="BU411" s="308">
        <f t="shared" si="357"/>
        <v>0.1</v>
      </c>
      <c r="BV411" s="310">
        <f>$F411*0.2</f>
        <v>15.4</v>
      </c>
      <c r="BW411" s="308">
        <f t="shared" si="358"/>
        <v>0.2</v>
      </c>
      <c r="BX411" s="310">
        <f>$F411*0.3</f>
        <v>23.099999999999998</v>
      </c>
      <c r="BY411" s="308">
        <f t="shared" si="359"/>
        <v>0.3</v>
      </c>
      <c r="BZ411" s="310">
        <f>$F411*0.4</f>
        <v>30.8</v>
      </c>
      <c r="CA411" s="308">
        <f t="shared" si="360"/>
        <v>0.4</v>
      </c>
      <c r="CB411" s="310">
        <f>$F411*0.5</f>
        <v>38.5</v>
      </c>
      <c r="CC411" s="308">
        <f t="shared" si="361"/>
        <v>0.5</v>
      </c>
      <c r="CD411" s="310">
        <f>$F411*0.55</f>
        <v>42.35</v>
      </c>
      <c r="CE411" s="308">
        <f t="shared" si="341"/>
        <v>0.55000000000000004</v>
      </c>
      <c r="CF411" s="310">
        <v>53.9</v>
      </c>
      <c r="CG411" s="308">
        <f t="shared" si="362"/>
        <v>0.7</v>
      </c>
      <c r="CH411" s="310">
        <f>$F411*0.7</f>
        <v>53.9</v>
      </c>
      <c r="CI411" s="308">
        <f t="shared" si="342"/>
        <v>0.7</v>
      </c>
      <c r="CJ411" s="310">
        <f>$F411*0.75</f>
        <v>57.75</v>
      </c>
      <c r="CK411" s="308">
        <f t="shared" si="363"/>
        <v>0.75</v>
      </c>
      <c r="CL411" s="310">
        <f>$F411*0.75</f>
        <v>57.75</v>
      </c>
      <c r="CM411" s="308">
        <f t="shared" si="364"/>
        <v>0.75</v>
      </c>
      <c r="CN411" s="310">
        <f>$F411*0.95</f>
        <v>73.149999999999991</v>
      </c>
      <c r="CO411" s="308">
        <f t="shared" si="365"/>
        <v>0.94999999999999984</v>
      </c>
      <c r="CP411" s="213" t="str">
        <f t="shared" si="370"/>
        <v>Không đạt</v>
      </c>
      <c r="CQ411" s="213" t="str">
        <f t="shared" si="371"/>
        <v>Không đạt</v>
      </c>
      <c r="CR411" s="312"/>
      <c r="CS411" s="312"/>
      <c r="CT411" s="235"/>
      <c r="CU411" s="163"/>
      <c r="CW411" s="195"/>
      <c r="CX411" s="196"/>
      <c r="CY411" s="196"/>
      <c r="CZ411" s="197"/>
      <c r="DA411" s="196"/>
      <c r="DB411" s="196"/>
      <c r="DC411" s="196"/>
      <c r="DE411" s="199"/>
      <c r="DF411" s="200"/>
      <c r="DG411" s="181"/>
    </row>
    <row r="412" spans="1:112" ht="18" customHeight="1" collapsed="1" x14ac:dyDescent="0.25">
      <c r="A412" s="316">
        <f>MAX(A$239:A410)+1</f>
        <v>52</v>
      </c>
      <c r="B412" s="240" t="s">
        <v>445</v>
      </c>
      <c r="C412" s="240"/>
      <c r="D412" s="188">
        <f t="shared" ref="D412:I412" si="377">D413+D414</f>
        <v>4600</v>
      </c>
      <c r="E412" s="188">
        <f t="shared" si="377"/>
        <v>0</v>
      </c>
      <c r="F412" s="188">
        <f t="shared" si="377"/>
        <v>4600</v>
      </c>
      <c r="G412" s="188">
        <f t="shared" si="377"/>
        <v>3000</v>
      </c>
      <c r="H412" s="188">
        <f t="shared" si="377"/>
        <v>1600</v>
      </c>
      <c r="I412" s="188">
        <f t="shared" si="377"/>
        <v>0</v>
      </c>
      <c r="J412" s="188"/>
      <c r="K412" s="188">
        <f>K413+K414</f>
        <v>0</v>
      </c>
      <c r="L412" s="188">
        <f>L413+L414</f>
        <v>0</v>
      </c>
      <c r="M412" s="188">
        <f>M413+M414</f>
        <v>0</v>
      </c>
      <c r="N412" s="188">
        <f>N413+N414</f>
        <v>0</v>
      </c>
      <c r="O412" s="188">
        <f>O413+O414</f>
        <v>3000</v>
      </c>
      <c r="P412" s="188">
        <v>0</v>
      </c>
      <c r="Q412" s="186">
        <f t="shared" si="367"/>
        <v>0</v>
      </c>
      <c r="R412" s="188">
        <v>0</v>
      </c>
      <c r="S412" s="185">
        <v>0</v>
      </c>
      <c r="T412" s="185">
        <v>0</v>
      </c>
      <c r="U412" s="188">
        <v>0</v>
      </c>
      <c r="V412" s="185">
        <v>0</v>
      </c>
      <c r="W412" s="185">
        <v>0</v>
      </c>
      <c r="X412" s="188">
        <v>0</v>
      </c>
      <c r="Y412" s="185">
        <v>0</v>
      </c>
      <c r="Z412" s="185">
        <v>0</v>
      </c>
      <c r="AA412" s="188">
        <v>0</v>
      </c>
      <c r="AB412" s="185">
        <v>0</v>
      </c>
      <c r="AC412" s="185">
        <v>0</v>
      </c>
      <c r="AD412" s="188">
        <v>31</v>
      </c>
      <c r="AE412" s="185">
        <v>6.7391304347826086E-3</v>
      </c>
      <c r="AF412" s="185">
        <v>7.0938215102974832E-3</v>
      </c>
      <c r="AG412" s="188">
        <v>31</v>
      </c>
      <c r="AH412" s="185">
        <v>6.7391304347826086E-3</v>
      </c>
      <c r="AI412" s="185">
        <v>7.0938215102974832E-3</v>
      </c>
      <c r="AJ412" s="303">
        <v>31</v>
      </c>
      <c r="AK412" s="185">
        <v>6.7391304347826086E-3</v>
      </c>
      <c r="AL412" s="185">
        <v>7.0938215102974832E-3</v>
      </c>
      <c r="AM412" s="188">
        <v>230</v>
      </c>
      <c r="AN412" s="185">
        <v>0.05</v>
      </c>
      <c r="AO412" s="185">
        <v>5.2631578947368418E-2</v>
      </c>
      <c r="AP412" s="185"/>
      <c r="AQ412" s="188">
        <v>538</v>
      </c>
      <c r="AR412" s="185">
        <v>0.11695652173913043</v>
      </c>
      <c r="AS412" s="185">
        <v>0.12311212814645309</v>
      </c>
      <c r="AT412" s="188">
        <v>697</v>
      </c>
      <c r="AU412" s="185">
        <v>0.15152173913043479</v>
      </c>
      <c r="AV412" s="185">
        <v>0.15949656750572083</v>
      </c>
      <c r="AW412" s="185"/>
      <c r="AX412" s="185"/>
      <c r="AY412" s="185"/>
      <c r="AZ412" s="185"/>
      <c r="BA412" s="185"/>
      <c r="BB412" s="185"/>
      <c r="BC412" s="188">
        <v>697</v>
      </c>
      <c r="BD412" s="185">
        <v>0.15152173913043479</v>
      </c>
      <c r="BE412" s="185">
        <v>0.15949656750572083</v>
      </c>
      <c r="BF412" s="188"/>
      <c r="BG412" s="188">
        <v>1366</v>
      </c>
      <c r="BH412" s="185">
        <v>0.29695652173913045</v>
      </c>
      <c r="BI412" s="185">
        <v>0.31258581235697941</v>
      </c>
      <c r="BJ412" s="188">
        <f t="shared" si="368"/>
        <v>4370</v>
      </c>
      <c r="BK412" s="188">
        <v>1384.2190000000001</v>
      </c>
      <c r="BL412" s="185">
        <f t="shared" si="354"/>
        <v>0.30091717391304351</v>
      </c>
      <c r="BM412" s="185">
        <f t="shared" si="369"/>
        <v>0.31675491990846683</v>
      </c>
      <c r="BN412" s="205">
        <f t="shared" si="352"/>
        <v>1353.2190000000001</v>
      </c>
      <c r="BO412" s="205"/>
      <c r="BP412" s="189">
        <f>BP413+BP414</f>
        <v>0</v>
      </c>
      <c r="BQ412" s="186">
        <f t="shared" si="355"/>
        <v>0</v>
      </c>
      <c r="BR412" s="189">
        <f>BR413+BR414</f>
        <v>0</v>
      </c>
      <c r="BS412" s="186">
        <f t="shared" si="356"/>
        <v>0</v>
      </c>
      <c r="BT412" s="189">
        <f>BT413+BT414</f>
        <v>460</v>
      </c>
      <c r="BU412" s="186">
        <f t="shared" si="357"/>
        <v>0.1</v>
      </c>
      <c r="BV412" s="189">
        <f>BV413+BV414</f>
        <v>920</v>
      </c>
      <c r="BW412" s="186">
        <f t="shared" si="358"/>
        <v>0.2</v>
      </c>
      <c r="BX412" s="189">
        <f>BX413+BX414</f>
        <v>1380</v>
      </c>
      <c r="BY412" s="186">
        <f t="shared" si="359"/>
        <v>0.3</v>
      </c>
      <c r="BZ412" s="189">
        <f>BZ413+BZ414</f>
        <v>1840</v>
      </c>
      <c r="CA412" s="186">
        <f t="shared" si="360"/>
        <v>0.4</v>
      </c>
      <c r="CB412" s="189">
        <f>CB413+CB414</f>
        <v>2300</v>
      </c>
      <c r="CC412" s="186">
        <f t="shared" si="361"/>
        <v>0.5</v>
      </c>
      <c r="CD412" s="189">
        <f>CD413+CD414</f>
        <v>2530.0000000000005</v>
      </c>
      <c r="CE412" s="186">
        <f t="shared" si="341"/>
        <v>0.55000000000000004</v>
      </c>
      <c r="CF412" s="189">
        <f>CF413+CF414</f>
        <v>3220</v>
      </c>
      <c r="CG412" s="186">
        <f t="shared" si="362"/>
        <v>0.7</v>
      </c>
      <c r="CH412" s="189">
        <f>CH413+CH414</f>
        <v>3220</v>
      </c>
      <c r="CI412" s="186">
        <f t="shared" si="342"/>
        <v>0.7</v>
      </c>
      <c r="CJ412" s="189">
        <f>CJ413+CJ414</f>
        <v>3450</v>
      </c>
      <c r="CK412" s="186">
        <f t="shared" si="363"/>
        <v>0.75</v>
      </c>
      <c r="CL412" s="189">
        <f>CL413+CL414</f>
        <v>3450</v>
      </c>
      <c r="CM412" s="186">
        <f t="shared" si="364"/>
        <v>0.75</v>
      </c>
      <c r="CN412" s="189">
        <f>CN413+CN414</f>
        <v>4370</v>
      </c>
      <c r="CO412" s="186">
        <f t="shared" si="365"/>
        <v>0.95</v>
      </c>
      <c r="CP412" s="213" t="str">
        <f t="shared" si="370"/>
        <v>Không đạt</v>
      </c>
      <c r="CQ412" s="213" t="str">
        <f t="shared" si="371"/>
        <v>Không đạt</v>
      </c>
      <c r="CR412" s="213"/>
      <c r="CS412" s="213"/>
      <c r="CT412" s="231"/>
      <c r="CU412" s="163"/>
      <c r="CW412" s="195"/>
      <c r="CX412" s="196"/>
      <c r="CY412" s="196"/>
      <c r="CZ412" s="197"/>
      <c r="DA412" s="196"/>
      <c r="DB412" s="196"/>
      <c r="DC412" s="196"/>
      <c r="DE412" s="199"/>
      <c r="DF412" s="200"/>
      <c r="DG412" s="181"/>
    </row>
    <row r="413" spans="1:112" s="324" customFormat="1" hidden="1" outlineLevel="1" x14ac:dyDescent="0.25">
      <c r="A413" s="305" t="s">
        <v>34</v>
      </c>
      <c r="B413" s="306" t="s">
        <v>376</v>
      </c>
      <c r="C413" s="306"/>
      <c r="D413" s="307">
        <f>E413+F413</f>
        <v>3000</v>
      </c>
      <c r="E413" s="307"/>
      <c r="F413" s="307">
        <f>G413+H413+K413+M413</f>
        <v>3000</v>
      </c>
      <c r="G413" s="303">
        <v>3000</v>
      </c>
      <c r="H413" s="303"/>
      <c r="I413" s="235"/>
      <c r="J413" s="235"/>
      <c r="K413" s="303"/>
      <c r="L413" s="235"/>
      <c r="M413" s="223"/>
      <c r="N413" s="223"/>
      <c r="O413" s="303">
        <f>G413+I413+L413+N413</f>
        <v>3000</v>
      </c>
      <c r="P413" s="303">
        <v>0</v>
      </c>
      <c r="Q413" s="308">
        <f t="shared" si="367"/>
        <v>0</v>
      </c>
      <c r="R413" s="303"/>
      <c r="S413" s="309">
        <v>0</v>
      </c>
      <c r="T413" s="309">
        <v>0</v>
      </c>
      <c r="U413" s="303"/>
      <c r="V413" s="309">
        <v>0</v>
      </c>
      <c r="W413" s="309">
        <v>0</v>
      </c>
      <c r="X413" s="303"/>
      <c r="Y413" s="309">
        <v>0</v>
      </c>
      <c r="Z413" s="309">
        <v>0</v>
      </c>
      <c r="AA413" s="303"/>
      <c r="AB413" s="309">
        <v>0</v>
      </c>
      <c r="AC413" s="309">
        <v>0</v>
      </c>
      <c r="AD413" s="303">
        <v>31</v>
      </c>
      <c r="AE413" s="309">
        <v>1.0333333333333333E-2</v>
      </c>
      <c r="AF413" s="309">
        <v>1.087719298245614E-2</v>
      </c>
      <c r="AG413" s="303">
        <v>31</v>
      </c>
      <c r="AH413" s="309">
        <v>1.0333333333333333E-2</v>
      </c>
      <c r="AI413" s="309">
        <v>1.087719298245614E-2</v>
      </c>
      <c r="AJ413" s="303">
        <v>31</v>
      </c>
      <c r="AK413" s="309">
        <v>1.0333333333333333E-2</v>
      </c>
      <c r="AL413" s="309">
        <v>1.087719298245614E-2</v>
      </c>
      <c r="AM413" s="303">
        <v>230</v>
      </c>
      <c r="AN413" s="309">
        <v>7.6666666666666661E-2</v>
      </c>
      <c r="AO413" s="309">
        <v>8.0701754385964913E-2</v>
      </c>
      <c r="AP413" s="309"/>
      <c r="AQ413" s="303">
        <v>538</v>
      </c>
      <c r="AR413" s="309">
        <v>0.17933333333333334</v>
      </c>
      <c r="AS413" s="309">
        <v>0.1887719298245614</v>
      </c>
      <c r="AT413" s="303">
        <v>697</v>
      </c>
      <c r="AU413" s="309">
        <v>0.23233333333333334</v>
      </c>
      <c r="AV413" s="309">
        <v>0.24456140350877192</v>
      </c>
      <c r="AW413" s="309"/>
      <c r="AX413" s="309"/>
      <c r="AY413" s="309"/>
      <c r="AZ413" s="309"/>
      <c r="BA413" s="309"/>
      <c r="BB413" s="309"/>
      <c r="BC413" s="303">
        <v>697</v>
      </c>
      <c r="BD413" s="309">
        <v>0.23233333333333334</v>
      </c>
      <c r="BE413" s="309">
        <v>0.24456140350877192</v>
      </c>
      <c r="BF413" s="303"/>
      <c r="BG413" s="303">
        <v>1366</v>
      </c>
      <c r="BH413" s="309">
        <v>0.45533333333333331</v>
      </c>
      <c r="BI413" s="309">
        <v>0.47929824561403511</v>
      </c>
      <c r="BJ413" s="303">
        <f t="shared" si="368"/>
        <v>2850</v>
      </c>
      <c r="BK413" s="303">
        <v>1366</v>
      </c>
      <c r="BL413" s="309">
        <f t="shared" si="354"/>
        <v>0.45533333333333331</v>
      </c>
      <c r="BM413" s="309">
        <f t="shared" si="369"/>
        <v>0.47929824561403511</v>
      </c>
      <c r="BN413" s="205">
        <f t="shared" si="352"/>
        <v>1335</v>
      </c>
      <c r="BO413" s="205"/>
      <c r="BP413" s="310"/>
      <c r="BQ413" s="308">
        <f t="shared" si="355"/>
        <v>0</v>
      </c>
      <c r="BR413" s="310"/>
      <c r="BS413" s="308">
        <f t="shared" si="356"/>
        <v>0</v>
      </c>
      <c r="BT413" s="310">
        <f>$F413*0.1</f>
        <v>300</v>
      </c>
      <c r="BU413" s="308">
        <f t="shared" si="357"/>
        <v>0.1</v>
      </c>
      <c r="BV413" s="310">
        <f>$F413*0.2</f>
        <v>600</v>
      </c>
      <c r="BW413" s="308">
        <f t="shared" si="358"/>
        <v>0.2</v>
      </c>
      <c r="BX413" s="310">
        <f>$F413*0.3</f>
        <v>900</v>
      </c>
      <c r="BY413" s="308">
        <f t="shared" si="359"/>
        <v>0.3</v>
      </c>
      <c r="BZ413" s="310">
        <f>$F413*0.4</f>
        <v>1200</v>
      </c>
      <c r="CA413" s="308">
        <f t="shared" si="360"/>
        <v>0.4</v>
      </c>
      <c r="CB413" s="310">
        <f>$F413*0.5</f>
        <v>1500</v>
      </c>
      <c r="CC413" s="308">
        <f t="shared" si="361"/>
        <v>0.5</v>
      </c>
      <c r="CD413" s="310">
        <f>$F413*0.55</f>
        <v>1650.0000000000002</v>
      </c>
      <c r="CE413" s="308">
        <f t="shared" si="341"/>
        <v>0.55000000000000004</v>
      </c>
      <c r="CF413" s="310">
        <v>2100</v>
      </c>
      <c r="CG413" s="308">
        <f t="shared" si="362"/>
        <v>0.7</v>
      </c>
      <c r="CH413" s="310">
        <f>$F413*0.7</f>
        <v>2100</v>
      </c>
      <c r="CI413" s="308">
        <f t="shared" si="342"/>
        <v>0.7</v>
      </c>
      <c r="CJ413" s="310">
        <f>$F413*0.75</f>
        <v>2250</v>
      </c>
      <c r="CK413" s="308">
        <f t="shared" si="363"/>
        <v>0.75</v>
      </c>
      <c r="CL413" s="310">
        <f>$F413*0.75</f>
        <v>2250</v>
      </c>
      <c r="CM413" s="308">
        <f t="shared" si="364"/>
        <v>0.75</v>
      </c>
      <c r="CN413" s="310">
        <f>$F413*0.95</f>
        <v>2850</v>
      </c>
      <c r="CO413" s="308">
        <f t="shared" si="365"/>
        <v>0.95</v>
      </c>
      <c r="CP413" s="213" t="str">
        <f t="shared" si="370"/>
        <v>Đạt</v>
      </c>
      <c r="CQ413" s="213" t="str">
        <f t="shared" si="371"/>
        <v>Đạt</v>
      </c>
      <c r="CR413" s="312"/>
      <c r="CS413" s="312"/>
      <c r="CT413" s="235"/>
      <c r="CU413" s="163"/>
      <c r="CV413" s="323"/>
      <c r="CW413" s="195"/>
      <c r="CX413" s="196"/>
      <c r="CY413" s="196"/>
      <c r="CZ413" s="197"/>
      <c r="DA413" s="196"/>
      <c r="DB413" s="196"/>
      <c r="DC413" s="196"/>
      <c r="DE413" s="199"/>
      <c r="DF413" s="200"/>
      <c r="DG413" s="181"/>
    </row>
    <row r="414" spans="1:112" ht="25.5" hidden="1" outlineLevel="1" x14ac:dyDescent="0.25">
      <c r="A414" s="305" t="s">
        <v>34</v>
      </c>
      <c r="B414" s="306" t="s">
        <v>377</v>
      </c>
      <c r="C414" s="306"/>
      <c r="D414" s="307">
        <f>E414+F414</f>
        <v>1600</v>
      </c>
      <c r="E414" s="307"/>
      <c r="F414" s="307">
        <f>G414+H414+K414+M414</f>
        <v>1600</v>
      </c>
      <c r="G414" s="307"/>
      <c r="H414" s="307">
        <v>1600</v>
      </c>
      <c r="I414" s="235"/>
      <c r="J414" s="235"/>
      <c r="K414" s="303"/>
      <c r="L414" s="235"/>
      <c r="M414" s="223"/>
      <c r="N414" s="223"/>
      <c r="O414" s="303"/>
      <c r="P414" s="303">
        <v>0</v>
      </c>
      <c r="Q414" s="308">
        <f t="shared" si="367"/>
        <v>0</v>
      </c>
      <c r="R414" s="303"/>
      <c r="S414" s="309">
        <v>0</v>
      </c>
      <c r="T414" s="309">
        <v>0</v>
      </c>
      <c r="U414" s="303"/>
      <c r="V414" s="309">
        <v>0</v>
      </c>
      <c r="W414" s="309">
        <v>0</v>
      </c>
      <c r="X414" s="303"/>
      <c r="Y414" s="309">
        <v>0</v>
      </c>
      <c r="Z414" s="309">
        <v>0</v>
      </c>
      <c r="AA414" s="303"/>
      <c r="AB414" s="309">
        <v>0</v>
      </c>
      <c r="AC414" s="309">
        <v>0</v>
      </c>
      <c r="AD414" s="303"/>
      <c r="AE414" s="309">
        <v>0</v>
      </c>
      <c r="AF414" s="309">
        <v>0</v>
      </c>
      <c r="AG414" s="303"/>
      <c r="AH414" s="309">
        <v>0</v>
      </c>
      <c r="AI414" s="309">
        <v>0</v>
      </c>
      <c r="AJ414" s="188"/>
      <c r="AK414" s="309">
        <v>0</v>
      </c>
      <c r="AL414" s="309">
        <v>0</v>
      </c>
      <c r="AM414" s="303"/>
      <c r="AN414" s="309">
        <v>0</v>
      </c>
      <c r="AO414" s="309">
        <v>0</v>
      </c>
      <c r="AP414" s="309"/>
      <c r="AQ414" s="303"/>
      <c r="AR414" s="309">
        <v>0</v>
      </c>
      <c r="AS414" s="309">
        <v>0</v>
      </c>
      <c r="AT414" s="303"/>
      <c r="AU414" s="309">
        <v>0</v>
      </c>
      <c r="AV414" s="309">
        <v>0</v>
      </c>
      <c r="AW414" s="309"/>
      <c r="AX414" s="309"/>
      <c r="AY414" s="309"/>
      <c r="AZ414" s="309"/>
      <c r="BA414" s="309"/>
      <c r="BB414" s="309"/>
      <c r="BC414" s="303"/>
      <c r="BD414" s="309">
        <v>0</v>
      </c>
      <c r="BE414" s="309">
        <v>0</v>
      </c>
      <c r="BF414" s="303"/>
      <c r="BG414" s="303"/>
      <c r="BH414" s="309">
        <v>0</v>
      </c>
      <c r="BI414" s="309">
        <v>0</v>
      </c>
      <c r="BJ414" s="303">
        <f t="shared" si="368"/>
        <v>1520</v>
      </c>
      <c r="BK414" s="303"/>
      <c r="BL414" s="309">
        <f t="shared" si="354"/>
        <v>0</v>
      </c>
      <c r="BM414" s="309">
        <f t="shared" si="369"/>
        <v>0</v>
      </c>
      <c r="BN414" s="205">
        <f t="shared" si="352"/>
        <v>0</v>
      </c>
      <c r="BO414" s="205"/>
      <c r="BP414" s="310"/>
      <c r="BQ414" s="308">
        <f t="shared" si="355"/>
        <v>0</v>
      </c>
      <c r="BR414" s="310"/>
      <c r="BS414" s="308">
        <f t="shared" si="356"/>
        <v>0</v>
      </c>
      <c r="BT414" s="310">
        <f>$F414*0.1</f>
        <v>160</v>
      </c>
      <c r="BU414" s="308">
        <f t="shared" si="357"/>
        <v>0.1</v>
      </c>
      <c r="BV414" s="310">
        <f>$F414*0.2</f>
        <v>320</v>
      </c>
      <c r="BW414" s="308">
        <f t="shared" si="358"/>
        <v>0.2</v>
      </c>
      <c r="BX414" s="310">
        <f>$F414*0.3</f>
        <v>480</v>
      </c>
      <c r="BY414" s="308">
        <f t="shared" si="359"/>
        <v>0.3</v>
      </c>
      <c r="BZ414" s="310">
        <f>$F414*0.4</f>
        <v>640</v>
      </c>
      <c r="CA414" s="308">
        <f t="shared" si="360"/>
        <v>0.4</v>
      </c>
      <c r="CB414" s="310">
        <f>$F414*0.5</f>
        <v>800</v>
      </c>
      <c r="CC414" s="308">
        <f t="shared" si="361"/>
        <v>0.5</v>
      </c>
      <c r="CD414" s="310">
        <f>$F414*0.55</f>
        <v>880.00000000000011</v>
      </c>
      <c r="CE414" s="308">
        <f t="shared" si="341"/>
        <v>0.55000000000000004</v>
      </c>
      <c r="CF414" s="310">
        <v>1120</v>
      </c>
      <c r="CG414" s="308">
        <f t="shared" si="362"/>
        <v>0.7</v>
      </c>
      <c r="CH414" s="310">
        <f>$F414*0.7</f>
        <v>1120</v>
      </c>
      <c r="CI414" s="308">
        <f t="shared" si="342"/>
        <v>0.7</v>
      </c>
      <c r="CJ414" s="310">
        <f>$F414*0.75</f>
        <v>1200</v>
      </c>
      <c r="CK414" s="308">
        <f t="shared" si="363"/>
        <v>0.75</v>
      </c>
      <c r="CL414" s="310">
        <f>$F414*0.75</f>
        <v>1200</v>
      </c>
      <c r="CM414" s="308">
        <f t="shared" si="364"/>
        <v>0.75</v>
      </c>
      <c r="CN414" s="310">
        <f>$F414*0.95</f>
        <v>1520</v>
      </c>
      <c r="CO414" s="308">
        <f t="shared" si="365"/>
        <v>0.95</v>
      </c>
      <c r="CP414" s="213" t="str">
        <f t="shared" si="370"/>
        <v>Không đạt</v>
      </c>
      <c r="CQ414" s="213" t="str">
        <f t="shared" si="371"/>
        <v>Không đạt</v>
      </c>
      <c r="CR414" s="312"/>
      <c r="CS414" s="312"/>
      <c r="CT414" s="235"/>
      <c r="CU414" s="163"/>
      <c r="CW414" s="195"/>
      <c r="CX414" s="196"/>
      <c r="CY414" s="196"/>
      <c r="CZ414" s="197"/>
      <c r="DA414" s="196"/>
      <c r="DB414" s="196"/>
      <c r="DC414" s="196"/>
      <c r="DE414" s="199"/>
      <c r="DF414" s="200"/>
      <c r="DG414" s="181"/>
    </row>
    <row r="415" spans="1:112" ht="18" customHeight="1" collapsed="1" x14ac:dyDescent="0.25">
      <c r="A415" s="316">
        <f>MAX(A$239:A413)+1</f>
        <v>53</v>
      </c>
      <c r="B415" s="240" t="s">
        <v>446</v>
      </c>
      <c r="C415" s="240"/>
      <c r="D415" s="188">
        <f t="shared" ref="D415:I415" si="378">D416+D417</f>
        <v>3111</v>
      </c>
      <c r="E415" s="188">
        <f t="shared" si="378"/>
        <v>0</v>
      </c>
      <c r="F415" s="188">
        <f t="shared" si="378"/>
        <v>3111</v>
      </c>
      <c r="G415" s="188">
        <f t="shared" si="378"/>
        <v>3000</v>
      </c>
      <c r="H415" s="188">
        <f t="shared" si="378"/>
        <v>111</v>
      </c>
      <c r="I415" s="188">
        <f t="shared" si="378"/>
        <v>0</v>
      </c>
      <c r="J415" s="188"/>
      <c r="K415" s="188">
        <f>K416+K417</f>
        <v>0</v>
      </c>
      <c r="L415" s="188">
        <f>L416+L417</f>
        <v>0</v>
      </c>
      <c r="M415" s="188">
        <f>M416+M417</f>
        <v>0</v>
      </c>
      <c r="N415" s="188">
        <f>N416+N417</f>
        <v>0</v>
      </c>
      <c r="O415" s="188">
        <f>O416+O417</f>
        <v>3000</v>
      </c>
      <c r="P415" s="188">
        <v>0</v>
      </c>
      <c r="Q415" s="186">
        <f t="shared" si="367"/>
        <v>0</v>
      </c>
      <c r="R415" s="188">
        <v>0</v>
      </c>
      <c r="S415" s="185">
        <v>0</v>
      </c>
      <c r="T415" s="185">
        <v>0</v>
      </c>
      <c r="U415" s="188">
        <v>0</v>
      </c>
      <c r="V415" s="185">
        <v>0</v>
      </c>
      <c r="W415" s="185">
        <v>0</v>
      </c>
      <c r="X415" s="188">
        <v>0</v>
      </c>
      <c r="Y415" s="185">
        <v>0</v>
      </c>
      <c r="Z415" s="185">
        <v>0</v>
      </c>
      <c r="AA415" s="188">
        <v>0</v>
      </c>
      <c r="AB415" s="185">
        <v>0</v>
      </c>
      <c r="AC415" s="185">
        <v>0</v>
      </c>
      <c r="AD415" s="188">
        <v>0</v>
      </c>
      <c r="AE415" s="185">
        <v>0</v>
      </c>
      <c r="AF415" s="185">
        <v>0</v>
      </c>
      <c r="AG415" s="188">
        <v>0</v>
      </c>
      <c r="AH415" s="185">
        <v>0</v>
      </c>
      <c r="AI415" s="185">
        <v>0</v>
      </c>
      <c r="AJ415" s="303">
        <v>0</v>
      </c>
      <c r="AK415" s="185">
        <v>0</v>
      </c>
      <c r="AL415" s="185">
        <v>0</v>
      </c>
      <c r="AM415" s="188">
        <v>743</v>
      </c>
      <c r="AN415" s="185">
        <v>0.23882995821279332</v>
      </c>
      <c r="AO415" s="185">
        <v>0.25139995601346665</v>
      </c>
      <c r="AP415" s="185"/>
      <c r="AQ415" s="188">
        <v>1504.0450000000001</v>
      </c>
      <c r="AR415" s="185">
        <v>0.48346030215364838</v>
      </c>
      <c r="AS415" s="185">
        <v>0.50890558121436669</v>
      </c>
      <c r="AT415" s="188">
        <v>1590.365</v>
      </c>
      <c r="AU415" s="185">
        <v>0.51120700739312119</v>
      </c>
      <c r="AV415" s="185">
        <v>0.53811263936118026</v>
      </c>
      <c r="AW415" s="185"/>
      <c r="AX415" s="185"/>
      <c r="AY415" s="185"/>
      <c r="AZ415" s="185"/>
      <c r="BA415" s="185"/>
      <c r="BB415" s="185"/>
      <c r="BC415" s="188">
        <v>1590.365</v>
      </c>
      <c r="BD415" s="185">
        <v>0.51120700739312119</v>
      </c>
      <c r="BE415" s="185">
        <v>0.53811263936118026</v>
      </c>
      <c r="BF415" s="188"/>
      <c r="BG415" s="188">
        <v>1801</v>
      </c>
      <c r="BH415" s="185">
        <v>0.57891353262616518</v>
      </c>
      <c r="BI415" s="185">
        <v>0.60938266592227919</v>
      </c>
      <c r="BJ415" s="188">
        <f t="shared" si="368"/>
        <v>2955.45</v>
      </c>
      <c r="BK415" s="188">
        <v>2237</v>
      </c>
      <c r="BL415" s="185">
        <f t="shared" si="354"/>
        <v>0.71906139504982325</v>
      </c>
      <c r="BM415" s="185">
        <f t="shared" si="369"/>
        <v>0.75690673163139288</v>
      </c>
      <c r="BN415" s="205">
        <f t="shared" si="352"/>
        <v>2237</v>
      </c>
      <c r="BO415" s="205"/>
      <c r="BP415" s="189">
        <f>BP416+BP417</f>
        <v>0</v>
      </c>
      <c r="BQ415" s="186">
        <f t="shared" si="355"/>
        <v>0</v>
      </c>
      <c r="BR415" s="189">
        <f>BR416+BR417</f>
        <v>0</v>
      </c>
      <c r="BS415" s="186">
        <f t="shared" si="356"/>
        <v>0</v>
      </c>
      <c r="BT415" s="189">
        <f>BT416+BT417</f>
        <v>311.10000000000002</v>
      </c>
      <c r="BU415" s="186">
        <f t="shared" si="357"/>
        <v>0.1</v>
      </c>
      <c r="BV415" s="189">
        <f>BV416+BV417</f>
        <v>622.20000000000005</v>
      </c>
      <c r="BW415" s="186">
        <f t="shared" si="358"/>
        <v>0.2</v>
      </c>
      <c r="BX415" s="189">
        <f>BX416+BX417</f>
        <v>933.3</v>
      </c>
      <c r="BY415" s="186">
        <f t="shared" si="359"/>
        <v>0.3</v>
      </c>
      <c r="BZ415" s="189">
        <f>BZ416+BZ417</f>
        <v>1244.4000000000001</v>
      </c>
      <c r="CA415" s="186">
        <f t="shared" si="360"/>
        <v>0.4</v>
      </c>
      <c r="CB415" s="189">
        <f>CB416+CB417</f>
        <v>1555.5</v>
      </c>
      <c r="CC415" s="186">
        <f t="shared" si="361"/>
        <v>0.5</v>
      </c>
      <c r="CD415" s="189">
        <f>CD416+CD417</f>
        <v>1711.0500000000002</v>
      </c>
      <c r="CE415" s="186">
        <f t="shared" si="341"/>
        <v>0.55000000000000004</v>
      </c>
      <c r="CF415" s="189">
        <f>CF416+CF417</f>
        <v>2177.6999999999998</v>
      </c>
      <c r="CG415" s="186">
        <f t="shared" si="362"/>
        <v>0.7</v>
      </c>
      <c r="CH415" s="189">
        <f>CH416+CH417</f>
        <v>2177.6999999999998</v>
      </c>
      <c r="CI415" s="186">
        <f t="shared" si="342"/>
        <v>0.7</v>
      </c>
      <c r="CJ415" s="189">
        <f>CJ416+CJ417</f>
        <v>2333.25</v>
      </c>
      <c r="CK415" s="186">
        <f t="shared" si="363"/>
        <v>0.75</v>
      </c>
      <c r="CL415" s="189">
        <f>CL416+CL417</f>
        <v>2333.25</v>
      </c>
      <c r="CM415" s="186">
        <f t="shared" si="364"/>
        <v>0.75</v>
      </c>
      <c r="CN415" s="189">
        <f>CN416+CN417</f>
        <v>2955.45</v>
      </c>
      <c r="CO415" s="186">
        <f t="shared" si="365"/>
        <v>0.95</v>
      </c>
      <c r="CP415" s="213" t="str">
        <f t="shared" si="370"/>
        <v>Đạt</v>
      </c>
      <c r="CQ415" s="213" t="str">
        <f t="shared" si="371"/>
        <v>Đạt</v>
      </c>
      <c r="CR415" s="213"/>
      <c r="CS415" s="213"/>
      <c r="CT415" s="231"/>
      <c r="CU415" s="163"/>
      <c r="CW415" s="195"/>
      <c r="CX415" s="196"/>
      <c r="CY415" s="196"/>
      <c r="CZ415" s="197"/>
      <c r="DA415" s="196"/>
      <c r="DB415" s="196"/>
      <c r="DC415" s="196"/>
      <c r="DE415" s="199"/>
      <c r="DF415" s="200"/>
      <c r="DG415" s="181"/>
    </row>
    <row r="416" spans="1:112" s="324" customFormat="1" hidden="1" outlineLevel="1" x14ac:dyDescent="0.25">
      <c r="A416" s="305" t="s">
        <v>34</v>
      </c>
      <c r="B416" s="306" t="s">
        <v>376</v>
      </c>
      <c r="C416" s="306"/>
      <c r="D416" s="307">
        <f>E416+F416</f>
        <v>3000</v>
      </c>
      <c r="E416" s="307"/>
      <c r="F416" s="307">
        <f>G416+H416+K416+M416</f>
        <v>3000</v>
      </c>
      <c r="G416" s="303">
        <v>3000</v>
      </c>
      <c r="H416" s="303"/>
      <c r="I416" s="235"/>
      <c r="J416" s="235"/>
      <c r="K416" s="303"/>
      <c r="L416" s="235"/>
      <c r="M416" s="223"/>
      <c r="N416" s="223"/>
      <c r="O416" s="303">
        <f>G416+I416+L416+N416</f>
        <v>3000</v>
      </c>
      <c r="P416" s="303">
        <v>0</v>
      </c>
      <c r="Q416" s="308">
        <f t="shared" si="367"/>
        <v>0</v>
      </c>
      <c r="R416" s="303"/>
      <c r="S416" s="309">
        <v>0</v>
      </c>
      <c r="T416" s="309">
        <v>0</v>
      </c>
      <c r="U416" s="303"/>
      <c r="V416" s="309">
        <v>0</v>
      </c>
      <c r="W416" s="309">
        <v>0</v>
      </c>
      <c r="X416" s="303"/>
      <c r="Y416" s="309">
        <v>0</v>
      </c>
      <c r="Z416" s="309">
        <v>0</v>
      </c>
      <c r="AA416" s="303"/>
      <c r="AB416" s="309">
        <v>0</v>
      </c>
      <c r="AC416" s="309">
        <v>0</v>
      </c>
      <c r="AD416" s="303"/>
      <c r="AE416" s="309">
        <v>0</v>
      </c>
      <c r="AF416" s="309">
        <v>0</v>
      </c>
      <c r="AG416" s="303"/>
      <c r="AH416" s="309">
        <v>0</v>
      </c>
      <c r="AI416" s="309">
        <v>0</v>
      </c>
      <c r="AJ416" s="303"/>
      <c r="AK416" s="309">
        <v>0</v>
      </c>
      <c r="AL416" s="309">
        <v>0</v>
      </c>
      <c r="AM416" s="303">
        <v>743</v>
      </c>
      <c r="AN416" s="309">
        <v>0.24766666666666667</v>
      </c>
      <c r="AO416" s="309">
        <v>0.26070175438596493</v>
      </c>
      <c r="AP416" s="309"/>
      <c r="AQ416" s="303">
        <v>1504.0450000000001</v>
      </c>
      <c r="AR416" s="309">
        <v>0.5013483333333334</v>
      </c>
      <c r="AS416" s="309">
        <v>0.52773508771929822</v>
      </c>
      <c r="AT416" s="303">
        <v>1590.365</v>
      </c>
      <c r="AU416" s="309">
        <v>0.53012166666666671</v>
      </c>
      <c r="AV416" s="309">
        <v>0.55802280701754381</v>
      </c>
      <c r="AW416" s="309"/>
      <c r="AX416" s="309"/>
      <c r="AY416" s="309"/>
      <c r="AZ416" s="309"/>
      <c r="BA416" s="309"/>
      <c r="BB416" s="309"/>
      <c r="BC416" s="303">
        <v>1590.365</v>
      </c>
      <c r="BD416" s="309">
        <v>0.53012166666666671</v>
      </c>
      <c r="BE416" s="309">
        <v>0.55802280701754381</v>
      </c>
      <c r="BF416" s="303"/>
      <c r="BG416" s="303">
        <v>1801</v>
      </c>
      <c r="BH416" s="309">
        <v>0.60033333333333339</v>
      </c>
      <c r="BI416" s="309">
        <v>0.63192982456140356</v>
      </c>
      <c r="BJ416" s="303">
        <f t="shared" si="368"/>
        <v>2850</v>
      </c>
      <c r="BK416" s="303">
        <v>2081.5050000000001</v>
      </c>
      <c r="BL416" s="309">
        <f t="shared" si="354"/>
        <v>0.69383500000000009</v>
      </c>
      <c r="BM416" s="309">
        <f t="shared" si="369"/>
        <v>0.73035263157894736</v>
      </c>
      <c r="BN416" s="205">
        <f t="shared" si="352"/>
        <v>2081.5050000000001</v>
      </c>
      <c r="BO416" s="205"/>
      <c r="BP416" s="310"/>
      <c r="BQ416" s="308">
        <f t="shared" si="355"/>
        <v>0</v>
      </c>
      <c r="BR416" s="310"/>
      <c r="BS416" s="308">
        <f t="shared" si="356"/>
        <v>0</v>
      </c>
      <c r="BT416" s="310">
        <f>$F416*0.1</f>
        <v>300</v>
      </c>
      <c r="BU416" s="308">
        <f t="shared" si="357"/>
        <v>0.1</v>
      </c>
      <c r="BV416" s="310">
        <f>$F416*0.2</f>
        <v>600</v>
      </c>
      <c r="BW416" s="308">
        <f t="shared" si="358"/>
        <v>0.2</v>
      </c>
      <c r="BX416" s="310">
        <f>$F416*0.3</f>
        <v>900</v>
      </c>
      <c r="BY416" s="308">
        <f t="shared" si="359"/>
        <v>0.3</v>
      </c>
      <c r="BZ416" s="310">
        <f>$F416*0.4</f>
        <v>1200</v>
      </c>
      <c r="CA416" s="308">
        <f t="shared" si="360"/>
        <v>0.4</v>
      </c>
      <c r="CB416" s="310">
        <f>$F416*0.5</f>
        <v>1500</v>
      </c>
      <c r="CC416" s="308">
        <f t="shared" si="361"/>
        <v>0.5</v>
      </c>
      <c r="CD416" s="310">
        <f>$F416*0.55</f>
        <v>1650.0000000000002</v>
      </c>
      <c r="CE416" s="308">
        <f t="shared" si="341"/>
        <v>0.55000000000000004</v>
      </c>
      <c r="CF416" s="310">
        <v>2100</v>
      </c>
      <c r="CG416" s="308">
        <f t="shared" si="362"/>
        <v>0.7</v>
      </c>
      <c r="CH416" s="310">
        <f>$F416*0.7</f>
        <v>2100</v>
      </c>
      <c r="CI416" s="308">
        <f t="shared" si="342"/>
        <v>0.7</v>
      </c>
      <c r="CJ416" s="310">
        <f>$F416*0.75</f>
        <v>2250</v>
      </c>
      <c r="CK416" s="308">
        <f t="shared" si="363"/>
        <v>0.75</v>
      </c>
      <c r="CL416" s="310">
        <f>$F416*0.75</f>
        <v>2250</v>
      </c>
      <c r="CM416" s="308">
        <f t="shared" si="364"/>
        <v>0.75</v>
      </c>
      <c r="CN416" s="310">
        <f>$F416*0.95</f>
        <v>2850</v>
      </c>
      <c r="CO416" s="308">
        <f t="shared" si="365"/>
        <v>0.95</v>
      </c>
      <c r="CP416" s="213" t="str">
        <f t="shared" si="370"/>
        <v>Đạt</v>
      </c>
      <c r="CQ416" s="213" t="str">
        <f t="shared" si="371"/>
        <v>Đạt</v>
      </c>
      <c r="CR416" s="312"/>
      <c r="CS416" s="312"/>
      <c r="CT416" s="235"/>
      <c r="CU416" s="163"/>
      <c r="CV416" s="323"/>
      <c r="CW416" s="195"/>
      <c r="CX416" s="196"/>
      <c r="CY416" s="196"/>
      <c r="CZ416" s="197"/>
      <c r="DA416" s="196"/>
      <c r="DB416" s="196"/>
      <c r="DC416" s="196"/>
      <c r="DE416" s="199"/>
      <c r="DF416" s="200"/>
      <c r="DG416" s="181"/>
    </row>
    <row r="417" spans="1:111" ht="46.5" hidden="1" customHeight="1" outlineLevel="1" x14ac:dyDescent="0.25">
      <c r="A417" s="305" t="s">
        <v>34</v>
      </c>
      <c r="B417" s="306" t="s">
        <v>377</v>
      </c>
      <c r="C417" s="306"/>
      <c r="D417" s="307">
        <f>E417+F417</f>
        <v>111</v>
      </c>
      <c r="E417" s="307"/>
      <c r="F417" s="307">
        <f>G417+H417+K417+M417</f>
        <v>111</v>
      </c>
      <c r="G417" s="307"/>
      <c r="H417" s="307">
        <v>111</v>
      </c>
      <c r="I417" s="235"/>
      <c r="J417" s="235"/>
      <c r="K417" s="303"/>
      <c r="L417" s="235"/>
      <c r="M417" s="223"/>
      <c r="N417" s="223"/>
      <c r="O417" s="303"/>
      <c r="P417" s="303">
        <v>0</v>
      </c>
      <c r="Q417" s="308">
        <f t="shared" si="367"/>
        <v>0</v>
      </c>
      <c r="R417" s="303"/>
      <c r="S417" s="309">
        <v>0</v>
      </c>
      <c r="T417" s="309">
        <v>0</v>
      </c>
      <c r="U417" s="303"/>
      <c r="V417" s="309">
        <v>0</v>
      </c>
      <c r="W417" s="309">
        <v>0</v>
      </c>
      <c r="X417" s="303"/>
      <c r="Y417" s="309">
        <v>0</v>
      </c>
      <c r="Z417" s="309">
        <v>0</v>
      </c>
      <c r="AA417" s="303"/>
      <c r="AB417" s="309">
        <v>0</v>
      </c>
      <c r="AC417" s="309">
        <v>0</v>
      </c>
      <c r="AD417" s="303"/>
      <c r="AE417" s="309">
        <v>0</v>
      </c>
      <c r="AF417" s="309">
        <v>0</v>
      </c>
      <c r="AG417" s="303"/>
      <c r="AH417" s="309">
        <v>0</v>
      </c>
      <c r="AI417" s="309">
        <v>0</v>
      </c>
      <c r="AJ417" s="188"/>
      <c r="AK417" s="309">
        <v>0</v>
      </c>
      <c r="AL417" s="309">
        <v>0</v>
      </c>
      <c r="AM417" s="303"/>
      <c r="AN417" s="309">
        <v>0</v>
      </c>
      <c r="AO417" s="309">
        <v>0</v>
      </c>
      <c r="AP417" s="309"/>
      <c r="AQ417" s="303"/>
      <c r="AR417" s="309">
        <v>0</v>
      </c>
      <c r="AS417" s="309">
        <v>0</v>
      </c>
      <c r="AT417" s="303"/>
      <c r="AU417" s="309">
        <v>0</v>
      </c>
      <c r="AV417" s="309">
        <v>0</v>
      </c>
      <c r="AW417" s="309"/>
      <c r="AX417" s="309"/>
      <c r="AY417" s="309"/>
      <c r="AZ417" s="309"/>
      <c r="BA417" s="309"/>
      <c r="BB417" s="309"/>
      <c r="BC417" s="303"/>
      <c r="BD417" s="309">
        <v>0</v>
      </c>
      <c r="BE417" s="309">
        <v>0</v>
      </c>
      <c r="BF417" s="303"/>
      <c r="BG417" s="303"/>
      <c r="BH417" s="309">
        <v>0</v>
      </c>
      <c r="BI417" s="309">
        <v>0</v>
      </c>
      <c r="BJ417" s="303">
        <f t="shared" si="368"/>
        <v>105.44999999999999</v>
      </c>
      <c r="BK417" s="303"/>
      <c r="BL417" s="309">
        <f t="shared" si="354"/>
        <v>0</v>
      </c>
      <c r="BM417" s="309">
        <f t="shared" si="369"/>
        <v>0</v>
      </c>
      <c r="BN417" s="205">
        <f t="shared" si="352"/>
        <v>0</v>
      </c>
      <c r="BO417" s="205"/>
      <c r="BP417" s="310"/>
      <c r="BQ417" s="308">
        <f t="shared" si="355"/>
        <v>0</v>
      </c>
      <c r="BR417" s="310"/>
      <c r="BS417" s="308">
        <f t="shared" si="356"/>
        <v>0</v>
      </c>
      <c r="BT417" s="310">
        <f>$F417*0.1</f>
        <v>11.100000000000001</v>
      </c>
      <c r="BU417" s="308">
        <f t="shared" si="357"/>
        <v>0.10000000000000002</v>
      </c>
      <c r="BV417" s="310">
        <f>$F417*0.2</f>
        <v>22.200000000000003</v>
      </c>
      <c r="BW417" s="308">
        <f t="shared" si="358"/>
        <v>0.20000000000000004</v>
      </c>
      <c r="BX417" s="310">
        <f>$F417*0.3</f>
        <v>33.299999999999997</v>
      </c>
      <c r="BY417" s="308">
        <f t="shared" si="359"/>
        <v>0.3</v>
      </c>
      <c r="BZ417" s="310">
        <f>$F417*0.4</f>
        <v>44.400000000000006</v>
      </c>
      <c r="CA417" s="308">
        <f t="shared" si="360"/>
        <v>0.40000000000000008</v>
      </c>
      <c r="CB417" s="310">
        <f>$F417*0.5</f>
        <v>55.5</v>
      </c>
      <c r="CC417" s="308">
        <f t="shared" si="361"/>
        <v>0.5</v>
      </c>
      <c r="CD417" s="310">
        <f>$F417*0.55</f>
        <v>61.050000000000004</v>
      </c>
      <c r="CE417" s="308">
        <f t="shared" si="341"/>
        <v>0.55000000000000004</v>
      </c>
      <c r="CF417" s="310">
        <v>77.699999999999989</v>
      </c>
      <c r="CG417" s="308">
        <f t="shared" si="362"/>
        <v>0.69999999999999984</v>
      </c>
      <c r="CH417" s="310">
        <f>$F417*0.7</f>
        <v>77.699999999999989</v>
      </c>
      <c r="CI417" s="308">
        <f t="shared" si="342"/>
        <v>0.69999999999999984</v>
      </c>
      <c r="CJ417" s="310">
        <f>$F417*0.75</f>
        <v>83.25</v>
      </c>
      <c r="CK417" s="308">
        <f t="shared" si="363"/>
        <v>0.75</v>
      </c>
      <c r="CL417" s="310">
        <f>$F417*0.75</f>
        <v>83.25</v>
      </c>
      <c r="CM417" s="308">
        <f t="shared" si="364"/>
        <v>0.75</v>
      </c>
      <c r="CN417" s="310">
        <f>$F417*0.95</f>
        <v>105.44999999999999</v>
      </c>
      <c r="CO417" s="308">
        <f t="shared" si="365"/>
        <v>0.94999999999999984</v>
      </c>
      <c r="CP417" s="213" t="str">
        <f t="shared" si="370"/>
        <v>Không đạt</v>
      </c>
      <c r="CQ417" s="213" t="str">
        <f t="shared" si="371"/>
        <v>Không đạt</v>
      </c>
      <c r="CR417" s="312"/>
      <c r="CS417" s="312"/>
      <c r="CT417" s="235"/>
      <c r="CU417" s="163"/>
      <c r="CW417" s="195"/>
      <c r="CX417" s="196"/>
      <c r="CY417" s="196"/>
      <c r="CZ417" s="197"/>
      <c r="DA417" s="196"/>
      <c r="DB417" s="196"/>
      <c r="DC417" s="196"/>
      <c r="DE417" s="199"/>
      <c r="DF417" s="200"/>
      <c r="DG417" s="181"/>
    </row>
    <row r="418" spans="1:111" ht="18" customHeight="1" collapsed="1" x14ac:dyDescent="0.25">
      <c r="A418" s="316">
        <f>MAX(A$239:A416)+1</f>
        <v>54</v>
      </c>
      <c r="B418" s="240" t="s">
        <v>447</v>
      </c>
      <c r="C418" s="240"/>
      <c r="D418" s="188">
        <f t="shared" ref="D418:I418" si="379">D419+D420</f>
        <v>3153</v>
      </c>
      <c r="E418" s="188">
        <f t="shared" si="379"/>
        <v>0</v>
      </c>
      <c r="F418" s="188">
        <f t="shared" si="379"/>
        <v>3153</v>
      </c>
      <c r="G418" s="188">
        <f t="shared" si="379"/>
        <v>3000</v>
      </c>
      <c r="H418" s="188">
        <f t="shared" si="379"/>
        <v>153</v>
      </c>
      <c r="I418" s="188">
        <f t="shared" si="379"/>
        <v>0</v>
      </c>
      <c r="J418" s="188"/>
      <c r="K418" s="188">
        <f>K419+K420</f>
        <v>0</v>
      </c>
      <c r="L418" s="188">
        <f>L419+L420</f>
        <v>0</v>
      </c>
      <c r="M418" s="188">
        <f>M419+M420</f>
        <v>0</v>
      </c>
      <c r="N418" s="188">
        <f>N419+N420</f>
        <v>0</v>
      </c>
      <c r="O418" s="188">
        <f>O419+O420</f>
        <v>3000</v>
      </c>
      <c r="P418" s="188">
        <v>0</v>
      </c>
      <c r="Q418" s="186">
        <f t="shared" si="367"/>
        <v>0</v>
      </c>
      <c r="R418" s="188">
        <v>0</v>
      </c>
      <c r="S418" s="185">
        <v>0</v>
      </c>
      <c r="T418" s="185">
        <v>0</v>
      </c>
      <c r="U418" s="188">
        <v>0</v>
      </c>
      <c r="V418" s="185">
        <v>0</v>
      </c>
      <c r="W418" s="185">
        <v>0</v>
      </c>
      <c r="X418" s="188">
        <v>0</v>
      </c>
      <c r="Y418" s="185">
        <v>0</v>
      </c>
      <c r="Z418" s="185">
        <v>0</v>
      </c>
      <c r="AA418" s="188">
        <v>0</v>
      </c>
      <c r="AB418" s="185">
        <v>0</v>
      </c>
      <c r="AC418" s="185">
        <v>0</v>
      </c>
      <c r="AD418" s="188">
        <v>2291</v>
      </c>
      <c r="AE418" s="185">
        <v>0.72660957817951155</v>
      </c>
      <c r="AF418" s="185">
        <v>0.7648521875573806</v>
      </c>
      <c r="AG418" s="188">
        <v>2291</v>
      </c>
      <c r="AH418" s="185">
        <v>0.72660957817951155</v>
      </c>
      <c r="AI418" s="185">
        <v>0.7648521875573806</v>
      </c>
      <c r="AJ418" s="303">
        <v>2291</v>
      </c>
      <c r="AK418" s="185">
        <v>0.72660957817951155</v>
      </c>
      <c r="AL418" s="185">
        <v>0.7648521875573806</v>
      </c>
      <c r="AM418" s="188">
        <v>2291</v>
      </c>
      <c r="AN418" s="185">
        <v>0.72660957817951155</v>
      </c>
      <c r="AO418" s="185">
        <v>0.7648521875573806</v>
      </c>
      <c r="AP418" s="185"/>
      <c r="AQ418" s="188">
        <v>2291</v>
      </c>
      <c r="AR418" s="185">
        <v>0.72660957817951155</v>
      </c>
      <c r="AS418" s="185">
        <v>0.7648521875573806</v>
      </c>
      <c r="AT418" s="188">
        <v>2291</v>
      </c>
      <c r="AU418" s="185">
        <v>0.72660957817951155</v>
      </c>
      <c r="AV418" s="185">
        <v>0.7648521875573806</v>
      </c>
      <c r="AW418" s="185"/>
      <c r="AX418" s="185"/>
      <c r="AY418" s="185"/>
      <c r="AZ418" s="185"/>
      <c r="BA418" s="185"/>
      <c r="BB418" s="185"/>
      <c r="BC418" s="188">
        <v>2291</v>
      </c>
      <c r="BD418" s="185">
        <v>0.72660957817951155</v>
      </c>
      <c r="BE418" s="185">
        <v>0.7648521875573806</v>
      </c>
      <c r="BF418" s="188"/>
      <c r="BG418" s="188">
        <v>2377</v>
      </c>
      <c r="BH418" s="185">
        <v>0.75388518870916588</v>
      </c>
      <c r="BI418" s="185">
        <v>0.7935633565359641</v>
      </c>
      <c r="BJ418" s="188">
        <f t="shared" si="368"/>
        <v>2995.35</v>
      </c>
      <c r="BK418" s="188">
        <v>2480</v>
      </c>
      <c r="BL418" s="185">
        <f t="shared" si="354"/>
        <v>0.78655248969235647</v>
      </c>
      <c r="BM418" s="185">
        <f t="shared" si="369"/>
        <v>0.82794998914984896</v>
      </c>
      <c r="BN418" s="205">
        <f t="shared" si="352"/>
        <v>189</v>
      </c>
      <c r="BO418" s="205"/>
      <c r="BP418" s="189">
        <f>BP419+BP420</f>
        <v>0</v>
      </c>
      <c r="BQ418" s="186">
        <f t="shared" si="355"/>
        <v>0</v>
      </c>
      <c r="BR418" s="189">
        <f>BR419+BR420</f>
        <v>0</v>
      </c>
      <c r="BS418" s="186">
        <f t="shared" si="356"/>
        <v>0</v>
      </c>
      <c r="BT418" s="189">
        <f>BT419+BT420</f>
        <v>500</v>
      </c>
      <c r="BU418" s="186">
        <f t="shared" si="357"/>
        <v>0.1585791309863622</v>
      </c>
      <c r="BV418" s="189">
        <f>BV419+BV420</f>
        <v>1200</v>
      </c>
      <c r="BW418" s="186">
        <f t="shared" si="358"/>
        <v>0.38058991436726924</v>
      </c>
      <c r="BX418" s="189">
        <f>BX419+BX420</f>
        <v>2200</v>
      </c>
      <c r="BY418" s="186">
        <f t="shared" si="359"/>
        <v>0.69774817633999364</v>
      </c>
      <c r="BZ418" s="189">
        <f>BZ419+BZ420</f>
        <v>2850</v>
      </c>
      <c r="CA418" s="186">
        <f t="shared" si="360"/>
        <v>0.90390104662226456</v>
      </c>
      <c r="CB418" s="189">
        <f>CB419+CB420</f>
        <v>2850</v>
      </c>
      <c r="CC418" s="186">
        <f t="shared" si="361"/>
        <v>0.90390104662226456</v>
      </c>
      <c r="CD418" s="189">
        <f>CD419+CD420</f>
        <v>2850</v>
      </c>
      <c r="CE418" s="186">
        <f t="shared" si="341"/>
        <v>0.90390104662226456</v>
      </c>
      <c r="CF418" s="189">
        <f>CF419+CF420</f>
        <v>2850</v>
      </c>
      <c r="CG418" s="186">
        <f t="shared" si="362"/>
        <v>0.90390104662226456</v>
      </c>
      <c r="CH418" s="189">
        <f>CH419+CH420</f>
        <v>2850</v>
      </c>
      <c r="CI418" s="186">
        <f t="shared" si="342"/>
        <v>0.90390104662226456</v>
      </c>
      <c r="CJ418" s="189">
        <f>CJ419+CJ420</f>
        <v>2850</v>
      </c>
      <c r="CK418" s="186">
        <f t="shared" si="363"/>
        <v>0.90390104662226456</v>
      </c>
      <c r="CL418" s="189">
        <f>CL419+CL420</f>
        <v>2995.35</v>
      </c>
      <c r="CM418" s="186">
        <f t="shared" si="364"/>
        <v>0.95</v>
      </c>
      <c r="CN418" s="189">
        <f>CN419+CN420</f>
        <v>2995.35</v>
      </c>
      <c r="CO418" s="186">
        <f t="shared" si="365"/>
        <v>0.95</v>
      </c>
      <c r="CP418" s="213" t="str">
        <f t="shared" si="370"/>
        <v>Đạt</v>
      </c>
      <c r="CQ418" s="213" t="str">
        <f t="shared" si="371"/>
        <v>Đạt</v>
      </c>
      <c r="CR418" s="213"/>
      <c r="CS418" s="213"/>
      <c r="CT418" s="231"/>
      <c r="CU418" s="163"/>
      <c r="CW418" s="195"/>
      <c r="CX418" s="196"/>
      <c r="CY418" s="196"/>
      <c r="CZ418" s="197"/>
      <c r="DA418" s="196"/>
      <c r="DB418" s="196"/>
      <c r="DC418" s="196"/>
      <c r="DE418" s="199"/>
      <c r="DF418" s="200"/>
      <c r="DG418" s="181"/>
    </row>
    <row r="419" spans="1:111" s="324" customFormat="1" hidden="1" outlineLevel="1" x14ac:dyDescent="0.25">
      <c r="A419" s="305" t="s">
        <v>34</v>
      </c>
      <c r="B419" s="306" t="s">
        <v>376</v>
      </c>
      <c r="C419" s="306"/>
      <c r="D419" s="307">
        <f>E419+F419</f>
        <v>3000</v>
      </c>
      <c r="E419" s="307"/>
      <c r="F419" s="307">
        <f>G419+H419+K419+M419</f>
        <v>3000</v>
      </c>
      <c r="G419" s="303">
        <v>3000</v>
      </c>
      <c r="H419" s="303"/>
      <c r="I419" s="235"/>
      <c r="J419" s="235"/>
      <c r="K419" s="303"/>
      <c r="L419" s="235"/>
      <c r="M419" s="223"/>
      <c r="N419" s="223"/>
      <c r="O419" s="303">
        <f>G419+I419+L419+N419</f>
        <v>3000</v>
      </c>
      <c r="P419" s="303">
        <v>0</v>
      </c>
      <c r="Q419" s="308">
        <f t="shared" si="367"/>
        <v>0</v>
      </c>
      <c r="R419" s="303"/>
      <c r="S419" s="313">
        <v>0</v>
      </c>
      <c r="T419" s="313">
        <v>0</v>
      </c>
      <c r="U419" s="303"/>
      <c r="V419" s="313">
        <v>0</v>
      </c>
      <c r="W419" s="313">
        <v>0</v>
      </c>
      <c r="X419" s="303"/>
      <c r="Y419" s="313">
        <v>0</v>
      </c>
      <c r="Z419" s="313">
        <v>0</v>
      </c>
      <c r="AA419" s="303"/>
      <c r="AB419" s="313">
        <v>0</v>
      </c>
      <c r="AC419" s="313">
        <v>0</v>
      </c>
      <c r="AD419" s="303">
        <v>2291</v>
      </c>
      <c r="AE419" s="313">
        <v>0.76366666666666672</v>
      </c>
      <c r="AF419" s="313">
        <v>0.80385964912280705</v>
      </c>
      <c r="AG419" s="303">
        <v>2291</v>
      </c>
      <c r="AH419" s="313">
        <v>0.76366666666666672</v>
      </c>
      <c r="AI419" s="313">
        <v>0.80385964912280705</v>
      </c>
      <c r="AJ419" s="303">
        <v>2291</v>
      </c>
      <c r="AK419" s="313">
        <v>0.76366666666666672</v>
      </c>
      <c r="AL419" s="313">
        <v>0.80385964912280705</v>
      </c>
      <c r="AM419" s="303">
        <v>2291</v>
      </c>
      <c r="AN419" s="313">
        <v>0.76366666666666672</v>
      </c>
      <c r="AO419" s="313">
        <v>0.80385964912280705</v>
      </c>
      <c r="AP419" s="313"/>
      <c r="AQ419" s="303">
        <v>2291</v>
      </c>
      <c r="AR419" s="313">
        <v>0.76366666666666672</v>
      </c>
      <c r="AS419" s="313">
        <v>0.80385964912280705</v>
      </c>
      <c r="AT419" s="303">
        <v>2291</v>
      </c>
      <c r="AU419" s="313">
        <v>0.76366666666666672</v>
      </c>
      <c r="AV419" s="313">
        <v>0.80385964912280705</v>
      </c>
      <c r="AW419" s="313"/>
      <c r="AX419" s="313"/>
      <c r="AY419" s="313"/>
      <c r="AZ419" s="313"/>
      <c r="BA419" s="313"/>
      <c r="BB419" s="313"/>
      <c r="BC419" s="303">
        <v>2291</v>
      </c>
      <c r="BD419" s="313">
        <v>0.76366666666666672</v>
      </c>
      <c r="BE419" s="313">
        <v>0.80385964912280705</v>
      </c>
      <c r="BF419" s="303"/>
      <c r="BG419" s="303">
        <v>2377</v>
      </c>
      <c r="BH419" s="313">
        <v>0.79233333333333333</v>
      </c>
      <c r="BI419" s="313">
        <v>0.83403508771929824</v>
      </c>
      <c r="BJ419" s="303">
        <f t="shared" si="368"/>
        <v>2850</v>
      </c>
      <c r="BK419" s="303">
        <v>2447</v>
      </c>
      <c r="BL419" s="313">
        <f t="shared" si="354"/>
        <v>0.81566666666666665</v>
      </c>
      <c r="BM419" s="313">
        <f t="shared" si="369"/>
        <v>0.85859649122807014</v>
      </c>
      <c r="BN419" s="205">
        <f t="shared" si="352"/>
        <v>156</v>
      </c>
      <c r="BO419" s="205"/>
      <c r="BP419" s="310"/>
      <c r="BQ419" s="311">
        <f t="shared" si="355"/>
        <v>0</v>
      </c>
      <c r="BR419" s="310"/>
      <c r="BS419" s="311">
        <f t="shared" si="356"/>
        <v>0</v>
      </c>
      <c r="BT419" s="310">
        <v>500</v>
      </c>
      <c r="BU419" s="308">
        <f t="shared" si="357"/>
        <v>0.16666666666666666</v>
      </c>
      <c r="BV419" s="310">
        <v>1200</v>
      </c>
      <c r="BW419" s="311">
        <f t="shared" si="358"/>
        <v>0.4</v>
      </c>
      <c r="BX419" s="310">
        <v>2200</v>
      </c>
      <c r="BY419" s="311">
        <f t="shared" si="359"/>
        <v>0.73333333333333328</v>
      </c>
      <c r="BZ419" s="310">
        <v>2850</v>
      </c>
      <c r="CA419" s="311">
        <f t="shared" si="360"/>
        <v>0.95</v>
      </c>
      <c r="CB419" s="310">
        <v>2850</v>
      </c>
      <c r="CC419" s="311">
        <f t="shared" si="361"/>
        <v>0.95</v>
      </c>
      <c r="CD419" s="310">
        <v>2850</v>
      </c>
      <c r="CE419" s="311">
        <f t="shared" si="341"/>
        <v>0.95</v>
      </c>
      <c r="CF419" s="310">
        <v>2850</v>
      </c>
      <c r="CG419" s="311">
        <f t="shared" si="362"/>
        <v>0.95</v>
      </c>
      <c r="CH419" s="310">
        <v>2850</v>
      </c>
      <c r="CI419" s="311">
        <f t="shared" si="342"/>
        <v>0.95</v>
      </c>
      <c r="CJ419" s="310">
        <v>2850</v>
      </c>
      <c r="CK419" s="311">
        <f t="shared" si="363"/>
        <v>0.95</v>
      </c>
      <c r="CL419" s="310">
        <v>2850</v>
      </c>
      <c r="CM419" s="311">
        <f t="shared" si="364"/>
        <v>0.95</v>
      </c>
      <c r="CN419" s="310">
        <v>2850</v>
      </c>
      <c r="CO419" s="311">
        <f t="shared" si="365"/>
        <v>0.95</v>
      </c>
      <c r="CP419" s="213" t="str">
        <f t="shared" si="370"/>
        <v>Đạt</v>
      </c>
      <c r="CQ419" s="213" t="str">
        <f t="shared" si="371"/>
        <v>Đạt</v>
      </c>
      <c r="CR419" s="312"/>
      <c r="CS419" s="312"/>
      <c r="CT419" s="235"/>
      <c r="CU419" s="163"/>
      <c r="CV419" s="323"/>
      <c r="CW419" s="195"/>
      <c r="CX419" s="196"/>
      <c r="CY419" s="196"/>
      <c r="CZ419" s="197"/>
      <c r="DA419" s="196"/>
      <c r="DB419" s="196"/>
      <c r="DC419" s="196"/>
      <c r="DE419" s="199"/>
      <c r="DF419" s="200"/>
      <c r="DG419" s="181"/>
    </row>
    <row r="420" spans="1:111" ht="45" hidden="1" customHeight="1" outlineLevel="1" x14ac:dyDescent="0.25">
      <c r="A420" s="305" t="s">
        <v>34</v>
      </c>
      <c r="B420" s="306" t="s">
        <v>377</v>
      </c>
      <c r="C420" s="306"/>
      <c r="D420" s="307">
        <f>E420+F420</f>
        <v>153</v>
      </c>
      <c r="E420" s="307"/>
      <c r="F420" s="307">
        <f>G420+H420+K420+M420</f>
        <v>153</v>
      </c>
      <c r="G420" s="307"/>
      <c r="H420" s="307">
        <v>153</v>
      </c>
      <c r="I420" s="235"/>
      <c r="J420" s="235"/>
      <c r="K420" s="303"/>
      <c r="L420" s="235"/>
      <c r="M420" s="223"/>
      <c r="N420" s="223"/>
      <c r="O420" s="303"/>
      <c r="P420" s="303">
        <v>0</v>
      </c>
      <c r="Q420" s="308">
        <f t="shared" si="367"/>
        <v>0</v>
      </c>
      <c r="R420" s="303"/>
      <c r="S420" s="313">
        <v>0</v>
      </c>
      <c r="T420" s="313">
        <v>0</v>
      </c>
      <c r="U420" s="303"/>
      <c r="V420" s="313">
        <v>0</v>
      </c>
      <c r="W420" s="313">
        <v>0</v>
      </c>
      <c r="X420" s="303"/>
      <c r="Y420" s="313">
        <v>0</v>
      </c>
      <c r="Z420" s="313">
        <v>0</v>
      </c>
      <c r="AA420" s="303"/>
      <c r="AB420" s="313">
        <v>0</v>
      </c>
      <c r="AC420" s="313">
        <v>0</v>
      </c>
      <c r="AD420" s="303"/>
      <c r="AE420" s="313">
        <v>0</v>
      </c>
      <c r="AF420" s="313">
        <v>0</v>
      </c>
      <c r="AG420" s="303"/>
      <c r="AH420" s="313">
        <v>0</v>
      </c>
      <c r="AI420" s="313">
        <v>0</v>
      </c>
      <c r="AJ420" s="188"/>
      <c r="AK420" s="313">
        <v>0</v>
      </c>
      <c r="AL420" s="313">
        <v>0</v>
      </c>
      <c r="AM420" s="303"/>
      <c r="AN420" s="313">
        <v>0</v>
      </c>
      <c r="AO420" s="313">
        <v>0</v>
      </c>
      <c r="AP420" s="313"/>
      <c r="AQ420" s="303"/>
      <c r="AR420" s="313">
        <v>0</v>
      </c>
      <c r="AS420" s="313">
        <v>0</v>
      </c>
      <c r="AT420" s="303"/>
      <c r="AU420" s="313">
        <v>0</v>
      </c>
      <c r="AV420" s="313">
        <v>0</v>
      </c>
      <c r="AW420" s="313"/>
      <c r="AX420" s="313"/>
      <c r="AY420" s="313"/>
      <c r="AZ420" s="313"/>
      <c r="BA420" s="313"/>
      <c r="BB420" s="313"/>
      <c r="BC420" s="303"/>
      <c r="BD420" s="313">
        <v>0</v>
      </c>
      <c r="BE420" s="313">
        <v>0</v>
      </c>
      <c r="BF420" s="303"/>
      <c r="BG420" s="303"/>
      <c r="BH420" s="313">
        <v>0</v>
      </c>
      <c r="BI420" s="313">
        <v>0</v>
      </c>
      <c r="BJ420" s="303">
        <f t="shared" si="368"/>
        <v>145.35</v>
      </c>
      <c r="BK420" s="303"/>
      <c r="BL420" s="313">
        <f t="shared" si="354"/>
        <v>0</v>
      </c>
      <c r="BM420" s="313">
        <f t="shared" si="369"/>
        <v>0</v>
      </c>
      <c r="BN420" s="205">
        <f t="shared" si="352"/>
        <v>0</v>
      </c>
      <c r="BO420" s="205"/>
      <c r="BP420" s="310"/>
      <c r="BQ420" s="311">
        <f t="shared" si="355"/>
        <v>0</v>
      </c>
      <c r="BR420" s="310"/>
      <c r="BS420" s="311">
        <f t="shared" si="356"/>
        <v>0</v>
      </c>
      <c r="BT420" s="310"/>
      <c r="BU420" s="308">
        <f t="shared" si="357"/>
        <v>0</v>
      </c>
      <c r="BV420" s="310"/>
      <c r="BW420" s="311">
        <f t="shared" si="358"/>
        <v>0</v>
      </c>
      <c r="BX420" s="310"/>
      <c r="BY420" s="311">
        <f t="shared" si="359"/>
        <v>0</v>
      </c>
      <c r="BZ420" s="310"/>
      <c r="CA420" s="311">
        <f t="shared" si="360"/>
        <v>0</v>
      </c>
      <c r="CB420" s="310"/>
      <c r="CC420" s="311">
        <f t="shared" si="361"/>
        <v>0</v>
      </c>
      <c r="CD420" s="310"/>
      <c r="CE420" s="311">
        <f t="shared" si="341"/>
        <v>0</v>
      </c>
      <c r="CF420" s="310"/>
      <c r="CG420" s="311">
        <f t="shared" si="362"/>
        <v>0</v>
      </c>
      <c r="CH420" s="310"/>
      <c r="CI420" s="311">
        <f t="shared" si="342"/>
        <v>0</v>
      </c>
      <c r="CJ420" s="310"/>
      <c r="CK420" s="311">
        <f t="shared" si="363"/>
        <v>0</v>
      </c>
      <c r="CL420" s="310">
        <f>153*0.95</f>
        <v>145.35</v>
      </c>
      <c r="CM420" s="311">
        <f t="shared" si="364"/>
        <v>0.95</v>
      </c>
      <c r="CN420" s="310">
        <f>153*0.95</f>
        <v>145.35</v>
      </c>
      <c r="CO420" s="311">
        <f t="shared" si="365"/>
        <v>0.95</v>
      </c>
      <c r="CP420" s="213" t="str">
        <f t="shared" si="370"/>
        <v>Không đạt</v>
      </c>
      <c r="CQ420" s="213" t="str">
        <f t="shared" si="371"/>
        <v>Không đạt</v>
      </c>
      <c r="CR420" s="312"/>
      <c r="CS420" s="312"/>
      <c r="CT420" s="235"/>
      <c r="CU420" s="163"/>
      <c r="CW420" s="195"/>
      <c r="CX420" s="196"/>
      <c r="CY420" s="196"/>
      <c r="CZ420" s="197"/>
      <c r="DA420" s="196"/>
      <c r="DB420" s="196"/>
      <c r="DC420" s="196"/>
      <c r="DE420" s="199"/>
      <c r="DF420" s="200"/>
      <c r="DG420" s="181"/>
    </row>
    <row r="421" spans="1:111" ht="18" customHeight="1" collapsed="1" x14ac:dyDescent="0.25">
      <c r="A421" s="213">
        <f>MAX(A$239:A419)+1</f>
        <v>55</v>
      </c>
      <c r="B421" s="240" t="s">
        <v>448</v>
      </c>
      <c r="C421" s="240"/>
      <c r="D421" s="188">
        <f t="shared" ref="D421:I421" si="380">D422+D423</f>
        <v>3535</v>
      </c>
      <c r="E421" s="188">
        <f t="shared" si="380"/>
        <v>0</v>
      </c>
      <c r="F421" s="188">
        <f t="shared" si="380"/>
        <v>3535</v>
      </c>
      <c r="G421" s="188">
        <f t="shared" si="380"/>
        <v>3000</v>
      </c>
      <c r="H421" s="188">
        <f t="shared" si="380"/>
        <v>535</v>
      </c>
      <c r="I421" s="188">
        <f t="shared" si="380"/>
        <v>0</v>
      </c>
      <c r="J421" s="188"/>
      <c r="K421" s="188">
        <f>K422+K423</f>
        <v>0</v>
      </c>
      <c r="L421" s="188">
        <f>L422+L423</f>
        <v>0</v>
      </c>
      <c r="M421" s="188">
        <f>M422+M423</f>
        <v>0</v>
      </c>
      <c r="N421" s="188">
        <f>N422+N423</f>
        <v>0</v>
      </c>
      <c r="O421" s="188">
        <f>O422+O423</f>
        <v>3000</v>
      </c>
      <c r="P421" s="188">
        <v>0</v>
      </c>
      <c r="Q421" s="186">
        <f t="shared" si="367"/>
        <v>0</v>
      </c>
      <c r="R421" s="188">
        <v>0</v>
      </c>
      <c r="S421" s="185">
        <v>0</v>
      </c>
      <c r="T421" s="185">
        <v>0</v>
      </c>
      <c r="U421" s="188">
        <v>0</v>
      </c>
      <c r="V421" s="185">
        <v>0</v>
      </c>
      <c r="W421" s="185">
        <v>0</v>
      </c>
      <c r="X421" s="188">
        <v>0</v>
      </c>
      <c r="Y421" s="185">
        <v>0</v>
      </c>
      <c r="Z421" s="185">
        <v>0</v>
      </c>
      <c r="AA421" s="188">
        <v>0</v>
      </c>
      <c r="AB421" s="185">
        <v>0</v>
      </c>
      <c r="AC421" s="185">
        <v>0</v>
      </c>
      <c r="AD421" s="188">
        <v>316</v>
      </c>
      <c r="AE421" s="185">
        <v>8.9391796322489392E-2</v>
      </c>
      <c r="AF421" s="185">
        <v>9.4096627707883573E-2</v>
      </c>
      <c r="AG421" s="188">
        <v>316</v>
      </c>
      <c r="AH421" s="185">
        <v>8.9391796322489392E-2</v>
      </c>
      <c r="AI421" s="185">
        <v>9.4096627707883573E-2</v>
      </c>
      <c r="AJ421" s="303">
        <v>316</v>
      </c>
      <c r="AK421" s="185">
        <v>8.9391796322489392E-2</v>
      </c>
      <c r="AL421" s="185">
        <v>9.4096627707883573E-2</v>
      </c>
      <c r="AM421" s="188">
        <v>971</v>
      </c>
      <c r="AN421" s="185">
        <v>0.2746817538896747</v>
      </c>
      <c r="AO421" s="185">
        <v>0.28913868830492073</v>
      </c>
      <c r="AP421" s="185"/>
      <c r="AQ421" s="188">
        <v>971</v>
      </c>
      <c r="AR421" s="185">
        <v>0.2746817538896747</v>
      </c>
      <c r="AS421" s="185">
        <v>0.28913868830492073</v>
      </c>
      <c r="AT421" s="188">
        <v>971</v>
      </c>
      <c r="AU421" s="185">
        <v>0.2746817538896747</v>
      </c>
      <c r="AV421" s="185">
        <v>0.28913868830492073</v>
      </c>
      <c r="AW421" s="185"/>
      <c r="AX421" s="185"/>
      <c r="AY421" s="185"/>
      <c r="AZ421" s="185"/>
      <c r="BA421" s="185"/>
      <c r="BB421" s="185"/>
      <c r="BC421" s="188">
        <v>971</v>
      </c>
      <c r="BD421" s="185">
        <v>0.2746817538896747</v>
      </c>
      <c r="BE421" s="185">
        <v>0.28913868830492073</v>
      </c>
      <c r="BF421" s="188"/>
      <c r="BG421" s="188">
        <v>971</v>
      </c>
      <c r="BH421" s="185">
        <v>0.2746817538896747</v>
      </c>
      <c r="BI421" s="185">
        <v>0.28913868830492073</v>
      </c>
      <c r="BJ421" s="188">
        <f t="shared" si="368"/>
        <v>3358.25</v>
      </c>
      <c r="BK421" s="188">
        <f>BK422+BK423</f>
        <v>971</v>
      </c>
      <c r="BL421" s="185">
        <f t="shared" si="354"/>
        <v>0.2746817538896747</v>
      </c>
      <c r="BM421" s="185">
        <f t="shared" si="369"/>
        <v>0.28913868830492073</v>
      </c>
      <c r="BN421" s="205">
        <f t="shared" si="352"/>
        <v>655</v>
      </c>
      <c r="BO421" s="205"/>
      <c r="BP421" s="189">
        <f>BP422+BP423</f>
        <v>0</v>
      </c>
      <c r="BQ421" s="186">
        <f t="shared" si="355"/>
        <v>0</v>
      </c>
      <c r="BR421" s="189">
        <f>BR422+BR423</f>
        <v>0</v>
      </c>
      <c r="BS421" s="186">
        <f t="shared" si="356"/>
        <v>0</v>
      </c>
      <c r="BT421" s="189">
        <f>BT422+BT423</f>
        <v>0</v>
      </c>
      <c r="BU421" s="186">
        <f t="shared" si="357"/>
        <v>0</v>
      </c>
      <c r="BV421" s="189">
        <f>BV422+BV423</f>
        <v>150</v>
      </c>
      <c r="BW421" s="186">
        <f t="shared" si="358"/>
        <v>4.2432814710042434E-2</v>
      </c>
      <c r="BX421" s="189">
        <f>BX422+BX423</f>
        <v>300</v>
      </c>
      <c r="BY421" s="186">
        <f t="shared" si="359"/>
        <v>8.4865629420084868E-2</v>
      </c>
      <c r="BZ421" s="189">
        <f>BZ422+BZ423</f>
        <v>800</v>
      </c>
      <c r="CA421" s="186">
        <f t="shared" si="360"/>
        <v>0.2263083451202263</v>
      </c>
      <c r="CB421" s="189">
        <f>CB422+CB423</f>
        <v>1550</v>
      </c>
      <c r="CC421" s="186">
        <f t="shared" si="361"/>
        <v>0.43847241867043846</v>
      </c>
      <c r="CD421" s="189">
        <f>CD422+CD423</f>
        <v>1850</v>
      </c>
      <c r="CE421" s="186">
        <f t="shared" si="341"/>
        <v>0.52333804809052331</v>
      </c>
      <c r="CF421" s="189">
        <f>CF422+CF423</f>
        <v>2450</v>
      </c>
      <c r="CG421" s="186">
        <f t="shared" si="362"/>
        <v>0.69306930693069302</v>
      </c>
      <c r="CH421" s="189">
        <f>CH422+CH423</f>
        <v>2950</v>
      </c>
      <c r="CI421" s="186">
        <f t="shared" si="342"/>
        <v>0.83451202263083446</v>
      </c>
      <c r="CJ421" s="189">
        <f>CJ422+CJ423</f>
        <v>3150</v>
      </c>
      <c r="CK421" s="186">
        <f t="shared" si="363"/>
        <v>0.8910891089108911</v>
      </c>
      <c r="CL421" s="189">
        <f>CL422+CL423</f>
        <v>3358.25</v>
      </c>
      <c r="CM421" s="186">
        <f t="shared" si="364"/>
        <v>0.95</v>
      </c>
      <c r="CN421" s="189">
        <f>CN422+CN423</f>
        <v>3358.25</v>
      </c>
      <c r="CO421" s="186">
        <f t="shared" si="365"/>
        <v>0.95</v>
      </c>
      <c r="CP421" s="213" t="str">
        <f t="shared" si="370"/>
        <v>Không đạt</v>
      </c>
      <c r="CQ421" s="213" t="str">
        <f t="shared" si="371"/>
        <v>Không đạt</v>
      </c>
      <c r="CR421" s="213"/>
      <c r="CS421" s="213"/>
      <c r="CT421" s="231"/>
      <c r="CU421" s="163"/>
      <c r="CW421" s="195"/>
      <c r="CX421" s="196"/>
      <c r="CY421" s="196"/>
      <c r="CZ421" s="197"/>
      <c r="DA421" s="196"/>
      <c r="DB421" s="196"/>
      <c r="DC421" s="196"/>
      <c r="DE421" s="199"/>
      <c r="DF421" s="200"/>
      <c r="DG421" s="181"/>
    </row>
    <row r="422" spans="1:111" s="324" customFormat="1" hidden="1" outlineLevel="1" x14ac:dyDescent="0.25">
      <c r="A422" s="305" t="s">
        <v>34</v>
      </c>
      <c r="B422" s="306" t="s">
        <v>376</v>
      </c>
      <c r="C422" s="306"/>
      <c r="D422" s="307">
        <f>E422+F422</f>
        <v>3000</v>
      </c>
      <c r="E422" s="307"/>
      <c r="F422" s="307">
        <f>G422+H422+K422+M422</f>
        <v>3000</v>
      </c>
      <c r="G422" s="303">
        <v>3000</v>
      </c>
      <c r="H422" s="303"/>
      <c r="I422" s="235"/>
      <c r="J422" s="235"/>
      <c r="K422" s="303"/>
      <c r="L422" s="235"/>
      <c r="M422" s="223"/>
      <c r="N422" s="223"/>
      <c r="O422" s="303">
        <f>G422+I422+L422+N422</f>
        <v>3000</v>
      </c>
      <c r="P422" s="303">
        <v>0</v>
      </c>
      <c r="Q422" s="308">
        <f t="shared" si="367"/>
        <v>0</v>
      </c>
      <c r="R422" s="303"/>
      <c r="S422" s="313">
        <v>0</v>
      </c>
      <c r="T422" s="313">
        <v>0</v>
      </c>
      <c r="U422" s="303"/>
      <c r="V422" s="313">
        <v>0</v>
      </c>
      <c r="W422" s="313">
        <v>0</v>
      </c>
      <c r="X422" s="303"/>
      <c r="Y422" s="313">
        <v>0</v>
      </c>
      <c r="Z422" s="313">
        <v>0</v>
      </c>
      <c r="AA422" s="303"/>
      <c r="AB422" s="313">
        <v>0</v>
      </c>
      <c r="AC422" s="313">
        <v>0</v>
      </c>
      <c r="AD422" s="303">
        <v>316</v>
      </c>
      <c r="AE422" s="313">
        <v>0.10533333333333333</v>
      </c>
      <c r="AF422" s="313">
        <v>0.11087719298245614</v>
      </c>
      <c r="AG422" s="303">
        <v>316</v>
      </c>
      <c r="AH422" s="313">
        <v>0.10533333333333333</v>
      </c>
      <c r="AI422" s="313">
        <v>0.11087719298245614</v>
      </c>
      <c r="AJ422" s="303">
        <v>316</v>
      </c>
      <c r="AK422" s="313">
        <v>0.10533333333333333</v>
      </c>
      <c r="AL422" s="313">
        <v>0.11087719298245614</v>
      </c>
      <c r="AM422" s="303">
        <v>971</v>
      </c>
      <c r="AN422" s="313">
        <v>0.32366666666666666</v>
      </c>
      <c r="AO422" s="313">
        <v>0.34070175438596489</v>
      </c>
      <c r="AP422" s="313"/>
      <c r="AQ422" s="303">
        <v>971</v>
      </c>
      <c r="AR422" s="313">
        <v>0.32366666666666666</v>
      </c>
      <c r="AS422" s="313">
        <v>0.34070175438596489</v>
      </c>
      <c r="AT422" s="303">
        <v>971</v>
      </c>
      <c r="AU422" s="313">
        <v>0.32366666666666666</v>
      </c>
      <c r="AV422" s="313">
        <v>0.34070175438596489</v>
      </c>
      <c r="AW422" s="313"/>
      <c r="AX422" s="313"/>
      <c r="AY422" s="313"/>
      <c r="AZ422" s="313"/>
      <c r="BA422" s="313"/>
      <c r="BB422" s="313"/>
      <c r="BC422" s="303">
        <v>971</v>
      </c>
      <c r="BD422" s="313">
        <v>0.32366666666666666</v>
      </c>
      <c r="BE422" s="313">
        <v>0.34070175438596489</v>
      </c>
      <c r="BF422" s="303"/>
      <c r="BG422" s="303">
        <v>971</v>
      </c>
      <c r="BH422" s="313">
        <v>0.32366666666666666</v>
      </c>
      <c r="BI422" s="313">
        <v>0.34070175438596489</v>
      </c>
      <c r="BJ422" s="303">
        <f t="shared" si="368"/>
        <v>2850</v>
      </c>
      <c r="BK422" s="303">
        <v>971</v>
      </c>
      <c r="BL422" s="313">
        <f t="shared" si="354"/>
        <v>0.32366666666666666</v>
      </c>
      <c r="BM422" s="313">
        <f t="shared" si="369"/>
        <v>0.34070175438596489</v>
      </c>
      <c r="BN422" s="205">
        <f t="shared" si="352"/>
        <v>655</v>
      </c>
      <c r="BO422" s="205"/>
      <c r="BP422" s="310"/>
      <c r="BQ422" s="311">
        <f t="shared" si="355"/>
        <v>0</v>
      </c>
      <c r="BR422" s="310"/>
      <c r="BS422" s="311">
        <f t="shared" si="356"/>
        <v>0</v>
      </c>
      <c r="BT422" s="310"/>
      <c r="BU422" s="308">
        <f t="shared" si="357"/>
        <v>0</v>
      </c>
      <c r="BV422" s="310">
        <v>150</v>
      </c>
      <c r="BW422" s="311">
        <f t="shared" si="358"/>
        <v>0.05</v>
      </c>
      <c r="BX422" s="310">
        <v>300</v>
      </c>
      <c r="BY422" s="311">
        <f t="shared" si="359"/>
        <v>0.1</v>
      </c>
      <c r="BZ422" s="310">
        <v>800</v>
      </c>
      <c r="CA422" s="311">
        <f t="shared" si="360"/>
        <v>0.26666666666666666</v>
      </c>
      <c r="CB422" s="310">
        <v>1500</v>
      </c>
      <c r="CC422" s="311">
        <f t="shared" si="361"/>
        <v>0.5</v>
      </c>
      <c r="CD422" s="310">
        <v>1700</v>
      </c>
      <c r="CE422" s="311">
        <f t="shared" si="341"/>
        <v>0.56666666666666665</v>
      </c>
      <c r="CF422" s="310">
        <v>2100</v>
      </c>
      <c r="CG422" s="311">
        <f t="shared" si="362"/>
        <v>0.7</v>
      </c>
      <c r="CH422" s="310">
        <v>2500</v>
      </c>
      <c r="CI422" s="311">
        <f t="shared" si="342"/>
        <v>0.83333333333333337</v>
      </c>
      <c r="CJ422" s="310">
        <v>2700</v>
      </c>
      <c r="CK422" s="311">
        <f t="shared" si="363"/>
        <v>0.9</v>
      </c>
      <c r="CL422" s="310">
        <v>2850</v>
      </c>
      <c r="CM422" s="311">
        <f t="shared" si="364"/>
        <v>0.95</v>
      </c>
      <c r="CN422" s="310">
        <v>2850</v>
      </c>
      <c r="CO422" s="311">
        <f t="shared" si="365"/>
        <v>0.95</v>
      </c>
      <c r="CP422" s="213" t="str">
        <f t="shared" si="370"/>
        <v>Không đạt</v>
      </c>
      <c r="CQ422" s="213" t="str">
        <f t="shared" si="371"/>
        <v>Không đạt</v>
      </c>
      <c r="CR422" s="312"/>
      <c r="CS422" s="312"/>
      <c r="CT422" s="235"/>
      <c r="CU422" s="163"/>
      <c r="CV422" s="323"/>
      <c r="CW422" s="195"/>
      <c r="CX422" s="196"/>
      <c r="CY422" s="196"/>
      <c r="CZ422" s="197"/>
      <c r="DA422" s="196"/>
      <c r="DB422" s="196"/>
      <c r="DC422" s="196"/>
      <c r="DE422" s="199"/>
      <c r="DF422" s="200"/>
      <c r="DG422" s="181"/>
    </row>
    <row r="423" spans="1:111" ht="48.75" hidden="1" customHeight="1" outlineLevel="1" x14ac:dyDescent="0.25">
      <c r="A423" s="305" t="s">
        <v>34</v>
      </c>
      <c r="B423" s="306" t="s">
        <v>377</v>
      </c>
      <c r="C423" s="306"/>
      <c r="D423" s="307">
        <f>E423+F423</f>
        <v>535</v>
      </c>
      <c r="E423" s="307"/>
      <c r="F423" s="307">
        <f>G423+H423+K423+M423</f>
        <v>535</v>
      </c>
      <c r="G423" s="307"/>
      <c r="H423" s="307">
        <v>535</v>
      </c>
      <c r="I423" s="235"/>
      <c r="J423" s="235"/>
      <c r="K423" s="303"/>
      <c r="L423" s="235"/>
      <c r="M423" s="223"/>
      <c r="N423" s="223"/>
      <c r="O423" s="303"/>
      <c r="P423" s="303">
        <v>0</v>
      </c>
      <c r="Q423" s="308">
        <f t="shared" si="367"/>
        <v>0</v>
      </c>
      <c r="R423" s="303"/>
      <c r="S423" s="313">
        <v>0</v>
      </c>
      <c r="T423" s="313">
        <v>0</v>
      </c>
      <c r="U423" s="303"/>
      <c r="V423" s="313">
        <v>0</v>
      </c>
      <c r="W423" s="313">
        <v>0</v>
      </c>
      <c r="X423" s="303"/>
      <c r="Y423" s="313">
        <v>0</v>
      </c>
      <c r="Z423" s="313">
        <v>0</v>
      </c>
      <c r="AA423" s="303"/>
      <c r="AB423" s="313">
        <v>0</v>
      </c>
      <c r="AC423" s="313">
        <v>0</v>
      </c>
      <c r="AD423" s="303"/>
      <c r="AE423" s="313">
        <v>0</v>
      </c>
      <c r="AF423" s="313">
        <v>0</v>
      </c>
      <c r="AG423" s="303"/>
      <c r="AH423" s="313">
        <v>0</v>
      </c>
      <c r="AI423" s="313">
        <v>0</v>
      </c>
      <c r="AJ423" s="188"/>
      <c r="AK423" s="313">
        <v>0</v>
      </c>
      <c r="AL423" s="313">
        <v>0</v>
      </c>
      <c r="AM423" s="303"/>
      <c r="AN423" s="313">
        <v>0</v>
      </c>
      <c r="AO423" s="313">
        <v>0</v>
      </c>
      <c r="AP423" s="313"/>
      <c r="AQ423" s="303"/>
      <c r="AR423" s="313">
        <v>0</v>
      </c>
      <c r="AS423" s="313">
        <v>0</v>
      </c>
      <c r="AT423" s="303"/>
      <c r="AU423" s="313">
        <v>0</v>
      </c>
      <c r="AV423" s="313">
        <v>0</v>
      </c>
      <c r="AW423" s="313"/>
      <c r="AX423" s="313"/>
      <c r="AY423" s="313"/>
      <c r="AZ423" s="313"/>
      <c r="BA423" s="313"/>
      <c r="BB423" s="313"/>
      <c r="BC423" s="303"/>
      <c r="BD423" s="313">
        <v>0</v>
      </c>
      <c r="BE423" s="313">
        <v>0</v>
      </c>
      <c r="BF423" s="303"/>
      <c r="BG423" s="303"/>
      <c r="BH423" s="313">
        <v>0</v>
      </c>
      <c r="BI423" s="313">
        <v>0</v>
      </c>
      <c r="BJ423" s="303">
        <f t="shared" si="368"/>
        <v>508.25</v>
      </c>
      <c r="BK423" s="303"/>
      <c r="BL423" s="313">
        <f t="shared" si="354"/>
        <v>0</v>
      </c>
      <c r="BM423" s="313">
        <f t="shared" si="369"/>
        <v>0</v>
      </c>
      <c r="BN423" s="205">
        <f t="shared" si="352"/>
        <v>0</v>
      </c>
      <c r="BO423" s="205"/>
      <c r="BP423" s="310"/>
      <c r="BQ423" s="311">
        <f t="shared" si="355"/>
        <v>0</v>
      </c>
      <c r="BR423" s="310"/>
      <c r="BS423" s="311">
        <f t="shared" si="356"/>
        <v>0</v>
      </c>
      <c r="BT423" s="310"/>
      <c r="BU423" s="308">
        <f t="shared" si="357"/>
        <v>0</v>
      </c>
      <c r="BV423" s="310"/>
      <c r="BW423" s="311">
        <f t="shared" si="358"/>
        <v>0</v>
      </c>
      <c r="BX423" s="310"/>
      <c r="BY423" s="311">
        <f t="shared" si="359"/>
        <v>0</v>
      </c>
      <c r="BZ423" s="310"/>
      <c r="CA423" s="311">
        <f t="shared" si="360"/>
        <v>0</v>
      </c>
      <c r="CB423" s="310">
        <v>50</v>
      </c>
      <c r="CC423" s="311">
        <f t="shared" si="361"/>
        <v>9.3457943925233641E-2</v>
      </c>
      <c r="CD423" s="310">
        <v>150</v>
      </c>
      <c r="CE423" s="311">
        <f t="shared" si="341"/>
        <v>0.28037383177570091</v>
      </c>
      <c r="CF423" s="310">
        <v>350</v>
      </c>
      <c r="CG423" s="311">
        <f t="shared" si="362"/>
        <v>0.65420560747663548</v>
      </c>
      <c r="CH423" s="310">
        <v>450</v>
      </c>
      <c r="CI423" s="311">
        <f t="shared" si="342"/>
        <v>0.84112149532710279</v>
      </c>
      <c r="CJ423" s="310">
        <v>450</v>
      </c>
      <c r="CK423" s="311">
        <f t="shared" si="363"/>
        <v>0.84112149532710279</v>
      </c>
      <c r="CL423" s="310">
        <f>535*0.95</f>
        <v>508.25</v>
      </c>
      <c r="CM423" s="311">
        <f t="shared" si="364"/>
        <v>0.95</v>
      </c>
      <c r="CN423" s="310">
        <f>535*0.95</f>
        <v>508.25</v>
      </c>
      <c r="CO423" s="311">
        <f t="shared" si="365"/>
        <v>0.95</v>
      </c>
      <c r="CP423" s="213" t="str">
        <f t="shared" si="370"/>
        <v>Không đạt</v>
      </c>
      <c r="CQ423" s="213" t="str">
        <f t="shared" si="371"/>
        <v>Không đạt</v>
      </c>
      <c r="CR423" s="312"/>
      <c r="CS423" s="312"/>
      <c r="CT423" s="235"/>
      <c r="CU423" s="163"/>
      <c r="CW423" s="195"/>
      <c r="CX423" s="196"/>
      <c r="CY423" s="196"/>
      <c r="CZ423" s="197"/>
      <c r="DA423" s="196"/>
      <c r="DB423" s="196"/>
      <c r="DC423" s="196"/>
      <c r="DE423" s="199"/>
      <c r="DF423" s="200"/>
      <c r="DG423" s="181"/>
    </row>
    <row r="424" spans="1:111" ht="18" customHeight="1" collapsed="1" x14ac:dyDescent="0.25">
      <c r="A424" s="213">
        <f>MAX(A$239:A422)+1</f>
        <v>56</v>
      </c>
      <c r="B424" s="240" t="s">
        <v>449</v>
      </c>
      <c r="C424" s="240"/>
      <c r="D424" s="188">
        <f t="shared" ref="D424:I424" si="381">D425+D426</f>
        <v>3017</v>
      </c>
      <c r="E424" s="188">
        <f t="shared" si="381"/>
        <v>0</v>
      </c>
      <c r="F424" s="188">
        <f t="shared" si="381"/>
        <v>3017</v>
      </c>
      <c r="G424" s="188">
        <f t="shared" si="381"/>
        <v>3000</v>
      </c>
      <c r="H424" s="188">
        <f t="shared" si="381"/>
        <v>17</v>
      </c>
      <c r="I424" s="188">
        <f t="shared" si="381"/>
        <v>0</v>
      </c>
      <c r="J424" s="188"/>
      <c r="K424" s="188">
        <f>K425+K426</f>
        <v>0</v>
      </c>
      <c r="L424" s="188">
        <f>L425+L426</f>
        <v>0</v>
      </c>
      <c r="M424" s="188">
        <f>M425+M426</f>
        <v>0</v>
      </c>
      <c r="N424" s="188">
        <f>N425+N426</f>
        <v>0</v>
      </c>
      <c r="O424" s="188">
        <f>O425+O426</f>
        <v>3000</v>
      </c>
      <c r="P424" s="188">
        <v>0</v>
      </c>
      <c r="Q424" s="186">
        <f t="shared" si="367"/>
        <v>0</v>
      </c>
      <c r="R424" s="188">
        <v>0</v>
      </c>
      <c r="S424" s="185">
        <v>0</v>
      </c>
      <c r="T424" s="185">
        <v>0</v>
      </c>
      <c r="U424" s="188">
        <v>0</v>
      </c>
      <c r="V424" s="185">
        <v>0</v>
      </c>
      <c r="W424" s="185">
        <v>0</v>
      </c>
      <c r="X424" s="188">
        <v>0</v>
      </c>
      <c r="Y424" s="185">
        <v>0</v>
      </c>
      <c r="Z424" s="185">
        <v>0</v>
      </c>
      <c r="AA424" s="188">
        <v>0</v>
      </c>
      <c r="AB424" s="185">
        <v>0</v>
      </c>
      <c r="AC424" s="185">
        <v>0</v>
      </c>
      <c r="AD424" s="188">
        <v>0</v>
      </c>
      <c r="AE424" s="185">
        <v>0</v>
      </c>
      <c r="AF424" s="185">
        <v>0</v>
      </c>
      <c r="AG424" s="188">
        <v>0</v>
      </c>
      <c r="AH424" s="185">
        <v>0</v>
      </c>
      <c r="AI424" s="185">
        <v>0</v>
      </c>
      <c r="AJ424" s="303">
        <v>0</v>
      </c>
      <c r="AK424" s="185">
        <v>0</v>
      </c>
      <c r="AL424" s="185">
        <v>0</v>
      </c>
      <c r="AM424" s="188">
        <v>851</v>
      </c>
      <c r="AN424" s="185">
        <v>0.28206827974809412</v>
      </c>
      <c r="AO424" s="185">
        <v>0.29691397868220432</v>
      </c>
      <c r="AP424" s="185"/>
      <c r="AQ424" s="188">
        <v>851</v>
      </c>
      <c r="AR424" s="185">
        <v>0.28206827974809412</v>
      </c>
      <c r="AS424" s="185">
        <v>0.29691397868220432</v>
      </c>
      <c r="AT424" s="188">
        <v>851</v>
      </c>
      <c r="AU424" s="185">
        <v>0.28206827974809412</v>
      </c>
      <c r="AV424" s="185">
        <v>0.29691397868220432</v>
      </c>
      <c r="AW424" s="185"/>
      <c r="AX424" s="185"/>
      <c r="AY424" s="185"/>
      <c r="AZ424" s="185"/>
      <c r="BA424" s="185"/>
      <c r="BB424" s="185"/>
      <c r="BC424" s="188">
        <v>851</v>
      </c>
      <c r="BD424" s="185">
        <v>0.28206827974809412</v>
      </c>
      <c r="BE424" s="185">
        <v>0.29691397868220432</v>
      </c>
      <c r="BF424" s="188"/>
      <c r="BG424" s="188">
        <v>1523</v>
      </c>
      <c r="BH424" s="185">
        <v>0.50480609877361615</v>
      </c>
      <c r="BI424" s="185">
        <v>0.53137484081433284</v>
      </c>
      <c r="BJ424" s="188">
        <f t="shared" si="368"/>
        <v>2866.15</v>
      </c>
      <c r="BK424" s="188">
        <f>BK425+BK426</f>
        <v>1523</v>
      </c>
      <c r="BL424" s="185">
        <f t="shared" si="354"/>
        <v>0.50480609877361615</v>
      </c>
      <c r="BM424" s="185">
        <f t="shared" si="369"/>
        <v>0.53137484081433284</v>
      </c>
      <c r="BN424" s="205">
        <f t="shared" si="352"/>
        <v>1523</v>
      </c>
      <c r="BO424" s="205"/>
      <c r="BP424" s="189">
        <f>BP425+BP426</f>
        <v>0</v>
      </c>
      <c r="BQ424" s="186">
        <f t="shared" si="355"/>
        <v>0</v>
      </c>
      <c r="BR424" s="189">
        <f>BR425+BR426</f>
        <v>0</v>
      </c>
      <c r="BS424" s="186">
        <f t="shared" si="356"/>
        <v>0</v>
      </c>
      <c r="BT424" s="189">
        <f>BT425+BT426</f>
        <v>0</v>
      </c>
      <c r="BU424" s="186">
        <f t="shared" si="357"/>
        <v>0</v>
      </c>
      <c r="BV424" s="189">
        <f>BV425+BV426</f>
        <v>150</v>
      </c>
      <c r="BW424" s="186">
        <f t="shared" si="358"/>
        <v>4.9718263175339741E-2</v>
      </c>
      <c r="BX424" s="189">
        <f>BX425+BX426</f>
        <v>150</v>
      </c>
      <c r="BY424" s="186">
        <f t="shared" si="359"/>
        <v>4.9718263175339741E-2</v>
      </c>
      <c r="BZ424" s="189">
        <f>BZ425+BZ426</f>
        <v>1500</v>
      </c>
      <c r="CA424" s="186">
        <f t="shared" si="360"/>
        <v>0.49718263175339744</v>
      </c>
      <c r="CB424" s="189">
        <f>CB425+CB426</f>
        <v>1500</v>
      </c>
      <c r="CC424" s="186">
        <f t="shared" si="361"/>
        <v>0.49718263175339744</v>
      </c>
      <c r="CD424" s="189">
        <f>CD425+CD426</f>
        <v>1668</v>
      </c>
      <c r="CE424" s="186">
        <f t="shared" si="341"/>
        <v>0.55286708650977789</v>
      </c>
      <c r="CF424" s="189">
        <f>CF425+CF426</f>
        <v>2300</v>
      </c>
      <c r="CG424" s="186">
        <f t="shared" si="362"/>
        <v>0.76234670202187604</v>
      </c>
      <c r="CH424" s="189">
        <f>CH425+CH426</f>
        <v>2372</v>
      </c>
      <c r="CI424" s="186">
        <f t="shared" si="342"/>
        <v>0.78621146834603917</v>
      </c>
      <c r="CJ424" s="189">
        <f>CJ425+CJ426</f>
        <v>2723</v>
      </c>
      <c r="CK424" s="186">
        <f t="shared" si="363"/>
        <v>0.90255220417633408</v>
      </c>
      <c r="CL424" s="189">
        <f>CL425+CL426</f>
        <v>2866.15</v>
      </c>
      <c r="CM424" s="186">
        <f t="shared" si="364"/>
        <v>0.95000000000000007</v>
      </c>
      <c r="CN424" s="189">
        <f>CN425+CN426</f>
        <v>2866.15</v>
      </c>
      <c r="CO424" s="186">
        <f t="shared" si="365"/>
        <v>0.95000000000000007</v>
      </c>
      <c r="CP424" s="213" t="str">
        <f t="shared" si="370"/>
        <v>Đạt</v>
      </c>
      <c r="CQ424" s="213" t="str">
        <f t="shared" si="371"/>
        <v>Đạt</v>
      </c>
      <c r="CR424" s="213"/>
      <c r="CS424" s="213"/>
      <c r="CT424" s="231"/>
      <c r="CU424" s="163"/>
      <c r="CW424" s="195"/>
      <c r="CX424" s="196"/>
      <c r="CY424" s="196"/>
      <c r="CZ424" s="197"/>
      <c r="DA424" s="196"/>
      <c r="DB424" s="196"/>
      <c r="DC424" s="196"/>
      <c r="DE424" s="199"/>
      <c r="DF424" s="200"/>
      <c r="DG424" s="181"/>
    </row>
    <row r="425" spans="1:111" s="324" customFormat="1" hidden="1" outlineLevel="1" x14ac:dyDescent="0.25">
      <c r="A425" s="305" t="s">
        <v>34</v>
      </c>
      <c r="B425" s="306" t="s">
        <v>376</v>
      </c>
      <c r="C425" s="306"/>
      <c r="D425" s="307">
        <f>E425+F425</f>
        <v>3000</v>
      </c>
      <c r="E425" s="307"/>
      <c r="F425" s="307">
        <f>G425+H425+K425+M425</f>
        <v>3000</v>
      </c>
      <c r="G425" s="303">
        <v>3000</v>
      </c>
      <c r="H425" s="303"/>
      <c r="I425" s="235"/>
      <c r="J425" s="235"/>
      <c r="K425" s="303"/>
      <c r="L425" s="235"/>
      <c r="M425" s="223"/>
      <c r="N425" s="223"/>
      <c r="O425" s="303">
        <f t="shared" ref="O425:O462" si="382">G425+I425+L425+N425</f>
        <v>3000</v>
      </c>
      <c r="P425" s="303">
        <v>0</v>
      </c>
      <c r="Q425" s="308">
        <f t="shared" si="367"/>
        <v>0</v>
      </c>
      <c r="R425" s="303"/>
      <c r="S425" s="313">
        <v>0</v>
      </c>
      <c r="T425" s="313">
        <v>0</v>
      </c>
      <c r="U425" s="303"/>
      <c r="V425" s="313">
        <v>0</v>
      </c>
      <c r="W425" s="313">
        <v>0</v>
      </c>
      <c r="X425" s="303"/>
      <c r="Y425" s="313">
        <v>0</v>
      </c>
      <c r="Z425" s="313">
        <v>0</v>
      </c>
      <c r="AA425" s="303"/>
      <c r="AB425" s="313">
        <v>0</v>
      </c>
      <c r="AC425" s="313">
        <v>0</v>
      </c>
      <c r="AD425" s="303"/>
      <c r="AE425" s="313">
        <v>0</v>
      </c>
      <c r="AF425" s="313">
        <v>0</v>
      </c>
      <c r="AG425" s="303"/>
      <c r="AH425" s="313">
        <v>0</v>
      </c>
      <c r="AI425" s="313">
        <v>0</v>
      </c>
      <c r="AJ425" s="303"/>
      <c r="AK425" s="313">
        <v>0</v>
      </c>
      <c r="AL425" s="313">
        <v>0</v>
      </c>
      <c r="AM425" s="303">
        <v>851</v>
      </c>
      <c r="AN425" s="313">
        <v>0.28366666666666668</v>
      </c>
      <c r="AO425" s="313">
        <v>0.29859649122807019</v>
      </c>
      <c r="AP425" s="313"/>
      <c r="AQ425" s="303">
        <v>851</v>
      </c>
      <c r="AR425" s="313">
        <v>0.28366666666666668</v>
      </c>
      <c r="AS425" s="313">
        <v>0.29859649122807019</v>
      </c>
      <c r="AT425" s="303">
        <v>851</v>
      </c>
      <c r="AU425" s="313">
        <v>0.28366666666666668</v>
      </c>
      <c r="AV425" s="313">
        <v>0.29859649122807019</v>
      </c>
      <c r="AW425" s="313"/>
      <c r="AX425" s="313"/>
      <c r="AY425" s="313"/>
      <c r="AZ425" s="313"/>
      <c r="BA425" s="313"/>
      <c r="BB425" s="313"/>
      <c r="BC425" s="303">
        <v>851</v>
      </c>
      <c r="BD425" s="313">
        <v>0.28366666666666668</v>
      </c>
      <c r="BE425" s="313">
        <v>0.29859649122807019</v>
      </c>
      <c r="BF425" s="303"/>
      <c r="BG425" s="303">
        <v>1523</v>
      </c>
      <c r="BH425" s="313">
        <v>0.50766666666666671</v>
      </c>
      <c r="BI425" s="313">
        <v>0.53438596491228074</v>
      </c>
      <c r="BJ425" s="303">
        <f t="shared" si="368"/>
        <v>2850</v>
      </c>
      <c r="BK425" s="303">
        <v>1523</v>
      </c>
      <c r="BL425" s="313">
        <f t="shared" si="354"/>
        <v>0.50766666666666671</v>
      </c>
      <c r="BM425" s="313">
        <f t="shared" si="369"/>
        <v>0.53438596491228074</v>
      </c>
      <c r="BN425" s="205">
        <f t="shared" si="352"/>
        <v>1523</v>
      </c>
      <c r="BO425" s="205"/>
      <c r="BP425" s="310"/>
      <c r="BQ425" s="311">
        <f t="shared" si="355"/>
        <v>0</v>
      </c>
      <c r="BR425" s="310"/>
      <c r="BS425" s="311">
        <f t="shared" si="356"/>
        <v>0</v>
      </c>
      <c r="BT425" s="310"/>
      <c r="BU425" s="308">
        <f t="shared" si="357"/>
        <v>0</v>
      </c>
      <c r="BV425" s="310">
        <v>150</v>
      </c>
      <c r="BW425" s="311">
        <f t="shared" si="358"/>
        <v>0.05</v>
      </c>
      <c r="BX425" s="310">
        <v>150</v>
      </c>
      <c r="BY425" s="311">
        <f t="shared" si="359"/>
        <v>0.05</v>
      </c>
      <c r="BZ425" s="310">
        <v>1492</v>
      </c>
      <c r="CA425" s="311">
        <f t="shared" si="360"/>
        <v>0.49733333333333335</v>
      </c>
      <c r="CB425" s="310">
        <v>1492</v>
      </c>
      <c r="CC425" s="311">
        <f t="shared" si="361"/>
        <v>0.49733333333333335</v>
      </c>
      <c r="CD425" s="310">
        <v>1660</v>
      </c>
      <c r="CE425" s="311">
        <f t="shared" si="341"/>
        <v>0.55333333333333334</v>
      </c>
      <c r="CF425" s="310">
        <v>2292</v>
      </c>
      <c r="CG425" s="311">
        <f t="shared" si="362"/>
        <v>0.76400000000000001</v>
      </c>
      <c r="CH425" s="310">
        <v>2364</v>
      </c>
      <c r="CI425" s="311">
        <f t="shared" si="342"/>
        <v>0.78800000000000003</v>
      </c>
      <c r="CJ425" s="310">
        <v>2711</v>
      </c>
      <c r="CK425" s="311">
        <f t="shared" si="363"/>
        <v>0.90366666666666662</v>
      </c>
      <c r="CL425" s="310">
        <v>2850</v>
      </c>
      <c r="CM425" s="311">
        <f t="shared" si="364"/>
        <v>0.95</v>
      </c>
      <c r="CN425" s="310">
        <v>2850</v>
      </c>
      <c r="CO425" s="311">
        <f t="shared" si="365"/>
        <v>0.95</v>
      </c>
      <c r="CP425" s="213" t="str">
        <f t="shared" si="370"/>
        <v>Đạt</v>
      </c>
      <c r="CQ425" s="213" t="str">
        <f t="shared" si="371"/>
        <v>Đạt</v>
      </c>
      <c r="CR425" s="312"/>
      <c r="CS425" s="312"/>
      <c r="CT425" s="235"/>
      <c r="CU425" s="163"/>
      <c r="CV425" s="323"/>
      <c r="CW425" s="195"/>
      <c r="CX425" s="196"/>
      <c r="CY425" s="196"/>
      <c r="CZ425" s="197"/>
      <c r="DA425" s="196"/>
      <c r="DB425" s="196"/>
      <c r="DC425" s="196"/>
      <c r="DE425" s="199"/>
      <c r="DF425" s="200"/>
      <c r="DG425" s="181"/>
    </row>
    <row r="426" spans="1:111" ht="45.75" hidden="1" customHeight="1" outlineLevel="1" x14ac:dyDescent="0.25">
      <c r="A426" s="305" t="s">
        <v>34</v>
      </c>
      <c r="B426" s="306" t="s">
        <v>377</v>
      </c>
      <c r="C426" s="306"/>
      <c r="D426" s="307">
        <f>E426+F426</f>
        <v>17</v>
      </c>
      <c r="E426" s="307"/>
      <c r="F426" s="307">
        <f>G426+H426+K426+M426</f>
        <v>17</v>
      </c>
      <c r="G426" s="307"/>
      <c r="H426" s="307">
        <v>17</v>
      </c>
      <c r="I426" s="235"/>
      <c r="J426" s="235"/>
      <c r="K426" s="303"/>
      <c r="L426" s="235"/>
      <c r="M426" s="223"/>
      <c r="N426" s="223"/>
      <c r="O426" s="303"/>
      <c r="P426" s="303">
        <v>0</v>
      </c>
      <c r="Q426" s="308">
        <f t="shared" si="367"/>
        <v>0</v>
      </c>
      <c r="R426" s="303"/>
      <c r="S426" s="313">
        <v>0</v>
      </c>
      <c r="T426" s="313">
        <v>0</v>
      </c>
      <c r="U426" s="303"/>
      <c r="V426" s="313">
        <v>0</v>
      </c>
      <c r="W426" s="313">
        <v>0</v>
      </c>
      <c r="X426" s="303"/>
      <c r="Y426" s="313">
        <v>0</v>
      </c>
      <c r="Z426" s="313">
        <v>0</v>
      </c>
      <c r="AA426" s="303"/>
      <c r="AB426" s="313">
        <v>0</v>
      </c>
      <c r="AC426" s="313">
        <v>0</v>
      </c>
      <c r="AD426" s="303"/>
      <c r="AE426" s="313">
        <v>0</v>
      </c>
      <c r="AF426" s="313">
        <v>0</v>
      </c>
      <c r="AG426" s="303"/>
      <c r="AH426" s="313">
        <v>0</v>
      </c>
      <c r="AI426" s="313">
        <v>0</v>
      </c>
      <c r="AJ426" s="188"/>
      <c r="AK426" s="313">
        <v>0</v>
      </c>
      <c r="AL426" s="313">
        <v>0</v>
      </c>
      <c r="AM426" s="303"/>
      <c r="AN426" s="313">
        <v>0</v>
      </c>
      <c r="AO426" s="313">
        <v>0</v>
      </c>
      <c r="AP426" s="313"/>
      <c r="AQ426" s="303"/>
      <c r="AR426" s="313">
        <v>0</v>
      </c>
      <c r="AS426" s="313">
        <v>0</v>
      </c>
      <c r="AT426" s="303"/>
      <c r="AU426" s="313">
        <v>0</v>
      </c>
      <c r="AV426" s="313">
        <v>0</v>
      </c>
      <c r="AW426" s="313"/>
      <c r="AX426" s="313"/>
      <c r="AY426" s="313"/>
      <c r="AZ426" s="313"/>
      <c r="BA426" s="313"/>
      <c r="BB426" s="313"/>
      <c r="BC426" s="303"/>
      <c r="BD426" s="313">
        <v>0</v>
      </c>
      <c r="BE426" s="313">
        <v>0</v>
      </c>
      <c r="BF426" s="303"/>
      <c r="BG426" s="303"/>
      <c r="BH426" s="313">
        <v>0</v>
      </c>
      <c r="BI426" s="313">
        <v>0</v>
      </c>
      <c r="BJ426" s="303">
        <f t="shared" si="368"/>
        <v>16.149999999999999</v>
      </c>
      <c r="BK426" s="303"/>
      <c r="BL426" s="313">
        <f t="shared" si="354"/>
        <v>0</v>
      </c>
      <c r="BM426" s="313">
        <f t="shared" si="369"/>
        <v>0</v>
      </c>
      <c r="BN426" s="205">
        <f t="shared" si="352"/>
        <v>0</v>
      </c>
      <c r="BO426" s="205"/>
      <c r="BP426" s="310"/>
      <c r="BQ426" s="311">
        <f t="shared" si="355"/>
        <v>0</v>
      </c>
      <c r="BR426" s="310"/>
      <c r="BS426" s="311">
        <f t="shared" si="356"/>
        <v>0</v>
      </c>
      <c r="BT426" s="310"/>
      <c r="BU426" s="308">
        <f t="shared" si="357"/>
        <v>0</v>
      </c>
      <c r="BV426" s="310"/>
      <c r="BW426" s="311">
        <f t="shared" si="358"/>
        <v>0</v>
      </c>
      <c r="BX426" s="310"/>
      <c r="BY426" s="311">
        <f t="shared" si="359"/>
        <v>0</v>
      </c>
      <c r="BZ426" s="310">
        <v>8</v>
      </c>
      <c r="CA426" s="311">
        <f t="shared" si="360"/>
        <v>0.47058823529411764</v>
      </c>
      <c r="CB426" s="310">
        <v>8</v>
      </c>
      <c r="CC426" s="311">
        <f t="shared" si="361"/>
        <v>0.47058823529411764</v>
      </c>
      <c r="CD426" s="310">
        <v>8</v>
      </c>
      <c r="CE426" s="311">
        <f t="shared" si="341"/>
        <v>0.47058823529411764</v>
      </c>
      <c r="CF426" s="310">
        <v>8</v>
      </c>
      <c r="CG426" s="311">
        <f t="shared" si="362"/>
        <v>0.47058823529411764</v>
      </c>
      <c r="CH426" s="310">
        <v>8</v>
      </c>
      <c r="CI426" s="311">
        <f t="shared" si="342"/>
        <v>0.47058823529411764</v>
      </c>
      <c r="CJ426" s="310">
        <v>12</v>
      </c>
      <c r="CK426" s="311">
        <f t="shared" si="363"/>
        <v>0.70588235294117652</v>
      </c>
      <c r="CL426" s="310">
        <f>17*0.95</f>
        <v>16.149999999999999</v>
      </c>
      <c r="CM426" s="311">
        <f t="shared" si="364"/>
        <v>0.95</v>
      </c>
      <c r="CN426" s="310">
        <v>16.149999999999999</v>
      </c>
      <c r="CO426" s="311">
        <f t="shared" si="365"/>
        <v>0.95</v>
      </c>
      <c r="CP426" s="213" t="str">
        <f t="shared" si="370"/>
        <v>Không đạt</v>
      </c>
      <c r="CQ426" s="213" t="str">
        <f t="shared" si="371"/>
        <v>Không đạt</v>
      </c>
      <c r="CR426" s="312"/>
      <c r="CS426" s="312"/>
      <c r="CT426" s="235"/>
      <c r="CU426" s="163"/>
      <c r="CW426" s="195"/>
      <c r="CX426" s="196"/>
      <c r="CY426" s="196"/>
      <c r="CZ426" s="197"/>
      <c r="DA426" s="196"/>
      <c r="DB426" s="196"/>
      <c r="DC426" s="196"/>
      <c r="DE426" s="199"/>
      <c r="DF426" s="200"/>
      <c r="DG426" s="181"/>
    </row>
    <row r="427" spans="1:111" ht="18" customHeight="1" collapsed="1" x14ac:dyDescent="0.25">
      <c r="A427" s="348">
        <f>MAX(A$239:A425)+1</f>
        <v>57</v>
      </c>
      <c r="B427" s="240" t="s">
        <v>450</v>
      </c>
      <c r="C427" s="240"/>
      <c r="D427" s="188">
        <f t="shared" ref="D427:I427" si="383">D428</f>
        <v>3000</v>
      </c>
      <c r="E427" s="188">
        <f t="shared" si="383"/>
        <v>0</v>
      </c>
      <c r="F427" s="188">
        <f t="shared" si="383"/>
        <v>3000</v>
      </c>
      <c r="G427" s="188">
        <f t="shared" si="383"/>
        <v>3000</v>
      </c>
      <c r="H427" s="188">
        <f t="shared" si="383"/>
        <v>0</v>
      </c>
      <c r="I427" s="188">
        <f t="shared" si="383"/>
        <v>0</v>
      </c>
      <c r="J427" s="188"/>
      <c r="K427" s="188">
        <f>K428</f>
        <v>0</v>
      </c>
      <c r="L427" s="188">
        <f>L428</f>
        <v>0</v>
      </c>
      <c r="M427" s="231"/>
      <c r="N427" s="231"/>
      <c r="O427" s="188">
        <f t="shared" si="382"/>
        <v>3000</v>
      </c>
      <c r="P427" s="188">
        <v>0</v>
      </c>
      <c r="Q427" s="186">
        <f t="shared" si="367"/>
        <v>0</v>
      </c>
      <c r="R427" s="188">
        <v>0</v>
      </c>
      <c r="S427" s="185">
        <v>0</v>
      </c>
      <c r="T427" s="185">
        <v>0</v>
      </c>
      <c r="U427" s="188">
        <v>0</v>
      </c>
      <c r="V427" s="185">
        <v>0</v>
      </c>
      <c r="W427" s="185">
        <v>0</v>
      </c>
      <c r="X427" s="188">
        <v>0</v>
      </c>
      <c r="Y427" s="185">
        <v>0</v>
      </c>
      <c r="Z427" s="185">
        <v>0</v>
      </c>
      <c r="AA427" s="188">
        <v>0</v>
      </c>
      <c r="AB427" s="185">
        <v>0</v>
      </c>
      <c r="AC427" s="185">
        <v>0</v>
      </c>
      <c r="AD427" s="188">
        <v>0</v>
      </c>
      <c r="AE427" s="185">
        <v>0</v>
      </c>
      <c r="AF427" s="185">
        <v>0</v>
      </c>
      <c r="AG427" s="188">
        <v>0</v>
      </c>
      <c r="AH427" s="185">
        <v>0</v>
      </c>
      <c r="AI427" s="185">
        <v>0</v>
      </c>
      <c r="AJ427" s="303">
        <v>0</v>
      </c>
      <c r="AK427" s="185">
        <v>0</v>
      </c>
      <c r="AL427" s="185">
        <v>0</v>
      </c>
      <c r="AM427" s="188">
        <v>987</v>
      </c>
      <c r="AN427" s="185">
        <v>0.32900000000000001</v>
      </c>
      <c r="AO427" s="185">
        <v>0.34631578947368419</v>
      </c>
      <c r="AP427" s="185"/>
      <c r="AQ427" s="188">
        <v>1324</v>
      </c>
      <c r="AR427" s="185">
        <v>0.44133333333333336</v>
      </c>
      <c r="AS427" s="185">
        <v>0.46456140350877195</v>
      </c>
      <c r="AT427" s="188">
        <v>1324</v>
      </c>
      <c r="AU427" s="185">
        <v>0.44133333333333336</v>
      </c>
      <c r="AV427" s="185">
        <v>0.46456140350877195</v>
      </c>
      <c r="AW427" s="185"/>
      <c r="AX427" s="185"/>
      <c r="AY427" s="185"/>
      <c r="AZ427" s="185"/>
      <c r="BA427" s="185"/>
      <c r="BB427" s="185"/>
      <c r="BC427" s="188">
        <v>1324</v>
      </c>
      <c r="BD427" s="185">
        <v>0.44133333333333336</v>
      </c>
      <c r="BE427" s="185">
        <v>0.46456140350877195</v>
      </c>
      <c r="BF427" s="188"/>
      <c r="BG427" s="188">
        <v>1969.8820000000001</v>
      </c>
      <c r="BH427" s="185">
        <v>0.65662733333333334</v>
      </c>
      <c r="BI427" s="185">
        <v>0.69118666666666673</v>
      </c>
      <c r="BJ427" s="188">
        <f t="shared" si="368"/>
        <v>2850</v>
      </c>
      <c r="BK427" s="188">
        <v>2104</v>
      </c>
      <c r="BL427" s="185">
        <f t="shared" si="354"/>
        <v>0.70133333333333336</v>
      </c>
      <c r="BM427" s="185">
        <f t="shared" si="369"/>
        <v>0.7382456140350877</v>
      </c>
      <c r="BN427" s="205">
        <f t="shared" si="352"/>
        <v>2104</v>
      </c>
      <c r="BO427" s="205"/>
      <c r="BP427" s="189">
        <f>BP428</f>
        <v>0</v>
      </c>
      <c r="BQ427" s="186">
        <f t="shared" si="355"/>
        <v>0</v>
      </c>
      <c r="BR427" s="189">
        <f>BR428</f>
        <v>0</v>
      </c>
      <c r="BS427" s="186">
        <f t="shared" si="356"/>
        <v>0</v>
      </c>
      <c r="BT427" s="189">
        <f>BT428</f>
        <v>0</v>
      </c>
      <c r="BU427" s="186">
        <f t="shared" si="357"/>
        <v>0</v>
      </c>
      <c r="BV427" s="189">
        <f>BV428</f>
        <v>150</v>
      </c>
      <c r="BW427" s="186">
        <f t="shared" si="358"/>
        <v>0.05</v>
      </c>
      <c r="BX427" s="189">
        <f>BX428</f>
        <v>150</v>
      </c>
      <c r="BY427" s="186">
        <f t="shared" si="359"/>
        <v>0.05</v>
      </c>
      <c r="BZ427" s="189">
        <f>BZ428</f>
        <v>1500</v>
      </c>
      <c r="CA427" s="186">
        <f t="shared" si="360"/>
        <v>0.5</v>
      </c>
      <c r="CB427" s="189">
        <f>CB428</f>
        <v>1770</v>
      </c>
      <c r="CC427" s="186">
        <f t="shared" si="361"/>
        <v>0.59</v>
      </c>
      <c r="CD427" s="189">
        <f>CD428</f>
        <v>2040</v>
      </c>
      <c r="CE427" s="186">
        <f t="shared" si="341"/>
        <v>0.68</v>
      </c>
      <c r="CF427" s="189">
        <f>CF428</f>
        <v>2310</v>
      </c>
      <c r="CG427" s="186">
        <f t="shared" si="362"/>
        <v>0.77</v>
      </c>
      <c r="CH427" s="189">
        <f>CH428</f>
        <v>2540</v>
      </c>
      <c r="CI427" s="186">
        <f t="shared" si="342"/>
        <v>0.84666666666666668</v>
      </c>
      <c r="CJ427" s="189">
        <f>CJ428</f>
        <v>2640</v>
      </c>
      <c r="CK427" s="186">
        <f t="shared" si="363"/>
        <v>0.88</v>
      </c>
      <c r="CL427" s="189">
        <f>CL428</f>
        <v>2770</v>
      </c>
      <c r="CM427" s="186">
        <f t="shared" si="364"/>
        <v>0.92333333333333334</v>
      </c>
      <c r="CN427" s="189">
        <f>CN428</f>
        <v>2850</v>
      </c>
      <c r="CO427" s="186">
        <f t="shared" si="365"/>
        <v>0.95</v>
      </c>
      <c r="CP427" s="213" t="str">
        <f t="shared" si="370"/>
        <v>Đạt</v>
      </c>
      <c r="CQ427" s="213" t="str">
        <f t="shared" si="371"/>
        <v>Đạt</v>
      </c>
      <c r="CR427" s="213"/>
      <c r="CS427" s="213"/>
      <c r="CT427" s="231"/>
      <c r="CU427" s="163"/>
      <c r="CW427" s="195"/>
      <c r="CX427" s="196"/>
      <c r="CY427" s="196"/>
      <c r="CZ427" s="197"/>
      <c r="DA427" s="196"/>
      <c r="DB427" s="196"/>
      <c r="DC427" s="196"/>
      <c r="DE427" s="199"/>
      <c r="DF427" s="200"/>
      <c r="DG427" s="181"/>
    </row>
    <row r="428" spans="1:111" s="324" customFormat="1" hidden="1" outlineLevel="1" x14ac:dyDescent="0.25">
      <c r="A428" s="305" t="s">
        <v>34</v>
      </c>
      <c r="B428" s="306" t="s">
        <v>376</v>
      </c>
      <c r="C428" s="306"/>
      <c r="D428" s="307">
        <f>E428+F428</f>
        <v>3000</v>
      </c>
      <c r="E428" s="307"/>
      <c r="F428" s="307">
        <f>G428+H428+K428+M428</f>
        <v>3000</v>
      </c>
      <c r="G428" s="303">
        <v>3000</v>
      </c>
      <c r="H428" s="303"/>
      <c r="I428" s="235"/>
      <c r="J428" s="235"/>
      <c r="K428" s="303"/>
      <c r="L428" s="235"/>
      <c r="M428" s="223"/>
      <c r="N428" s="223"/>
      <c r="O428" s="303">
        <f t="shared" si="382"/>
        <v>3000</v>
      </c>
      <c r="P428" s="303">
        <v>0</v>
      </c>
      <c r="Q428" s="308">
        <f t="shared" si="367"/>
        <v>0</v>
      </c>
      <c r="R428" s="303"/>
      <c r="S428" s="313">
        <v>0</v>
      </c>
      <c r="T428" s="313">
        <v>0</v>
      </c>
      <c r="U428" s="303"/>
      <c r="V428" s="313">
        <v>0</v>
      </c>
      <c r="W428" s="313">
        <v>0</v>
      </c>
      <c r="X428" s="303"/>
      <c r="Y428" s="313">
        <v>0</v>
      </c>
      <c r="Z428" s="313">
        <v>0</v>
      </c>
      <c r="AA428" s="303"/>
      <c r="AB428" s="313">
        <v>0</v>
      </c>
      <c r="AC428" s="313">
        <v>0</v>
      </c>
      <c r="AD428" s="303"/>
      <c r="AE428" s="313">
        <v>0</v>
      </c>
      <c r="AF428" s="313">
        <v>0</v>
      </c>
      <c r="AG428" s="303"/>
      <c r="AH428" s="313">
        <v>0</v>
      </c>
      <c r="AI428" s="313">
        <v>0</v>
      </c>
      <c r="AJ428" s="188"/>
      <c r="AK428" s="313">
        <v>0</v>
      </c>
      <c r="AL428" s="313">
        <v>0</v>
      </c>
      <c r="AM428" s="303">
        <v>987</v>
      </c>
      <c r="AN428" s="313">
        <v>0.32900000000000001</v>
      </c>
      <c r="AO428" s="313">
        <v>0.34631578947368419</v>
      </c>
      <c r="AP428" s="313"/>
      <c r="AQ428" s="303">
        <v>1324</v>
      </c>
      <c r="AR428" s="313">
        <v>0.44133333333333336</v>
      </c>
      <c r="AS428" s="313">
        <v>0.46456140350877195</v>
      </c>
      <c r="AT428" s="303">
        <v>1324</v>
      </c>
      <c r="AU428" s="313">
        <v>0.44133333333333336</v>
      </c>
      <c r="AV428" s="313">
        <v>0.46456140350877195</v>
      </c>
      <c r="AW428" s="313"/>
      <c r="AX428" s="313"/>
      <c r="AY428" s="313"/>
      <c r="AZ428" s="313"/>
      <c r="BA428" s="313"/>
      <c r="BB428" s="313"/>
      <c r="BC428" s="303">
        <v>1324</v>
      </c>
      <c r="BD428" s="313">
        <v>0.44133333333333336</v>
      </c>
      <c r="BE428" s="313">
        <v>0.46456140350877195</v>
      </c>
      <c r="BF428" s="303"/>
      <c r="BG428" s="303">
        <v>1969.8820000000001</v>
      </c>
      <c r="BH428" s="313">
        <v>0.65662733333333334</v>
      </c>
      <c r="BI428" s="313">
        <v>0.69118666666666673</v>
      </c>
      <c r="BJ428" s="303">
        <f t="shared" si="368"/>
        <v>2850</v>
      </c>
      <c r="BK428" s="303">
        <v>1969.8820000000001</v>
      </c>
      <c r="BL428" s="313">
        <f t="shared" si="354"/>
        <v>0.65662733333333334</v>
      </c>
      <c r="BM428" s="313">
        <f t="shared" si="369"/>
        <v>0.69118666666666673</v>
      </c>
      <c r="BN428" s="205">
        <f t="shared" si="352"/>
        <v>1969.8820000000001</v>
      </c>
      <c r="BO428" s="205"/>
      <c r="BP428" s="310"/>
      <c r="BQ428" s="311">
        <f t="shared" si="355"/>
        <v>0</v>
      </c>
      <c r="BR428" s="310"/>
      <c r="BS428" s="311">
        <f t="shared" si="356"/>
        <v>0</v>
      </c>
      <c r="BT428" s="310"/>
      <c r="BU428" s="308">
        <f t="shared" si="357"/>
        <v>0</v>
      </c>
      <c r="BV428" s="310">
        <v>150</v>
      </c>
      <c r="BW428" s="311">
        <f t="shared" si="358"/>
        <v>0.05</v>
      </c>
      <c r="BX428" s="310">
        <v>150</v>
      </c>
      <c r="BY428" s="311">
        <f t="shared" si="359"/>
        <v>0.05</v>
      </c>
      <c r="BZ428" s="310">
        <v>1500</v>
      </c>
      <c r="CA428" s="311">
        <f t="shared" si="360"/>
        <v>0.5</v>
      </c>
      <c r="CB428" s="310">
        <v>1770</v>
      </c>
      <c r="CC428" s="311">
        <f t="shared" si="361"/>
        <v>0.59</v>
      </c>
      <c r="CD428" s="310">
        <v>2040</v>
      </c>
      <c r="CE428" s="311">
        <f t="shared" si="341"/>
        <v>0.68</v>
      </c>
      <c r="CF428" s="310">
        <v>2310</v>
      </c>
      <c r="CG428" s="311">
        <f t="shared" si="362"/>
        <v>0.77</v>
      </c>
      <c r="CH428" s="310">
        <v>2540</v>
      </c>
      <c r="CI428" s="311">
        <f t="shared" si="342"/>
        <v>0.84666666666666668</v>
      </c>
      <c r="CJ428" s="310">
        <v>2640</v>
      </c>
      <c r="CK428" s="311">
        <f t="shared" si="363"/>
        <v>0.88</v>
      </c>
      <c r="CL428" s="310">
        <v>2770</v>
      </c>
      <c r="CM428" s="311">
        <f t="shared" si="364"/>
        <v>0.92333333333333334</v>
      </c>
      <c r="CN428" s="310">
        <v>2850</v>
      </c>
      <c r="CO428" s="311">
        <f t="shared" si="365"/>
        <v>0.95</v>
      </c>
      <c r="CP428" s="213" t="str">
        <f t="shared" si="370"/>
        <v>Đạt</v>
      </c>
      <c r="CQ428" s="213" t="str">
        <f t="shared" si="371"/>
        <v>Đạt</v>
      </c>
      <c r="CR428" s="312"/>
      <c r="CS428" s="312"/>
      <c r="CT428" s="235"/>
      <c r="CU428" s="163"/>
      <c r="CV428" s="323"/>
      <c r="CW428" s="195"/>
      <c r="CX428" s="196"/>
      <c r="CY428" s="196"/>
      <c r="CZ428" s="197"/>
      <c r="DA428" s="196"/>
      <c r="DB428" s="196"/>
      <c r="DC428" s="196"/>
      <c r="DE428" s="199"/>
      <c r="DF428" s="200"/>
      <c r="DG428" s="181"/>
    </row>
    <row r="429" spans="1:111" ht="18" customHeight="1" collapsed="1" x14ac:dyDescent="0.25">
      <c r="A429" s="213">
        <f>MAX(A$239:A428)+1</f>
        <v>58</v>
      </c>
      <c r="B429" s="240" t="s">
        <v>451</v>
      </c>
      <c r="C429" s="240"/>
      <c r="D429" s="188">
        <f>D431+D433+D434+D430</f>
        <v>14948.663</v>
      </c>
      <c r="E429" s="188">
        <f t="shared" ref="E429:BC429" si="384">E431+E433+E434+E430</f>
        <v>0</v>
      </c>
      <c r="F429" s="188">
        <f t="shared" si="384"/>
        <v>14948.663</v>
      </c>
      <c r="G429" s="188">
        <f t="shared" si="384"/>
        <v>3573.663</v>
      </c>
      <c r="H429" s="188">
        <f t="shared" si="384"/>
        <v>11375</v>
      </c>
      <c r="I429" s="188">
        <f t="shared" si="384"/>
        <v>0</v>
      </c>
      <c r="J429" s="188">
        <f t="shared" si="384"/>
        <v>0</v>
      </c>
      <c r="K429" s="188">
        <f t="shared" si="384"/>
        <v>0</v>
      </c>
      <c r="L429" s="188">
        <f t="shared" si="384"/>
        <v>0</v>
      </c>
      <c r="M429" s="188">
        <f t="shared" si="384"/>
        <v>0</v>
      </c>
      <c r="N429" s="188">
        <f t="shared" si="384"/>
        <v>0</v>
      </c>
      <c r="O429" s="188">
        <f t="shared" si="384"/>
        <v>3000</v>
      </c>
      <c r="P429" s="188">
        <f t="shared" si="384"/>
        <v>0</v>
      </c>
      <c r="Q429" s="188">
        <f t="shared" si="384"/>
        <v>0</v>
      </c>
      <c r="R429" s="188">
        <f t="shared" si="384"/>
        <v>0</v>
      </c>
      <c r="S429" s="188">
        <f t="shared" si="384"/>
        <v>0</v>
      </c>
      <c r="T429" s="188">
        <f t="shared" si="384"/>
        <v>0</v>
      </c>
      <c r="U429" s="188">
        <f t="shared" si="384"/>
        <v>0</v>
      </c>
      <c r="V429" s="188">
        <f t="shared" si="384"/>
        <v>0</v>
      </c>
      <c r="W429" s="188">
        <f t="shared" si="384"/>
        <v>0</v>
      </c>
      <c r="X429" s="188">
        <f t="shared" si="384"/>
        <v>0</v>
      </c>
      <c r="Y429" s="188">
        <f t="shared" si="384"/>
        <v>0</v>
      </c>
      <c r="Z429" s="188">
        <f t="shared" si="384"/>
        <v>0</v>
      </c>
      <c r="AA429" s="188">
        <f t="shared" si="384"/>
        <v>0</v>
      </c>
      <c r="AB429" s="188">
        <f t="shared" si="384"/>
        <v>0</v>
      </c>
      <c r="AC429" s="188">
        <f t="shared" si="384"/>
        <v>0</v>
      </c>
      <c r="AD429" s="188">
        <f t="shared" si="384"/>
        <v>3176</v>
      </c>
      <c r="AE429" s="188">
        <f t="shared" si="384"/>
        <v>0.31759999999999999</v>
      </c>
      <c r="AF429" s="188">
        <f t="shared" si="384"/>
        <v>0.33431578947368423</v>
      </c>
      <c r="AG429" s="188">
        <f t="shared" si="384"/>
        <v>3176</v>
      </c>
      <c r="AH429" s="188">
        <f t="shared" si="384"/>
        <v>0.31759999999999999</v>
      </c>
      <c r="AI429" s="188">
        <f t="shared" si="384"/>
        <v>0.33431578947368423</v>
      </c>
      <c r="AJ429" s="188">
        <f t="shared" si="384"/>
        <v>3176</v>
      </c>
      <c r="AK429" s="188">
        <f t="shared" si="384"/>
        <v>0.31759999999999999</v>
      </c>
      <c r="AL429" s="188">
        <f t="shared" si="384"/>
        <v>0.33431578947368423</v>
      </c>
      <c r="AM429" s="188">
        <f t="shared" si="384"/>
        <v>3176</v>
      </c>
      <c r="AN429" s="188">
        <f t="shared" si="384"/>
        <v>0.31759999999999999</v>
      </c>
      <c r="AO429" s="188">
        <f t="shared" si="384"/>
        <v>0.33431578947368423</v>
      </c>
      <c r="AP429" s="188">
        <f t="shared" si="384"/>
        <v>0</v>
      </c>
      <c r="AQ429" s="188">
        <f t="shared" si="384"/>
        <v>2430</v>
      </c>
      <c r="AR429" s="188">
        <f t="shared" si="384"/>
        <v>0.81</v>
      </c>
      <c r="AS429" s="188">
        <f t="shared" si="384"/>
        <v>0.85263157894736841</v>
      </c>
      <c r="AT429" s="188">
        <f t="shared" si="384"/>
        <v>2430</v>
      </c>
      <c r="AU429" s="188">
        <f t="shared" si="384"/>
        <v>0.81</v>
      </c>
      <c r="AV429" s="188">
        <f t="shared" si="384"/>
        <v>0.85263157894736841</v>
      </c>
      <c r="AW429" s="188">
        <f t="shared" si="384"/>
        <v>0</v>
      </c>
      <c r="AX429" s="188">
        <f t="shared" si="384"/>
        <v>0</v>
      </c>
      <c r="AY429" s="188">
        <f t="shared" si="384"/>
        <v>0</v>
      </c>
      <c r="AZ429" s="188">
        <f t="shared" si="384"/>
        <v>0</v>
      </c>
      <c r="BA429" s="188">
        <f t="shared" si="384"/>
        <v>0</v>
      </c>
      <c r="BB429" s="188">
        <f t="shared" si="384"/>
        <v>0</v>
      </c>
      <c r="BC429" s="188">
        <f t="shared" si="384"/>
        <v>2430</v>
      </c>
      <c r="BD429" s="185">
        <v>0.16904347826086957</v>
      </c>
      <c r="BE429" s="185">
        <v>0.17794050343249429</v>
      </c>
      <c r="BF429" s="188"/>
      <c r="BG429" s="188">
        <v>3730.663</v>
      </c>
      <c r="BH429" s="185">
        <v>0.24956499454165232</v>
      </c>
      <c r="BI429" s="185">
        <v>0.26269999425437085</v>
      </c>
      <c r="BJ429" s="188">
        <f t="shared" si="368"/>
        <v>14201.22985</v>
      </c>
      <c r="BK429" s="188">
        <v>4335</v>
      </c>
      <c r="BL429" s="185">
        <f t="shared" si="354"/>
        <v>0.2899924896293401</v>
      </c>
      <c r="BM429" s="185">
        <f t="shared" si="369"/>
        <v>0.30525525224141065</v>
      </c>
      <c r="BN429" s="205">
        <f t="shared" si="352"/>
        <v>1159</v>
      </c>
      <c r="BO429" s="205"/>
      <c r="BP429" s="189">
        <f>BP431+BP433+BP434</f>
        <v>0</v>
      </c>
      <c r="BQ429" s="186">
        <f t="shared" si="355"/>
        <v>0</v>
      </c>
      <c r="BR429" s="189">
        <f>BR431+BR433+BR434</f>
        <v>0</v>
      </c>
      <c r="BS429" s="186">
        <f t="shared" si="356"/>
        <v>0</v>
      </c>
      <c r="BT429" s="189">
        <f>BT431+BT433+BT434</f>
        <v>500</v>
      </c>
      <c r="BU429" s="186">
        <f t="shared" si="357"/>
        <v>3.3447807339024228E-2</v>
      </c>
      <c r="BV429" s="189">
        <f>BV431+BV433+BV434</f>
        <v>1875</v>
      </c>
      <c r="BW429" s="186">
        <f t="shared" si="358"/>
        <v>0.12542927752134087</v>
      </c>
      <c r="BX429" s="189">
        <f>BX431+BX433+BX434</f>
        <v>3000</v>
      </c>
      <c r="BY429" s="186">
        <f t="shared" si="359"/>
        <v>0.20068684403414538</v>
      </c>
      <c r="BZ429" s="189">
        <f>BZ431+BZ433+BZ434</f>
        <v>4000</v>
      </c>
      <c r="CA429" s="186">
        <f t="shared" si="360"/>
        <v>0.26758245871219383</v>
      </c>
      <c r="CB429" s="189">
        <f>CB431+CB433+CB434</f>
        <v>5000</v>
      </c>
      <c r="CC429" s="186">
        <f t="shared" si="361"/>
        <v>0.33447807339024233</v>
      </c>
      <c r="CD429" s="189">
        <f>CD431+CD433+CD434</f>
        <v>5500</v>
      </c>
      <c r="CE429" s="186">
        <f t="shared" ref="CE429:CF453" si="385">CD429/$D429</f>
        <v>0.36792588072926652</v>
      </c>
      <c r="CF429" s="189">
        <f>CF431+CF433+CF434</f>
        <v>8500</v>
      </c>
      <c r="CG429" s="186">
        <f t="shared" si="362"/>
        <v>0.56861272476341196</v>
      </c>
      <c r="CH429" s="189">
        <f>CH431+CH433+CH434</f>
        <v>9000</v>
      </c>
      <c r="CI429" s="186">
        <f t="shared" ref="CI429:CJ453" si="386">CH429/$D429</f>
        <v>0.60206053210243615</v>
      </c>
      <c r="CJ429" s="189">
        <f>CJ431+CJ433+CJ434</f>
        <v>11000</v>
      </c>
      <c r="CK429" s="186">
        <f t="shared" si="363"/>
        <v>0.73585176145853304</v>
      </c>
      <c r="CL429" s="189">
        <f>CL431+CL433+CL434</f>
        <v>13656</v>
      </c>
      <c r="CM429" s="186">
        <f t="shared" si="364"/>
        <v>0.91352651404342977</v>
      </c>
      <c r="CN429" s="189">
        <f>CN431+CN433+CN434</f>
        <v>13656</v>
      </c>
      <c r="CO429" s="186">
        <f t="shared" si="365"/>
        <v>0.91352651404342977</v>
      </c>
      <c r="CP429" s="213" t="str">
        <f t="shared" si="370"/>
        <v>Không đạt</v>
      </c>
      <c r="CQ429" s="213" t="str">
        <f t="shared" si="371"/>
        <v>Không đạt</v>
      </c>
      <c r="CR429" s="213"/>
      <c r="CS429" s="213"/>
      <c r="CT429" s="231"/>
      <c r="CU429" s="163"/>
      <c r="CW429" s="195"/>
      <c r="CX429" s="196"/>
      <c r="CY429" s="196"/>
      <c r="CZ429" s="197"/>
      <c r="DA429" s="196"/>
      <c r="DB429" s="196"/>
      <c r="DC429" s="196"/>
      <c r="DE429" s="199"/>
      <c r="DF429" s="200"/>
      <c r="DG429" s="181"/>
    </row>
    <row r="430" spans="1:111" s="255" customFormat="1" hidden="1" outlineLevel="1" x14ac:dyDescent="0.25">
      <c r="A430" s="191" t="s">
        <v>34</v>
      </c>
      <c r="B430" s="210" t="s">
        <v>154</v>
      </c>
      <c r="C430" s="210"/>
      <c r="D430" s="188">
        <f>E430+F430</f>
        <v>573.66300000000001</v>
      </c>
      <c r="E430" s="189"/>
      <c r="F430" s="188">
        <f>G430+H430+K430+M430</f>
        <v>573.66300000000001</v>
      </c>
      <c r="G430" s="189">
        <v>573.66300000000001</v>
      </c>
      <c r="H430" s="189"/>
      <c r="I430" s="188"/>
      <c r="J430" s="188"/>
      <c r="K430" s="189"/>
      <c r="L430" s="188"/>
      <c r="M430" s="231"/>
      <c r="N430" s="231"/>
      <c r="O430" s="188"/>
      <c r="P430" s="188"/>
      <c r="Q430" s="186"/>
      <c r="R430" s="189"/>
      <c r="S430" s="185"/>
      <c r="T430" s="185"/>
      <c r="U430" s="189"/>
      <c r="V430" s="185"/>
      <c r="W430" s="185"/>
      <c r="X430" s="189"/>
      <c r="Y430" s="185"/>
      <c r="Z430" s="185"/>
      <c r="AA430" s="189"/>
      <c r="AB430" s="185"/>
      <c r="AC430" s="185"/>
      <c r="AD430" s="189"/>
      <c r="AE430" s="185"/>
      <c r="AF430" s="185"/>
      <c r="AG430" s="189"/>
      <c r="AH430" s="185"/>
      <c r="AI430" s="185"/>
      <c r="AJ430" s="188"/>
      <c r="AK430" s="185"/>
      <c r="AL430" s="185"/>
      <c r="AM430" s="189"/>
      <c r="AN430" s="185"/>
      <c r="AO430" s="185"/>
      <c r="AP430" s="185"/>
      <c r="AQ430" s="189"/>
      <c r="AR430" s="185"/>
      <c r="AS430" s="185"/>
      <c r="AT430" s="189"/>
      <c r="AU430" s="185"/>
      <c r="AV430" s="185"/>
      <c r="AW430" s="185"/>
      <c r="AX430" s="185"/>
      <c r="AY430" s="185"/>
      <c r="AZ430" s="185"/>
      <c r="BA430" s="185"/>
      <c r="BB430" s="185"/>
      <c r="BC430" s="189"/>
      <c r="BD430" s="185"/>
      <c r="BE430" s="185"/>
      <c r="BF430" s="189"/>
      <c r="BG430" s="189">
        <v>573.66300000000001</v>
      </c>
      <c r="BH430" s="185">
        <v>1</v>
      </c>
      <c r="BI430" s="185">
        <v>1</v>
      </c>
      <c r="BJ430" s="189">
        <f t="shared" si="368"/>
        <v>544.97984999999994</v>
      </c>
      <c r="BK430" s="189">
        <v>573.66300000000001</v>
      </c>
      <c r="BL430" s="185">
        <f t="shared" si="354"/>
        <v>1</v>
      </c>
      <c r="BM430" s="185">
        <f>BK430/$D430</f>
        <v>1</v>
      </c>
      <c r="BN430" s="185">
        <f t="shared" ref="BN430" si="387">BM430/$D430</f>
        <v>1.7431837158749998E-3</v>
      </c>
      <c r="BO430" s="185"/>
      <c r="BP430" s="185">
        <f t="shared" ref="BP430" si="388">BN430/$D430</f>
        <v>3.0386894672917722E-6</v>
      </c>
      <c r="BQ430" s="185">
        <f t="shared" si="355"/>
        <v>5.2969939969838951E-9</v>
      </c>
      <c r="BR430" s="185">
        <f t="shared" si="355"/>
        <v>9.2336336786299543E-12</v>
      </c>
      <c r="BS430" s="185">
        <f t="shared" si="356"/>
        <v>1.6095919866942706E-14</v>
      </c>
      <c r="BT430" s="185">
        <f t="shared" si="356"/>
        <v>2.8058145404083418E-17</v>
      </c>
      <c r="BU430" s="185">
        <f t="shared" si="357"/>
        <v>4.8910502166051177E-20</v>
      </c>
      <c r="BV430" s="185">
        <f t="shared" si="357"/>
        <v>8.5259990911129315E-23</v>
      </c>
      <c r="BW430" s="185">
        <f t="shared" si="358"/>
        <v>1.4862382777193111E-25</v>
      </c>
      <c r="BX430" s="185">
        <f t="shared" si="358"/>
        <v>2.5907863636304087E-28</v>
      </c>
      <c r="BY430" s="185">
        <f t="shared" si="359"/>
        <v>4.5162166003915342E-31</v>
      </c>
      <c r="BZ430" s="185">
        <f t="shared" si="359"/>
        <v>7.8725952351668733E-34</v>
      </c>
      <c r="CA430" s="185">
        <f t="shared" si="360"/>
        <v>1.3723379815618007E-36</v>
      </c>
      <c r="CB430" s="185">
        <f t="shared" si="360"/>
        <v>2.3922372221352967E-39</v>
      </c>
      <c r="CC430" s="185">
        <f t="shared" si="361"/>
        <v>4.1701089701362935E-42</v>
      </c>
      <c r="CD430" s="185">
        <f t="shared" si="361"/>
        <v>7.2692660501658524E-45</v>
      </c>
      <c r="CE430" s="185">
        <f t="shared" si="385"/>
        <v>1.2671666205012094E-47</v>
      </c>
      <c r="CF430" s="185">
        <f t="shared" si="385"/>
        <v>2.2089042181580639E-50</v>
      </c>
      <c r="CG430" s="185">
        <f t="shared" si="362"/>
        <v>3.8505258630207348E-53</v>
      </c>
      <c r="CH430" s="185">
        <f t="shared" si="362"/>
        <v>6.7121739819732745E-56</v>
      </c>
      <c r="CI430" s="185">
        <f t="shared" si="386"/>
        <v>1.1700552383495666E-58</v>
      </c>
      <c r="CJ430" s="185">
        <f t="shared" si="386"/>
        <v>2.039621238165206E-61</v>
      </c>
      <c r="CK430" s="185">
        <f t="shared" si="363"/>
        <v>3.5554345289223919E-64</v>
      </c>
      <c r="CL430" s="185">
        <f t="shared" si="363"/>
        <v>6.1977755736772148E-67</v>
      </c>
      <c r="CM430" s="185">
        <f t="shared" si="364"/>
        <v>1.0803861454681955E-69</v>
      </c>
      <c r="CN430" s="185">
        <f t="shared" si="364"/>
        <v>1.883311535637117E-72</v>
      </c>
      <c r="CO430" s="185">
        <f t="shared" si="365"/>
        <v>3.2829580008421615E-75</v>
      </c>
      <c r="CP430" s="213" t="str">
        <f t="shared" si="370"/>
        <v>Đạt</v>
      </c>
      <c r="CQ430" s="213" t="str">
        <f t="shared" si="371"/>
        <v>Đạt</v>
      </c>
      <c r="CR430" s="185"/>
      <c r="CS430" s="213"/>
      <c r="CT430" s="231"/>
      <c r="CU430" s="163"/>
      <c r="CV430" s="252"/>
      <c r="CW430" s="253"/>
      <c r="CX430" s="254"/>
      <c r="CY430" s="254"/>
      <c r="CZ430" s="198"/>
      <c r="DA430" s="254"/>
      <c r="DB430" s="254"/>
      <c r="DC430" s="254"/>
      <c r="DE430" s="199"/>
      <c r="DF430" s="200"/>
      <c r="DG430" s="181"/>
    </row>
    <row r="431" spans="1:111" s="324" customFormat="1" hidden="1" outlineLevel="1" x14ac:dyDescent="0.25">
      <c r="A431" s="305" t="s">
        <v>34</v>
      </c>
      <c r="B431" s="318" t="s">
        <v>381</v>
      </c>
      <c r="C431" s="306"/>
      <c r="D431" s="317">
        <f t="shared" ref="D431:I431" si="389">D432</f>
        <v>5000</v>
      </c>
      <c r="E431" s="317">
        <f t="shared" si="389"/>
        <v>0</v>
      </c>
      <c r="F431" s="317">
        <f t="shared" si="389"/>
        <v>5000</v>
      </c>
      <c r="G431" s="317">
        <f t="shared" si="389"/>
        <v>0</v>
      </c>
      <c r="H431" s="317">
        <f t="shared" si="389"/>
        <v>5000</v>
      </c>
      <c r="I431" s="214">
        <f t="shared" si="389"/>
        <v>0</v>
      </c>
      <c r="J431" s="214"/>
      <c r="K431" s="317">
        <f>K432</f>
        <v>0</v>
      </c>
      <c r="L431" s="214">
        <f>L432</f>
        <v>0</v>
      </c>
      <c r="M431" s="223"/>
      <c r="N431" s="223"/>
      <c r="O431" s="317">
        <f t="shared" si="382"/>
        <v>0</v>
      </c>
      <c r="P431" s="317">
        <v>0</v>
      </c>
      <c r="Q431" s="319">
        <f t="shared" si="367"/>
        <v>0</v>
      </c>
      <c r="R431" s="317">
        <v>0</v>
      </c>
      <c r="S431" s="187">
        <v>0</v>
      </c>
      <c r="T431" s="187">
        <v>0</v>
      </c>
      <c r="U431" s="317">
        <v>0</v>
      </c>
      <c r="V431" s="187">
        <v>0</v>
      </c>
      <c r="W431" s="187">
        <v>0</v>
      </c>
      <c r="X431" s="317">
        <v>0</v>
      </c>
      <c r="Y431" s="187">
        <v>0</v>
      </c>
      <c r="Z431" s="187">
        <v>0</v>
      </c>
      <c r="AA431" s="317">
        <v>0</v>
      </c>
      <c r="AB431" s="187">
        <v>0</v>
      </c>
      <c r="AC431" s="187">
        <v>0</v>
      </c>
      <c r="AD431" s="317">
        <v>1588</v>
      </c>
      <c r="AE431" s="187">
        <v>0.31759999999999999</v>
      </c>
      <c r="AF431" s="187">
        <v>0.33431578947368423</v>
      </c>
      <c r="AG431" s="317">
        <v>1588</v>
      </c>
      <c r="AH431" s="187">
        <v>0.31759999999999999</v>
      </c>
      <c r="AI431" s="187">
        <v>0.33431578947368423</v>
      </c>
      <c r="AJ431" s="257">
        <v>1588</v>
      </c>
      <c r="AK431" s="187">
        <v>0.31759999999999999</v>
      </c>
      <c r="AL431" s="187">
        <v>0.33431578947368423</v>
      </c>
      <c r="AM431" s="317">
        <v>1588</v>
      </c>
      <c r="AN431" s="187">
        <v>0.31759999999999999</v>
      </c>
      <c r="AO431" s="187">
        <v>0.33431578947368423</v>
      </c>
      <c r="AP431" s="187"/>
      <c r="AQ431" s="317">
        <v>0</v>
      </c>
      <c r="AR431" s="187">
        <v>0</v>
      </c>
      <c r="AS431" s="187">
        <v>0</v>
      </c>
      <c r="AT431" s="317">
        <v>0</v>
      </c>
      <c r="AU431" s="187">
        <v>0</v>
      </c>
      <c r="AV431" s="187">
        <v>0</v>
      </c>
      <c r="AW431" s="187"/>
      <c r="AX431" s="187"/>
      <c r="AY431" s="187"/>
      <c r="AZ431" s="187"/>
      <c r="BA431" s="187"/>
      <c r="BB431" s="187"/>
      <c r="BC431" s="317">
        <v>0</v>
      </c>
      <c r="BD431" s="187">
        <v>0</v>
      </c>
      <c r="BE431" s="187">
        <v>0</v>
      </c>
      <c r="BF431" s="317"/>
      <c r="BG431" s="317">
        <v>0</v>
      </c>
      <c r="BH431" s="187">
        <v>0</v>
      </c>
      <c r="BI431" s="187">
        <v>0</v>
      </c>
      <c r="BJ431" s="317">
        <f t="shared" si="368"/>
        <v>4750</v>
      </c>
      <c r="BK431" s="317">
        <f>BK432</f>
        <v>0</v>
      </c>
      <c r="BL431" s="187">
        <f t="shared" si="354"/>
        <v>0</v>
      </c>
      <c r="BM431" s="187">
        <f t="shared" si="369"/>
        <v>0</v>
      </c>
      <c r="BN431" s="205">
        <f t="shared" si="352"/>
        <v>-1588</v>
      </c>
      <c r="BO431" s="205"/>
      <c r="BP431" s="307">
        <f>BP432</f>
        <v>0</v>
      </c>
      <c r="BQ431" s="319">
        <f t="shared" si="355"/>
        <v>0</v>
      </c>
      <c r="BR431" s="307">
        <f>BR432</f>
        <v>0</v>
      </c>
      <c r="BS431" s="319">
        <f t="shared" si="356"/>
        <v>0</v>
      </c>
      <c r="BT431" s="307">
        <f>BT432</f>
        <v>500</v>
      </c>
      <c r="BU431" s="319">
        <f t="shared" si="357"/>
        <v>0.1</v>
      </c>
      <c r="BV431" s="307">
        <f>BV432</f>
        <v>1000</v>
      </c>
      <c r="BW431" s="319">
        <f t="shared" si="358"/>
        <v>0.2</v>
      </c>
      <c r="BX431" s="307">
        <f>BX432</f>
        <v>1000</v>
      </c>
      <c r="BY431" s="319">
        <f t="shared" si="359"/>
        <v>0.2</v>
      </c>
      <c r="BZ431" s="307">
        <f>BZ432</f>
        <v>1500</v>
      </c>
      <c r="CA431" s="319">
        <f t="shared" si="360"/>
        <v>0.3</v>
      </c>
      <c r="CB431" s="307">
        <f>CB432</f>
        <v>1500</v>
      </c>
      <c r="CC431" s="319">
        <f t="shared" si="361"/>
        <v>0.3</v>
      </c>
      <c r="CD431" s="307">
        <f>CD432</f>
        <v>2000</v>
      </c>
      <c r="CE431" s="319">
        <f t="shared" si="385"/>
        <v>0.4</v>
      </c>
      <c r="CF431" s="307">
        <f>CF432</f>
        <v>3000</v>
      </c>
      <c r="CG431" s="319">
        <f t="shared" si="362"/>
        <v>0.6</v>
      </c>
      <c r="CH431" s="307">
        <f>CH432</f>
        <v>3000</v>
      </c>
      <c r="CI431" s="319">
        <f t="shared" si="386"/>
        <v>0.6</v>
      </c>
      <c r="CJ431" s="307">
        <f>CJ432</f>
        <v>4000</v>
      </c>
      <c r="CK431" s="319">
        <f t="shared" si="363"/>
        <v>0.8</v>
      </c>
      <c r="CL431" s="307">
        <f>CL432</f>
        <v>4750</v>
      </c>
      <c r="CM431" s="319">
        <f t="shared" si="364"/>
        <v>0.95</v>
      </c>
      <c r="CN431" s="307">
        <f>CN432</f>
        <v>4750</v>
      </c>
      <c r="CO431" s="319">
        <f t="shared" si="365"/>
        <v>0.95</v>
      </c>
      <c r="CP431" s="213" t="str">
        <f t="shared" si="370"/>
        <v>Không đạt</v>
      </c>
      <c r="CQ431" s="213" t="str">
        <f t="shared" si="371"/>
        <v>Không đạt</v>
      </c>
      <c r="CR431" s="312"/>
      <c r="CS431" s="312"/>
      <c r="CT431" s="235"/>
      <c r="CU431" s="163"/>
      <c r="CV431" s="323"/>
      <c r="CW431" s="195"/>
      <c r="CX431" s="196"/>
      <c r="CY431" s="196"/>
      <c r="CZ431" s="197"/>
      <c r="DA431" s="196"/>
      <c r="DB431" s="196"/>
      <c r="DC431" s="196"/>
      <c r="DE431" s="199"/>
      <c r="DF431" s="200"/>
      <c r="DG431" s="181"/>
    </row>
    <row r="432" spans="1:111" ht="59.25" hidden="1" customHeight="1" outlineLevel="1" x14ac:dyDescent="0.25">
      <c r="A432" s="192"/>
      <c r="B432" s="269" t="s">
        <v>452</v>
      </c>
      <c r="C432" s="269"/>
      <c r="D432" s="214">
        <f>E432+F432</f>
        <v>5000</v>
      </c>
      <c r="E432" s="215"/>
      <c r="F432" s="214">
        <f>G432+H432+K432+M432</f>
        <v>5000</v>
      </c>
      <c r="G432" s="223"/>
      <c r="H432" s="257">
        <v>5000</v>
      </c>
      <c r="I432" s="235"/>
      <c r="J432" s="235"/>
      <c r="K432" s="223"/>
      <c r="L432" s="235"/>
      <c r="M432" s="223"/>
      <c r="N432" s="223"/>
      <c r="O432" s="257">
        <f t="shared" si="382"/>
        <v>0</v>
      </c>
      <c r="P432" s="257">
        <v>0</v>
      </c>
      <c r="Q432" s="224">
        <f t="shared" si="367"/>
        <v>0</v>
      </c>
      <c r="R432" s="257"/>
      <c r="S432" s="225">
        <v>0</v>
      </c>
      <c r="T432" s="225">
        <v>0</v>
      </c>
      <c r="U432" s="257"/>
      <c r="V432" s="225">
        <v>0</v>
      </c>
      <c r="W432" s="225">
        <v>0</v>
      </c>
      <c r="X432" s="257"/>
      <c r="Y432" s="225">
        <v>0</v>
      </c>
      <c r="Z432" s="225">
        <v>0</v>
      </c>
      <c r="AA432" s="257"/>
      <c r="AB432" s="225">
        <v>0</v>
      </c>
      <c r="AC432" s="225">
        <v>0</v>
      </c>
      <c r="AD432" s="257">
        <v>0</v>
      </c>
      <c r="AE432" s="225">
        <v>0.31759999999999999</v>
      </c>
      <c r="AF432" s="225">
        <v>0.33431578947368423</v>
      </c>
      <c r="AG432" s="257">
        <v>0</v>
      </c>
      <c r="AH432" s="225">
        <v>0.31759999999999999</v>
      </c>
      <c r="AI432" s="225">
        <v>0.33431578947368423</v>
      </c>
      <c r="AJ432" s="303">
        <v>0</v>
      </c>
      <c r="AK432" s="225">
        <v>0.31759999999999999</v>
      </c>
      <c r="AL432" s="225">
        <v>0.33431578947368423</v>
      </c>
      <c r="AM432" s="257">
        <v>0</v>
      </c>
      <c r="AN432" s="225">
        <v>0.31759999999999999</v>
      </c>
      <c r="AO432" s="225">
        <v>0.33431578947368423</v>
      </c>
      <c r="AP432" s="225"/>
      <c r="AQ432" s="257">
        <v>0</v>
      </c>
      <c r="AR432" s="225">
        <v>0</v>
      </c>
      <c r="AS432" s="225">
        <v>0</v>
      </c>
      <c r="AT432" s="257">
        <v>0</v>
      </c>
      <c r="AU432" s="225">
        <v>0</v>
      </c>
      <c r="AV432" s="225">
        <v>0</v>
      </c>
      <c r="AW432" s="225"/>
      <c r="AX432" s="225"/>
      <c r="AY432" s="225"/>
      <c r="AZ432" s="225"/>
      <c r="BA432" s="225"/>
      <c r="BB432" s="225"/>
      <c r="BC432" s="257">
        <v>0</v>
      </c>
      <c r="BD432" s="225">
        <v>0</v>
      </c>
      <c r="BE432" s="225">
        <v>0</v>
      </c>
      <c r="BF432" s="257"/>
      <c r="BG432" s="257">
        <v>0</v>
      </c>
      <c r="BH432" s="225">
        <v>0</v>
      </c>
      <c r="BI432" s="225">
        <v>0</v>
      </c>
      <c r="BJ432" s="257">
        <f t="shared" si="368"/>
        <v>4750</v>
      </c>
      <c r="BK432" s="257">
        <v>0</v>
      </c>
      <c r="BL432" s="225">
        <f t="shared" si="354"/>
        <v>0</v>
      </c>
      <c r="BM432" s="225">
        <f t="shared" si="369"/>
        <v>0</v>
      </c>
      <c r="BN432" s="205">
        <f t="shared" si="352"/>
        <v>0</v>
      </c>
      <c r="BO432" s="205"/>
      <c r="BP432" s="227"/>
      <c r="BQ432" s="224">
        <f t="shared" si="355"/>
        <v>0</v>
      </c>
      <c r="BR432" s="227"/>
      <c r="BS432" s="224">
        <f t="shared" si="356"/>
        <v>0</v>
      </c>
      <c r="BT432" s="227">
        <v>500</v>
      </c>
      <c r="BU432" s="224">
        <f t="shared" si="357"/>
        <v>0.1</v>
      </c>
      <c r="BV432" s="227">
        <v>1000</v>
      </c>
      <c r="BW432" s="224">
        <f t="shared" si="358"/>
        <v>0.2</v>
      </c>
      <c r="BX432" s="227">
        <v>1000</v>
      </c>
      <c r="BY432" s="224">
        <f t="shared" si="359"/>
        <v>0.2</v>
      </c>
      <c r="BZ432" s="227">
        <v>1500</v>
      </c>
      <c r="CA432" s="224">
        <f t="shared" si="360"/>
        <v>0.3</v>
      </c>
      <c r="CB432" s="227">
        <v>1500</v>
      </c>
      <c r="CC432" s="224">
        <f t="shared" si="361"/>
        <v>0.3</v>
      </c>
      <c r="CD432" s="227">
        <v>2000</v>
      </c>
      <c r="CE432" s="224">
        <f t="shared" si="385"/>
        <v>0.4</v>
      </c>
      <c r="CF432" s="227">
        <v>3000</v>
      </c>
      <c r="CG432" s="224">
        <f t="shared" si="362"/>
        <v>0.6</v>
      </c>
      <c r="CH432" s="227">
        <v>3000</v>
      </c>
      <c r="CI432" s="224">
        <f t="shared" si="386"/>
        <v>0.6</v>
      </c>
      <c r="CJ432" s="227">
        <v>4000</v>
      </c>
      <c r="CK432" s="224">
        <f t="shared" si="363"/>
        <v>0.8</v>
      </c>
      <c r="CL432" s="227">
        <v>4750</v>
      </c>
      <c r="CM432" s="224">
        <f t="shared" si="364"/>
        <v>0.95</v>
      </c>
      <c r="CN432" s="227">
        <v>4750</v>
      </c>
      <c r="CO432" s="224">
        <f t="shared" si="365"/>
        <v>0.95</v>
      </c>
      <c r="CP432" s="213" t="str">
        <f t="shared" si="370"/>
        <v>Không đạt</v>
      </c>
      <c r="CQ432" s="213" t="str">
        <f t="shared" si="371"/>
        <v>Không đạt</v>
      </c>
      <c r="CR432" s="192"/>
      <c r="CS432" s="192"/>
      <c r="CT432" s="223"/>
      <c r="CU432" s="163"/>
      <c r="CW432" s="195"/>
      <c r="CX432" s="196"/>
      <c r="CY432" s="196"/>
      <c r="CZ432" s="197"/>
      <c r="DA432" s="196"/>
      <c r="DB432" s="196"/>
      <c r="DC432" s="196"/>
      <c r="DE432" s="199"/>
      <c r="DF432" s="200"/>
      <c r="DG432" s="181"/>
    </row>
    <row r="433" spans="1:111" s="324" customFormat="1" hidden="1" outlineLevel="1" x14ac:dyDescent="0.25">
      <c r="A433" s="305" t="s">
        <v>34</v>
      </c>
      <c r="B433" s="318" t="s">
        <v>376</v>
      </c>
      <c r="C433" s="306"/>
      <c r="D433" s="307">
        <f>E433+F433</f>
        <v>3000</v>
      </c>
      <c r="E433" s="307"/>
      <c r="F433" s="307">
        <f>G433+H433+K433+M433</f>
        <v>3000</v>
      </c>
      <c r="G433" s="303">
        <v>3000</v>
      </c>
      <c r="H433" s="303"/>
      <c r="I433" s="235"/>
      <c r="J433" s="235"/>
      <c r="K433" s="303"/>
      <c r="L433" s="235"/>
      <c r="M433" s="223"/>
      <c r="N433" s="223"/>
      <c r="O433" s="303">
        <f t="shared" si="382"/>
        <v>3000</v>
      </c>
      <c r="P433" s="303">
        <v>0</v>
      </c>
      <c r="Q433" s="308">
        <f t="shared" si="367"/>
        <v>0</v>
      </c>
      <c r="R433" s="303"/>
      <c r="S433" s="313">
        <v>0</v>
      </c>
      <c r="T433" s="313">
        <v>0</v>
      </c>
      <c r="U433" s="303"/>
      <c r="V433" s="313">
        <v>0</v>
      </c>
      <c r="W433" s="313">
        <v>0</v>
      </c>
      <c r="X433" s="303"/>
      <c r="Y433" s="313">
        <v>0</v>
      </c>
      <c r="Z433" s="313">
        <v>0</v>
      </c>
      <c r="AA433" s="303"/>
      <c r="AB433" s="313">
        <v>0</v>
      </c>
      <c r="AC433" s="313">
        <v>0</v>
      </c>
      <c r="AD433" s="257">
        <v>1588</v>
      </c>
      <c r="AE433" s="313">
        <v>0</v>
      </c>
      <c r="AF433" s="313">
        <v>0</v>
      </c>
      <c r="AG433" s="257">
        <v>1588</v>
      </c>
      <c r="AH433" s="313">
        <v>0</v>
      </c>
      <c r="AI433" s="313">
        <v>0</v>
      </c>
      <c r="AJ433" s="257">
        <v>1588</v>
      </c>
      <c r="AK433" s="313">
        <v>0</v>
      </c>
      <c r="AL433" s="313">
        <v>0</v>
      </c>
      <c r="AM433" s="257">
        <v>1588</v>
      </c>
      <c r="AN433" s="313">
        <v>0</v>
      </c>
      <c r="AO433" s="313">
        <v>0</v>
      </c>
      <c r="AP433" s="313"/>
      <c r="AQ433" s="307">
        <v>2430</v>
      </c>
      <c r="AR433" s="313">
        <v>0.81</v>
      </c>
      <c r="AS433" s="313">
        <v>0.85263157894736841</v>
      </c>
      <c r="AT433" s="307">
        <v>2430</v>
      </c>
      <c r="AU433" s="313">
        <v>0.81</v>
      </c>
      <c r="AV433" s="313">
        <v>0.85263157894736841</v>
      </c>
      <c r="AW433" s="313"/>
      <c r="AX433" s="313"/>
      <c r="AY433" s="313"/>
      <c r="AZ433" s="313"/>
      <c r="BA433" s="313"/>
      <c r="BB433" s="313"/>
      <c r="BC433" s="307">
        <v>2430</v>
      </c>
      <c r="BD433" s="313">
        <v>0.81</v>
      </c>
      <c r="BE433" s="313">
        <v>0.85263157894736841</v>
      </c>
      <c r="BF433" s="307"/>
      <c r="BG433" s="307">
        <v>2850</v>
      </c>
      <c r="BH433" s="313">
        <v>0.95</v>
      </c>
      <c r="BI433" s="313">
        <v>1</v>
      </c>
      <c r="BJ433" s="307">
        <f t="shared" si="368"/>
        <v>2850</v>
      </c>
      <c r="BK433" s="307">
        <v>2850</v>
      </c>
      <c r="BL433" s="313">
        <f t="shared" si="354"/>
        <v>0.95</v>
      </c>
      <c r="BM433" s="313">
        <f t="shared" si="369"/>
        <v>1</v>
      </c>
      <c r="BN433" s="205">
        <f t="shared" si="352"/>
        <v>1262</v>
      </c>
      <c r="BO433" s="205"/>
      <c r="BP433" s="310"/>
      <c r="BQ433" s="311">
        <f t="shared" si="355"/>
        <v>0</v>
      </c>
      <c r="BR433" s="310"/>
      <c r="BS433" s="311">
        <f t="shared" si="356"/>
        <v>0</v>
      </c>
      <c r="BT433" s="310"/>
      <c r="BU433" s="308">
        <f t="shared" si="357"/>
        <v>0</v>
      </c>
      <c r="BV433" s="310">
        <v>500</v>
      </c>
      <c r="BW433" s="311">
        <f t="shared" si="358"/>
        <v>0.16666666666666666</v>
      </c>
      <c r="BX433" s="310">
        <v>500</v>
      </c>
      <c r="BY433" s="311">
        <f t="shared" si="359"/>
        <v>0.16666666666666666</v>
      </c>
      <c r="BZ433" s="310">
        <v>1000</v>
      </c>
      <c r="CA433" s="311">
        <f t="shared" si="360"/>
        <v>0.33333333333333331</v>
      </c>
      <c r="CB433" s="310">
        <v>1000</v>
      </c>
      <c r="CC433" s="311">
        <f t="shared" si="361"/>
        <v>0.33333333333333331</v>
      </c>
      <c r="CD433" s="310">
        <v>1000</v>
      </c>
      <c r="CE433" s="311">
        <f t="shared" si="385"/>
        <v>0.33333333333333331</v>
      </c>
      <c r="CF433" s="310">
        <v>2000</v>
      </c>
      <c r="CG433" s="311">
        <f t="shared" si="362"/>
        <v>0.66666666666666663</v>
      </c>
      <c r="CH433" s="310">
        <v>2000</v>
      </c>
      <c r="CI433" s="311">
        <f t="shared" si="386"/>
        <v>0.66666666666666663</v>
      </c>
      <c r="CJ433" s="310">
        <v>2000</v>
      </c>
      <c r="CK433" s="311">
        <f t="shared" si="363"/>
        <v>0.66666666666666663</v>
      </c>
      <c r="CL433" s="310">
        <v>2850</v>
      </c>
      <c r="CM433" s="311">
        <f t="shared" si="364"/>
        <v>0.95</v>
      </c>
      <c r="CN433" s="310">
        <v>2850</v>
      </c>
      <c r="CO433" s="311">
        <f t="shared" si="365"/>
        <v>0.95</v>
      </c>
      <c r="CP433" s="213" t="str">
        <f t="shared" si="370"/>
        <v>Đạt</v>
      </c>
      <c r="CQ433" s="213" t="str">
        <f t="shared" si="371"/>
        <v>Đạt</v>
      </c>
      <c r="CR433" s="312"/>
      <c r="CS433" s="312"/>
      <c r="CT433" s="235"/>
      <c r="CU433" s="163"/>
      <c r="CV433" s="323"/>
      <c r="CW433" s="195"/>
      <c r="CX433" s="196"/>
      <c r="CY433" s="196"/>
      <c r="CZ433" s="197"/>
      <c r="DA433" s="196"/>
      <c r="DB433" s="196"/>
      <c r="DC433" s="196"/>
      <c r="DE433" s="199"/>
      <c r="DF433" s="200"/>
      <c r="DG433" s="181"/>
    </row>
    <row r="434" spans="1:111" ht="25.5" hidden="1" outlineLevel="1" x14ac:dyDescent="0.25">
      <c r="A434" s="305" t="s">
        <v>34</v>
      </c>
      <c r="B434" s="306" t="s">
        <v>377</v>
      </c>
      <c r="C434" s="306"/>
      <c r="D434" s="307">
        <f>E434+F434</f>
        <v>6375</v>
      </c>
      <c r="E434" s="307"/>
      <c r="F434" s="307">
        <f>G434+H434+K434+M434</f>
        <v>6375</v>
      </c>
      <c r="G434" s="307"/>
      <c r="H434" s="307">
        <v>6375</v>
      </c>
      <c r="I434" s="235"/>
      <c r="J434" s="235"/>
      <c r="K434" s="303"/>
      <c r="L434" s="235"/>
      <c r="M434" s="223"/>
      <c r="N434" s="223"/>
      <c r="O434" s="303"/>
      <c r="P434" s="303">
        <v>0</v>
      </c>
      <c r="Q434" s="308">
        <f t="shared" si="367"/>
        <v>0</v>
      </c>
      <c r="R434" s="303"/>
      <c r="S434" s="313">
        <v>0</v>
      </c>
      <c r="T434" s="313">
        <v>0</v>
      </c>
      <c r="U434" s="303"/>
      <c r="V434" s="313">
        <v>0</v>
      </c>
      <c r="W434" s="313">
        <v>0</v>
      </c>
      <c r="X434" s="303"/>
      <c r="Y434" s="313">
        <v>0</v>
      </c>
      <c r="Z434" s="313">
        <v>0</v>
      </c>
      <c r="AA434" s="303"/>
      <c r="AB434" s="313">
        <v>0</v>
      </c>
      <c r="AC434" s="313">
        <v>0</v>
      </c>
      <c r="AD434" s="303"/>
      <c r="AE434" s="313">
        <v>0</v>
      </c>
      <c r="AF434" s="313">
        <v>0</v>
      </c>
      <c r="AG434" s="303"/>
      <c r="AH434" s="313">
        <v>0</v>
      </c>
      <c r="AI434" s="313">
        <v>0</v>
      </c>
      <c r="AJ434" s="188"/>
      <c r="AK434" s="313">
        <v>0</v>
      </c>
      <c r="AL434" s="313">
        <v>0</v>
      </c>
      <c r="AM434" s="303"/>
      <c r="AN434" s="313">
        <v>0</v>
      </c>
      <c r="AO434" s="313">
        <v>0</v>
      </c>
      <c r="AP434" s="313"/>
      <c r="AQ434" s="303"/>
      <c r="AR434" s="313">
        <v>0</v>
      </c>
      <c r="AS434" s="313">
        <v>0</v>
      </c>
      <c r="AT434" s="303"/>
      <c r="AU434" s="313">
        <v>0</v>
      </c>
      <c r="AV434" s="313">
        <v>0</v>
      </c>
      <c r="AW434" s="313"/>
      <c r="AX434" s="313"/>
      <c r="AY434" s="313"/>
      <c r="AZ434" s="313"/>
      <c r="BA434" s="313"/>
      <c r="BB434" s="313"/>
      <c r="BC434" s="303"/>
      <c r="BD434" s="313">
        <v>0</v>
      </c>
      <c r="BE434" s="313">
        <v>0</v>
      </c>
      <c r="BF434" s="303"/>
      <c r="BG434" s="303">
        <v>307</v>
      </c>
      <c r="BH434" s="313">
        <v>4.815686274509804E-2</v>
      </c>
      <c r="BI434" s="313">
        <v>5.0691434468524255E-2</v>
      </c>
      <c r="BJ434" s="303">
        <f t="shared" si="368"/>
        <v>6056.25</v>
      </c>
      <c r="BK434" s="303">
        <v>307</v>
      </c>
      <c r="BL434" s="313">
        <f t="shared" si="354"/>
        <v>4.815686274509804E-2</v>
      </c>
      <c r="BM434" s="313">
        <f t="shared" si="369"/>
        <v>5.0691434468524255E-2</v>
      </c>
      <c r="BN434" s="205">
        <f t="shared" si="352"/>
        <v>307</v>
      </c>
      <c r="BO434" s="205"/>
      <c r="BP434" s="310"/>
      <c r="BQ434" s="311">
        <f t="shared" si="355"/>
        <v>0</v>
      </c>
      <c r="BR434" s="310"/>
      <c r="BS434" s="311">
        <f t="shared" si="356"/>
        <v>0</v>
      </c>
      <c r="BT434" s="310"/>
      <c r="BU434" s="308">
        <f t="shared" si="357"/>
        <v>0</v>
      </c>
      <c r="BV434" s="310">
        <v>375</v>
      </c>
      <c r="BW434" s="311">
        <f t="shared" si="358"/>
        <v>5.8823529411764705E-2</v>
      </c>
      <c r="BX434" s="310">
        <v>1500</v>
      </c>
      <c r="BY434" s="311">
        <f t="shared" si="359"/>
        <v>0.23529411764705882</v>
      </c>
      <c r="BZ434" s="310">
        <v>1500</v>
      </c>
      <c r="CA434" s="311">
        <f t="shared" si="360"/>
        <v>0.23529411764705882</v>
      </c>
      <c r="CB434" s="310">
        <v>2500</v>
      </c>
      <c r="CC434" s="311">
        <f t="shared" si="361"/>
        <v>0.39215686274509803</v>
      </c>
      <c r="CD434" s="310">
        <v>2500</v>
      </c>
      <c r="CE434" s="311">
        <f t="shared" si="385"/>
        <v>0.39215686274509803</v>
      </c>
      <c r="CF434" s="310">
        <v>3500</v>
      </c>
      <c r="CG434" s="311">
        <f t="shared" si="362"/>
        <v>0.5490196078431373</v>
      </c>
      <c r="CH434" s="310">
        <v>4000</v>
      </c>
      <c r="CI434" s="311">
        <f t="shared" si="386"/>
        <v>0.62745098039215685</v>
      </c>
      <c r="CJ434" s="310">
        <v>5000</v>
      </c>
      <c r="CK434" s="311">
        <f t="shared" si="363"/>
        <v>0.78431372549019607</v>
      </c>
      <c r="CL434" s="310">
        <v>6056</v>
      </c>
      <c r="CM434" s="311">
        <f t="shared" si="364"/>
        <v>0.94996078431372544</v>
      </c>
      <c r="CN434" s="310">
        <v>6056</v>
      </c>
      <c r="CO434" s="311">
        <f t="shared" si="365"/>
        <v>0.94996078431372544</v>
      </c>
      <c r="CP434" s="213" t="str">
        <f t="shared" si="370"/>
        <v>Không đạt</v>
      </c>
      <c r="CQ434" s="213" t="str">
        <f t="shared" si="371"/>
        <v>Không đạt</v>
      </c>
      <c r="CR434" s="312"/>
      <c r="CS434" s="312"/>
      <c r="CT434" s="235"/>
      <c r="CU434" s="163"/>
      <c r="CW434" s="195"/>
      <c r="CX434" s="196"/>
      <c r="CY434" s="196"/>
      <c r="CZ434" s="197"/>
      <c r="DA434" s="196"/>
      <c r="DB434" s="196"/>
      <c r="DC434" s="196"/>
      <c r="DE434" s="199"/>
      <c r="DF434" s="200"/>
      <c r="DG434" s="181"/>
    </row>
    <row r="435" spans="1:111" ht="18" customHeight="1" collapsed="1" x14ac:dyDescent="0.25">
      <c r="A435" s="213">
        <f>MAX(A$239:A433)+1</f>
        <v>59</v>
      </c>
      <c r="B435" s="240" t="s">
        <v>453</v>
      </c>
      <c r="C435" s="240"/>
      <c r="D435" s="188">
        <f>D437+D440+D441+D436</f>
        <v>166907.22700000001</v>
      </c>
      <c r="E435" s="188">
        <f t="shared" ref="E435:M435" si="390">E437+E440+E441+E436</f>
        <v>0</v>
      </c>
      <c r="F435" s="188">
        <f t="shared" si="390"/>
        <v>166907.22700000001</v>
      </c>
      <c r="G435" s="188">
        <f t="shared" si="390"/>
        <v>3157.2269999999999</v>
      </c>
      <c r="H435" s="188">
        <f t="shared" si="390"/>
        <v>163750</v>
      </c>
      <c r="I435" s="188">
        <f t="shared" si="390"/>
        <v>0</v>
      </c>
      <c r="J435" s="188">
        <f t="shared" si="390"/>
        <v>0</v>
      </c>
      <c r="K435" s="188">
        <f t="shared" si="390"/>
        <v>0</v>
      </c>
      <c r="L435" s="188">
        <f t="shared" si="390"/>
        <v>0</v>
      </c>
      <c r="M435" s="188">
        <f t="shared" si="390"/>
        <v>0</v>
      </c>
      <c r="N435" s="188">
        <f>N437+N440+N441</f>
        <v>0</v>
      </c>
      <c r="O435" s="188">
        <f>O437+O440+O441</f>
        <v>3000</v>
      </c>
      <c r="P435" s="188">
        <v>0</v>
      </c>
      <c r="Q435" s="186">
        <f t="shared" si="367"/>
        <v>0</v>
      </c>
      <c r="R435" s="188">
        <v>0</v>
      </c>
      <c r="S435" s="185">
        <v>0</v>
      </c>
      <c r="T435" s="185">
        <v>0</v>
      </c>
      <c r="U435" s="188">
        <v>173.05199999999999</v>
      </c>
      <c r="V435" s="185">
        <v>1.0377931034482757E-3</v>
      </c>
      <c r="W435" s="185">
        <v>1.0924137931034481E-3</v>
      </c>
      <c r="X435" s="188">
        <v>173.05199999999999</v>
      </c>
      <c r="Y435" s="185">
        <v>1.0377931034482757E-3</v>
      </c>
      <c r="Z435" s="185">
        <v>1.0924137931034481E-3</v>
      </c>
      <c r="AA435" s="188">
        <v>173.05199999999999</v>
      </c>
      <c r="AB435" s="185">
        <v>1.0377931034482757E-3</v>
      </c>
      <c r="AC435" s="185">
        <v>1.0924137931034481E-3</v>
      </c>
      <c r="AD435" s="188">
        <v>1998.8809999999999</v>
      </c>
      <c r="AE435" s="185">
        <v>1.1987292353823087E-2</v>
      </c>
      <c r="AF435" s="185">
        <v>1.2618202477708514E-2</v>
      </c>
      <c r="AG435" s="188">
        <v>1998.8809999999999</v>
      </c>
      <c r="AH435" s="185">
        <v>1.1987292353823087E-2</v>
      </c>
      <c r="AI435" s="185">
        <v>1.2618202477708514E-2</v>
      </c>
      <c r="AJ435" s="317">
        <v>1998.8809999999999</v>
      </c>
      <c r="AK435" s="185">
        <v>1.1987292353823087E-2</v>
      </c>
      <c r="AL435" s="185">
        <v>1.2618202477708514E-2</v>
      </c>
      <c r="AM435" s="188">
        <v>1998.8809999999999</v>
      </c>
      <c r="AN435" s="185">
        <v>1.1987292353823087E-2</v>
      </c>
      <c r="AO435" s="185">
        <v>1.2618202477708514E-2</v>
      </c>
      <c r="AP435" s="185"/>
      <c r="AQ435" s="188">
        <v>9490.0709999999999</v>
      </c>
      <c r="AR435" s="185">
        <v>5.6911970014992506E-2</v>
      </c>
      <c r="AS435" s="185">
        <v>5.9907336857886843E-2</v>
      </c>
      <c r="AT435" s="188">
        <v>9490.0709999999999</v>
      </c>
      <c r="AU435" s="185">
        <v>5.6911970014992506E-2</v>
      </c>
      <c r="AV435" s="185">
        <v>5.9907336857886843E-2</v>
      </c>
      <c r="AW435" s="185"/>
      <c r="AX435" s="185"/>
      <c r="AY435" s="185"/>
      <c r="AZ435" s="185"/>
      <c r="BA435" s="185"/>
      <c r="BB435" s="185"/>
      <c r="BC435" s="188">
        <v>9490.0709999999999</v>
      </c>
      <c r="BD435" s="185">
        <v>5.6911970014992506E-2</v>
      </c>
      <c r="BE435" s="185">
        <v>5.9907336857886843E-2</v>
      </c>
      <c r="BF435" s="188"/>
      <c r="BG435" s="188">
        <v>10699.332000000002</v>
      </c>
      <c r="BH435" s="185">
        <v>6.4103467490955329E-2</v>
      </c>
      <c r="BI435" s="185">
        <v>6.7477334201005615E-2</v>
      </c>
      <c r="BJ435" s="188">
        <f t="shared" si="368"/>
        <v>158561.86564999999</v>
      </c>
      <c r="BK435" s="188">
        <v>20852.985000000001</v>
      </c>
      <c r="BL435" s="185">
        <f t="shared" si="354"/>
        <v>0.12493757984487992</v>
      </c>
      <c r="BM435" s="185">
        <f t="shared" si="369"/>
        <v>0.13151324194197889</v>
      </c>
      <c r="BN435" s="205">
        <f t="shared" si="352"/>
        <v>18854.103999999999</v>
      </c>
      <c r="BO435" s="205"/>
      <c r="BP435" s="189">
        <f>BP437+BP440+BP441</f>
        <v>0</v>
      </c>
      <c r="BQ435" s="186">
        <f t="shared" si="355"/>
        <v>0</v>
      </c>
      <c r="BR435" s="189">
        <f>BR437+BR440+BR441</f>
        <v>0</v>
      </c>
      <c r="BS435" s="186">
        <f t="shared" si="356"/>
        <v>0</v>
      </c>
      <c r="BT435" s="189">
        <f>BT437+BT440+BT441</f>
        <v>10500</v>
      </c>
      <c r="BU435" s="186">
        <f t="shared" si="357"/>
        <v>6.2909199252348724E-2</v>
      </c>
      <c r="BV435" s="189">
        <f>BV437+BV440+BV441</f>
        <v>11500</v>
      </c>
      <c r="BW435" s="186">
        <f t="shared" si="358"/>
        <v>6.8900551562096221E-2</v>
      </c>
      <c r="BX435" s="189">
        <f>BX437+BX440+BX441</f>
        <v>16500</v>
      </c>
      <c r="BY435" s="186">
        <f t="shared" si="359"/>
        <v>9.8857313110833719E-2</v>
      </c>
      <c r="BZ435" s="189">
        <f>BZ437+BZ440+BZ441</f>
        <v>44275</v>
      </c>
      <c r="CA435" s="186">
        <f t="shared" si="360"/>
        <v>0.26526712351407045</v>
      </c>
      <c r="CB435" s="189">
        <f>CB437+CB440+CB441</f>
        <v>49275</v>
      </c>
      <c r="CC435" s="186">
        <f t="shared" si="361"/>
        <v>0.29522388506280794</v>
      </c>
      <c r="CD435" s="189">
        <f>CD437+CD440+CD441</f>
        <v>64275</v>
      </c>
      <c r="CE435" s="186">
        <f t="shared" si="385"/>
        <v>0.38509416970902044</v>
      </c>
      <c r="CF435" s="189">
        <f>CF437+CF440+CF441</f>
        <v>74275</v>
      </c>
      <c r="CG435" s="186">
        <f t="shared" si="362"/>
        <v>0.44500769280649538</v>
      </c>
      <c r="CH435" s="189">
        <f>CH437+CH440+CH441</f>
        <v>114275</v>
      </c>
      <c r="CI435" s="186">
        <f t="shared" si="386"/>
        <v>0.68466178519639531</v>
      </c>
      <c r="CJ435" s="189">
        <f>CJ437+CJ440+CJ441</f>
        <v>144275</v>
      </c>
      <c r="CK435" s="186">
        <f t="shared" si="363"/>
        <v>0.86440235448882019</v>
      </c>
      <c r="CL435" s="189">
        <f>CL437+CL440+CL441</f>
        <v>158412.5</v>
      </c>
      <c r="CM435" s="186">
        <f t="shared" si="364"/>
        <v>0.94910509776787544</v>
      </c>
      <c r="CN435" s="189">
        <f>CN437+CN440+CN441</f>
        <v>158412.5</v>
      </c>
      <c r="CO435" s="186">
        <f t="shared" si="365"/>
        <v>0.94910509776787544</v>
      </c>
      <c r="CP435" s="213" t="str">
        <f t="shared" si="370"/>
        <v>Không đạt</v>
      </c>
      <c r="CQ435" s="213" t="str">
        <f t="shared" si="371"/>
        <v>Không đạt</v>
      </c>
      <c r="CR435" s="213"/>
      <c r="CS435" s="213"/>
      <c r="CT435" s="231"/>
      <c r="CU435" s="163"/>
      <c r="CW435" s="195"/>
      <c r="CX435" s="196"/>
      <c r="CY435" s="196"/>
      <c r="CZ435" s="197"/>
      <c r="DA435" s="196"/>
      <c r="DB435" s="196"/>
      <c r="DC435" s="196"/>
      <c r="DE435" s="199"/>
      <c r="DF435" s="200"/>
      <c r="DG435" s="181"/>
    </row>
    <row r="436" spans="1:111" s="255" customFormat="1" hidden="1" outlineLevel="1" x14ac:dyDescent="0.25">
      <c r="A436" s="191" t="s">
        <v>34</v>
      </c>
      <c r="B436" s="210" t="s">
        <v>154</v>
      </c>
      <c r="C436" s="210"/>
      <c r="D436" s="188">
        <f>E436+F436</f>
        <v>157.227</v>
      </c>
      <c r="E436" s="189"/>
      <c r="F436" s="188">
        <f>G436+H436+K436+M436</f>
        <v>157.227</v>
      </c>
      <c r="G436" s="189">
        <v>157.227</v>
      </c>
      <c r="H436" s="189"/>
      <c r="I436" s="188"/>
      <c r="J436" s="188"/>
      <c r="K436" s="189"/>
      <c r="L436" s="188"/>
      <c r="M436" s="231"/>
      <c r="N436" s="231"/>
      <c r="O436" s="188"/>
      <c r="P436" s="188"/>
      <c r="Q436" s="186"/>
      <c r="R436" s="189"/>
      <c r="S436" s="185"/>
      <c r="T436" s="185"/>
      <c r="U436" s="189"/>
      <c r="V436" s="185"/>
      <c r="W436" s="185"/>
      <c r="X436" s="189"/>
      <c r="Y436" s="185"/>
      <c r="Z436" s="185"/>
      <c r="AA436" s="189"/>
      <c r="AB436" s="185"/>
      <c r="AC436" s="185"/>
      <c r="AD436" s="189"/>
      <c r="AE436" s="185"/>
      <c r="AF436" s="185"/>
      <c r="AG436" s="189"/>
      <c r="AH436" s="185"/>
      <c r="AI436" s="185"/>
      <c r="AJ436" s="188"/>
      <c r="AK436" s="185"/>
      <c r="AL436" s="185"/>
      <c r="AM436" s="189"/>
      <c r="AN436" s="185"/>
      <c r="AO436" s="185"/>
      <c r="AP436" s="185"/>
      <c r="AQ436" s="189"/>
      <c r="AR436" s="185"/>
      <c r="AS436" s="185"/>
      <c r="AT436" s="189"/>
      <c r="AU436" s="185"/>
      <c r="AV436" s="185"/>
      <c r="AW436" s="185"/>
      <c r="AX436" s="185"/>
      <c r="AY436" s="185"/>
      <c r="AZ436" s="185"/>
      <c r="BA436" s="185"/>
      <c r="BB436" s="185"/>
      <c r="BC436" s="189"/>
      <c r="BD436" s="185"/>
      <c r="BE436" s="185"/>
      <c r="BF436" s="189"/>
      <c r="BG436" s="189">
        <v>157.227</v>
      </c>
      <c r="BH436" s="185">
        <v>1</v>
      </c>
      <c r="BI436" s="185">
        <v>1</v>
      </c>
      <c r="BJ436" s="189">
        <f t="shared" si="368"/>
        <v>149.36564999999999</v>
      </c>
      <c r="BK436" s="189">
        <v>157.227</v>
      </c>
      <c r="BL436" s="185">
        <f t="shared" si="354"/>
        <v>1</v>
      </c>
      <c r="BM436" s="185">
        <f>BK436/$D436</f>
        <v>1</v>
      </c>
      <c r="BN436" s="185">
        <f t="shared" ref="BN436" si="391">BM436/$D436</f>
        <v>6.3602307491715795E-3</v>
      </c>
      <c r="BO436" s="185"/>
      <c r="BP436" s="185">
        <f t="shared" ref="BP436" si="392">BN436/$D436</f>
        <v>4.0452535182707672E-5</v>
      </c>
      <c r="BQ436" s="185">
        <f t="shared" si="355"/>
        <v>2.5728745815100251E-7</v>
      </c>
      <c r="BR436" s="185">
        <f t="shared" si="355"/>
        <v>1.6364076027082021E-9</v>
      </c>
      <c r="BS436" s="185">
        <f t="shared" si="356"/>
        <v>1.0407929952922857E-11</v>
      </c>
      <c r="BT436" s="185">
        <f t="shared" si="356"/>
        <v>6.6196836121803872E-14</v>
      </c>
      <c r="BU436" s="185">
        <f t="shared" si="357"/>
        <v>4.2102715259976894E-16</v>
      </c>
      <c r="BV436" s="185">
        <f t="shared" si="357"/>
        <v>2.6778298422012054E-18</v>
      </c>
      <c r="BW436" s="185">
        <f t="shared" si="358"/>
        <v>1.7031615703417386E-20</v>
      </c>
      <c r="BX436" s="185">
        <f t="shared" si="358"/>
        <v>1.0832500590494881E-22</v>
      </c>
      <c r="BY436" s="185">
        <f t="shared" si="359"/>
        <v>6.8897203346084838E-25</v>
      </c>
      <c r="BZ436" s="185">
        <f t="shared" si="359"/>
        <v>4.3820211125369586E-27</v>
      </c>
      <c r="CA436" s="185">
        <f t="shared" si="360"/>
        <v>2.7870665423476623E-29</v>
      </c>
      <c r="CB436" s="185">
        <f t="shared" si="360"/>
        <v>1.7726386322626915E-31</v>
      </c>
      <c r="CC436" s="185">
        <f t="shared" si="361"/>
        <v>1.1274390736086622E-33</v>
      </c>
      <c r="CD436" s="185">
        <f t="shared" si="361"/>
        <v>7.1707726637833344E-36</v>
      </c>
      <c r="CE436" s="185">
        <f t="shared" si="385"/>
        <v>4.5607768791513761E-38</v>
      </c>
      <c r="CF436" s="185">
        <f t="shared" si="385"/>
        <v>2.9007593346889376E-40</v>
      </c>
      <c r="CG436" s="185">
        <f t="shared" si="362"/>
        <v>1.8449498716435074E-42</v>
      </c>
      <c r="CH436" s="185">
        <f t="shared" si="362"/>
        <v>1.1734306904307196E-44</v>
      </c>
      <c r="CI436" s="185">
        <f t="shared" si="386"/>
        <v>7.4632899592990999E-47</v>
      </c>
      <c r="CJ436" s="185">
        <f t="shared" si="386"/>
        <v>4.7468246289117645E-49</v>
      </c>
      <c r="CK436" s="185">
        <f t="shared" si="363"/>
        <v>3.0190899965729576E-51</v>
      </c>
      <c r="CL436" s="185">
        <f t="shared" si="363"/>
        <v>1.9202109030719643E-53</v>
      </c>
      <c r="CM436" s="185">
        <f t="shared" si="364"/>
        <v>1.2212984430612836E-55</v>
      </c>
      <c r="CN436" s="185">
        <f t="shared" si="364"/>
        <v>7.7677399114737516E-58</v>
      </c>
      <c r="CO436" s="185">
        <f t="shared" si="365"/>
        <v>4.9404618236522682E-60</v>
      </c>
      <c r="CP436" s="213" t="str">
        <f t="shared" si="370"/>
        <v>Đạt</v>
      </c>
      <c r="CQ436" s="213" t="str">
        <f t="shared" si="371"/>
        <v>Đạt</v>
      </c>
      <c r="CR436" s="185"/>
      <c r="CS436" s="213"/>
      <c r="CT436" s="231"/>
      <c r="CU436" s="163"/>
      <c r="CV436" s="252"/>
      <c r="CW436" s="253"/>
      <c r="CX436" s="254"/>
      <c r="CY436" s="254"/>
      <c r="CZ436" s="198"/>
      <c r="DA436" s="254"/>
      <c r="DB436" s="254"/>
      <c r="DC436" s="254"/>
      <c r="DE436" s="199"/>
      <c r="DF436" s="200"/>
      <c r="DG436" s="181"/>
    </row>
    <row r="437" spans="1:111" s="324" customFormat="1" hidden="1" outlineLevel="1" x14ac:dyDescent="0.25">
      <c r="A437" s="305" t="s">
        <v>34</v>
      </c>
      <c r="B437" s="318" t="s">
        <v>381</v>
      </c>
      <c r="C437" s="306"/>
      <c r="D437" s="317">
        <f>SUM(D438:D439)</f>
        <v>74500</v>
      </c>
      <c r="E437" s="317">
        <f t="shared" ref="E437:L437" si="393">SUM(E438:E439)</f>
        <v>0</v>
      </c>
      <c r="F437" s="317">
        <f t="shared" si="393"/>
        <v>74500</v>
      </c>
      <c r="G437" s="317">
        <f t="shared" si="393"/>
        <v>0</v>
      </c>
      <c r="H437" s="317">
        <f t="shared" si="393"/>
        <v>74500</v>
      </c>
      <c r="I437" s="214">
        <f t="shared" si="393"/>
        <v>0</v>
      </c>
      <c r="J437" s="214"/>
      <c r="K437" s="317">
        <f t="shared" si="393"/>
        <v>0</v>
      </c>
      <c r="L437" s="214">
        <f t="shared" si="393"/>
        <v>0</v>
      </c>
      <c r="M437" s="223"/>
      <c r="N437" s="223"/>
      <c r="O437" s="317">
        <f t="shared" si="382"/>
        <v>0</v>
      </c>
      <c r="P437" s="317">
        <v>0</v>
      </c>
      <c r="Q437" s="319">
        <f t="shared" si="367"/>
        <v>0</v>
      </c>
      <c r="R437" s="317">
        <v>0</v>
      </c>
      <c r="S437" s="320">
        <v>0</v>
      </c>
      <c r="T437" s="320">
        <v>0</v>
      </c>
      <c r="U437" s="317">
        <v>0</v>
      </c>
      <c r="V437" s="320">
        <v>0</v>
      </c>
      <c r="W437" s="320">
        <v>0</v>
      </c>
      <c r="X437" s="317">
        <v>0</v>
      </c>
      <c r="Y437" s="320">
        <v>0</v>
      </c>
      <c r="Z437" s="320">
        <v>0</v>
      </c>
      <c r="AA437" s="317">
        <v>0</v>
      </c>
      <c r="AB437" s="320">
        <v>0</v>
      </c>
      <c r="AC437" s="320">
        <v>0</v>
      </c>
      <c r="AD437" s="317">
        <v>0</v>
      </c>
      <c r="AE437" s="320">
        <v>0</v>
      </c>
      <c r="AF437" s="320">
        <v>0</v>
      </c>
      <c r="AG437" s="317">
        <v>0</v>
      </c>
      <c r="AH437" s="320">
        <v>0</v>
      </c>
      <c r="AI437" s="320">
        <v>0</v>
      </c>
      <c r="AJ437" s="257">
        <v>0</v>
      </c>
      <c r="AK437" s="320">
        <v>0</v>
      </c>
      <c r="AL437" s="320">
        <v>0</v>
      </c>
      <c r="AM437" s="317">
        <v>0</v>
      </c>
      <c r="AN437" s="320">
        <v>0</v>
      </c>
      <c r="AO437" s="320">
        <v>0</v>
      </c>
      <c r="AP437" s="320"/>
      <c r="AQ437" s="317">
        <v>0</v>
      </c>
      <c r="AR437" s="320">
        <v>0</v>
      </c>
      <c r="AS437" s="320">
        <v>0</v>
      </c>
      <c r="AT437" s="317">
        <v>0</v>
      </c>
      <c r="AU437" s="320">
        <v>0</v>
      </c>
      <c r="AV437" s="320">
        <v>0</v>
      </c>
      <c r="AW437" s="320"/>
      <c r="AX437" s="320"/>
      <c r="AY437" s="320"/>
      <c r="AZ437" s="320"/>
      <c r="BA437" s="320"/>
      <c r="BB437" s="320"/>
      <c r="BC437" s="317">
        <v>0</v>
      </c>
      <c r="BD437" s="320">
        <v>0</v>
      </c>
      <c r="BE437" s="320">
        <v>0</v>
      </c>
      <c r="BF437" s="349"/>
      <c r="BG437" s="349">
        <v>0</v>
      </c>
      <c r="BH437" s="320">
        <v>0</v>
      </c>
      <c r="BI437" s="320">
        <v>0</v>
      </c>
      <c r="BJ437" s="349">
        <f t="shared" si="368"/>
        <v>70775</v>
      </c>
      <c r="BK437" s="349">
        <v>0</v>
      </c>
      <c r="BL437" s="320">
        <f t="shared" si="354"/>
        <v>0</v>
      </c>
      <c r="BM437" s="320">
        <f t="shared" si="369"/>
        <v>0</v>
      </c>
      <c r="BN437" s="205">
        <f t="shared" si="352"/>
        <v>0</v>
      </c>
      <c r="BO437" s="205"/>
      <c r="BP437" s="307">
        <f>SUM(BP438:BP439)</f>
        <v>0</v>
      </c>
      <c r="BQ437" s="322">
        <f t="shared" si="355"/>
        <v>0</v>
      </c>
      <c r="BR437" s="307">
        <f>SUM(BR438:BR439)</f>
        <v>0</v>
      </c>
      <c r="BS437" s="322">
        <f t="shared" si="356"/>
        <v>0</v>
      </c>
      <c r="BT437" s="307">
        <f>SUM(BT438:BT439)</f>
        <v>5000</v>
      </c>
      <c r="BU437" s="319">
        <f t="shared" si="357"/>
        <v>6.7114093959731544E-2</v>
      </c>
      <c r="BV437" s="307">
        <f>SUM(BV438:BV439)</f>
        <v>5000</v>
      </c>
      <c r="BW437" s="322">
        <f t="shared" si="358"/>
        <v>6.7114093959731544E-2</v>
      </c>
      <c r="BX437" s="307">
        <f>SUM(BX438:BX439)</f>
        <v>5000</v>
      </c>
      <c r="BY437" s="322">
        <f t="shared" si="359"/>
        <v>6.7114093959731544E-2</v>
      </c>
      <c r="BZ437" s="307">
        <f>SUM(BZ438:BZ439)</f>
        <v>21425</v>
      </c>
      <c r="CA437" s="322">
        <f t="shared" si="360"/>
        <v>0.28758389261744965</v>
      </c>
      <c r="CB437" s="307">
        <f>SUM(CB438:CB439)</f>
        <v>26425</v>
      </c>
      <c r="CC437" s="322">
        <f t="shared" si="361"/>
        <v>0.35469798657718121</v>
      </c>
      <c r="CD437" s="307">
        <f>SUM(CD438:CD439)</f>
        <v>31425</v>
      </c>
      <c r="CE437" s="322">
        <f t="shared" si="385"/>
        <v>0.42181208053691277</v>
      </c>
      <c r="CF437" s="307">
        <f>SUM(CF438:CF439)</f>
        <v>41425</v>
      </c>
      <c r="CG437" s="322">
        <f t="shared" si="362"/>
        <v>0.55604026845637589</v>
      </c>
      <c r="CH437" s="307">
        <f>SUM(CH438:CH439)</f>
        <v>51425</v>
      </c>
      <c r="CI437" s="322">
        <f t="shared" si="386"/>
        <v>0.69026845637583889</v>
      </c>
      <c r="CJ437" s="307">
        <f>SUM(CJ438:CJ439)</f>
        <v>61425</v>
      </c>
      <c r="CK437" s="322">
        <f t="shared" si="363"/>
        <v>0.82449664429530201</v>
      </c>
      <c r="CL437" s="307">
        <f>SUM(CL438:CL439)</f>
        <v>70775</v>
      </c>
      <c r="CM437" s="322">
        <f t="shared" si="364"/>
        <v>0.95</v>
      </c>
      <c r="CN437" s="307">
        <f>SUM(CN438:CN439)</f>
        <v>70775</v>
      </c>
      <c r="CO437" s="322">
        <f t="shared" si="365"/>
        <v>0.95</v>
      </c>
      <c r="CP437" s="213" t="str">
        <f t="shared" si="370"/>
        <v>Không đạt</v>
      </c>
      <c r="CQ437" s="213" t="str">
        <f t="shared" si="371"/>
        <v>Không đạt</v>
      </c>
      <c r="CR437" s="312"/>
      <c r="CS437" s="312"/>
      <c r="CT437" s="235"/>
      <c r="CU437" s="163"/>
      <c r="CV437" s="323"/>
      <c r="CW437" s="195"/>
      <c r="CX437" s="196"/>
      <c r="CY437" s="196"/>
      <c r="CZ437" s="197"/>
      <c r="DA437" s="196"/>
      <c r="DB437" s="196"/>
      <c r="DC437" s="196"/>
      <c r="DE437" s="199"/>
      <c r="DF437" s="200"/>
      <c r="DG437" s="181"/>
    </row>
    <row r="438" spans="1:111" ht="29.25" hidden="1" customHeight="1" outlineLevel="1" x14ac:dyDescent="0.25">
      <c r="A438" s="192"/>
      <c r="B438" s="325" t="s">
        <v>454</v>
      </c>
      <c r="C438" s="325"/>
      <c r="D438" s="214">
        <f>E438+F438</f>
        <v>73000</v>
      </c>
      <c r="E438" s="215"/>
      <c r="F438" s="214">
        <f>G438+H438+K438+M438</f>
        <v>73000</v>
      </c>
      <c r="G438" s="223"/>
      <c r="H438" s="257">
        <v>73000</v>
      </c>
      <c r="I438" s="235"/>
      <c r="J438" s="235"/>
      <c r="K438" s="223"/>
      <c r="L438" s="235"/>
      <c r="M438" s="223"/>
      <c r="N438" s="223"/>
      <c r="O438" s="257">
        <f t="shared" si="382"/>
        <v>0</v>
      </c>
      <c r="P438" s="257">
        <v>0</v>
      </c>
      <c r="Q438" s="224">
        <f t="shared" si="367"/>
        <v>0</v>
      </c>
      <c r="R438" s="257">
        <v>0</v>
      </c>
      <c r="S438" s="326">
        <v>0</v>
      </c>
      <c r="T438" s="326">
        <v>0</v>
      </c>
      <c r="U438" s="257">
        <v>0</v>
      </c>
      <c r="V438" s="326">
        <v>0</v>
      </c>
      <c r="W438" s="326">
        <v>0</v>
      </c>
      <c r="X438" s="257">
        <v>0</v>
      </c>
      <c r="Y438" s="326">
        <v>0</v>
      </c>
      <c r="Z438" s="326">
        <v>0</v>
      </c>
      <c r="AA438" s="257">
        <v>0</v>
      </c>
      <c r="AB438" s="326">
        <v>0</v>
      </c>
      <c r="AC438" s="326">
        <v>0</v>
      </c>
      <c r="AD438" s="257">
        <v>0</v>
      </c>
      <c r="AE438" s="326">
        <v>0</v>
      </c>
      <c r="AF438" s="326">
        <v>0</v>
      </c>
      <c r="AG438" s="257">
        <v>0</v>
      </c>
      <c r="AH438" s="326">
        <v>0</v>
      </c>
      <c r="AI438" s="326">
        <v>0</v>
      </c>
      <c r="AJ438" s="257">
        <v>0</v>
      </c>
      <c r="AK438" s="326">
        <v>0</v>
      </c>
      <c r="AL438" s="326">
        <v>0</v>
      </c>
      <c r="AM438" s="257">
        <v>0</v>
      </c>
      <c r="AN438" s="326">
        <v>0</v>
      </c>
      <c r="AO438" s="326">
        <v>0</v>
      </c>
      <c r="AP438" s="326"/>
      <c r="AQ438" s="257">
        <v>0</v>
      </c>
      <c r="AR438" s="326">
        <v>0</v>
      </c>
      <c r="AS438" s="326">
        <v>0</v>
      </c>
      <c r="AT438" s="257">
        <v>0</v>
      </c>
      <c r="AU438" s="326">
        <v>0</v>
      </c>
      <c r="AV438" s="326">
        <v>0</v>
      </c>
      <c r="AW438" s="326"/>
      <c r="AX438" s="326"/>
      <c r="AY438" s="326"/>
      <c r="AZ438" s="326"/>
      <c r="BA438" s="326"/>
      <c r="BB438" s="326"/>
      <c r="BC438" s="257">
        <v>0</v>
      </c>
      <c r="BD438" s="326">
        <v>0</v>
      </c>
      <c r="BE438" s="326">
        <v>0</v>
      </c>
      <c r="BF438" s="350"/>
      <c r="BG438" s="350">
        <v>0</v>
      </c>
      <c r="BH438" s="326">
        <v>0</v>
      </c>
      <c r="BI438" s="326">
        <v>0</v>
      </c>
      <c r="BJ438" s="402">
        <f t="shared" si="368"/>
        <v>69350</v>
      </c>
      <c r="BK438" s="402">
        <v>0</v>
      </c>
      <c r="BL438" s="326">
        <f t="shared" si="354"/>
        <v>0</v>
      </c>
      <c r="BM438" s="326">
        <f t="shared" si="369"/>
        <v>0</v>
      </c>
      <c r="BN438" s="205">
        <f t="shared" si="352"/>
        <v>0</v>
      </c>
      <c r="BO438" s="205"/>
      <c r="BP438" s="227">
        <v>0</v>
      </c>
      <c r="BQ438" s="327">
        <f t="shared" si="355"/>
        <v>0</v>
      </c>
      <c r="BR438" s="227">
        <v>0</v>
      </c>
      <c r="BS438" s="327">
        <f t="shared" si="356"/>
        <v>0</v>
      </c>
      <c r="BT438" s="227">
        <v>5000</v>
      </c>
      <c r="BU438" s="224">
        <f t="shared" si="357"/>
        <v>6.8493150684931503E-2</v>
      </c>
      <c r="BV438" s="227">
        <f>BT438</f>
        <v>5000</v>
      </c>
      <c r="BW438" s="327">
        <f t="shared" si="358"/>
        <v>6.8493150684931503E-2</v>
      </c>
      <c r="BX438" s="227">
        <f>BV438</f>
        <v>5000</v>
      </c>
      <c r="BY438" s="327">
        <f t="shared" si="359"/>
        <v>6.8493150684931503E-2</v>
      </c>
      <c r="BZ438" s="227">
        <f>BX438+15000</f>
        <v>20000</v>
      </c>
      <c r="CA438" s="327">
        <f t="shared" si="360"/>
        <v>0.27397260273972601</v>
      </c>
      <c r="CB438" s="227">
        <f>BZ438+5000</f>
        <v>25000</v>
      </c>
      <c r="CC438" s="327">
        <f t="shared" si="361"/>
        <v>0.34246575342465752</v>
      </c>
      <c r="CD438" s="227">
        <f>CB438+5000</f>
        <v>30000</v>
      </c>
      <c r="CE438" s="327">
        <f t="shared" si="385"/>
        <v>0.41095890410958902</v>
      </c>
      <c r="CF438" s="227">
        <f>CD438+10000</f>
        <v>40000</v>
      </c>
      <c r="CG438" s="327">
        <f t="shared" si="362"/>
        <v>0.54794520547945202</v>
      </c>
      <c r="CH438" s="227">
        <f>CF438+10000</f>
        <v>50000</v>
      </c>
      <c r="CI438" s="327">
        <f t="shared" si="386"/>
        <v>0.68493150684931503</v>
      </c>
      <c r="CJ438" s="227">
        <f>CH438+10000</f>
        <v>60000</v>
      </c>
      <c r="CK438" s="327">
        <f t="shared" si="363"/>
        <v>0.82191780821917804</v>
      </c>
      <c r="CL438" s="227">
        <f>H438*0.95</f>
        <v>69350</v>
      </c>
      <c r="CM438" s="327">
        <f t="shared" si="364"/>
        <v>0.95</v>
      </c>
      <c r="CN438" s="227">
        <f>CL438</f>
        <v>69350</v>
      </c>
      <c r="CO438" s="327">
        <f t="shared" si="365"/>
        <v>0.95</v>
      </c>
      <c r="CP438" s="213" t="str">
        <f t="shared" si="370"/>
        <v>Không đạt</v>
      </c>
      <c r="CQ438" s="213" t="str">
        <f t="shared" si="371"/>
        <v>Không đạt</v>
      </c>
      <c r="CR438" s="192"/>
      <c r="CS438" s="192"/>
      <c r="CT438" s="223"/>
      <c r="CU438" s="163"/>
      <c r="CW438" s="195"/>
      <c r="CX438" s="196"/>
      <c r="CY438" s="196"/>
      <c r="CZ438" s="197"/>
      <c r="DA438" s="196"/>
      <c r="DB438" s="196"/>
      <c r="DC438" s="196"/>
      <c r="DE438" s="199"/>
      <c r="DF438" s="200"/>
      <c r="DG438" s="181"/>
    </row>
    <row r="439" spans="1:111" ht="29.25" hidden="1" customHeight="1" outlineLevel="1" x14ac:dyDescent="0.25">
      <c r="A439" s="192"/>
      <c r="B439" s="325" t="s">
        <v>455</v>
      </c>
      <c r="C439" s="325"/>
      <c r="D439" s="214">
        <f>E439+F439</f>
        <v>1500</v>
      </c>
      <c r="E439" s="215"/>
      <c r="F439" s="214">
        <f>G439+H439+K439+M439</f>
        <v>1500</v>
      </c>
      <c r="G439" s="223"/>
      <c r="H439" s="257">
        <v>1500</v>
      </c>
      <c r="I439" s="235"/>
      <c r="J439" s="235"/>
      <c r="K439" s="223"/>
      <c r="L439" s="235"/>
      <c r="M439" s="223"/>
      <c r="N439" s="223"/>
      <c r="O439" s="257">
        <f t="shared" si="382"/>
        <v>0</v>
      </c>
      <c r="P439" s="257">
        <v>0</v>
      </c>
      <c r="Q439" s="224">
        <f t="shared" si="367"/>
        <v>0</v>
      </c>
      <c r="R439" s="257">
        <v>0</v>
      </c>
      <c r="S439" s="326">
        <v>0</v>
      </c>
      <c r="T439" s="326">
        <v>0</v>
      </c>
      <c r="U439" s="257">
        <v>0</v>
      </c>
      <c r="V439" s="326">
        <v>0</v>
      </c>
      <c r="W439" s="326">
        <v>0</v>
      </c>
      <c r="X439" s="257">
        <v>0</v>
      </c>
      <c r="Y439" s="326">
        <v>0</v>
      </c>
      <c r="Z439" s="326">
        <v>0</v>
      </c>
      <c r="AA439" s="257">
        <v>0</v>
      </c>
      <c r="AB439" s="326">
        <v>0</v>
      </c>
      <c r="AC439" s="326">
        <v>0</v>
      </c>
      <c r="AD439" s="257">
        <v>0</v>
      </c>
      <c r="AE439" s="326">
        <v>0</v>
      </c>
      <c r="AF439" s="326">
        <v>0</v>
      </c>
      <c r="AG439" s="257">
        <v>0</v>
      </c>
      <c r="AH439" s="326">
        <v>0</v>
      </c>
      <c r="AI439" s="326">
        <v>0</v>
      </c>
      <c r="AJ439" s="303">
        <v>0</v>
      </c>
      <c r="AK439" s="326">
        <v>0</v>
      </c>
      <c r="AL439" s="326">
        <v>0</v>
      </c>
      <c r="AM439" s="257">
        <v>0</v>
      </c>
      <c r="AN439" s="326">
        <v>0</v>
      </c>
      <c r="AO439" s="326">
        <v>0</v>
      </c>
      <c r="AP439" s="326"/>
      <c r="AQ439" s="257">
        <v>0</v>
      </c>
      <c r="AR439" s="326">
        <v>0</v>
      </c>
      <c r="AS439" s="326">
        <v>0</v>
      </c>
      <c r="AT439" s="257">
        <v>0</v>
      </c>
      <c r="AU439" s="326">
        <v>0</v>
      </c>
      <c r="AV439" s="326">
        <v>0</v>
      </c>
      <c r="AW439" s="326"/>
      <c r="AX439" s="326"/>
      <c r="AY439" s="326"/>
      <c r="AZ439" s="326"/>
      <c r="BA439" s="326"/>
      <c r="BB439" s="326"/>
      <c r="BC439" s="257">
        <v>0</v>
      </c>
      <c r="BD439" s="326">
        <v>0</v>
      </c>
      <c r="BE439" s="326">
        <v>0</v>
      </c>
      <c r="BF439" s="350"/>
      <c r="BG439" s="350">
        <v>0</v>
      </c>
      <c r="BH439" s="326">
        <v>0</v>
      </c>
      <c r="BI439" s="326">
        <v>0</v>
      </c>
      <c r="BJ439" s="402">
        <f t="shared" si="368"/>
        <v>1425</v>
      </c>
      <c r="BK439" s="402">
        <v>0</v>
      </c>
      <c r="BL439" s="326">
        <f t="shared" si="354"/>
        <v>0</v>
      </c>
      <c r="BM439" s="326">
        <f t="shared" si="369"/>
        <v>0</v>
      </c>
      <c r="BN439" s="205">
        <f t="shared" si="352"/>
        <v>0</v>
      </c>
      <c r="BO439" s="205"/>
      <c r="BP439" s="227">
        <v>0</v>
      </c>
      <c r="BQ439" s="327">
        <f t="shared" si="355"/>
        <v>0</v>
      </c>
      <c r="BR439" s="227">
        <v>0</v>
      </c>
      <c r="BS439" s="327">
        <f t="shared" si="356"/>
        <v>0</v>
      </c>
      <c r="BT439" s="227">
        <v>0</v>
      </c>
      <c r="BU439" s="224">
        <f t="shared" si="357"/>
        <v>0</v>
      </c>
      <c r="BV439" s="227">
        <v>0</v>
      </c>
      <c r="BW439" s="327">
        <f t="shared" si="358"/>
        <v>0</v>
      </c>
      <c r="BX439" s="227">
        <v>0</v>
      </c>
      <c r="BY439" s="327">
        <f t="shared" si="359"/>
        <v>0</v>
      </c>
      <c r="BZ439" s="227">
        <f>1500*0.95</f>
        <v>1425</v>
      </c>
      <c r="CA439" s="327">
        <f t="shared" si="360"/>
        <v>0.95</v>
      </c>
      <c r="CB439" s="227">
        <f>BZ439</f>
        <v>1425</v>
      </c>
      <c r="CC439" s="327">
        <f t="shared" si="361"/>
        <v>0.95</v>
      </c>
      <c r="CD439" s="227">
        <f>CB439</f>
        <v>1425</v>
      </c>
      <c r="CE439" s="327">
        <f t="shared" si="385"/>
        <v>0.95</v>
      </c>
      <c r="CF439" s="227">
        <f>CD439</f>
        <v>1425</v>
      </c>
      <c r="CG439" s="327">
        <f t="shared" si="362"/>
        <v>0.95</v>
      </c>
      <c r="CH439" s="227">
        <f>CF439</f>
        <v>1425</v>
      </c>
      <c r="CI439" s="327">
        <f t="shared" si="386"/>
        <v>0.95</v>
      </c>
      <c r="CJ439" s="227">
        <f>CH439</f>
        <v>1425</v>
      </c>
      <c r="CK439" s="327">
        <f t="shared" si="363"/>
        <v>0.95</v>
      </c>
      <c r="CL439" s="227">
        <f>CJ439</f>
        <v>1425</v>
      </c>
      <c r="CM439" s="327">
        <f t="shared" si="364"/>
        <v>0.95</v>
      </c>
      <c r="CN439" s="227">
        <f>CL439</f>
        <v>1425</v>
      </c>
      <c r="CO439" s="327">
        <f t="shared" si="365"/>
        <v>0.95</v>
      </c>
      <c r="CP439" s="213" t="str">
        <f t="shared" si="370"/>
        <v>Không đạt</v>
      </c>
      <c r="CQ439" s="213" t="str">
        <f t="shared" si="371"/>
        <v>Không đạt</v>
      </c>
      <c r="CR439" s="192"/>
      <c r="CS439" s="192"/>
      <c r="CT439" s="223"/>
      <c r="CU439" s="163"/>
      <c r="CW439" s="195"/>
      <c r="CX439" s="196"/>
      <c r="CY439" s="196"/>
      <c r="CZ439" s="197"/>
      <c r="DA439" s="196"/>
      <c r="DB439" s="196"/>
      <c r="DC439" s="196"/>
      <c r="DE439" s="199"/>
      <c r="DF439" s="200"/>
      <c r="DG439" s="181"/>
    </row>
    <row r="440" spans="1:111" s="324" customFormat="1" hidden="1" outlineLevel="1" x14ac:dyDescent="0.25">
      <c r="A440" s="305" t="s">
        <v>34</v>
      </c>
      <c r="B440" s="318" t="s">
        <v>376</v>
      </c>
      <c r="C440" s="306"/>
      <c r="D440" s="307">
        <f>E440+F440</f>
        <v>3000</v>
      </c>
      <c r="E440" s="307"/>
      <c r="F440" s="307">
        <f>G440+H440+K440+M440</f>
        <v>3000</v>
      </c>
      <c r="G440" s="303">
        <v>3000</v>
      </c>
      <c r="H440" s="303"/>
      <c r="I440" s="235"/>
      <c r="J440" s="235"/>
      <c r="K440" s="303"/>
      <c r="L440" s="235"/>
      <c r="M440" s="223"/>
      <c r="N440" s="223"/>
      <c r="O440" s="303">
        <f t="shared" si="382"/>
        <v>3000</v>
      </c>
      <c r="P440" s="303">
        <v>0</v>
      </c>
      <c r="Q440" s="308">
        <f t="shared" si="367"/>
        <v>0</v>
      </c>
      <c r="R440" s="303">
        <v>0</v>
      </c>
      <c r="S440" s="313">
        <v>0</v>
      </c>
      <c r="T440" s="313">
        <v>0</v>
      </c>
      <c r="U440" s="303">
        <v>173.05199999999999</v>
      </c>
      <c r="V440" s="313">
        <v>5.7683999999999999E-2</v>
      </c>
      <c r="W440" s="313">
        <v>6.0719999999999996E-2</v>
      </c>
      <c r="X440" s="303">
        <v>173.05199999999999</v>
      </c>
      <c r="Y440" s="313">
        <v>5.7683999999999999E-2</v>
      </c>
      <c r="Z440" s="313">
        <v>6.0719999999999996E-2</v>
      </c>
      <c r="AA440" s="303">
        <v>173.05199999999999</v>
      </c>
      <c r="AB440" s="313">
        <v>5.7683999999999999E-2</v>
      </c>
      <c r="AC440" s="313">
        <v>6.0719999999999996E-2</v>
      </c>
      <c r="AD440" s="303">
        <v>173.05199999999999</v>
      </c>
      <c r="AE440" s="313">
        <v>5.7683999999999999E-2</v>
      </c>
      <c r="AF440" s="313">
        <v>6.0719999999999996E-2</v>
      </c>
      <c r="AG440" s="303">
        <v>173.05199999999999</v>
      </c>
      <c r="AH440" s="313">
        <v>5.7683999999999999E-2</v>
      </c>
      <c r="AI440" s="313">
        <v>6.0719999999999996E-2</v>
      </c>
      <c r="AJ440" s="303">
        <v>173.05199999999999</v>
      </c>
      <c r="AK440" s="313">
        <v>5.7683999999999999E-2</v>
      </c>
      <c r="AL440" s="313">
        <v>6.0719999999999996E-2</v>
      </c>
      <c r="AM440" s="303">
        <v>173.05199999999999</v>
      </c>
      <c r="AN440" s="313">
        <v>5.7683999999999999E-2</v>
      </c>
      <c r="AO440" s="313">
        <v>6.0719999999999996E-2</v>
      </c>
      <c r="AP440" s="313"/>
      <c r="AQ440" s="303">
        <v>173.05199999999999</v>
      </c>
      <c r="AR440" s="313">
        <v>5.7683999999999999E-2</v>
      </c>
      <c r="AS440" s="313">
        <v>6.0719999999999996E-2</v>
      </c>
      <c r="AT440" s="303">
        <v>173.05199999999999</v>
      </c>
      <c r="AU440" s="313">
        <v>5.7683999999999999E-2</v>
      </c>
      <c r="AV440" s="313">
        <v>6.0719999999999996E-2</v>
      </c>
      <c r="AW440" s="313"/>
      <c r="AX440" s="313"/>
      <c r="AY440" s="313"/>
      <c r="AZ440" s="313"/>
      <c r="BA440" s="313"/>
      <c r="BB440" s="313"/>
      <c r="BC440" s="303">
        <v>173.05199999999999</v>
      </c>
      <c r="BD440" s="313">
        <v>5.7683999999999999E-2</v>
      </c>
      <c r="BE440" s="313">
        <v>6.0719999999999996E-2</v>
      </c>
      <c r="BF440" s="351"/>
      <c r="BG440" s="351">
        <v>179.46699999999998</v>
      </c>
      <c r="BH440" s="313">
        <v>5.9822333333333332E-2</v>
      </c>
      <c r="BI440" s="313">
        <v>6.2970877192982444E-2</v>
      </c>
      <c r="BJ440" s="349">
        <f t="shared" si="368"/>
        <v>2850</v>
      </c>
      <c r="BK440" s="349">
        <v>179.46699999999998</v>
      </c>
      <c r="BL440" s="313">
        <f t="shared" si="354"/>
        <v>5.9822333333333332E-2</v>
      </c>
      <c r="BM440" s="313">
        <f t="shared" si="369"/>
        <v>6.2970877192982444E-2</v>
      </c>
      <c r="BN440" s="205">
        <f t="shared" si="352"/>
        <v>6.414999999999992</v>
      </c>
      <c r="BO440" s="205"/>
      <c r="BP440" s="310">
        <v>0</v>
      </c>
      <c r="BQ440" s="311">
        <f t="shared" si="355"/>
        <v>0</v>
      </c>
      <c r="BR440" s="310">
        <v>0</v>
      </c>
      <c r="BS440" s="311">
        <f t="shared" si="356"/>
        <v>0</v>
      </c>
      <c r="BT440" s="310">
        <v>500</v>
      </c>
      <c r="BU440" s="308">
        <f t="shared" si="357"/>
        <v>0.16666666666666666</v>
      </c>
      <c r="BV440" s="310">
        <f>BT440+1000</f>
        <v>1500</v>
      </c>
      <c r="BW440" s="311">
        <f t="shared" si="358"/>
        <v>0.5</v>
      </c>
      <c r="BX440" s="310">
        <f>BV440</f>
        <v>1500</v>
      </c>
      <c r="BY440" s="311">
        <f t="shared" si="359"/>
        <v>0.5</v>
      </c>
      <c r="BZ440" s="310">
        <f>G440*0.95</f>
        <v>2850</v>
      </c>
      <c r="CA440" s="311">
        <f t="shared" si="360"/>
        <v>0.95</v>
      </c>
      <c r="CB440" s="310">
        <f>BZ440</f>
        <v>2850</v>
      </c>
      <c r="CC440" s="311">
        <f t="shared" si="361"/>
        <v>0.95</v>
      </c>
      <c r="CD440" s="310">
        <f>CB440</f>
        <v>2850</v>
      </c>
      <c r="CE440" s="311">
        <f t="shared" si="385"/>
        <v>0.95</v>
      </c>
      <c r="CF440" s="310">
        <f>CD440</f>
        <v>2850</v>
      </c>
      <c r="CG440" s="311">
        <f t="shared" si="362"/>
        <v>0.95</v>
      </c>
      <c r="CH440" s="310">
        <f>CF440</f>
        <v>2850</v>
      </c>
      <c r="CI440" s="311">
        <f t="shared" si="386"/>
        <v>0.95</v>
      </c>
      <c r="CJ440" s="310">
        <f>CH440</f>
        <v>2850</v>
      </c>
      <c r="CK440" s="311">
        <f t="shared" si="363"/>
        <v>0.95</v>
      </c>
      <c r="CL440" s="310">
        <f>CJ440</f>
        <v>2850</v>
      </c>
      <c r="CM440" s="311">
        <f t="shared" si="364"/>
        <v>0.95</v>
      </c>
      <c r="CN440" s="310">
        <f>CL440</f>
        <v>2850</v>
      </c>
      <c r="CO440" s="311">
        <f t="shared" si="365"/>
        <v>0.95</v>
      </c>
      <c r="CP440" s="213" t="str">
        <f t="shared" si="370"/>
        <v>Không đạt</v>
      </c>
      <c r="CQ440" s="213" t="str">
        <f t="shared" si="371"/>
        <v>Không đạt</v>
      </c>
      <c r="CR440" s="312"/>
      <c r="CS440" s="312"/>
      <c r="CT440" s="235"/>
      <c r="CU440" s="163"/>
      <c r="CV440" s="323"/>
      <c r="CW440" s="195"/>
      <c r="CX440" s="196"/>
      <c r="CY440" s="196"/>
      <c r="CZ440" s="197"/>
      <c r="DA440" s="196"/>
      <c r="DB440" s="196"/>
      <c r="DC440" s="196"/>
      <c r="DE440" s="199"/>
      <c r="DF440" s="200"/>
      <c r="DG440" s="181"/>
    </row>
    <row r="441" spans="1:111" ht="44.45" hidden="1" customHeight="1" outlineLevel="1" x14ac:dyDescent="0.25">
      <c r="A441" s="305" t="s">
        <v>34</v>
      </c>
      <c r="B441" s="306" t="s">
        <v>377</v>
      </c>
      <c r="C441" s="306"/>
      <c r="D441" s="307">
        <f>E441+F441</f>
        <v>89250</v>
      </c>
      <c r="E441" s="307"/>
      <c r="F441" s="307">
        <f>G441+H441+K441+M441</f>
        <v>89250</v>
      </c>
      <c r="G441" s="307"/>
      <c r="H441" s="307">
        <v>89250</v>
      </c>
      <c r="I441" s="235"/>
      <c r="J441" s="235"/>
      <c r="K441" s="303"/>
      <c r="L441" s="235"/>
      <c r="M441" s="223"/>
      <c r="N441" s="223"/>
      <c r="O441" s="303"/>
      <c r="P441" s="303">
        <v>0</v>
      </c>
      <c r="Q441" s="308">
        <f t="shared" si="367"/>
        <v>0</v>
      </c>
      <c r="R441" s="303">
        <v>0</v>
      </c>
      <c r="S441" s="313">
        <v>0</v>
      </c>
      <c r="T441" s="313">
        <v>0</v>
      </c>
      <c r="U441" s="303">
        <v>0</v>
      </c>
      <c r="V441" s="313">
        <v>0</v>
      </c>
      <c r="W441" s="313">
        <v>0</v>
      </c>
      <c r="X441" s="303">
        <v>0</v>
      </c>
      <c r="Y441" s="313">
        <v>0</v>
      </c>
      <c r="Z441" s="313">
        <v>0</v>
      </c>
      <c r="AA441" s="303">
        <v>0</v>
      </c>
      <c r="AB441" s="313">
        <v>0</v>
      </c>
      <c r="AC441" s="313">
        <v>0</v>
      </c>
      <c r="AD441" s="303">
        <v>1825.829</v>
      </c>
      <c r="AE441" s="313">
        <v>2.0457467787114846E-2</v>
      </c>
      <c r="AF441" s="313">
        <v>2.1534176618015627E-2</v>
      </c>
      <c r="AG441" s="303">
        <v>1825.829</v>
      </c>
      <c r="AH441" s="313">
        <v>2.0457467787114846E-2</v>
      </c>
      <c r="AI441" s="313">
        <v>2.1534176618015627E-2</v>
      </c>
      <c r="AJ441" s="188">
        <v>1825.829</v>
      </c>
      <c r="AK441" s="313">
        <v>2.0457467787114846E-2</v>
      </c>
      <c r="AL441" s="313">
        <v>2.1534176618015627E-2</v>
      </c>
      <c r="AM441" s="303">
        <v>1825.829</v>
      </c>
      <c r="AN441" s="313">
        <v>2.0457467787114846E-2</v>
      </c>
      <c r="AO441" s="313">
        <v>2.1534176618015627E-2</v>
      </c>
      <c r="AP441" s="313"/>
      <c r="AQ441" s="303">
        <v>9317.0190000000002</v>
      </c>
      <c r="AR441" s="313">
        <v>0.10439236974789916</v>
      </c>
      <c r="AS441" s="313">
        <v>0.10988670499778859</v>
      </c>
      <c r="AT441" s="303">
        <v>9317.0190000000002</v>
      </c>
      <c r="AU441" s="313">
        <v>0.10439236974789916</v>
      </c>
      <c r="AV441" s="313">
        <v>0.10988670499778859</v>
      </c>
      <c r="AW441" s="313"/>
      <c r="AX441" s="313"/>
      <c r="AY441" s="313"/>
      <c r="AZ441" s="313"/>
      <c r="BA441" s="313"/>
      <c r="BB441" s="313"/>
      <c r="BC441" s="303">
        <v>9317.0190000000002</v>
      </c>
      <c r="BD441" s="313">
        <v>0.10439236974789916</v>
      </c>
      <c r="BE441" s="313">
        <v>0.10988670499778859</v>
      </c>
      <c r="BF441" s="351"/>
      <c r="BG441" s="351">
        <v>10362.638000000001</v>
      </c>
      <c r="BH441" s="313">
        <v>0.11610798879551822</v>
      </c>
      <c r="BI441" s="313">
        <v>0.12221893557422971</v>
      </c>
      <c r="BJ441" s="349">
        <f t="shared" si="368"/>
        <v>84787.5</v>
      </c>
      <c r="BK441" s="349">
        <v>12943.291000000001</v>
      </c>
      <c r="BL441" s="313">
        <f t="shared" si="354"/>
        <v>0.14502286834733893</v>
      </c>
      <c r="BM441" s="313">
        <f t="shared" si="369"/>
        <v>0.15265565089193572</v>
      </c>
      <c r="BN441" s="205">
        <f t="shared" si="352"/>
        <v>11117.462000000001</v>
      </c>
      <c r="BO441" s="205"/>
      <c r="BP441" s="310">
        <v>0</v>
      </c>
      <c r="BQ441" s="311">
        <f t="shared" si="355"/>
        <v>0</v>
      </c>
      <c r="BR441" s="310">
        <v>0</v>
      </c>
      <c r="BS441" s="311">
        <f t="shared" si="356"/>
        <v>0</v>
      </c>
      <c r="BT441" s="310">
        <v>5000</v>
      </c>
      <c r="BU441" s="308">
        <f t="shared" si="357"/>
        <v>5.6022408963585436E-2</v>
      </c>
      <c r="BV441" s="310">
        <f>BT441</f>
        <v>5000</v>
      </c>
      <c r="BW441" s="311">
        <f t="shared" si="358"/>
        <v>5.6022408963585436E-2</v>
      </c>
      <c r="BX441" s="310">
        <f>BV441+5000</f>
        <v>10000</v>
      </c>
      <c r="BY441" s="311">
        <f t="shared" si="359"/>
        <v>0.11204481792717087</v>
      </c>
      <c r="BZ441" s="310">
        <f>BX441+10000</f>
        <v>20000</v>
      </c>
      <c r="CA441" s="311">
        <f t="shared" si="360"/>
        <v>0.22408963585434175</v>
      </c>
      <c r="CB441" s="310">
        <f>BZ441</f>
        <v>20000</v>
      </c>
      <c r="CC441" s="311">
        <f t="shared" si="361"/>
        <v>0.22408963585434175</v>
      </c>
      <c r="CD441" s="310">
        <f>CB441+10000</f>
        <v>30000</v>
      </c>
      <c r="CE441" s="311">
        <f t="shared" si="385"/>
        <v>0.33613445378151263</v>
      </c>
      <c r="CF441" s="310">
        <f>CD441</f>
        <v>30000</v>
      </c>
      <c r="CG441" s="311">
        <f t="shared" si="362"/>
        <v>0.33613445378151263</v>
      </c>
      <c r="CH441" s="310">
        <f>CF441+30000</f>
        <v>60000</v>
      </c>
      <c r="CI441" s="311">
        <f t="shared" si="386"/>
        <v>0.67226890756302526</v>
      </c>
      <c r="CJ441" s="310">
        <f>CH441+20000</f>
        <v>80000</v>
      </c>
      <c r="CK441" s="311">
        <f t="shared" si="363"/>
        <v>0.89635854341736698</v>
      </c>
      <c r="CL441" s="310">
        <f>D441*0.95</f>
        <v>84787.5</v>
      </c>
      <c r="CM441" s="311">
        <f t="shared" si="364"/>
        <v>0.95</v>
      </c>
      <c r="CN441" s="310">
        <f>CL441</f>
        <v>84787.5</v>
      </c>
      <c r="CO441" s="311">
        <f t="shared" si="365"/>
        <v>0.95</v>
      </c>
      <c r="CP441" s="213" t="str">
        <f t="shared" si="370"/>
        <v>Không đạt</v>
      </c>
      <c r="CQ441" s="213" t="str">
        <f t="shared" si="371"/>
        <v>Không đạt</v>
      </c>
      <c r="CR441" s="312"/>
      <c r="CS441" s="312"/>
      <c r="CT441" s="235"/>
      <c r="CU441" s="163"/>
      <c r="CW441" s="195"/>
      <c r="CX441" s="196"/>
      <c r="CY441" s="196"/>
      <c r="CZ441" s="197"/>
      <c r="DA441" s="196"/>
      <c r="DB441" s="196"/>
      <c r="DC441" s="196"/>
      <c r="DE441" s="199"/>
      <c r="DF441" s="200"/>
      <c r="DG441" s="181"/>
    </row>
    <row r="442" spans="1:111" ht="18" customHeight="1" collapsed="1" x14ac:dyDescent="0.25">
      <c r="A442" s="213">
        <f>MAX(A$239:A440)+1</f>
        <v>60</v>
      </c>
      <c r="B442" s="240" t="s">
        <v>456</v>
      </c>
      <c r="C442" s="240"/>
      <c r="D442" s="188">
        <f t="shared" ref="D442:I442" si="394">D443</f>
        <v>3000</v>
      </c>
      <c r="E442" s="188">
        <f t="shared" si="394"/>
        <v>0</v>
      </c>
      <c r="F442" s="188">
        <f t="shared" si="394"/>
        <v>3000</v>
      </c>
      <c r="G442" s="188">
        <f t="shared" si="394"/>
        <v>3000</v>
      </c>
      <c r="H442" s="188">
        <f t="shared" si="394"/>
        <v>0</v>
      </c>
      <c r="I442" s="188">
        <f t="shared" si="394"/>
        <v>0</v>
      </c>
      <c r="J442" s="188"/>
      <c r="K442" s="188">
        <f>K443</f>
        <v>0</v>
      </c>
      <c r="L442" s="188">
        <f>L443</f>
        <v>0</v>
      </c>
      <c r="M442" s="231"/>
      <c r="N442" s="231"/>
      <c r="O442" s="188">
        <f t="shared" si="382"/>
        <v>3000</v>
      </c>
      <c r="P442" s="188">
        <v>0</v>
      </c>
      <c r="Q442" s="186">
        <f t="shared" si="367"/>
        <v>0</v>
      </c>
      <c r="R442" s="188">
        <v>0</v>
      </c>
      <c r="S442" s="185">
        <v>0</v>
      </c>
      <c r="T442" s="185">
        <v>0</v>
      </c>
      <c r="U442" s="188">
        <v>722.93299999999999</v>
      </c>
      <c r="V442" s="185">
        <v>0.24097766666666667</v>
      </c>
      <c r="W442" s="185">
        <v>0.25366070175438599</v>
      </c>
      <c r="X442" s="188">
        <v>722.93299999999999</v>
      </c>
      <c r="Y442" s="185">
        <v>0.24097766666666667</v>
      </c>
      <c r="Z442" s="185">
        <v>0.25366070175438599</v>
      </c>
      <c r="AA442" s="188">
        <v>722.93299999999999</v>
      </c>
      <c r="AB442" s="185">
        <v>0.24097766666666667</v>
      </c>
      <c r="AC442" s="185">
        <v>0.25366070175438599</v>
      </c>
      <c r="AD442" s="188">
        <v>745.35299999999995</v>
      </c>
      <c r="AE442" s="185">
        <v>0.24845099999999998</v>
      </c>
      <c r="AF442" s="185">
        <v>0.26152736842105262</v>
      </c>
      <c r="AG442" s="188">
        <v>745.35299999999995</v>
      </c>
      <c r="AH442" s="185">
        <v>0.24845099999999998</v>
      </c>
      <c r="AI442" s="185">
        <v>0.26152736842105262</v>
      </c>
      <c r="AJ442" s="303">
        <v>745.35299999999995</v>
      </c>
      <c r="AK442" s="185">
        <v>0.24845099999999998</v>
      </c>
      <c r="AL442" s="185">
        <v>0.26152736842105262</v>
      </c>
      <c r="AM442" s="188">
        <v>745.35299999999995</v>
      </c>
      <c r="AN442" s="185">
        <v>0.24845099999999998</v>
      </c>
      <c r="AO442" s="185">
        <v>0.26152736842105262</v>
      </c>
      <c r="AP442" s="185"/>
      <c r="AQ442" s="188">
        <v>745.35299999999995</v>
      </c>
      <c r="AR442" s="185">
        <v>0.24845099999999998</v>
      </c>
      <c r="AS442" s="185">
        <v>0.26152736842105262</v>
      </c>
      <c r="AT442" s="188">
        <v>745.35299999999995</v>
      </c>
      <c r="AU442" s="185">
        <v>0.24845099999999998</v>
      </c>
      <c r="AV442" s="185">
        <v>0.26152736842105262</v>
      </c>
      <c r="AW442" s="185"/>
      <c r="AX442" s="185"/>
      <c r="AY442" s="185"/>
      <c r="AZ442" s="185"/>
      <c r="BA442" s="185"/>
      <c r="BB442" s="185"/>
      <c r="BC442" s="188">
        <v>745.35299999999995</v>
      </c>
      <c r="BD442" s="185">
        <v>0.24845099999999998</v>
      </c>
      <c r="BE442" s="185">
        <v>0.26152736842105262</v>
      </c>
      <c r="BF442" s="352"/>
      <c r="BG442" s="352">
        <v>1268</v>
      </c>
      <c r="BH442" s="185">
        <v>0.42266666666666669</v>
      </c>
      <c r="BI442" s="185">
        <v>0.44491228070175437</v>
      </c>
      <c r="BJ442" s="374">
        <f t="shared" si="368"/>
        <v>2850</v>
      </c>
      <c r="BK442" s="374">
        <v>1746</v>
      </c>
      <c r="BL442" s="185">
        <f t="shared" si="354"/>
        <v>0.58199999999999996</v>
      </c>
      <c r="BM442" s="185">
        <f t="shared" si="369"/>
        <v>0.61263157894736842</v>
      </c>
      <c r="BN442" s="205">
        <f t="shared" si="352"/>
        <v>1000.647</v>
      </c>
      <c r="BO442" s="205"/>
      <c r="BP442" s="189">
        <f>BP443</f>
        <v>0</v>
      </c>
      <c r="BQ442" s="186">
        <f t="shared" si="355"/>
        <v>0</v>
      </c>
      <c r="BR442" s="189">
        <f>BR443</f>
        <v>0</v>
      </c>
      <c r="BS442" s="186">
        <f t="shared" si="356"/>
        <v>0</v>
      </c>
      <c r="BT442" s="189">
        <f>BT443</f>
        <v>0</v>
      </c>
      <c r="BU442" s="186">
        <f t="shared" si="357"/>
        <v>0</v>
      </c>
      <c r="BV442" s="189">
        <f>BV443</f>
        <v>800</v>
      </c>
      <c r="BW442" s="186">
        <f t="shared" si="358"/>
        <v>0.26666666666666666</v>
      </c>
      <c r="BX442" s="189">
        <f>BX443</f>
        <v>800</v>
      </c>
      <c r="BY442" s="186">
        <f t="shared" si="359"/>
        <v>0.26666666666666666</v>
      </c>
      <c r="BZ442" s="189">
        <f>BZ443</f>
        <v>2250</v>
      </c>
      <c r="CA442" s="186">
        <f t="shared" si="360"/>
        <v>0.75</v>
      </c>
      <c r="CB442" s="189">
        <f>CB443</f>
        <v>2250</v>
      </c>
      <c r="CC442" s="186">
        <f t="shared" si="361"/>
        <v>0.75</v>
      </c>
      <c r="CD442" s="189">
        <f>CD443</f>
        <v>2850</v>
      </c>
      <c r="CE442" s="186">
        <f t="shared" si="385"/>
        <v>0.95</v>
      </c>
      <c r="CF442" s="189">
        <f>CF443</f>
        <v>2850</v>
      </c>
      <c r="CG442" s="186">
        <f t="shared" si="362"/>
        <v>0.95</v>
      </c>
      <c r="CH442" s="189">
        <f>CH443</f>
        <v>2850</v>
      </c>
      <c r="CI442" s="186">
        <f t="shared" si="386"/>
        <v>0.95</v>
      </c>
      <c r="CJ442" s="189">
        <f>CJ443</f>
        <v>2850</v>
      </c>
      <c r="CK442" s="186">
        <f t="shared" si="363"/>
        <v>0.95</v>
      </c>
      <c r="CL442" s="189">
        <f>CL443</f>
        <v>2850</v>
      </c>
      <c r="CM442" s="186">
        <f t="shared" si="364"/>
        <v>0.95</v>
      </c>
      <c r="CN442" s="189">
        <f>CN443</f>
        <v>2850</v>
      </c>
      <c r="CO442" s="186">
        <f t="shared" si="365"/>
        <v>0.95</v>
      </c>
      <c r="CP442" s="213" t="str">
        <f t="shared" si="370"/>
        <v>Đạt</v>
      </c>
      <c r="CQ442" s="213" t="str">
        <f t="shared" si="371"/>
        <v>Đạt</v>
      </c>
      <c r="CR442" s="213"/>
      <c r="CS442" s="213"/>
      <c r="CT442" s="231"/>
      <c r="CU442" s="163"/>
      <c r="CW442" s="195"/>
      <c r="CX442" s="196"/>
      <c r="CY442" s="196"/>
      <c r="CZ442" s="197"/>
      <c r="DA442" s="196"/>
      <c r="DB442" s="196"/>
      <c r="DC442" s="196"/>
      <c r="DE442" s="199"/>
      <c r="DF442" s="200"/>
      <c r="DG442" s="181"/>
    </row>
    <row r="443" spans="1:111" s="324" customFormat="1" hidden="1" outlineLevel="1" x14ac:dyDescent="0.25">
      <c r="A443" s="305" t="s">
        <v>34</v>
      </c>
      <c r="B443" s="318" t="s">
        <v>376</v>
      </c>
      <c r="C443" s="306"/>
      <c r="D443" s="307">
        <f>E443+F443</f>
        <v>3000</v>
      </c>
      <c r="E443" s="307"/>
      <c r="F443" s="307">
        <f>G443+H443+K443+M443</f>
        <v>3000</v>
      </c>
      <c r="G443" s="303">
        <v>3000</v>
      </c>
      <c r="H443" s="303"/>
      <c r="I443" s="235"/>
      <c r="J443" s="235"/>
      <c r="K443" s="303"/>
      <c r="L443" s="235"/>
      <c r="M443" s="223"/>
      <c r="N443" s="223"/>
      <c r="O443" s="303">
        <f t="shared" si="382"/>
        <v>3000</v>
      </c>
      <c r="P443" s="303">
        <v>0</v>
      </c>
      <c r="Q443" s="308">
        <f t="shared" si="367"/>
        <v>0</v>
      </c>
      <c r="R443" s="303"/>
      <c r="S443" s="313">
        <v>0</v>
      </c>
      <c r="T443" s="313">
        <v>0</v>
      </c>
      <c r="U443" s="303">
        <v>722.93299999999999</v>
      </c>
      <c r="V443" s="313">
        <v>0.24097766666666667</v>
      </c>
      <c r="W443" s="313">
        <v>0.25366070175438599</v>
      </c>
      <c r="X443" s="303">
        <v>722.93299999999999</v>
      </c>
      <c r="Y443" s="313">
        <v>0.24097766666666667</v>
      </c>
      <c r="Z443" s="313">
        <v>0.25366070175438599</v>
      </c>
      <c r="AA443" s="303">
        <v>722.93299999999999</v>
      </c>
      <c r="AB443" s="313">
        <v>0.24097766666666667</v>
      </c>
      <c r="AC443" s="313">
        <v>0.25366070175438599</v>
      </c>
      <c r="AD443" s="303">
        <v>745.35299999999995</v>
      </c>
      <c r="AE443" s="313">
        <v>0.24845099999999998</v>
      </c>
      <c r="AF443" s="313">
        <v>0.26152736842105262</v>
      </c>
      <c r="AG443" s="303">
        <v>745.35299999999995</v>
      </c>
      <c r="AH443" s="313">
        <v>0.24845099999999998</v>
      </c>
      <c r="AI443" s="313">
        <v>0.26152736842105262</v>
      </c>
      <c r="AJ443" s="304">
        <v>745.35299999999995</v>
      </c>
      <c r="AK443" s="313">
        <v>0.24845099999999998</v>
      </c>
      <c r="AL443" s="313">
        <v>0.26152736842105262</v>
      </c>
      <c r="AM443" s="303">
        <v>745.35299999999995</v>
      </c>
      <c r="AN443" s="313">
        <v>0.24845099999999998</v>
      </c>
      <c r="AO443" s="313">
        <v>0.26152736842105262</v>
      </c>
      <c r="AP443" s="313"/>
      <c r="AQ443" s="303">
        <v>745.35299999999995</v>
      </c>
      <c r="AR443" s="313">
        <v>0.24845099999999998</v>
      </c>
      <c r="AS443" s="313">
        <v>0.26152736842105262</v>
      </c>
      <c r="AT443" s="303">
        <v>745.35299999999995</v>
      </c>
      <c r="AU443" s="313">
        <v>0.24845099999999998</v>
      </c>
      <c r="AV443" s="313">
        <v>0.26152736842105262</v>
      </c>
      <c r="AW443" s="313"/>
      <c r="AX443" s="313"/>
      <c r="AY443" s="313"/>
      <c r="AZ443" s="313"/>
      <c r="BA443" s="313"/>
      <c r="BB443" s="313"/>
      <c r="BC443" s="303">
        <v>745.35299999999995</v>
      </c>
      <c r="BD443" s="313">
        <v>0.24845099999999998</v>
      </c>
      <c r="BE443" s="313">
        <v>0.26152736842105262</v>
      </c>
      <c r="BF443" s="351"/>
      <c r="BG443" s="351">
        <v>1268</v>
      </c>
      <c r="BH443" s="313">
        <v>0.42266666666666669</v>
      </c>
      <c r="BI443" s="313">
        <v>0.44491228070175437</v>
      </c>
      <c r="BJ443" s="349">
        <f t="shared" si="368"/>
        <v>2850</v>
      </c>
      <c r="BK443" s="349">
        <v>1379</v>
      </c>
      <c r="BL443" s="313">
        <f t="shared" si="354"/>
        <v>0.45966666666666667</v>
      </c>
      <c r="BM443" s="313">
        <f t="shared" si="369"/>
        <v>0.48385964912280705</v>
      </c>
      <c r="BN443" s="205">
        <f t="shared" si="352"/>
        <v>633.64700000000005</v>
      </c>
      <c r="BO443" s="205"/>
      <c r="BP443" s="310"/>
      <c r="BQ443" s="311">
        <f t="shared" si="355"/>
        <v>0</v>
      </c>
      <c r="BR443" s="310"/>
      <c r="BS443" s="311">
        <f t="shared" si="356"/>
        <v>0</v>
      </c>
      <c r="BT443" s="310"/>
      <c r="BU443" s="308">
        <f t="shared" si="357"/>
        <v>0</v>
      </c>
      <c r="BV443" s="310">
        <v>800</v>
      </c>
      <c r="BW443" s="311">
        <f t="shared" si="358"/>
        <v>0.26666666666666666</v>
      </c>
      <c r="BX443" s="310">
        <v>800</v>
      </c>
      <c r="BY443" s="311">
        <f t="shared" si="359"/>
        <v>0.26666666666666666</v>
      </c>
      <c r="BZ443" s="310">
        <f>900+250+600+500</f>
        <v>2250</v>
      </c>
      <c r="CA443" s="311">
        <f t="shared" si="360"/>
        <v>0.75</v>
      </c>
      <c r="CB443" s="310">
        <f>900+250+600+500</f>
        <v>2250</v>
      </c>
      <c r="CC443" s="311">
        <f t="shared" si="361"/>
        <v>0.75</v>
      </c>
      <c r="CD443" s="310">
        <v>2850</v>
      </c>
      <c r="CE443" s="311">
        <f t="shared" si="385"/>
        <v>0.95</v>
      </c>
      <c r="CF443" s="310">
        <v>2850</v>
      </c>
      <c r="CG443" s="311">
        <f t="shared" si="362"/>
        <v>0.95</v>
      </c>
      <c r="CH443" s="310">
        <v>2850</v>
      </c>
      <c r="CI443" s="311">
        <f t="shared" si="386"/>
        <v>0.95</v>
      </c>
      <c r="CJ443" s="310">
        <v>2850</v>
      </c>
      <c r="CK443" s="311">
        <f t="shared" si="363"/>
        <v>0.95</v>
      </c>
      <c r="CL443" s="310">
        <v>2850</v>
      </c>
      <c r="CM443" s="311">
        <f t="shared" si="364"/>
        <v>0.95</v>
      </c>
      <c r="CN443" s="310">
        <v>2850</v>
      </c>
      <c r="CO443" s="311">
        <f t="shared" si="365"/>
        <v>0.95</v>
      </c>
      <c r="CP443" s="213" t="str">
        <f t="shared" si="370"/>
        <v>Đạt</v>
      </c>
      <c r="CQ443" s="213" t="str">
        <f t="shared" si="371"/>
        <v>Đạt</v>
      </c>
      <c r="CR443" s="312"/>
      <c r="CS443" s="312"/>
      <c r="CT443" s="235"/>
      <c r="CU443" s="163"/>
      <c r="CV443" s="323"/>
      <c r="CW443" s="195"/>
      <c r="CX443" s="196"/>
      <c r="CY443" s="196"/>
      <c r="CZ443" s="197"/>
      <c r="DA443" s="196"/>
      <c r="DB443" s="196"/>
      <c r="DC443" s="196"/>
      <c r="DE443" s="199"/>
      <c r="DF443" s="200"/>
      <c r="DG443" s="181"/>
    </row>
    <row r="444" spans="1:111" ht="18" customHeight="1" collapsed="1" x14ac:dyDescent="0.25">
      <c r="A444" s="213">
        <f>MAX(A$239:A443)+1</f>
        <v>61</v>
      </c>
      <c r="B444" s="240" t="s">
        <v>457</v>
      </c>
      <c r="C444" s="240"/>
      <c r="D444" s="188">
        <f t="shared" ref="D444:I444" si="395">D445+D446</f>
        <v>3255</v>
      </c>
      <c r="E444" s="188">
        <f t="shared" si="395"/>
        <v>0</v>
      </c>
      <c r="F444" s="188">
        <f t="shared" si="395"/>
        <v>3255</v>
      </c>
      <c r="G444" s="188">
        <f t="shared" si="395"/>
        <v>3000</v>
      </c>
      <c r="H444" s="188">
        <f t="shared" si="395"/>
        <v>255</v>
      </c>
      <c r="I444" s="188">
        <f t="shared" si="395"/>
        <v>0</v>
      </c>
      <c r="J444" s="188"/>
      <c r="K444" s="188">
        <f>K445+K446</f>
        <v>0</v>
      </c>
      <c r="L444" s="188">
        <f>L445+L446</f>
        <v>0</v>
      </c>
      <c r="M444" s="188">
        <f>M445+M446</f>
        <v>0</v>
      </c>
      <c r="N444" s="188">
        <f>N445+N446</f>
        <v>0</v>
      </c>
      <c r="O444" s="188">
        <f>O445+O446</f>
        <v>3000</v>
      </c>
      <c r="P444" s="188">
        <v>550</v>
      </c>
      <c r="Q444" s="186">
        <f t="shared" si="367"/>
        <v>0.16897081413210446</v>
      </c>
      <c r="R444" s="189">
        <v>599.4</v>
      </c>
      <c r="S444" s="185">
        <v>0.18414746543778801</v>
      </c>
      <c r="T444" s="185">
        <v>0.19383943730293474</v>
      </c>
      <c r="U444" s="304">
        <v>2766.8240000000001</v>
      </c>
      <c r="V444" s="185">
        <v>0.85002273425499231</v>
      </c>
      <c r="W444" s="185">
        <v>0.8947607728999919</v>
      </c>
      <c r="X444" s="304">
        <v>2766.8240000000001</v>
      </c>
      <c r="Y444" s="185">
        <v>0.85002273425499231</v>
      </c>
      <c r="Z444" s="185">
        <v>0.8947607728999919</v>
      </c>
      <c r="AA444" s="304">
        <v>2766.8240000000001</v>
      </c>
      <c r="AB444" s="185">
        <v>0.85002273425499231</v>
      </c>
      <c r="AC444" s="185">
        <v>0.8947607728999919</v>
      </c>
      <c r="AD444" s="304">
        <v>2766.8240000000001</v>
      </c>
      <c r="AE444" s="185">
        <v>0.85002273425499231</v>
      </c>
      <c r="AF444" s="185">
        <v>0.8947607728999919</v>
      </c>
      <c r="AG444" s="304">
        <v>2766.8240000000001</v>
      </c>
      <c r="AH444" s="185">
        <v>0.85002273425499231</v>
      </c>
      <c r="AI444" s="185">
        <v>0.8947607728999919</v>
      </c>
      <c r="AJ444" s="303">
        <v>2766.8240000000001</v>
      </c>
      <c r="AK444" s="185">
        <v>0.85002273425499231</v>
      </c>
      <c r="AL444" s="185">
        <v>0.8947607728999919</v>
      </c>
      <c r="AM444" s="304">
        <v>2766.8240000000001</v>
      </c>
      <c r="AN444" s="185">
        <v>0.85002273425499231</v>
      </c>
      <c r="AO444" s="185">
        <v>0.8947607728999919</v>
      </c>
      <c r="AP444" s="185"/>
      <c r="AQ444" s="189">
        <v>2811.4720000000002</v>
      </c>
      <c r="AR444" s="185">
        <v>0.86373947772657456</v>
      </c>
      <c r="AS444" s="185">
        <v>0.90919945023849957</v>
      </c>
      <c r="AT444" s="189">
        <v>2811.4720000000002</v>
      </c>
      <c r="AU444" s="185">
        <v>0.86373947772657456</v>
      </c>
      <c r="AV444" s="185">
        <v>0.90919945023849957</v>
      </c>
      <c r="AW444" s="185"/>
      <c r="AX444" s="185"/>
      <c r="AY444" s="185"/>
      <c r="AZ444" s="185"/>
      <c r="BA444" s="185"/>
      <c r="BB444" s="185"/>
      <c r="BC444" s="189">
        <v>2811.4720000000002</v>
      </c>
      <c r="BD444" s="185">
        <v>0.86373947772657456</v>
      </c>
      <c r="BE444" s="185">
        <v>0.90919945023849957</v>
      </c>
      <c r="BF444" s="352"/>
      <c r="BG444" s="352">
        <v>2850.4720000000002</v>
      </c>
      <c r="BH444" s="185">
        <v>0.87572104454685107</v>
      </c>
      <c r="BI444" s="185">
        <v>0.92181162583879062</v>
      </c>
      <c r="BJ444" s="374">
        <f t="shared" si="368"/>
        <v>3092.25</v>
      </c>
      <c r="BK444" s="374">
        <v>2850.4720000000002</v>
      </c>
      <c r="BL444" s="185">
        <f t="shared" si="354"/>
        <v>0.87572104454685107</v>
      </c>
      <c r="BM444" s="185">
        <f t="shared" si="369"/>
        <v>0.92181162583879062</v>
      </c>
      <c r="BN444" s="205">
        <f t="shared" si="352"/>
        <v>83.648000000000138</v>
      </c>
      <c r="BO444" s="205"/>
      <c r="BP444" s="189">
        <f>BP445+BP446</f>
        <v>0</v>
      </c>
      <c r="BQ444" s="186">
        <f t="shared" si="355"/>
        <v>0</v>
      </c>
      <c r="BR444" s="189">
        <f>BR445+BR446</f>
        <v>0</v>
      </c>
      <c r="BS444" s="186">
        <f t="shared" si="356"/>
        <v>0</v>
      </c>
      <c r="BT444" s="189">
        <f>BT445+BT446</f>
        <v>500</v>
      </c>
      <c r="BU444" s="186">
        <f t="shared" si="357"/>
        <v>0.15360983102918588</v>
      </c>
      <c r="BV444" s="189">
        <f>BV445+BV446</f>
        <v>1500</v>
      </c>
      <c r="BW444" s="186">
        <f t="shared" si="358"/>
        <v>0.46082949308755761</v>
      </c>
      <c r="BX444" s="189">
        <f>BX445+BX446</f>
        <v>1500</v>
      </c>
      <c r="BY444" s="186">
        <f t="shared" si="359"/>
        <v>0.46082949308755761</v>
      </c>
      <c r="BZ444" s="189">
        <f>BZ445+BZ446</f>
        <v>2850</v>
      </c>
      <c r="CA444" s="186">
        <f t="shared" si="360"/>
        <v>0.87557603686635943</v>
      </c>
      <c r="CB444" s="189">
        <f>CB445+CB446</f>
        <v>2850</v>
      </c>
      <c r="CC444" s="186">
        <f t="shared" si="361"/>
        <v>0.87557603686635943</v>
      </c>
      <c r="CD444" s="189">
        <f>CD445+CD446</f>
        <v>2850</v>
      </c>
      <c r="CE444" s="186">
        <f t="shared" si="385"/>
        <v>0.87557603686635943</v>
      </c>
      <c r="CF444" s="189">
        <f>CF445+CF446</f>
        <v>2900</v>
      </c>
      <c r="CG444" s="186">
        <f t="shared" si="362"/>
        <v>0.89093701996927799</v>
      </c>
      <c r="CH444" s="189">
        <f>CH445+CH446</f>
        <v>3027</v>
      </c>
      <c r="CI444" s="186">
        <f t="shared" si="386"/>
        <v>0.92995391705069119</v>
      </c>
      <c r="CJ444" s="189">
        <f>CJ445+CJ446</f>
        <v>3048</v>
      </c>
      <c r="CK444" s="186">
        <f t="shared" si="363"/>
        <v>0.93640552995391702</v>
      </c>
      <c r="CL444" s="189">
        <f>CL445+CL446</f>
        <v>3063</v>
      </c>
      <c r="CM444" s="186">
        <f t="shared" si="364"/>
        <v>0.94101382488479257</v>
      </c>
      <c r="CN444" s="189">
        <f>CN445+CN446</f>
        <v>3092.25</v>
      </c>
      <c r="CO444" s="186">
        <f t="shared" si="365"/>
        <v>0.95</v>
      </c>
      <c r="CP444" s="213" t="str">
        <f t="shared" si="370"/>
        <v>Đạt</v>
      </c>
      <c r="CQ444" s="213" t="str">
        <f t="shared" si="371"/>
        <v>Đạt</v>
      </c>
      <c r="CR444" s="213"/>
      <c r="CS444" s="213"/>
      <c r="CT444" s="231"/>
      <c r="CU444" s="163"/>
      <c r="CW444" s="195"/>
      <c r="CX444" s="196"/>
      <c r="CY444" s="196"/>
      <c r="CZ444" s="197"/>
      <c r="DA444" s="196"/>
      <c r="DB444" s="196"/>
      <c r="DC444" s="196"/>
      <c r="DE444" s="199"/>
      <c r="DF444" s="200"/>
      <c r="DG444" s="181"/>
    </row>
    <row r="445" spans="1:111" s="324" customFormat="1" hidden="1" outlineLevel="1" x14ac:dyDescent="0.25">
      <c r="A445" s="305" t="s">
        <v>34</v>
      </c>
      <c r="B445" s="318" t="s">
        <v>376</v>
      </c>
      <c r="C445" s="306"/>
      <c r="D445" s="307">
        <f>E445+F445</f>
        <v>3000</v>
      </c>
      <c r="E445" s="307"/>
      <c r="F445" s="307">
        <f>G445+H445+K445+M445</f>
        <v>3000</v>
      </c>
      <c r="G445" s="303">
        <v>3000</v>
      </c>
      <c r="H445" s="303"/>
      <c r="I445" s="235"/>
      <c r="J445" s="235"/>
      <c r="K445" s="303"/>
      <c r="L445" s="235"/>
      <c r="M445" s="223"/>
      <c r="N445" s="223"/>
      <c r="O445" s="303">
        <f t="shared" si="382"/>
        <v>3000</v>
      </c>
      <c r="P445" s="303">
        <v>0</v>
      </c>
      <c r="Q445" s="308">
        <f t="shared" si="367"/>
        <v>0</v>
      </c>
      <c r="R445" s="303">
        <v>599.4</v>
      </c>
      <c r="S445" s="313">
        <v>0.19980000000000001</v>
      </c>
      <c r="T445" s="313">
        <v>0.21031578947368421</v>
      </c>
      <c r="U445" s="303">
        <v>2766.8240000000001</v>
      </c>
      <c r="V445" s="313">
        <v>0.92227466666666669</v>
      </c>
      <c r="W445" s="313">
        <v>0.97081543859649122</v>
      </c>
      <c r="X445" s="303">
        <v>2766.8240000000001</v>
      </c>
      <c r="Y445" s="313">
        <v>0.92227466666666669</v>
      </c>
      <c r="Z445" s="313">
        <v>0.97081543859649122</v>
      </c>
      <c r="AA445" s="303">
        <v>2766.8240000000001</v>
      </c>
      <c r="AB445" s="313">
        <v>0.92227466666666669</v>
      </c>
      <c r="AC445" s="313">
        <v>0.97081543859649122</v>
      </c>
      <c r="AD445" s="303">
        <v>2766.8240000000001</v>
      </c>
      <c r="AE445" s="313">
        <v>0.92227466666666669</v>
      </c>
      <c r="AF445" s="313">
        <v>0.97081543859649122</v>
      </c>
      <c r="AG445" s="303">
        <v>2766.8240000000001</v>
      </c>
      <c r="AH445" s="313">
        <v>0.92227466666666669</v>
      </c>
      <c r="AI445" s="313">
        <v>0.97081543859649122</v>
      </c>
      <c r="AJ445" s="303">
        <v>2766.8240000000001</v>
      </c>
      <c r="AK445" s="313">
        <v>0.92227466666666669</v>
      </c>
      <c r="AL445" s="313">
        <v>0.97081543859649122</v>
      </c>
      <c r="AM445" s="303">
        <v>2766.8240000000001</v>
      </c>
      <c r="AN445" s="313">
        <v>0.92227466666666669</v>
      </c>
      <c r="AO445" s="313">
        <v>0.97081543859649122</v>
      </c>
      <c r="AP445" s="313"/>
      <c r="AQ445" s="303">
        <v>2811.4720000000002</v>
      </c>
      <c r="AR445" s="313">
        <v>0.9371573333333334</v>
      </c>
      <c r="AS445" s="313">
        <v>0.986481403508772</v>
      </c>
      <c r="AT445" s="303">
        <v>2811.4720000000002</v>
      </c>
      <c r="AU445" s="313">
        <v>0.9371573333333334</v>
      </c>
      <c r="AV445" s="313">
        <v>0.986481403508772</v>
      </c>
      <c r="AW445" s="313"/>
      <c r="AX445" s="313"/>
      <c r="AY445" s="313"/>
      <c r="AZ445" s="313"/>
      <c r="BA445" s="313"/>
      <c r="BB445" s="313"/>
      <c r="BC445" s="303">
        <v>2811.4720000000002</v>
      </c>
      <c r="BD445" s="313">
        <v>0.9371573333333334</v>
      </c>
      <c r="BE445" s="313">
        <v>0.986481403508772</v>
      </c>
      <c r="BF445" s="351"/>
      <c r="BG445" s="351">
        <v>2850.4720000000002</v>
      </c>
      <c r="BH445" s="313">
        <v>0.95015733333333341</v>
      </c>
      <c r="BI445" s="313">
        <v>1.0001656140350879</v>
      </c>
      <c r="BJ445" s="349">
        <f t="shared" si="368"/>
        <v>2850</v>
      </c>
      <c r="BK445" s="349">
        <v>2850.4720000000002</v>
      </c>
      <c r="BL445" s="313">
        <f t="shared" si="354"/>
        <v>0.95015733333333341</v>
      </c>
      <c r="BM445" s="313">
        <f t="shared" si="369"/>
        <v>1.0001656140350879</v>
      </c>
      <c r="BN445" s="205">
        <f t="shared" si="352"/>
        <v>83.648000000000138</v>
      </c>
      <c r="BO445" s="205"/>
      <c r="BP445" s="310"/>
      <c r="BQ445" s="311">
        <f t="shared" si="355"/>
        <v>0</v>
      </c>
      <c r="BR445" s="310"/>
      <c r="BS445" s="311">
        <f t="shared" si="356"/>
        <v>0</v>
      </c>
      <c r="BT445" s="310">
        <v>500</v>
      </c>
      <c r="BU445" s="308">
        <f t="shared" si="357"/>
        <v>0.16666666666666666</v>
      </c>
      <c r="BV445" s="310">
        <v>1500</v>
      </c>
      <c r="BW445" s="311">
        <f t="shared" si="358"/>
        <v>0.5</v>
      </c>
      <c r="BX445" s="310">
        <v>1500</v>
      </c>
      <c r="BY445" s="311">
        <f t="shared" si="359"/>
        <v>0.5</v>
      </c>
      <c r="BZ445" s="310">
        <v>2850</v>
      </c>
      <c r="CA445" s="311">
        <f t="shared" si="360"/>
        <v>0.95</v>
      </c>
      <c r="CB445" s="310">
        <v>2850</v>
      </c>
      <c r="CC445" s="311">
        <f t="shared" si="361"/>
        <v>0.95</v>
      </c>
      <c r="CD445" s="310">
        <v>2850</v>
      </c>
      <c r="CE445" s="311">
        <f t="shared" si="385"/>
        <v>0.95</v>
      </c>
      <c r="CF445" s="310">
        <v>2850</v>
      </c>
      <c r="CG445" s="311">
        <f t="shared" si="362"/>
        <v>0.95</v>
      </c>
      <c r="CH445" s="310">
        <v>2850</v>
      </c>
      <c r="CI445" s="311">
        <f t="shared" si="386"/>
        <v>0.95</v>
      </c>
      <c r="CJ445" s="310">
        <v>2850</v>
      </c>
      <c r="CK445" s="311">
        <f t="shared" si="363"/>
        <v>0.95</v>
      </c>
      <c r="CL445" s="310">
        <v>2850</v>
      </c>
      <c r="CM445" s="311">
        <f t="shared" si="364"/>
        <v>0.95</v>
      </c>
      <c r="CN445" s="310">
        <v>2850</v>
      </c>
      <c r="CO445" s="311">
        <f t="shared" si="365"/>
        <v>0.95</v>
      </c>
      <c r="CP445" s="213" t="str">
        <f t="shared" si="370"/>
        <v>Đạt</v>
      </c>
      <c r="CQ445" s="213" t="str">
        <f t="shared" si="371"/>
        <v>Đạt</v>
      </c>
      <c r="CR445" s="312"/>
      <c r="CS445" s="312"/>
      <c r="CT445" s="235"/>
      <c r="CU445" s="163"/>
      <c r="CV445" s="323"/>
      <c r="CW445" s="195"/>
      <c r="CX445" s="196"/>
      <c r="CY445" s="196"/>
      <c r="CZ445" s="197"/>
      <c r="DA445" s="196"/>
      <c r="DB445" s="196"/>
      <c r="DC445" s="196"/>
      <c r="DE445" s="199"/>
      <c r="DF445" s="200"/>
      <c r="DG445" s="181"/>
    </row>
    <row r="446" spans="1:111" ht="25.5" hidden="1" outlineLevel="1" x14ac:dyDescent="0.25">
      <c r="A446" s="305" t="s">
        <v>34</v>
      </c>
      <c r="B446" s="306" t="s">
        <v>377</v>
      </c>
      <c r="C446" s="306"/>
      <c r="D446" s="307">
        <f>E446+F446</f>
        <v>255</v>
      </c>
      <c r="E446" s="307"/>
      <c r="F446" s="307">
        <f>G446+H446+K446+M446</f>
        <v>255</v>
      </c>
      <c r="G446" s="307"/>
      <c r="H446" s="307">
        <v>255</v>
      </c>
      <c r="I446" s="235"/>
      <c r="J446" s="235"/>
      <c r="K446" s="303"/>
      <c r="L446" s="235"/>
      <c r="M446" s="223"/>
      <c r="N446" s="223"/>
      <c r="O446" s="303"/>
      <c r="P446" s="303">
        <v>0</v>
      </c>
      <c r="Q446" s="308">
        <f t="shared" si="367"/>
        <v>0</v>
      </c>
      <c r="R446" s="303"/>
      <c r="S446" s="313">
        <v>0</v>
      </c>
      <c r="T446" s="313">
        <v>0</v>
      </c>
      <c r="U446" s="303"/>
      <c r="V446" s="313">
        <v>0</v>
      </c>
      <c r="W446" s="313">
        <v>0</v>
      </c>
      <c r="X446" s="303"/>
      <c r="Y446" s="313">
        <v>0</v>
      </c>
      <c r="Z446" s="313">
        <v>0</v>
      </c>
      <c r="AA446" s="303"/>
      <c r="AB446" s="313">
        <v>0</v>
      </c>
      <c r="AC446" s="313">
        <v>0</v>
      </c>
      <c r="AD446" s="303"/>
      <c r="AE446" s="313">
        <v>0</v>
      </c>
      <c r="AF446" s="313">
        <v>0</v>
      </c>
      <c r="AG446" s="303"/>
      <c r="AH446" s="313">
        <v>0</v>
      </c>
      <c r="AI446" s="313">
        <v>0</v>
      </c>
      <c r="AJ446" s="304"/>
      <c r="AK446" s="313">
        <v>0</v>
      </c>
      <c r="AL446" s="313">
        <v>0</v>
      </c>
      <c r="AM446" s="303"/>
      <c r="AN446" s="313">
        <v>0</v>
      </c>
      <c r="AO446" s="313">
        <v>0</v>
      </c>
      <c r="AP446" s="313"/>
      <c r="AQ446" s="303"/>
      <c r="AR446" s="313">
        <v>0</v>
      </c>
      <c r="AS446" s="313">
        <v>0</v>
      </c>
      <c r="AT446" s="303"/>
      <c r="AU446" s="313">
        <v>0</v>
      </c>
      <c r="AV446" s="313">
        <v>0</v>
      </c>
      <c r="AW446" s="313"/>
      <c r="AX446" s="313"/>
      <c r="AY446" s="313"/>
      <c r="AZ446" s="313"/>
      <c r="BA446" s="313"/>
      <c r="BB446" s="313"/>
      <c r="BC446" s="303"/>
      <c r="BD446" s="313">
        <v>0</v>
      </c>
      <c r="BE446" s="313">
        <v>0</v>
      </c>
      <c r="BF446" s="351"/>
      <c r="BG446" s="351">
        <v>0</v>
      </c>
      <c r="BH446" s="313">
        <v>0</v>
      </c>
      <c r="BI446" s="313">
        <v>0</v>
      </c>
      <c r="BJ446" s="349">
        <f t="shared" si="368"/>
        <v>242.25</v>
      </c>
      <c r="BK446" s="349">
        <v>0</v>
      </c>
      <c r="BL446" s="313">
        <f t="shared" si="354"/>
        <v>0</v>
      </c>
      <c r="BM446" s="313">
        <f t="shared" si="369"/>
        <v>0</v>
      </c>
      <c r="BN446" s="205">
        <f t="shared" si="352"/>
        <v>0</v>
      </c>
      <c r="BO446" s="205"/>
      <c r="BP446" s="310"/>
      <c r="BQ446" s="311">
        <f t="shared" si="355"/>
        <v>0</v>
      </c>
      <c r="BR446" s="310"/>
      <c r="BS446" s="311">
        <f t="shared" si="356"/>
        <v>0</v>
      </c>
      <c r="BT446" s="310"/>
      <c r="BU446" s="308">
        <f t="shared" si="357"/>
        <v>0</v>
      </c>
      <c r="BV446" s="310"/>
      <c r="BW446" s="311">
        <f t="shared" si="358"/>
        <v>0</v>
      </c>
      <c r="BX446" s="310"/>
      <c r="BY446" s="311">
        <f t="shared" si="359"/>
        <v>0</v>
      </c>
      <c r="BZ446" s="310"/>
      <c r="CA446" s="311">
        <f t="shared" si="360"/>
        <v>0</v>
      </c>
      <c r="CB446" s="310"/>
      <c r="CC446" s="311">
        <f t="shared" si="361"/>
        <v>0</v>
      </c>
      <c r="CD446" s="310"/>
      <c r="CE446" s="311">
        <f t="shared" si="385"/>
        <v>0</v>
      </c>
      <c r="CF446" s="310">
        <v>50</v>
      </c>
      <c r="CG446" s="311">
        <f t="shared" si="362"/>
        <v>0.19607843137254902</v>
      </c>
      <c r="CH446" s="310">
        <v>177</v>
      </c>
      <c r="CI446" s="311">
        <f t="shared" si="386"/>
        <v>0.69411764705882351</v>
      </c>
      <c r="CJ446" s="310">
        <v>198</v>
      </c>
      <c r="CK446" s="311">
        <f t="shared" si="363"/>
        <v>0.77647058823529413</v>
      </c>
      <c r="CL446" s="310">
        <v>213</v>
      </c>
      <c r="CM446" s="311">
        <f t="shared" si="364"/>
        <v>0.83529411764705885</v>
      </c>
      <c r="CN446" s="310">
        <f>255*0.95</f>
        <v>242.25</v>
      </c>
      <c r="CO446" s="311">
        <f t="shared" si="365"/>
        <v>0.95</v>
      </c>
      <c r="CP446" s="213" t="str">
        <f t="shared" si="370"/>
        <v>Không đạt</v>
      </c>
      <c r="CQ446" s="213" t="str">
        <f t="shared" si="371"/>
        <v>Không đạt</v>
      </c>
      <c r="CR446" s="312"/>
      <c r="CS446" s="312"/>
      <c r="CT446" s="235"/>
      <c r="CU446" s="163"/>
      <c r="CW446" s="195"/>
      <c r="CX446" s="196"/>
      <c r="CY446" s="196"/>
      <c r="CZ446" s="197"/>
      <c r="DA446" s="196"/>
      <c r="DB446" s="196"/>
      <c r="DC446" s="196"/>
      <c r="DE446" s="199"/>
      <c r="DF446" s="200"/>
      <c r="DG446" s="181"/>
    </row>
    <row r="447" spans="1:111" ht="18" customHeight="1" collapsed="1" x14ac:dyDescent="0.25">
      <c r="A447" s="213">
        <f>MAX(A$239:A445)+1</f>
        <v>62</v>
      </c>
      <c r="B447" s="240" t="s">
        <v>458</v>
      </c>
      <c r="C447" s="240"/>
      <c r="D447" s="188">
        <f t="shared" ref="D447:I447" si="396">D448+D449</f>
        <v>4275</v>
      </c>
      <c r="E447" s="188">
        <f t="shared" si="396"/>
        <v>0</v>
      </c>
      <c r="F447" s="188">
        <f t="shared" si="396"/>
        <v>4275</v>
      </c>
      <c r="G447" s="188">
        <f t="shared" si="396"/>
        <v>3000</v>
      </c>
      <c r="H447" s="188">
        <f t="shared" si="396"/>
        <v>1275</v>
      </c>
      <c r="I447" s="188">
        <f t="shared" si="396"/>
        <v>0</v>
      </c>
      <c r="J447" s="188"/>
      <c r="K447" s="188">
        <f>K448+K449</f>
        <v>0</v>
      </c>
      <c r="L447" s="188">
        <f>L448+L449</f>
        <v>0</v>
      </c>
      <c r="M447" s="188">
        <f>M448+M449</f>
        <v>0</v>
      </c>
      <c r="N447" s="188">
        <f>N448+N449</f>
        <v>0</v>
      </c>
      <c r="O447" s="188">
        <f>O448+O449</f>
        <v>3000</v>
      </c>
      <c r="P447" s="188">
        <v>1050</v>
      </c>
      <c r="Q447" s="186">
        <f t="shared" si="367"/>
        <v>0.24561403508771928</v>
      </c>
      <c r="R447" s="189">
        <v>1050.48</v>
      </c>
      <c r="S447" s="185">
        <v>0.24572631578947368</v>
      </c>
      <c r="T447" s="185">
        <v>0.25865927977839337</v>
      </c>
      <c r="U447" s="304">
        <v>1050.4829999999999</v>
      </c>
      <c r="V447" s="185">
        <v>0.24572701754385964</v>
      </c>
      <c r="W447" s="185">
        <v>0.25866001846722064</v>
      </c>
      <c r="X447" s="304">
        <v>1050.4829999999999</v>
      </c>
      <c r="Y447" s="185">
        <v>0.24572701754385964</v>
      </c>
      <c r="Z447" s="185">
        <v>0.25866001846722064</v>
      </c>
      <c r="AA447" s="304">
        <v>1050.4829999999999</v>
      </c>
      <c r="AB447" s="185">
        <v>0.24572701754385964</v>
      </c>
      <c r="AC447" s="185">
        <v>0.25866001846722064</v>
      </c>
      <c r="AD447" s="304">
        <v>1050.4829999999999</v>
      </c>
      <c r="AE447" s="185">
        <v>0.24572701754385964</v>
      </c>
      <c r="AF447" s="185">
        <v>0.25866001846722064</v>
      </c>
      <c r="AG447" s="304">
        <v>1050.4829999999999</v>
      </c>
      <c r="AH447" s="185">
        <v>0.24572701754385964</v>
      </c>
      <c r="AI447" s="185">
        <v>0.25866001846722064</v>
      </c>
      <c r="AJ447" s="303">
        <v>1050.4829999999999</v>
      </c>
      <c r="AK447" s="185">
        <v>0.24572701754385964</v>
      </c>
      <c r="AL447" s="185">
        <v>0.25866001846722064</v>
      </c>
      <c r="AM447" s="304">
        <v>1050.4829999999999</v>
      </c>
      <c r="AN447" s="185">
        <v>0.24572701754385964</v>
      </c>
      <c r="AO447" s="185">
        <v>0.25866001846722064</v>
      </c>
      <c r="AP447" s="185"/>
      <c r="AQ447" s="189">
        <v>1847.99</v>
      </c>
      <c r="AR447" s="185">
        <v>0.43227836257309943</v>
      </c>
      <c r="AS447" s="185">
        <v>0.45502985534010465</v>
      </c>
      <c r="AT447" s="189">
        <v>1847.99</v>
      </c>
      <c r="AU447" s="185">
        <v>0.43227836257309943</v>
      </c>
      <c r="AV447" s="185">
        <v>0.45502985534010465</v>
      </c>
      <c r="AW447" s="185"/>
      <c r="AX447" s="185"/>
      <c r="AY447" s="185"/>
      <c r="AZ447" s="185"/>
      <c r="BA447" s="185"/>
      <c r="BB447" s="185"/>
      <c r="BC447" s="189">
        <v>1847.99</v>
      </c>
      <c r="BD447" s="185">
        <v>0.43227836257309943</v>
      </c>
      <c r="BE447" s="185">
        <v>0.45502985534010465</v>
      </c>
      <c r="BF447" s="352"/>
      <c r="BG447" s="352">
        <v>2841.99</v>
      </c>
      <c r="BH447" s="185">
        <v>0.66479298245614027</v>
      </c>
      <c r="BI447" s="185">
        <v>0.69978208679593712</v>
      </c>
      <c r="BJ447" s="374">
        <f t="shared" si="368"/>
        <v>4061.25</v>
      </c>
      <c r="BK447" s="374">
        <v>2841.99</v>
      </c>
      <c r="BL447" s="185">
        <f t="shared" si="354"/>
        <v>0.66479298245614027</v>
      </c>
      <c r="BM447" s="185">
        <f t="shared" si="369"/>
        <v>0.69978208679593712</v>
      </c>
      <c r="BN447" s="205">
        <f t="shared" si="352"/>
        <v>1791.5069999999998</v>
      </c>
      <c r="BO447" s="205"/>
      <c r="BP447" s="189">
        <f>BP448+BP449</f>
        <v>0</v>
      </c>
      <c r="BQ447" s="186">
        <f t="shared" si="355"/>
        <v>0</v>
      </c>
      <c r="BR447" s="189">
        <f>BR448+BR449</f>
        <v>0</v>
      </c>
      <c r="BS447" s="186">
        <f t="shared" si="356"/>
        <v>0</v>
      </c>
      <c r="BT447" s="189">
        <f>BT448+BT449</f>
        <v>565.75</v>
      </c>
      <c r="BU447" s="186">
        <f t="shared" si="357"/>
        <v>0.1323391812865497</v>
      </c>
      <c r="BV447" s="189">
        <f>BV448+BV449</f>
        <v>1420.75</v>
      </c>
      <c r="BW447" s="186">
        <f t="shared" si="358"/>
        <v>0.33233918128654971</v>
      </c>
      <c r="BX447" s="189">
        <f>BX448+BX449</f>
        <v>2137.5</v>
      </c>
      <c r="BY447" s="186">
        <f t="shared" si="359"/>
        <v>0.5</v>
      </c>
      <c r="BZ447" s="189">
        <f>BZ448+BZ449</f>
        <v>2854.25</v>
      </c>
      <c r="CA447" s="186">
        <f t="shared" si="360"/>
        <v>0.66766081871345029</v>
      </c>
      <c r="CB447" s="189">
        <f>CB448+CB449</f>
        <v>3558.25</v>
      </c>
      <c r="CC447" s="186">
        <f t="shared" si="361"/>
        <v>0.83233918128654971</v>
      </c>
      <c r="CD447" s="189">
        <f>CD448+CD449</f>
        <v>4061.25</v>
      </c>
      <c r="CE447" s="186">
        <f t="shared" si="385"/>
        <v>0.95</v>
      </c>
      <c r="CF447" s="189">
        <f>CF448+CF449</f>
        <v>4061.25</v>
      </c>
      <c r="CG447" s="186">
        <f t="shared" si="362"/>
        <v>0.95</v>
      </c>
      <c r="CH447" s="189">
        <f>CH448+CH449</f>
        <v>4061.25</v>
      </c>
      <c r="CI447" s="186">
        <f t="shared" si="386"/>
        <v>0.95</v>
      </c>
      <c r="CJ447" s="189">
        <f>CJ448+CJ449</f>
        <v>4061.25</v>
      </c>
      <c r="CK447" s="186">
        <f t="shared" si="363"/>
        <v>0.95</v>
      </c>
      <c r="CL447" s="189">
        <f>CL448+CL449</f>
        <v>4061.25</v>
      </c>
      <c r="CM447" s="186">
        <f t="shared" si="364"/>
        <v>0.95</v>
      </c>
      <c r="CN447" s="189">
        <f>CN448+CN449</f>
        <v>4061.25</v>
      </c>
      <c r="CO447" s="186">
        <f t="shared" si="365"/>
        <v>0.95</v>
      </c>
      <c r="CP447" s="213" t="str">
        <f t="shared" si="370"/>
        <v>Đạt</v>
      </c>
      <c r="CQ447" s="213" t="str">
        <f t="shared" si="371"/>
        <v>Đạt</v>
      </c>
      <c r="CR447" s="213"/>
      <c r="CS447" s="213"/>
      <c r="CT447" s="231"/>
      <c r="CU447" s="163"/>
      <c r="CW447" s="195"/>
      <c r="CX447" s="196"/>
      <c r="CY447" s="196"/>
      <c r="CZ447" s="197"/>
      <c r="DA447" s="196"/>
      <c r="DB447" s="196"/>
      <c r="DC447" s="196"/>
      <c r="DE447" s="199"/>
      <c r="DF447" s="200"/>
      <c r="DG447" s="181"/>
    </row>
    <row r="448" spans="1:111" s="324" customFormat="1" hidden="1" outlineLevel="1" x14ac:dyDescent="0.25">
      <c r="A448" s="305" t="s">
        <v>34</v>
      </c>
      <c r="B448" s="318" t="s">
        <v>376</v>
      </c>
      <c r="C448" s="306"/>
      <c r="D448" s="307">
        <f>E448+F448</f>
        <v>3000</v>
      </c>
      <c r="E448" s="307"/>
      <c r="F448" s="307">
        <f>G448+H448+K448+M448</f>
        <v>3000</v>
      </c>
      <c r="G448" s="303">
        <v>3000</v>
      </c>
      <c r="H448" s="303"/>
      <c r="I448" s="235"/>
      <c r="J448" s="235"/>
      <c r="K448" s="303"/>
      <c r="L448" s="235"/>
      <c r="M448" s="223"/>
      <c r="N448" s="223"/>
      <c r="O448" s="303">
        <f t="shared" si="382"/>
        <v>3000</v>
      </c>
      <c r="P448" s="303">
        <v>0</v>
      </c>
      <c r="Q448" s="308">
        <f t="shared" si="367"/>
        <v>0</v>
      </c>
      <c r="R448" s="303">
        <v>1050.48</v>
      </c>
      <c r="S448" s="313">
        <v>0.35016000000000003</v>
      </c>
      <c r="T448" s="313">
        <v>0.36858947368421052</v>
      </c>
      <c r="U448" s="303">
        <v>1050.4829999999999</v>
      </c>
      <c r="V448" s="313">
        <v>0.350161</v>
      </c>
      <c r="W448" s="313">
        <v>0.36859052631578948</v>
      </c>
      <c r="X448" s="303">
        <v>1050.4829999999999</v>
      </c>
      <c r="Y448" s="313">
        <v>0.350161</v>
      </c>
      <c r="Z448" s="313">
        <v>0.36859052631578948</v>
      </c>
      <c r="AA448" s="303">
        <v>1050.4829999999999</v>
      </c>
      <c r="AB448" s="313">
        <v>0.350161</v>
      </c>
      <c r="AC448" s="313">
        <v>0.36859052631578948</v>
      </c>
      <c r="AD448" s="303">
        <v>1050.4829999999999</v>
      </c>
      <c r="AE448" s="313">
        <v>0.350161</v>
      </c>
      <c r="AF448" s="313">
        <v>0.36859052631578948</v>
      </c>
      <c r="AG448" s="303">
        <v>1050.4829999999999</v>
      </c>
      <c r="AH448" s="313">
        <v>0.350161</v>
      </c>
      <c r="AI448" s="313">
        <v>0.36859052631578948</v>
      </c>
      <c r="AJ448" s="303">
        <v>1050.4829999999999</v>
      </c>
      <c r="AK448" s="313">
        <v>0.350161</v>
      </c>
      <c r="AL448" s="313">
        <v>0.36859052631578948</v>
      </c>
      <c r="AM448" s="303">
        <v>1050.4829999999999</v>
      </c>
      <c r="AN448" s="313">
        <v>0.350161</v>
      </c>
      <c r="AO448" s="313">
        <v>0.36859052631578948</v>
      </c>
      <c r="AP448" s="313"/>
      <c r="AQ448" s="303">
        <v>1847.99</v>
      </c>
      <c r="AR448" s="313">
        <v>0.61599666666666664</v>
      </c>
      <c r="AS448" s="313">
        <v>0.64841754385964911</v>
      </c>
      <c r="AT448" s="303">
        <v>1847.99</v>
      </c>
      <c r="AU448" s="313">
        <v>0.61599666666666664</v>
      </c>
      <c r="AV448" s="313">
        <v>0.64841754385964911</v>
      </c>
      <c r="AW448" s="313"/>
      <c r="AX448" s="313"/>
      <c r="AY448" s="313"/>
      <c r="AZ448" s="313"/>
      <c r="BA448" s="313"/>
      <c r="BB448" s="313"/>
      <c r="BC448" s="303">
        <v>1847.99</v>
      </c>
      <c r="BD448" s="313">
        <v>0.61599666666666664</v>
      </c>
      <c r="BE448" s="313">
        <v>0.64841754385964911</v>
      </c>
      <c r="BF448" s="351"/>
      <c r="BG448" s="351">
        <v>2841.99</v>
      </c>
      <c r="BH448" s="313">
        <v>0.94732999999999989</v>
      </c>
      <c r="BI448" s="313">
        <v>0.9971894736842104</v>
      </c>
      <c r="BJ448" s="349">
        <f t="shared" si="368"/>
        <v>2850</v>
      </c>
      <c r="BK448" s="349">
        <v>2841.99</v>
      </c>
      <c r="BL448" s="313">
        <f t="shared" si="354"/>
        <v>0.94732999999999989</v>
      </c>
      <c r="BM448" s="313">
        <f t="shared" si="369"/>
        <v>0.9971894736842104</v>
      </c>
      <c r="BN448" s="205">
        <f t="shared" si="352"/>
        <v>1791.5069999999998</v>
      </c>
      <c r="BO448" s="205"/>
      <c r="BP448" s="310"/>
      <c r="BQ448" s="311">
        <f t="shared" si="355"/>
        <v>0</v>
      </c>
      <c r="BR448" s="310"/>
      <c r="BS448" s="311">
        <f t="shared" si="356"/>
        <v>0</v>
      </c>
      <c r="BT448" s="310">
        <v>400</v>
      </c>
      <c r="BU448" s="308">
        <f t="shared" si="357"/>
        <v>0.13333333333333333</v>
      </c>
      <c r="BV448" s="310">
        <v>1000</v>
      </c>
      <c r="BW448" s="311">
        <f t="shared" si="358"/>
        <v>0.33333333333333331</v>
      </c>
      <c r="BX448" s="310">
        <v>1500</v>
      </c>
      <c r="BY448" s="311">
        <f t="shared" si="359"/>
        <v>0.5</v>
      </c>
      <c r="BZ448" s="310">
        <v>2000</v>
      </c>
      <c r="CA448" s="311">
        <f t="shared" si="360"/>
        <v>0.66666666666666663</v>
      </c>
      <c r="CB448" s="310">
        <v>2500</v>
      </c>
      <c r="CC448" s="311">
        <f t="shared" si="361"/>
        <v>0.83333333333333337</v>
      </c>
      <c r="CD448" s="310">
        <v>2850</v>
      </c>
      <c r="CE448" s="311">
        <f t="shared" si="385"/>
        <v>0.95</v>
      </c>
      <c r="CF448" s="310">
        <v>2850</v>
      </c>
      <c r="CG448" s="311">
        <f t="shared" si="362"/>
        <v>0.95</v>
      </c>
      <c r="CH448" s="310">
        <v>2850</v>
      </c>
      <c r="CI448" s="311">
        <f t="shared" si="386"/>
        <v>0.95</v>
      </c>
      <c r="CJ448" s="310">
        <v>2850</v>
      </c>
      <c r="CK448" s="311">
        <f t="shared" si="363"/>
        <v>0.95</v>
      </c>
      <c r="CL448" s="310">
        <v>2850</v>
      </c>
      <c r="CM448" s="311">
        <f t="shared" si="364"/>
        <v>0.95</v>
      </c>
      <c r="CN448" s="310">
        <v>2850</v>
      </c>
      <c r="CO448" s="311">
        <f t="shared" si="365"/>
        <v>0.95</v>
      </c>
      <c r="CP448" s="213" t="str">
        <f t="shared" si="370"/>
        <v>Đạt</v>
      </c>
      <c r="CQ448" s="213" t="str">
        <f t="shared" si="371"/>
        <v>Đạt</v>
      </c>
      <c r="CR448" s="312"/>
      <c r="CS448" s="312"/>
      <c r="CT448" s="235"/>
      <c r="CU448" s="163"/>
      <c r="CV448" s="323"/>
      <c r="CW448" s="195"/>
      <c r="CX448" s="196"/>
      <c r="CY448" s="196"/>
      <c r="CZ448" s="197"/>
      <c r="DA448" s="196"/>
      <c r="DB448" s="196"/>
      <c r="DC448" s="196"/>
      <c r="DE448" s="199"/>
      <c r="DF448" s="200"/>
      <c r="DG448" s="181"/>
    </row>
    <row r="449" spans="1:111" ht="25.5" hidden="1" outlineLevel="1" x14ac:dyDescent="0.25">
      <c r="A449" s="305" t="s">
        <v>34</v>
      </c>
      <c r="B449" s="306" t="s">
        <v>377</v>
      </c>
      <c r="C449" s="306"/>
      <c r="D449" s="307">
        <f>E449+F449</f>
        <v>1275</v>
      </c>
      <c r="E449" s="307"/>
      <c r="F449" s="307">
        <f>G449+H449+K449+M449</f>
        <v>1275</v>
      </c>
      <c r="G449" s="307"/>
      <c r="H449" s="307">
        <v>1275</v>
      </c>
      <c r="I449" s="235"/>
      <c r="J449" s="235"/>
      <c r="K449" s="303"/>
      <c r="L449" s="235"/>
      <c r="M449" s="223"/>
      <c r="N449" s="223"/>
      <c r="O449" s="303"/>
      <c r="P449" s="303">
        <v>0</v>
      </c>
      <c r="Q449" s="308">
        <f t="shared" si="367"/>
        <v>0</v>
      </c>
      <c r="R449" s="303"/>
      <c r="S449" s="313">
        <v>0</v>
      </c>
      <c r="T449" s="313">
        <v>0</v>
      </c>
      <c r="U449" s="303"/>
      <c r="V449" s="313">
        <v>0</v>
      </c>
      <c r="W449" s="313">
        <v>0</v>
      </c>
      <c r="X449" s="303"/>
      <c r="Y449" s="313">
        <v>0</v>
      </c>
      <c r="Z449" s="313">
        <v>0</v>
      </c>
      <c r="AA449" s="303"/>
      <c r="AB449" s="313">
        <v>0</v>
      </c>
      <c r="AC449" s="313">
        <v>0</v>
      </c>
      <c r="AD449" s="303"/>
      <c r="AE449" s="313">
        <v>0</v>
      </c>
      <c r="AF449" s="313">
        <v>0</v>
      </c>
      <c r="AG449" s="303"/>
      <c r="AH449" s="313">
        <v>0</v>
      </c>
      <c r="AI449" s="313">
        <v>0</v>
      </c>
      <c r="AJ449" s="304"/>
      <c r="AK449" s="313">
        <v>0</v>
      </c>
      <c r="AL449" s="313">
        <v>0</v>
      </c>
      <c r="AM449" s="303"/>
      <c r="AN449" s="313">
        <v>0</v>
      </c>
      <c r="AO449" s="313">
        <v>0</v>
      </c>
      <c r="AP449" s="313"/>
      <c r="AQ449" s="303"/>
      <c r="AR449" s="313">
        <v>0</v>
      </c>
      <c r="AS449" s="313">
        <v>0</v>
      </c>
      <c r="AT449" s="303"/>
      <c r="AU449" s="313">
        <v>0</v>
      </c>
      <c r="AV449" s="313">
        <v>0</v>
      </c>
      <c r="AW449" s="313"/>
      <c r="AX449" s="313"/>
      <c r="AY449" s="313"/>
      <c r="AZ449" s="313"/>
      <c r="BA449" s="313"/>
      <c r="BB449" s="313"/>
      <c r="BC449" s="303"/>
      <c r="BD449" s="313">
        <v>0</v>
      </c>
      <c r="BE449" s="313">
        <v>0</v>
      </c>
      <c r="BF449" s="351"/>
      <c r="BG449" s="351">
        <v>0</v>
      </c>
      <c r="BH449" s="313">
        <v>0</v>
      </c>
      <c r="BI449" s="313">
        <v>0</v>
      </c>
      <c r="BJ449" s="349">
        <f t="shared" si="368"/>
        <v>1211.25</v>
      </c>
      <c r="BK449" s="349">
        <v>0</v>
      </c>
      <c r="BL449" s="313">
        <f t="shared" si="354"/>
        <v>0</v>
      </c>
      <c r="BM449" s="313">
        <f t="shared" si="369"/>
        <v>0</v>
      </c>
      <c r="BN449" s="205">
        <f t="shared" si="352"/>
        <v>0</v>
      </c>
      <c r="BO449" s="205"/>
      <c r="BP449" s="310"/>
      <c r="BQ449" s="311">
        <f t="shared" si="355"/>
        <v>0</v>
      </c>
      <c r="BR449" s="310"/>
      <c r="BS449" s="311">
        <f t="shared" si="356"/>
        <v>0</v>
      </c>
      <c r="BT449" s="310">
        <f>1275*0.13</f>
        <v>165.75</v>
      </c>
      <c r="BU449" s="308">
        <f t="shared" si="357"/>
        <v>0.13</v>
      </c>
      <c r="BV449" s="310">
        <f>1275*0.33</f>
        <v>420.75</v>
      </c>
      <c r="BW449" s="311">
        <f t="shared" si="358"/>
        <v>0.33</v>
      </c>
      <c r="BX449" s="310">
        <f>1275*0.5</f>
        <v>637.5</v>
      </c>
      <c r="BY449" s="311">
        <f t="shared" si="359"/>
        <v>0.5</v>
      </c>
      <c r="BZ449" s="310">
        <f>1275*0.67</f>
        <v>854.25</v>
      </c>
      <c r="CA449" s="311">
        <f t="shared" si="360"/>
        <v>0.67</v>
      </c>
      <c r="CB449" s="310">
        <f>1275*0.83</f>
        <v>1058.25</v>
      </c>
      <c r="CC449" s="311">
        <f t="shared" si="361"/>
        <v>0.83</v>
      </c>
      <c r="CD449" s="310">
        <f>1275*0.95</f>
        <v>1211.25</v>
      </c>
      <c r="CE449" s="311">
        <f t="shared" si="385"/>
        <v>0.95</v>
      </c>
      <c r="CF449" s="310">
        <f>1275*0.95</f>
        <v>1211.25</v>
      </c>
      <c r="CG449" s="311">
        <f t="shared" si="362"/>
        <v>0.95</v>
      </c>
      <c r="CH449" s="310">
        <f>1275*0.95</f>
        <v>1211.25</v>
      </c>
      <c r="CI449" s="311">
        <f t="shared" si="386"/>
        <v>0.95</v>
      </c>
      <c r="CJ449" s="310">
        <f>1275*0.95</f>
        <v>1211.25</v>
      </c>
      <c r="CK449" s="311">
        <f t="shared" si="363"/>
        <v>0.95</v>
      </c>
      <c r="CL449" s="310">
        <f>1275*0.95</f>
        <v>1211.25</v>
      </c>
      <c r="CM449" s="311">
        <f t="shared" si="364"/>
        <v>0.95</v>
      </c>
      <c r="CN449" s="310">
        <f>1275*0.95</f>
        <v>1211.25</v>
      </c>
      <c r="CO449" s="311">
        <f t="shared" si="365"/>
        <v>0.95</v>
      </c>
      <c r="CP449" s="213" t="str">
        <f t="shared" si="370"/>
        <v>Không đạt</v>
      </c>
      <c r="CQ449" s="213" t="str">
        <f t="shared" si="371"/>
        <v>Không đạt</v>
      </c>
      <c r="CR449" s="312"/>
      <c r="CS449" s="312"/>
      <c r="CT449" s="235"/>
      <c r="CU449" s="163"/>
      <c r="CW449" s="195"/>
      <c r="CX449" s="196"/>
      <c r="CY449" s="196"/>
      <c r="CZ449" s="197"/>
      <c r="DA449" s="196"/>
      <c r="DB449" s="196"/>
      <c r="DC449" s="196"/>
      <c r="DE449" s="199"/>
      <c r="DF449" s="200"/>
      <c r="DG449" s="181"/>
    </row>
    <row r="450" spans="1:111" ht="18" customHeight="1" collapsed="1" x14ac:dyDescent="0.25">
      <c r="A450" s="213">
        <f>MAX(A$239:A448)+1</f>
        <v>63</v>
      </c>
      <c r="B450" s="240" t="s">
        <v>459</v>
      </c>
      <c r="C450" s="240"/>
      <c r="D450" s="188">
        <f t="shared" ref="D450:I450" si="397">D451+D452</f>
        <v>3510</v>
      </c>
      <c r="E450" s="188">
        <f t="shared" si="397"/>
        <v>0</v>
      </c>
      <c r="F450" s="188">
        <f t="shared" si="397"/>
        <v>3510</v>
      </c>
      <c r="G450" s="188">
        <f t="shared" si="397"/>
        <v>3000</v>
      </c>
      <c r="H450" s="188">
        <f t="shared" si="397"/>
        <v>510</v>
      </c>
      <c r="I450" s="188">
        <f t="shared" si="397"/>
        <v>0</v>
      </c>
      <c r="J450" s="188"/>
      <c r="K450" s="188">
        <f>K451+K452</f>
        <v>0</v>
      </c>
      <c r="L450" s="188">
        <f>L451+L452</f>
        <v>0</v>
      </c>
      <c r="M450" s="188">
        <f>M451+M452</f>
        <v>0</v>
      </c>
      <c r="N450" s="188">
        <f>N451+N452</f>
        <v>0</v>
      </c>
      <c r="O450" s="188">
        <f>O451+O452</f>
        <v>3000</v>
      </c>
      <c r="P450" s="188">
        <v>896.30200000000002</v>
      </c>
      <c r="Q450" s="186">
        <f t="shared" si="367"/>
        <v>0.25535669515669518</v>
      </c>
      <c r="R450" s="189">
        <v>896.30200000000002</v>
      </c>
      <c r="S450" s="185">
        <v>0.25535669515669518</v>
      </c>
      <c r="T450" s="185">
        <v>0.26879652121757386</v>
      </c>
      <c r="U450" s="304">
        <v>896.30200000000002</v>
      </c>
      <c r="V450" s="185">
        <v>0.25535669515669518</v>
      </c>
      <c r="W450" s="185">
        <v>0.26879652121757386</v>
      </c>
      <c r="X450" s="304">
        <v>896.30200000000002</v>
      </c>
      <c r="Y450" s="185">
        <v>0.25535669515669518</v>
      </c>
      <c r="Z450" s="185">
        <v>0.26879652121757386</v>
      </c>
      <c r="AA450" s="304">
        <v>896.30200000000002</v>
      </c>
      <c r="AB450" s="185">
        <v>0.25535669515669518</v>
      </c>
      <c r="AC450" s="185">
        <v>0.26879652121757386</v>
      </c>
      <c r="AD450" s="304">
        <v>2382.6990000000001</v>
      </c>
      <c r="AE450" s="185">
        <v>0.678831623931624</v>
      </c>
      <c r="AF450" s="185">
        <v>0.71455960413855157</v>
      </c>
      <c r="AG450" s="304">
        <v>2382.6990000000001</v>
      </c>
      <c r="AH450" s="185">
        <v>0.678831623931624</v>
      </c>
      <c r="AI450" s="185">
        <v>0.71455960413855157</v>
      </c>
      <c r="AJ450" s="303">
        <v>2382.6990000000001</v>
      </c>
      <c r="AK450" s="185">
        <v>0.678831623931624</v>
      </c>
      <c r="AL450" s="185">
        <v>0.71455960413855157</v>
      </c>
      <c r="AM450" s="304">
        <v>2382.6990000000001</v>
      </c>
      <c r="AN450" s="185">
        <v>0.678831623931624</v>
      </c>
      <c r="AO450" s="185">
        <v>0.71455960413855157</v>
      </c>
      <c r="AP450" s="185"/>
      <c r="AQ450" s="189">
        <v>2779.7370000000001</v>
      </c>
      <c r="AR450" s="185">
        <v>0.79194786324786326</v>
      </c>
      <c r="AS450" s="185">
        <v>0.83362932973459292</v>
      </c>
      <c r="AT450" s="189">
        <v>2779.7370000000001</v>
      </c>
      <c r="AU450" s="185">
        <v>0.79194786324786326</v>
      </c>
      <c r="AV450" s="185">
        <v>0.83362932973459292</v>
      </c>
      <c r="AW450" s="185"/>
      <c r="AX450" s="185"/>
      <c r="AY450" s="185"/>
      <c r="AZ450" s="185"/>
      <c r="BA450" s="185"/>
      <c r="BB450" s="185"/>
      <c r="BC450" s="189">
        <v>2779.7370000000001</v>
      </c>
      <c r="BD450" s="185">
        <v>0.79194786324786326</v>
      </c>
      <c r="BE450" s="185">
        <v>0.83362932973459292</v>
      </c>
      <c r="BF450" s="352"/>
      <c r="BG450" s="352">
        <v>2827.9290000000001</v>
      </c>
      <c r="BH450" s="185">
        <v>0.80567777777777783</v>
      </c>
      <c r="BI450" s="185">
        <v>0.84808187134502921</v>
      </c>
      <c r="BJ450" s="374">
        <f t="shared" si="368"/>
        <v>3334.5</v>
      </c>
      <c r="BK450" s="374">
        <v>2827.9290000000001</v>
      </c>
      <c r="BL450" s="185">
        <f t="shared" si="354"/>
        <v>0.80567777777777783</v>
      </c>
      <c r="BM450" s="185">
        <f t="shared" si="369"/>
        <v>0.84808187134502921</v>
      </c>
      <c r="BN450" s="205">
        <f t="shared" si="352"/>
        <v>445.23</v>
      </c>
      <c r="BO450" s="205"/>
      <c r="BP450" s="189">
        <f>BP451+BP452</f>
        <v>0</v>
      </c>
      <c r="BQ450" s="186">
        <f t="shared" si="355"/>
        <v>0</v>
      </c>
      <c r="BR450" s="189">
        <f>BR451+BR452</f>
        <v>0</v>
      </c>
      <c r="BS450" s="186">
        <f t="shared" si="356"/>
        <v>0</v>
      </c>
      <c r="BT450" s="189">
        <f>BT451+BT452</f>
        <v>466.3</v>
      </c>
      <c r="BU450" s="186">
        <f t="shared" si="357"/>
        <v>0.13284900284900286</v>
      </c>
      <c r="BV450" s="189">
        <f>BV451+BV452</f>
        <v>1168.3</v>
      </c>
      <c r="BW450" s="186">
        <f t="shared" si="358"/>
        <v>0.33284900284900282</v>
      </c>
      <c r="BX450" s="189">
        <f>BX451+BX452</f>
        <v>1755</v>
      </c>
      <c r="BY450" s="186">
        <f t="shared" si="359"/>
        <v>0.5</v>
      </c>
      <c r="BZ450" s="189">
        <f>BZ451+BZ452</f>
        <v>2923.3</v>
      </c>
      <c r="CA450" s="186">
        <f t="shared" si="360"/>
        <v>0.83284900284900287</v>
      </c>
      <c r="CB450" s="189">
        <f>CB451+CB452</f>
        <v>3334.5</v>
      </c>
      <c r="CC450" s="186">
        <f t="shared" si="361"/>
        <v>0.95</v>
      </c>
      <c r="CD450" s="189">
        <f>CD451+CD452</f>
        <v>3334.5</v>
      </c>
      <c r="CE450" s="186">
        <f t="shared" si="385"/>
        <v>0.95</v>
      </c>
      <c r="CF450" s="189">
        <f>CF451+CF452</f>
        <v>3334.5</v>
      </c>
      <c r="CG450" s="186">
        <f t="shared" si="362"/>
        <v>0.95</v>
      </c>
      <c r="CH450" s="189">
        <f>CH451+CH452</f>
        <v>3334.5</v>
      </c>
      <c r="CI450" s="186">
        <f t="shared" si="386"/>
        <v>0.95</v>
      </c>
      <c r="CJ450" s="189">
        <f>CJ451+CJ452</f>
        <v>3334.5</v>
      </c>
      <c r="CK450" s="186">
        <f t="shared" si="363"/>
        <v>0.95</v>
      </c>
      <c r="CL450" s="189">
        <f>CL451+CL452</f>
        <v>3334.5</v>
      </c>
      <c r="CM450" s="186">
        <f t="shared" si="364"/>
        <v>0.95</v>
      </c>
      <c r="CN450" s="189">
        <f>CN451+CN452</f>
        <v>3334.5</v>
      </c>
      <c r="CO450" s="186">
        <f t="shared" si="365"/>
        <v>0.95</v>
      </c>
      <c r="CP450" s="213" t="str">
        <f t="shared" si="370"/>
        <v>Đạt</v>
      </c>
      <c r="CQ450" s="213" t="str">
        <f t="shared" si="371"/>
        <v>Đạt</v>
      </c>
      <c r="CR450" s="213"/>
      <c r="CS450" s="213"/>
      <c r="CT450" s="231"/>
      <c r="CU450" s="163"/>
      <c r="CW450" s="195"/>
      <c r="CX450" s="196"/>
      <c r="CY450" s="196"/>
      <c r="CZ450" s="197"/>
      <c r="DA450" s="196"/>
      <c r="DB450" s="196"/>
      <c r="DC450" s="196"/>
      <c r="DE450" s="199"/>
      <c r="DF450" s="200"/>
      <c r="DG450" s="181"/>
    </row>
    <row r="451" spans="1:111" s="324" customFormat="1" hidden="1" outlineLevel="1" x14ac:dyDescent="0.25">
      <c r="A451" s="305" t="s">
        <v>34</v>
      </c>
      <c r="B451" s="318" t="s">
        <v>376</v>
      </c>
      <c r="C451" s="306"/>
      <c r="D451" s="307">
        <f>E451+F451</f>
        <v>3000</v>
      </c>
      <c r="E451" s="307"/>
      <c r="F451" s="307">
        <f>G451+H451+K451+M451</f>
        <v>3000</v>
      </c>
      <c r="G451" s="303">
        <v>3000</v>
      </c>
      <c r="H451" s="303"/>
      <c r="I451" s="235"/>
      <c r="J451" s="235"/>
      <c r="K451" s="303"/>
      <c r="L451" s="235"/>
      <c r="M451" s="223"/>
      <c r="N451" s="223"/>
      <c r="O451" s="303">
        <f t="shared" si="382"/>
        <v>3000</v>
      </c>
      <c r="P451" s="303">
        <v>0</v>
      </c>
      <c r="Q451" s="308">
        <f t="shared" si="367"/>
        <v>0</v>
      </c>
      <c r="R451" s="303">
        <v>896.30200000000002</v>
      </c>
      <c r="S451" s="313">
        <v>0.29876733333333333</v>
      </c>
      <c r="T451" s="313">
        <v>0.31449192982456142</v>
      </c>
      <c r="U451" s="303">
        <v>896.30200000000002</v>
      </c>
      <c r="V451" s="313">
        <v>0.29876733333333333</v>
      </c>
      <c r="W451" s="313">
        <v>0.31449192982456142</v>
      </c>
      <c r="X451" s="303">
        <v>896.30200000000002</v>
      </c>
      <c r="Y451" s="313">
        <v>0.29876733333333333</v>
      </c>
      <c r="Z451" s="313">
        <v>0.31449192982456142</v>
      </c>
      <c r="AA451" s="303">
        <v>896.30200000000002</v>
      </c>
      <c r="AB451" s="313">
        <v>0.29876733333333333</v>
      </c>
      <c r="AC451" s="313">
        <v>0.31449192982456142</v>
      </c>
      <c r="AD451" s="303">
        <v>2382.6990000000001</v>
      </c>
      <c r="AE451" s="313">
        <v>0.79423300000000008</v>
      </c>
      <c r="AF451" s="313">
        <v>0.83603473684210527</v>
      </c>
      <c r="AG451" s="303">
        <v>2382.6990000000001</v>
      </c>
      <c r="AH451" s="313">
        <v>0.79423300000000008</v>
      </c>
      <c r="AI451" s="313">
        <v>0.83603473684210527</v>
      </c>
      <c r="AJ451" s="303">
        <v>2382.6990000000001</v>
      </c>
      <c r="AK451" s="313">
        <v>0.79423300000000008</v>
      </c>
      <c r="AL451" s="313">
        <v>0.83603473684210527</v>
      </c>
      <c r="AM451" s="303">
        <v>2382.6990000000001</v>
      </c>
      <c r="AN451" s="313">
        <v>0.79423300000000008</v>
      </c>
      <c r="AO451" s="313">
        <v>0.83603473684210527</v>
      </c>
      <c r="AP451" s="313"/>
      <c r="AQ451" s="303">
        <v>2779.7370000000001</v>
      </c>
      <c r="AR451" s="313">
        <v>0.92657900000000004</v>
      </c>
      <c r="AS451" s="313">
        <v>0.97534631578947373</v>
      </c>
      <c r="AT451" s="303">
        <v>2779.7370000000001</v>
      </c>
      <c r="AU451" s="313">
        <v>0.92657900000000004</v>
      </c>
      <c r="AV451" s="313">
        <v>0.97534631578947373</v>
      </c>
      <c r="AW451" s="313"/>
      <c r="AX451" s="313"/>
      <c r="AY451" s="313"/>
      <c r="AZ451" s="313"/>
      <c r="BA451" s="313"/>
      <c r="BB451" s="313"/>
      <c r="BC451" s="303">
        <v>2779.7370000000001</v>
      </c>
      <c r="BD451" s="313">
        <v>0.92657900000000004</v>
      </c>
      <c r="BE451" s="313">
        <v>0.97534631578947373</v>
      </c>
      <c r="BF451" s="351"/>
      <c r="BG451" s="351">
        <v>2827.9290000000001</v>
      </c>
      <c r="BH451" s="313">
        <v>0.94264300000000001</v>
      </c>
      <c r="BI451" s="313">
        <v>0.9922557894736842</v>
      </c>
      <c r="BJ451" s="349">
        <f t="shared" si="368"/>
        <v>2850</v>
      </c>
      <c r="BK451" s="349">
        <v>2827.9290000000001</v>
      </c>
      <c r="BL451" s="313">
        <f t="shared" si="354"/>
        <v>0.94264300000000001</v>
      </c>
      <c r="BM451" s="313">
        <f t="shared" si="369"/>
        <v>0.9922557894736842</v>
      </c>
      <c r="BN451" s="205">
        <f t="shared" si="352"/>
        <v>445.23</v>
      </c>
      <c r="BO451" s="205"/>
      <c r="BP451" s="310"/>
      <c r="BQ451" s="311">
        <f t="shared" si="355"/>
        <v>0</v>
      </c>
      <c r="BR451" s="310"/>
      <c r="BS451" s="311">
        <f t="shared" si="356"/>
        <v>0</v>
      </c>
      <c r="BT451" s="310">
        <v>400</v>
      </c>
      <c r="BU451" s="308">
        <f t="shared" si="357"/>
        <v>0.13333333333333333</v>
      </c>
      <c r="BV451" s="310">
        <v>1000</v>
      </c>
      <c r="BW451" s="311">
        <f t="shared" si="358"/>
        <v>0.33333333333333331</v>
      </c>
      <c r="BX451" s="310">
        <v>1500</v>
      </c>
      <c r="BY451" s="311">
        <f t="shared" si="359"/>
        <v>0.5</v>
      </c>
      <c r="BZ451" s="310">
        <v>2500</v>
      </c>
      <c r="CA451" s="311">
        <f t="shared" si="360"/>
        <v>0.83333333333333337</v>
      </c>
      <c r="CB451" s="310">
        <v>2850</v>
      </c>
      <c r="CC451" s="311">
        <f t="shared" si="361"/>
        <v>0.95</v>
      </c>
      <c r="CD451" s="310">
        <v>2850</v>
      </c>
      <c r="CE451" s="311">
        <f t="shared" si="385"/>
        <v>0.95</v>
      </c>
      <c r="CF451" s="310">
        <v>2850</v>
      </c>
      <c r="CG451" s="311">
        <f t="shared" si="362"/>
        <v>0.95</v>
      </c>
      <c r="CH451" s="310">
        <v>2850</v>
      </c>
      <c r="CI451" s="311">
        <f t="shared" si="386"/>
        <v>0.95</v>
      </c>
      <c r="CJ451" s="310">
        <v>2850</v>
      </c>
      <c r="CK451" s="311">
        <f t="shared" si="363"/>
        <v>0.95</v>
      </c>
      <c r="CL451" s="310">
        <v>2850</v>
      </c>
      <c r="CM451" s="311">
        <f t="shared" si="364"/>
        <v>0.95</v>
      </c>
      <c r="CN451" s="310">
        <v>2850</v>
      </c>
      <c r="CO451" s="311">
        <f t="shared" si="365"/>
        <v>0.95</v>
      </c>
      <c r="CP451" s="213" t="str">
        <f t="shared" si="370"/>
        <v>Đạt</v>
      </c>
      <c r="CQ451" s="213" t="str">
        <f t="shared" si="371"/>
        <v>Đạt</v>
      </c>
      <c r="CR451" s="312"/>
      <c r="CS451" s="312"/>
      <c r="CT451" s="235"/>
      <c r="CU451" s="163"/>
      <c r="CV451" s="323"/>
      <c r="CW451" s="195"/>
      <c r="CX451" s="196"/>
      <c r="CY451" s="196"/>
      <c r="CZ451" s="197"/>
      <c r="DA451" s="196"/>
      <c r="DB451" s="196"/>
      <c r="DC451" s="196"/>
      <c r="DE451" s="199"/>
      <c r="DF451" s="200"/>
      <c r="DG451" s="181"/>
    </row>
    <row r="452" spans="1:111" ht="25.5" hidden="1" outlineLevel="1" x14ac:dyDescent="0.25">
      <c r="A452" s="305" t="s">
        <v>34</v>
      </c>
      <c r="B452" s="306" t="s">
        <v>377</v>
      </c>
      <c r="C452" s="306"/>
      <c r="D452" s="307">
        <f>E452+F452</f>
        <v>510</v>
      </c>
      <c r="E452" s="307"/>
      <c r="F452" s="307">
        <f>G452+H452+K452+M452</f>
        <v>510</v>
      </c>
      <c r="G452" s="307"/>
      <c r="H452" s="307">
        <v>510</v>
      </c>
      <c r="I452" s="235"/>
      <c r="J452" s="235"/>
      <c r="K452" s="303"/>
      <c r="L452" s="235"/>
      <c r="M452" s="223"/>
      <c r="N452" s="223"/>
      <c r="O452" s="303"/>
      <c r="P452" s="303">
        <v>0</v>
      </c>
      <c r="Q452" s="308">
        <f t="shared" si="367"/>
        <v>0</v>
      </c>
      <c r="R452" s="303"/>
      <c r="S452" s="313">
        <v>0</v>
      </c>
      <c r="T452" s="313">
        <v>0</v>
      </c>
      <c r="U452" s="303"/>
      <c r="V452" s="313">
        <v>0</v>
      </c>
      <c r="W452" s="313">
        <v>0</v>
      </c>
      <c r="X452" s="303"/>
      <c r="Y452" s="313">
        <v>0</v>
      </c>
      <c r="Z452" s="313">
        <v>0</v>
      </c>
      <c r="AA452" s="303"/>
      <c r="AB452" s="313">
        <v>0</v>
      </c>
      <c r="AC452" s="313">
        <v>0</v>
      </c>
      <c r="AD452" s="303"/>
      <c r="AE452" s="313">
        <v>0</v>
      </c>
      <c r="AF452" s="313">
        <v>0</v>
      </c>
      <c r="AG452" s="303"/>
      <c r="AH452" s="313">
        <v>0</v>
      </c>
      <c r="AI452" s="313">
        <v>0</v>
      </c>
      <c r="AJ452" s="188"/>
      <c r="AK452" s="313">
        <v>0</v>
      </c>
      <c r="AL452" s="313">
        <v>0</v>
      </c>
      <c r="AM452" s="303"/>
      <c r="AN452" s="313">
        <v>0</v>
      </c>
      <c r="AO452" s="313">
        <v>0</v>
      </c>
      <c r="AP452" s="313"/>
      <c r="AQ452" s="303"/>
      <c r="AR452" s="313">
        <v>0</v>
      </c>
      <c r="AS452" s="313">
        <v>0</v>
      </c>
      <c r="AT452" s="303"/>
      <c r="AU452" s="313">
        <v>0</v>
      </c>
      <c r="AV452" s="313">
        <v>0</v>
      </c>
      <c r="AW452" s="313"/>
      <c r="AX452" s="313"/>
      <c r="AY452" s="313"/>
      <c r="AZ452" s="313"/>
      <c r="BA452" s="313"/>
      <c r="BB452" s="313"/>
      <c r="BC452" s="303"/>
      <c r="BD452" s="313">
        <v>0</v>
      </c>
      <c r="BE452" s="313">
        <v>0</v>
      </c>
      <c r="BF452" s="351"/>
      <c r="BG452" s="351">
        <v>0</v>
      </c>
      <c r="BH452" s="313">
        <v>0</v>
      </c>
      <c r="BI452" s="313">
        <v>0</v>
      </c>
      <c r="BJ452" s="349">
        <f t="shared" si="368"/>
        <v>484.5</v>
      </c>
      <c r="BK452" s="349">
        <v>0</v>
      </c>
      <c r="BL452" s="313">
        <f t="shared" si="354"/>
        <v>0</v>
      </c>
      <c r="BM452" s="313">
        <f t="shared" si="369"/>
        <v>0</v>
      </c>
      <c r="BN452" s="205">
        <f t="shared" si="352"/>
        <v>0</v>
      </c>
      <c r="BO452" s="205"/>
      <c r="BP452" s="310"/>
      <c r="BQ452" s="311">
        <f t="shared" si="355"/>
        <v>0</v>
      </c>
      <c r="BR452" s="310"/>
      <c r="BS452" s="311">
        <f t="shared" si="356"/>
        <v>0</v>
      </c>
      <c r="BT452" s="310">
        <f>510*0.13</f>
        <v>66.3</v>
      </c>
      <c r="BU452" s="308">
        <f t="shared" si="357"/>
        <v>0.13</v>
      </c>
      <c r="BV452" s="310">
        <f>510*0.33</f>
        <v>168.3</v>
      </c>
      <c r="BW452" s="311">
        <f t="shared" si="358"/>
        <v>0.33</v>
      </c>
      <c r="BX452" s="310">
        <f>510*0.5</f>
        <v>255</v>
      </c>
      <c r="BY452" s="311">
        <f t="shared" si="359"/>
        <v>0.5</v>
      </c>
      <c r="BZ452" s="310">
        <f>510*0.83</f>
        <v>423.29999999999995</v>
      </c>
      <c r="CA452" s="311">
        <f t="shared" si="360"/>
        <v>0.83</v>
      </c>
      <c r="CB452" s="310">
        <f>510*0.95</f>
        <v>484.5</v>
      </c>
      <c r="CC452" s="311">
        <f t="shared" si="361"/>
        <v>0.95</v>
      </c>
      <c r="CD452" s="310">
        <f>510*0.95</f>
        <v>484.5</v>
      </c>
      <c r="CE452" s="311">
        <f t="shared" si="385"/>
        <v>0.95</v>
      </c>
      <c r="CF452" s="310">
        <f>510*0.95</f>
        <v>484.5</v>
      </c>
      <c r="CG452" s="311">
        <f t="shared" si="362"/>
        <v>0.95</v>
      </c>
      <c r="CH452" s="310">
        <f>510*0.95</f>
        <v>484.5</v>
      </c>
      <c r="CI452" s="311">
        <f t="shared" si="386"/>
        <v>0.95</v>
      </c>
      <c r="CJ452" s="310">
        <f>510*0.95</f>
        <v>484.5</v>
      </c>
      <c r="CK452" s="311">
        <f t="shared" si="363"/>
        <v>0.95</v>
      </c>
      <c r="CL452" s="310">
        <f>510*0.95</f>
        <v>484.5</v>
      </c>
      <c r="CM452" s="311">
        <f t="shared" si="364"/>
        <v>0.95</v>
      </c>
      <c r="CN452" s="310">
        <f>510*0.95</f>
        <v>484.5</v>
      </c>
      <c r="CO452" s="311">
        <f t="shared" si="365"/>
        <v>0.95</v>
      </c>
      <c r="CP452" s="213" t="str">
        <f t="shared" si="370"/>
        <v>Không đạt</v>
      </c>
      <c r="CQ452" s="213" t="str">
        <f t="shared" si="371"/>
        <v>Không đạt</v>
      </c>
      <c r="CR452" s="312"/>
      <c r="CS452" s="312"/>
      <c r="CT452" s="235"/>
      <c r="CU452" s="163"/>
      <c r="CW452" s="195"/>
      <c r="CX452" s="196"/>
      <c r="CY452" s="196"/>
      <c r="CZ452" s="197"/>
      <c r="DA452" s="196"/>
      <c r="DB452" s="196"/>
      <c r="DC452" s="196"/>
      <c r="DE452" s="199"/>
      <c r="DF452" s="200"/>
      <c r="DG452" s="181"/>
    </row>
    <row r="453" spans="1:111" ht="18" customHeight="1" collapsed="1" x14ac:dyDescent="0.25">
      <c r="A453" s="213">
        <f>MAX(A$239:A451)+1</f>
        <v>64</v>
      </c>
      <c r="B453" s="240" t="s">
        <v>460</v>
      </c>
      <c r="C453" s="240"/>
      <c r="D453" s="188">
        <f t="shared" ref="D453:I453" si="398">D454+D462+D463</f>
        <v>174250</v>
      </c>
      <c r="E453" s="188">
        <f t="shared" si="398"/>
        <v>0</v>
      </c>
      <c r="F453" s="188">
        <f t="shared" si="398"/>
        <v>174250</v>
      </c>
      <c r="G453" s="188">
        <f t="shared" si="398"/>
        <v>18000</v>
      </c>
      <c r="H453" s="188">
        <f t="shared" si="398"/>
        <v>156250</v>
      </c>
      <c r="I453" s="188">
        <f t="shared" si="398"/>
        <v>0</v>
      </c>
      <c r="J453" s="188"/>
      <c r="K453" s="188">
        <f>K454+K462+K463</f>
        <v>0</v>
      </c>
      <c r="L453" s="188">
        <f>L454+L462+L463</f>
        <v>0</v>
      </c>
      <c r="M453" s="188">
        <f>M454+M462+M463</f>
        <v>0</v>
      </c>
      <c r="N453" s="188">
        <f>N454+N462+N463</f>
        <v>0</v>
      </c>
      <c r="O453" s="188">
        <f>O454+O462+O463</f>
        <v>18000</v>
      </c>
      <c r="P453" s="188">
        <v>0</v>
      </c>
      <c r="Q453" s="186">
        <f t="shared" si="367"/>
        <v>0</v>
      </c>
      <c r="R453" s="188">
        <v>0</v>
      </c>
      <c r="S453" s="185">
        <v>0</v>
      </c>
      <c r="T453" s="185">
        <v>0</v>
      </c>
      <c r="U453" s="188">
        <v>0</v>
      </c>
      <c r="V453" s="185">
        <v>0</v>
      </c>
      <c r="W453" s="185">
        <v>0</v>
      </c>
      <c r="X453" s="188">
        <v>0</v>
      </c>
      <c r="Y453" s="185">
        <v>0</v>
      </c>
      <c r="Z453" s="185">
        <v>0</v>
      </c>
      <c r="AA453" s="188">
        <v>0</v>
      </c>
      <c r="AB453" s="185">
        <v>0</v>
      </c>
      <c r="AC453" s="185">
        <v>0</v>
      </c>
      <c r="AD453" s="188">
        <v>320.11500000000001</v>
      </c>
      <c r="AE453" s="185">
        <v>1.8255774165953807E-3</v>
      </c>
      <c r="AF453" s="185">
        <v>1.9216604385214535E-3</v>
      </c>
      <c r="AG453" s="188">
        <v>320.11500000000001</v>
      </c>
      <c r="AH453" s="185">
        <v>1.8255774165953807E-3</v>
      </c>
      <c r="AI453" s="185">
        <v>1.9216604385214535E-3</v>
      </c>
      <c r="AJ453" s="317">
        <v>320.11500000000001</v>
      </c>
      <c r="AK453" s="185">
        <v>1.8255774165953807E-3</v>
      </c>
      <c r="AL453" s="185">
        <v>1.9216604385214535E-3</v>
      </c>
      <c r="AM453" s="188">
        <v>320.11500000000001</v>
      </c>
      <c r="AN453" s="185">
        <v>1.8255774165953807E-3</v>
      </c>
      <c r="AO453" s="185">
        <v>1.9216604385214535E-3</v>
      </c>
      <c r="AP453" s="185"/>
      <c r="AQ453" s="188">
        <v>320.11500000000001</v>
      </c>
      <c r="AR453" s="185">
        <v>1.8255774165953807E-3</v>
      </c>
      <c r="AS453" s="185">
        <v>1.9216604385214535E-3</v>
      </c>
      <c r="AT453" s="188">
        <v>320.11500000000001</v>
      </c>
      <c r="AU453" s="185">
        <v>1.8255774165953807E-3</v>
      </c>
      <c r="AV453" s="185">
        <v>1.9216604385214535E-3</v>
      </c>
      <c r="AW453" s="185"/>
      <c r="AX453" s="185"/>
      <c r="AY453" s="185"/>
      <c r="AZ453" s="185"/>
      <c r="BA453" s="185"/>
      <c r="BB453" s="185"/>
      <c r="BC453" s="188">
        <v>320.11500000000001</v>
      </c>
      <c r="BD453" s="185">
        <v>1.8255774165953807E-3</v>
      </c>
      <c r="BE453" s="185">
        <v>1.9216604385214535E-3</v>
      </c>
      <c r="BF453" s="352"/>
      <c r="BG453" s="352">
        <v>320.11500000000001</v>
      </c>
      <c r="BH453" s="185">
        <v>1.8371018651362984E-3</v>
      </c>
      <c r="BI453" s="185">
        <v>1.9337914369855773E-3</v>
      </c>
      <c r="BJ453" s="374">
        <f t="shared" si="368"/>
        <v>165537.5</v>
      </c>
      <c r="BK453" s="374">
        <v>1785.4110000000001</v>
      </c>
      <c r="BL453" s="185">
        <f t="shared" si="354"/>
        <v>1.0246261119081779E-2</v>
      </c>
      <c r="BM453" s="185">
        <f t="shared" si="369"/>
        <v>1.0785538020086083E-2</v>
      </c>
      <c r="BN453" s="205">
        <f t="shared" si="352"/>
        <v>1465.296</v>
      </c>
      <c r="BO453" s="205"/>
      <c r="BP453" s="189">
        <f>BP454+BP462+BP463</f>
        <v>300</v>
      </c>
      <c r="BQ453" s="186">
        <f t="shared" si="355"/>
        <v>1.721664275466284E-3</v>
      </c>
      <c r="BR453" s="189">
        <f>BR454+BR462+BR463</f>
        <v>300</v>
      </c>
      <c r="BS453" s="186">
        <f t="shared" si="356"/>
        <v>1.721664275466284E-3</v>
      </c>
      <c r="BT453" s="189">
        <f>BT454+BT462+BT463</f>
        <v>2425</v>
      </c>
      <c r="BU453" s="186">
        <f t="shared" si="357"/>
        <v>1.3916786226685796E-2</v>
      </c>
      <c r="BV453" s="189">
        <f>BV454+BV462+BV463</f>
        <v>5550</v>
      </c>
      <c r="BW453" s="186">
        <f t="shared" si="358"/>
        <v>3.1850789096126257E-2</v>
      </c>
      <c r="BX453" s="189">
        <f>BX454+BX462+BX463</f>
        <v>16675</v>
      </c>
      <c r="BY453" s="186">
        <f t="shared" si="359"/>
        <v>9.5695839311334296E-2</v>
      </c>
      <c r="BZ453" s="189">
        <f>BZ454+BZ462+BZ463</f>
        <v>36350</v>
      </c>
      <c r="CA453" s="186">
        <f t="shared" si="360"/>
        <v>0.20860832137733143</v>
      </c>
      <c r="CB453" s="189">
        <f>CB454+CB462+CB463</f>
        <v>79675</v>
      </c>
      <c r="CC453" s="186">
        <f t="shared" si="361"/>
        <v>0.45724533715925397</v>
      </c>
      <c r="CD453" s="189">
        <f>CD454+CD462+CD463</f>
        <v>99645</v>
      </c>
      <c r="CE453" s="186">
        <f t="shared" si="385"/>
        <v>0.5718507890961263</v>
      </c>
      <c r="CF453" s="189">
        <f>CF454+CF462+CF463</f>
        <v>111770</v>
      </c>
      <c r="CG453" s="186">
        <f t="shared" si="362"/>
        <v>0.64143472022955528</v>
      </c>
      <c r="CH453" s="189">
        <f>CH454+CH462+CH463</f>
        <v>126895</v>
      </c>
      <c r="CI453" s="186">
        <f t="shared" si="386"/>
        <v>0.72823529411764709</v>
      </c>
      <c r="CJ453" s="189">
        <f>CJ454+CJ462+CJ463</f>
        <v>132320</v>
      </c>
      <c r="CK453" s="186">
        <f t="shared" si="363"/>
        <v>0.75936872309899572</v>
      </c>
      <c r="CL453" s="189">
        <f>CL454+CL462+CL463</f>
        <v>164457.5</v>
      </c>
      <c r="CM453" s="186">
        <f t="shared" si="364"/>
        <v>0.94380200860832142</v>
      </c>
      <c r="CN453" s="189">
        <f>CN454+CN462+CN463</f>
        <v>166582.5</v>
      </c>
      <c r="CO453" s="186">
        <f t="shared" si="365"/>
        <v>0.95599713055954094</v>
      </c>
      <c r="CP453" s="213" t="str">
        <f t="shared" si="370"/>
        <v>Không đạt</v>
      </c>
      <c r="CQ453" s="213" t="str">
        <f t="shared" si="371"/>
        <v>Không đạt</v>
      </c>
      <c r="CR453" s="213"/>
      <c r="CS453" s="213"/>
      <c r="CT453" s="231"/>
      <c r="CU453" s="163"/>
      <c r="CW453" s="195"/>
      <c r="CX453" s="196"/>
      <c r="CY453" s="196"/>
      <c r="CZ453" s="197"/>
      <c r="DA453" s="196"/>
      <c r="DB453" s="196"/>
      <c r="DC453" s="196"/>
      <c r="DE453" s="199"/>
      <c r="DF453" s="200"/>
      <c r="DG453" s="181"/>
    </row>
    <row r="454" spans="1:111" s="324" customFormat="1" hidden="1" outlineLevel="1" x14ac:dyDescent="0.25">
      <c r="A454" s="305" t="s">
        <v>34</v>
      </c>
      <c r="B454" s="318" t="s">
        <v>381</v>
      </c>
      <c r="C454" s="306"/>
      <c r="D454" s="317">
        <f>SUM(D455:D461)</f>
        <v>150000</v>
      </c>
      <c r="E454" s="317">
        <f t="shared" ref="E454:L454" si="399">SUM(E455:E461)</f>
        <v>0</v>
      </c>
      <c r="F454" s="317">
        <f t="shared" si="399"/>
        <v>150000</v>
      </c>
      <c r="G454" s="317">
        <f t="shared" si="399"/>
        <v>15000</v>
      </c>
      <c r="H454" s="317">
        <f t="shared" si="399"/>
        <v>135000</v>
      </c>
      <c r="I454" s="214">
        <f t="shared" si="399"/>
        <v>0</v>
      </c>
      <c r="J454" s="214"/>
      <c r="K454" s="317">
        <f t="shared" si="399"/>
        <v>0</v>
      </c>
      <c r="L454" s="214">
        <f t="shared" si="399"/>
        <v>0</v>
      </c>
      <c r="M454" s="223"/>
      <c r="N454" s="223"/>
      <c r="O454" s="317">
        <f t="shared" si="382"/>
        <v>15000</v>
      </c>
      <c r="P454" s="317">
        <v>0</v>
      </c>
      <c r="Q454" s="353">
        <f t="shared" si="367"/>
        <v>0</v>
      </c>
      <c r="R454" s="317">
        <v>0</v>
      </c>
      <c r="S454" s="354">
        <v>0</v>
      </c>
      <c r="T454" s="354">
        <v>0</v>
      </c>
      <c r="U454" s="317">
        <v>0</v>
      </c>
      <c r="V454" s="354">
        <v>0</v>
      </c>
      <c r="W454" s="354">
        <v>0</v>
      </c>
      <c r="X454" s="317">
        <v>0</v>
      </c>
      <c r="Y454" s="354">
        <v>0</v>
      </c>
      <c r="Z454" s="354">
        <v>0</v>
      </c>
      <c r="AA454" s="317">
        <v>0</v>
      </c>
      <c r="AB454" s="354">
        <v>0</v>
      </c>
      <c r="AC454" s="354">
        <v>0</v>
      </c>
      <c r="AD454" s="317">
        <v>0</v>
      </c>
      <c r="AE454" s="354">
        <v>0</v>
      </c>
      <c r="AF454" s="354">
        <v>0</v>
      </c>
      <c r="AG454" s="317">
        <v>0</v>
      </c>
      <c r="AH454" s="354">
        <v>0</v>
      </c>
      <c r="AI454" s="354">
        <v>0</v>
      </c>
      <c r="AJ454" s="260">
        <v>0</v>
      </c>
      <c r="AK454" s="354">
        <v>0</v>
      </c>
      <c r="AL454" s="354">
        <v>0</v>
      </c>
      <c r="AM454" s="317">
        <v>0</v>
      </c>
      <c r="AN454" s="354">
        <v>0</v>
      </c>
      <c r="AO454" s="354">
        <v>0</v>
      </c>
      <c r="AP454" s="354"/>
      <c r="AQ454" s="317">
        <v>0</v>
      </c>
      <c r="AR454" s="354">
        <v>0</v>
      </c>
      <c r="AS454" s="354">
        <v>0</v>
      </c>
      <c r="AT454" s="317">
        <v>0</v>
      </c>
      <c r="AU454" s="354">
        <v>0</v>
      </c>
      <c r="AV454" s="354">
        <v>0</v>
      </c>
      <c r="AW454" s="354"/>
      <c r="AX454" s="354"/>
      <c r="AY454" s="354"/>
      <c r="AZ454" s="354"/>
      <c r="BA454" s="354"/>
      <c r="BB454" s="354"/>
      <c r="BC454" s="317">
        <v>0</v>
      </c>
      <c r="BD454" s="354">
        <v>0</v>
      </c>
      <c r="BE454" s="354">
        <v>0</v>
      </c>
      <c r="BF454" s="349"/>
      <c r="BG454" s="349">
        <v>0</v>
      </c>
      <c r="BH454" s="354">
        <v>0</v>
      </c>
      <c r="BI454" s="354">
        <v>0</v>
      </c>
      <c r="BJ454" s="349">
        <f t="shared" si="368"/>
        <v>142500</v>
      </c>
      <c r="BK454" s="349">
        <v>0</v>
      </c>
      <c r="BL454" s="354">
        <f t="shared" si="354"/>
        <v>0</v>
      </c>
      <c r="BM454" s="354">
        <f t="shared" si="369"/>
        <v>0</v>
      </c>
      <c r="BN454" s="205">
        <f t="shared" si="352"/>
        <v>0</v>
      </c>
      <c r="BO454" s="205"/>
      <c r="BP454" s="355">
        <f t="shared" ref="BP454:CN454" si="400">SUM(BP455:BP461)</f>
        <v>0</v>
      </c>
      <c r="BQ454" s="353">
        <f t="shared" si="355"/>
        <v>0</v>
      </c>
      <c r="BR454" s="355">
        <f t="shared" si="400"/>
        <v>0</v>
      </c>
      <c r="BS454" s="353">
        <f t="shared" si="356"/>
        <v>0</v>
      </c>
      <c r="BT454" s="355">
        <f t="shared" si="400"/>
        <v>0</v>
      </c>
      <c r="BU454" s="353">
        <f t="shared" si="357"/>
        <v>0</v>
      </c>
      <c r="BV454" s="355">
        <f>SUM(BV455:BV461)</f>
        <v>1000</v>
      </c>
      <c r="BW454" s="353">
        <f t="shared" si="358"/>
        <v>6.6666666666666671E-3</v>
      </c>
      <c r="BX454" s="355">
        <f t="shared" si="400"/>
        <v>10000</v>
      </c>
      <c r="BY454" s="353">
        <f t="shared" si="359"/>
        <v>6.6666666666666666E-2</v>
      </c>
      <c r="BZ454" s="355">
        <f t="shared" si="400"/>
        <v>25000</v>
      </c>
      <c r="CA454" s="353">
        <f t="shared" si="360"/>
        <v>0.16666666666666666</v>
      </c>
      <c r="CB454" s="355">
        <f t="shared" si="400"/>
        <v>66200</v>
      </c>
      <c r="CC454" s="353">
        <f t="shared" si="361"/>
        <v>0.44133333333333336</v>
      </c>
      <c r="CD454" s="355">
        <f t="shared" si="400"/>
        <v>84045</v>
      </c>
      <c r="CE454" s="353">
        <f>CD454/$D454</f>
        <v>0.56030000000000002</v>
      </c>
      <c r="CF454" s="355">
        <f t="shared" si="400"/>
        <v>94045</v>
      </c>
      <c r="CG454" s="353">
        <f t="shared" si="362"/>
        <v>0.62696666666666667</v>
      </c>
      <c r="CH454" s="355">
        <f t="shared" si="400"/>
        <v>107045</v>
      </c>
      <c r="CI454" s="353">
        <f>CH454/$D454</f>
        <v>0.71363333333333334</v>
      </c>
      <c r="CJ454" s="355">
        <f t="shared" si="400"/>
        <v>112045</v>
      </c>
      <c r="CK454" s="353">
        <f t="shared" si="363"/>
        <v>0.74696666666666667</v>
      </c>
      <c r="CL454" s="355">
        <f t="shared" si="400"/>
        <v>143545</v>
      </c>
      <c r="CM454" s="353">
        <f t="shared" si="364"/>
        <v>0.95696666666666663</v>
      </c>
      <c r="CN454" s="355">
        <f t="shared" si="400"/>
        <v>143545</v>
      </c>
      <c r="CO454" s="353">
        <f t="shared" si="365"/>
        <v>0.95696666666666663</v>
      </c>
      <c r="CP454" s="213" t="str">
        <f t="shared" si="370"/>
        <v>Không đạt</v>
      </c>
      <c r="CQ454" s="213" t="str">
        <f t="shared" si="371"/>
        <v>Không đạt</v>
      </c>
      <c r="CR454" s="312"/>
      <c r="CS454" s="312"/>
      <c r="CT454" s="235"/>
      <c r="CU454" s="163"/>
      <c r="CV454" s="323"/>
      <c r="CW454" s="195"/>
      <c r="CX454" s="196"/>
      <c r="CY454" s="196"/>
      <c r="CZ454" s="197"/>
      <c r="DA454" s="196"/>
      <c r="DB454" s="196"/>
      <c r="DC454" s="196"/>
      <c r="DE454" s="199"/>
      <c r="DF454" s="200"/>
      <c r="DG454" s="181"/>
    </row>
    <row r="455" spans="1:111" ht="43.5" hidden="1" customHeight="1" outlineLevel="1" x14ac:dyDescent="0.25">
      <c r="A455" s="356"/>
      <c r="B455" s="325" t="s">
        <v>461</v>
      </c>
      <c r="C455" s="325"/>
      <c r="D455" s="214">
        <f t="shared" ref="D455:D463" si="401">E455+F455</f>
        <v>30000</v>
      </c>
      <c r="E455" s="215"/>
      <c r="F455" s="214">
        <f t="shared" ref="F455:F462" si="402">G455+H455+K455+M455</f>
        <v>30000</v>
      </c>
      <c r="G455" s="260">
        <v>10000</v>
      </c>
      <c r="H455" s="260">
        <v>20000</v>
      </c>
      <c r="I455" s="235"/>
      <c r="J455" s="235"/>
      <c r="K455" s="223"/>
      <c r="L455" s="235"/>
      <c r="M455" s="223"/>
      <c r="N455" s="223"/>
      <c r="O455" s="260">
        <f t="shared" si="382"/>
        <v>10000</v>
      </c>
      <c r="P455" s="260">
        <v>0</v>
      </c>
      <c r="Q455" s="224">
        <f t="shared" si="367"/>
        <v>0</v>
      </c>
      <c r="R455" s="260">
        <v>0</v>
      </c>
      <c r="S455" s="225">
        <v>0</v>
      </c>
      <c r="T455" s="225">
        <v>0</v>
      </c>
      <c r="U455" s="260">
        <v>0</v>
      </c>
      <c r="V455" s="225">
        <v>0</v>
      </c>
      <c r="W455" s="225">
        <v>0</v>
      </c>
      <c r="X455" s="260">
        <v>0</v>
      </c>
      <c r="Y455" s="225">
        <v>0</v>
      </c>
      <c r="Z455" s="225">
        <v>0</v>
      </c>
      <c r="AA455" s="260">
        <v>0</v>
      </c>
      <c r="AB455" s="225">
        <v>0</v>
      </c>
      <c r="AC455" s="225">
        <v>0</v>
      </c>
      <c r="AD455" s="260">
        <v>0</v>
      </c>
      <c r="AE455" s="225">
        <v>0</v>
      </c>
      <c r="AF455" s="225">
        <v>0</v>
      </c>
      <c r="AG455" s="260">
        <v>0</v>
      </c>
      <c r="AH455" s="225">
        <v>0</v>
      </c>
      <c r="AI455" s="225">
        <v>0</v>
      </c>
      <c r="AJ455" s="257">
        <v>0</v>
      </c>
      <c r="AK455" s="225">
        <v>0</v>
      </c>
      <c r="AL455" s="225">
        <v>0</v>
      </c>
      <c r="AM455" s="260">
        <v>0</v>
      </c>
      <c r="AN455" s="225">
        <v>0</v>
      </c>
      <c r="AO455" s="225">
        <v>0</v>
      </c>
      <c r="AP455" s="225"/>
      <c r="AQ455" s="260">
        <v>0</v>
      </c>
      <c r="AR455" s="225">
        <v>0</v>
      </c>
      <c r="AS455" s="225">
        <v>0</v>
      </c>
      <c r="AT455" s="260">
        <v>0</v>
      </c>
      <c r="AU455" s="225">
        <v>0</v>
      </c>
      <c r="AV455" s="225">
        <v>0</v>
      </c>
      <c r="AW455" s="225"/>
      <c r="AX455" s="225"/>
      <c r="AY455" s="225"/>
      <c r="AZ455" s="225"/>
      <c r="BA455" s="225"/>
      <c r="BB455" s="225"/>
      <c r="BC455" s="260">
        <v>0</v>
      </c>
      <c r="BD455" s="225">
        <v>0</v>
      </c>
      <c r="BE455" s="225">
        <v>0</v>
      </c>
      <c r="BF455" s="350"/>
      <c r="BG455" s="350">
        <v>0</v>
      </c>
      <c r="BH455" s="225">
        <v>0</v>
      </c>
      <c r="BI455" s="225">
        <v>0</v>
      </c>
      <c r="BJ455" s="402">
        <f t="shared" si="368"/>
        <v>28500</v>
      </c>
      <c r="BK455" s="402">
        <v>0</v>
      </c>
      <c r="BL455" s="225">
        <f t="shared" si="354"/>
        <v>0</v>
      </c>
      <c r="BM455" s="225">
        <f t="shared" si="369"/>
        <v>0</v>
      </c>
      <c r="BN455" s="205">
        <f t="shared" si="352"/>
        <v>0</v>
      </c>
      <c r="BO455" s="205"/>
      <c r="BP455" s="227">
        <v>0</v>
      </c>
      <c r="BQ455" s="224">
        <f t="shared" si="355"/>
        <v>0</v>
      </c>
      <c r="BR455" s="227">
        <v>0</v>
      </c>
      <c r="BS455" s="224">
        <f t="shared" si="356"/>
        <v>0</v>
      </c>
      <c r="BT455" s="227">
        <v>0</v>
      </c>
      <c r="BU455" s="224">
        <f t="shared" si="357"/>
        <v>0</v>
      </c>
      <c r="BV455" s="227">
        <v>0</v>
      </c>
      <c r="BW455" s="224">
        <f t="shared" si="358"/>
        <v>0</v>
      </c>
      <c r="BX455" s="227">
        <v>0</v>
      </c>
      <c r="BY455" s="224">
        <f t="shared" si="359"/>
        <v>0</v>
      </c>
      <c r="BZ455" s="227">
        <v>5000</v>
      </c>
      <c r="CA455" s="224">
        <f t="shared" si="360"/>
        <v>0.16666666666666666</v>
      </c>
      <c r="CB455" s="227">
        <v>10000</v>
      </c>
      <c r="CC455" s="224">
        <f t="shared" si="361"/>
        <v>0.33333333333333331</v>
      </c>
      <c r="CD455" s="227">
        <v>10000</v>
      </c>
      <c r="CE455" s="224">
        <f t="shared" si="361"/>
        <v>0.33333333333333331</v>
      </c>
      <c r="CF455" s="227">
        <v>10000</v>
      </c>
      <c r="CG455" s="224">
        <f t="shared" si="362"/>
        <v>0.33333333333333331</v>
      </c>
      <c r="CH455" s="227">
        <v>20000</v>
      </c>
      <c r="CI455" s="224">
        <f t="shared" si="362"/>
        <v>0.66666666666666663</v>
      </c>
      <c r="CJ455" s="227">
        <v>20000</v>
      </c>
      <c r="CK455" s="224">
        <f t="shared" si="363"/>
        <v>0.66666666666666663</v>
      </c>
      <c r="CL455" s="227">
        <v>28500</v>
      </c>
      <c r="CM455" s="224">
        <f t="shared" si="364"/>
        <v>0.95</v>
      </c>
      <c r="CN455" s="227">
        <v>28500</v>
      </c>
      <c r="CO455" s="224">
        <f t="shared" si="365"/>
        <v>0.95</v>
      </c>
      <c r="CP455" s="213" t="str">
        <f t="shared" si="370"/>
        <v>Không đạt</v>
      </c>
      <c r="CQ455" s="213" t="str">
        <f t="shared" si="371"/>
        <v>Không đạt</v>
      </c>
      <c r="CR455" s="192"/>
      <c r="CS455" s="192"/>
      <c r="CT455" s="223"/>
      <c r="CU455" s="163"/>
      <c r="CW455" s="195"/>
      <c r="CX455" s="196"/>
      <c r="CY455" s="196"/>
      <c r="CZ455" s="197"/>
      <c r="DA455" s="196"/>
      <c r="DB455" s="196"/>
      <c r="DC455" s="196"/>
      <c r="DE455" s="199"/>
      <c r="DF455" s="200"/>
      <c r="DG455" s="181"/>
    </row>
    <row r="456" spans="1:111" ht="38.25" hidden="1" outlineLevel="1" x14ac:dyDescent="0.25">
      <c r="A456" s="192"/>
      <c r="B456" s="325" t="s">
        <v>462</v>
      </c>
      <c r="C456" s="325"/>
      <c r="D456" s="214">
        <f t="shared" si="401"/>
        <v>40000</v>
      </c>
      <c r="E456" s="215"/>
      <c r="F456" s="214">
        <f t="shared" si="402"/>
        <v>40000</v>
      </c>
      <c r="G456" s="257">
        <v>5000</v>
      </c>
      <c r="H456" s="257">
        <v>35000</v>
      </c>
      <c r="I456" s="235"/>
      <c r="J456" s="235"/>
      <c r="K456" s="223"/>
      <c r="L456" s="235"/>
      <c r="M456" s="223"/>
      <c r="N456" s="223"/>
      <c r="O456" s="257">
        <f t="shared" si="382"/>
        <v>5000</v>
      </c>
      <c r="P456" s="257">
        <v>0</v>
      </c>
      <c r="Q456" s="224">
        <f t="shared" si="367"/>
        <v>0</v>
      </c>
      <c r="R456" s="257">
        <v>0</v>
      </c>
      <c r="S456" s="225">
        <v>0</v>
      </c>
      <c r="T456" s="225">
        <v>0</v>
      </c>
      <c r="U456" s="257">
        <v>0</v>
      </c>
      <c r="V456" s="225">
        <v>0</v>
      </c>
      <c r="W456" s="225">
        <v>0</v>
      </c>
      <c r="X456" s="257">
        <v>0</v>
      </c>
      <c r="Y456" s="225">
        <v>0</v>
      </c>
      <c r="Z456" s="225">
        <v>0</v>
      </c>
      <c r="AA456" s="257">
        <v>0</v>
      </c>
      <c r="AB456" s="225">
        <v>0</v>
      </c>
      <c r="AC456" s="225">
        <v>0</v>
      </c>
      <c r="AD456" s="257">
        <v>0</v>
      </c>
      <c r="AE456" s="225">
        <v>0</v>
      </c>
      <c r="AF456" s="225">
        <v>0</v>
      </c>
      <c r="AG456" s="257">
        <v>0</v>
      </c>
      <c r="AH456" s="225">
        <v>0</v>
      </c>
      <c r="AI456" s="225">
        <v>0</v>
      </c>
      <c r="AJ456" s="257">
        <v>0</v>
      </c>
      <c r="AK456" s="225">
        <v>0</v>
      </c>
      <c r="AL456" s="225">
        <v>0</v>
      </c>
      <c r="AM456" s="257">
        <v>0</v>
      </c>
      <c r="AN456" s="225">
        <v>0</v>
      </c>
      <c r="AO456" s="225">
        <v>0</v>
      </c>
      <c r="AP456" s="225"/>
      <c r="AQ456" s="257">
        <v>0</v>
      </c>
      <c r="AR456" s="225">
        <v>0</v>
      </c>
      <c r="AS456" s="225">
        <v>0</v>
      </c>
      <c r="AT456" s="257">
        <v>0</v>
      </c>
      <c r="AU456" s="225">
        <v>0</v>
      </c>
      <c r="AV456" s="225">
        <v>0</v>
      </c>
      <c r="AW456" s="225"/>
      <c r="AX456" s="225"/>
      <c r="AY456" s="225"/>
      <c r="AZ456" s="225"/>
      <c r="BA456" s="225"/>
      <c r="BB456" s="225"/>
      <c r="BC456" s="257">
        <v>0</v>
      </c>
      <c r="BD456" s="225">
        <v>0</v>
      </c>
      <c r="BE456" s="225">
        <v>0</v>
      </c>
      <c r="BF456" s="350"/>
      <c r="BG456" s="350">
        <v>0</v>
      </c>
      <c r="BH456" s="225">
        <v>0</v>
      </c>
      <c r="BI456" s="225">
        <v>0</v>
      </c>
      <c r="BJ456" s="402">
        <f t="shared" si="368"/>
        <v>38000</v>
      </c>
      <c r="BK456" s="402">
        <v>0</v>
      </c>
      <c r="BL456" s="225">
        <f t="shared" si="354"/>
        <v>0</v>
      </c>
      <c r="BM456" s="225">
        <f t="shared" si="369"/>
        <v>0</v>
      </c>
      <c r="BN456" s="205">
        <f t="shared" si="352"/>
        <v>0</v>
      </c>
      <c r="BO456" s="205"/>
      <c r="BP456" s="227">
        <v>0</v>
      </c>
      <c r="BQ456" s="224">
        <f t="shared" si="355"/>
        <v>0</v>
      </c>
      <c r="BR456" s="227">
        <v>0</v>
      </c>
      <c r="BS456" s="224">
        <f t="shared" si="356"/>
        <v>0</v>
      </c>
      <c r="BT456" s="227">
        <v>0</v>
      </c>
      <c r="BU456" s="224">
        <f t="shared" si="357"/>
        <v>0</v>
      </c>
      <c r="BV456" s="227">
        <v>1000</v>
      </c>
      <c r="BW456" s="224">
        <f t="shared" si="358"/>
        <v>2.5000000000000001E-2</v>
      </c>
      <c r="BX456" s="227">
        <v>10000</v>
      </c>
      <c r="BY456" s="224">
        <f t="shared" si="359"/>
        <v>0.25</v>
      </c>
      <c r="BZ456" s="227">
        <v>20000</v>
      </c>
      <c r="CA456" s="224">
        <f t="shared" si="360"/>
        <v>0.5</v>
      </c>
      <c r="CB456" s="227">
        <v>30000</v>
      </c>
      <c r="CC456" s="224">
        <f t="shared" si="361"/>
        <v>0.75</v>
      </c>
      <c r="CD456" s="227">
        <v>38000</v>
      </c>
      <c r="CE456" s="224">
        <f t="shared" si="361"/>
        <v>0.95</v>
      </c>
      <c r="CF456" s="227">
        <v>38000</v>
      </c>
      <c r="CG456" s="224">
        <f t="shared" si="362"/>
        <v>0.95</v>
      </c>
      <c r="CH456" s="227">
        <v>38000</v>
      </c>
      <c r="CI456" s="224">
        <f t="shared" si="362"/>
        <v>0.95</v>
      </c>
      <c r="CJ456" s="227">
        <v>38000</v>
      </c>
      <c r="CK456" s="224">
        <f t="shared" si="363"/>
        <v>0.95</v>
      </c>
      <c r="CL456" s="227">
        <v>38000</v>
      </c>
      <c r="CM456" s="224">
        <f t="shared" si="364"/>
        <v>0.95</v>
      </c>
      <c r="CN456" s="227">
        <v>38000</v>
      </c>
      <c r="CO456" s="224">
        <f t="shared" si="365"/>
        <v>0.95</v>
      </c>
      <c r="CP456" s="213" t="str">
        <f t="shared" si="370"/>
        <v>Không đạt</v>
      </c>
      <c r="CQ456" s="213" t="str">
        <f t="shared" si="371"/>
        <v>Không đạt</v>
      </c>
      <c r="CR456" s="192"/>
      <c r="CS456" s="192"/>
      <c r="CT456" s="223"/>
      <c r="CU456" s="163"/>
      <c r="CW456" s="195"/>
      <c r="CX456" s="196"/>
      <c r="CY456" s="196"/>
      <c r="CZ456" s="197"/>
      <c r="DA456" s="196"/>
      <c r="DB456" s="196"/>
      <c r="DC456" s="196"/>
      <c r="DE456" s="199"/>
      <c r="DF456" s="200"/>
      <c r="DG456" s="181"/>
    </row>
    <row r="457" spans="1:111" ht="38.25" hidden="1" outlineLevel="1" x14ac:dyDescent="0.25">
      <c r="A457" s="192"/>
      <c r="B457" s="325" t="s">
        <v>463</v>
      </c>
      <c r="C457" s="325"/>
      <c r="D457" s="214">
        <f t="shared" si="401"/>
        <v>25000</v>
      </c>
      <c r="E457" s="215"/>
      <c r="F457" s="214">
        <f t="shared" si="402"/>
        <v>25000</v>
      </c>
      <c r="G457" s="257"/>
      <c r="H457" s="257">
        <v>25000</v>
      </c>
      <c r="I457" s="235"/>
      <c r="J457" s="235"/>
      <c r="K457" s="223"/>
      <c r="L457" s="235"/>
      <c r="M457" s="223"/>
      <c r="N457" s="223"/>
      <c r="O457" s="257">
        <f t="shared" si="382"/>
        <v>0</v>
      </c>
      <c r="P457" s="257">
        <v>0</v>
      </c>
      <c r="Q457" s="224">
        <f t="shared" si="367"/>
        <v>0</v>
      </c>
      <c r="R457" s="257">
        <v>0</v>
      </c>
      <c r="S457" s="225">
        <v>0</v>
      </c>
      <c r="T457" s="225">
        <v>0</v>
      </c>
      <c r="U457" s="257">
        <v>0</v>
      </c>
      <c r="V457" s="225">
        <v>0</v>
      </c>
      <c r="W457" s="225">
        <v>0</v>
      </c>
      <c r="X457" s="257">
        <v>0</v>
      </c>
      <c r="Y457" s="225">
        <v>0</v>
      </c>
      <c r="Z457" s="225">
        <v>0</v>
      </c>
      <c r="AA457" s="257">
        <v>0</v>
      </c>
      <c r="AB457" s="225">
        <v>0</v>
      </c>
      <c r="AC457" s="225">
        <v>0</v>
      </c>
      <c r="AD457" s="257">
        <v>0</v>
      </c>
      <c r="AE457" s="225">
        <v>0</v>
      </c>
      <c r="AF457" s="225">
        <v>0</v>
      </c>
      <c r="AG457" s="257">
        <v>0</v>
      </c>
      <c r="AH457" s="225">
        <v>0</v>
      </c>
      <c r="AI457" s="225">
        <v>0</v>
      </c>
      <c r="AJ457" s="257">
        <v>0</v>
      </c>
      <c r="AK457" s="225">
        <v>0</v>
      </c>
      <c r="AL457" s="225">
        <v>0</v>
      </c>
      <c r="AM457" s="257">
        <v>0</v>
      </c>
      <c r="AN457" s="225">
        <v>0</v>
      </c>
      <c r="AO457" s="225">
        <v>0</v>
      </c>
      <c r="AP457" s="225"/>
      <c r="AQ457" s="257">
        <v>0</v>
      </c>
      <c r="AR457" s="225">
        <v>0</v>
      </c>
      <c r="AS457" s="225">
        <v>0</v>
      </c>
      <c r="AT457" s="257">
        <v>0</v>
      </c>
      <c r="AU457" s="225">
        <v>0</v>
      </c>
      <c r="AV457" s="225">
        <v>0</v>
      </c>
      <c r="AW457" s="225"/>
      <c r="AX457" s="225"/>
      <c r="AY457" s="225"/>
      <c r="AZ457" s="225"/>
      <c r="BA457" s="225"/>
      <c r="BB457" s="225"/>
      <c r="BC457" s="257">
        <v>0</v>
      </c>
      <c r="BD457" s="225">
        <v>0</v>
      </c>
      <c r="BE457" s="225">
        <v>0</v>
      </c>
      <c r="BF457" s="350"/>
      <c r="BG457" s="350">
        <v>0</v>
      </c>
      <c r="BH457" s="225">
        <v>0</v>
      </c>
      <c r="BI457" s="225">
        <v>0</v>
      </c>
      <c r="BJ457" s="402">
        <f t="shared" si="368"/>
        <v>23750</v>
      </c>
      <c r="BK457" s="402">
        <v>0</v>
      </c>
      <c r="BL457" s="225">
        <f t="shared" si="354"/>
        <v>0</v>
      </c>
      <c r="BM457" s="225">
        <f t="shared" si="369"/>
        <v>0</v>
      </c>
      <c r="BN457" s="205">
        <f t="shared" ref="BN457:BN520" si="403">BK457-AD457</f>
        <v>0</v>
      </c>
      <c r="BO457" s="205"/>
      <c r="BP457" s="227">
        <v>0</v>
      </c>
      <c r="BQ457" s="224">
        <f t="shared" si="355"/>
        <v>0</v>
      </c>
      <c r="BR457" s="227">
        <v>0</v>
      </c>
      <c r="BS457" s="224">
        <f t="shared" si="356"/>
        <v>0</v>
      </c>
      <c r="BT457" s="227">
        <v>0</v>
      </c>
      <c r="BU457" s="224">
        <f t="shared" si="357"/>
        <v>0</v>
      </c>
      <c r="BV457" s="227">
        <v>0</v>
      </c>
      <c r="BW457" s="224">
        <f t="shared" si="358"/>
        <v>0</v>
      </c>
      <c r="BX457" s="227">
        <v>0</v>
      </c>
      <c r="BY457" s="224">
        <f t="shared" si="359"/>
        <v>0</v>
      </c>
      <c r="BZ457" s="227">
        <v>0</v>
      </c>
      <c r="CA457" s="224">
        <f t="shared" si="360"/>
        <v>0</v>
      </c>
      <c r="CB457" s="227">
        <v>5000</v>
      </c>
      <c r="CC457" s="224">
        <f t="shared" si="361"/>
        <v>0.2</v>
      </c>
      <c r="CD457" s="227">
        <v>10000</v>
      </c>
      <c r="CE457" s="224">
        <f t="shared" si="361"/>
        <v>0.4</v>
      </c>
      <c r="CF457" s="227">
        <v>15000</v>
      </c>
      <c r="CG457" s="224">
        <f t="shared" si="362"/>
        <v>0.6</v>
      </c>
      <c r="CH457" s="227">
        <v>15000</v>
      </c>
      <c r="CI457" s="224">
        <f t="shared" si="362"/>
        <v>0.6</v>
      </c>
      <c r="CJ457" s="227">
        <v>15000</v>
      </c>
      <c r="CK457" s="224">
        <f t="shared" si="363"/>
        <v>0.6</v>
      </c>
      <c r="CL457" s="227">
        <v>23750</v>
      </c>
      <c r="CM457" s="224">
        <f t="shared" si="364"/>
        <v>0.95</v>
      </c>
      <c r="CN457" s="227">
        <v>23750</v>
      </c>
      <c r="CO457" s="224">
        <f t="shared" si="365"/>
        <v>0.95</v>
      </c>
      <c r="CP457" s="213" t="str">
        <f t="shared" si="370"/>
        <v>Không đạt</v>
      </c>
      <c r="CQ457" s="213" t="str">
        <f t="shared" si="371"/>
        <v>Không đạt</v>
      </c>
      <c r="CR457" s="192"/>
      <c r="CS457" s="192"/>
      <c r="CT457" s="223"/>
      <c r="CU457" s="163"/>
      <c r="CW457" s="195"/>
      <c r="CX457" s="196"/>
      <c r="CY457" s="196"/>
      <c r="CZ457" s="197"/>
      <c r="DA457" s="196"/>
      <c r="DB457" s="196"/>
      <c r="DC457" s="196"/>
      <c r="DE457" s="199"/>
      <c r="DF457" s="200"/>
      <c r="DG457" s="181"/>
    </row>
    <row r="458" spans="1:111" ht="38.25" hidden="1" outlineLevel="1" x14ac:dyDescent="0.25">
      <c r="A458" s="192"/>
      <c r="B458" s="325" t="s">
        <v>464</v>
      </c>
      <c r="C458" s="325"/>
      <c r="D458" s="214">
        <f t="shared" si="401"/>
        <v>15000</v>
      </c>
      <c r="E458" s="215"/>
      <c r="F458" s="214">
        <f t="shared" si="402"/>
        <v>15000</v>
      </c>
      <c r="G458" s="257"/>
      <c r="H458" s="257">
        <v>15000</v>
      </c>
      <c r="I458" s="235"/>
      <c r="J458" s="235"/>
      <c r="K458" s="223"/>
      <c r="L458" s="235"/>
      <c r="M458" s="223"/>
      <c r="N458" s="223"/>
      <c r="O458" s="257">
        <f t="shared" si="382"/>
        <v>0</v>
      </c>
      <c r="P458" s="257">
        <v>0</v>
      </c>
      <c r="Q458" s="224">
        <f t="shared" si="367"/>
        <v>0</v>
      </c>
      <c r="R458" s="257">
        <v>0</v>
      </c>
      <c r="S458" s="225">
        <v>0</v>
      </c>
      <c r="T458" s="225">
        <v>0</v>
      </c>
      <c r="U458" s="257">
        <v>0</v>
      </c>
      <c r="V458" s="225">
        <v>0</v>
      </c>
      <c r="W458" s="225">
        <v>0</v>
      </c>
      <c r="X458" s="257">
        <v>0</v>
      </c>
      <c r="Y458" s="225">
        <v>0</v>
      </c>
      <c r="Z458" s="225">
        <v>0</v>
      </c>
      <c r="AA458" s="257">
        <v>0</v>
      </c>
      <c r="AB458" s="225">
        <v>0</v>
      </c>
      <c r="AC458" s="225">
        <v>0</v>
      </c>
      <c r="AD458" s="257">
        <v>0</v>
      </c>
      <c r="AE458" s="225">
        <v>0</v>
      </c>
      <c r="AF458" s="225">
        <v>0</v>
      </c>
      <c r="AG458" s="257">
        <v>0</v>
      </c>
      <c r="AH458" s="225">
        <v>0</v>
      </c>
      <c r="AI458" s="225">
        <v>0</v>
      </c>
      <c r="AJ458" s="257">
        <v>0</v>
      </c>
      <c r="AK458" s="225">
        <v>0</v>
      </c>
      <c r="AL458" s="225">
        <v>0</v>
      </c>
      <c r="AM458" s="257">
        <v>0</v>
      </c>
      <c r="AN458" s="225">
        <v>0</v>
      </c>
      <c r="AO458" s="225">
        <v>0</v>
      </c>
      <c r="AP458" s="225"/>
      <c r="AQ458" s="257">
        <v>0</v>
      </c>
      <c r="AR458" s="225">
        <v>0</v>
      </c>
      <c r="AS458" s="225">
        <v>0</v>
      </c>
      <c r="AT458" s="257">
        <v>0</v>
      </c>
      <c r="AU458" s="225">
        <v>0</v>
      </c>
      <c r="AV458" s="225">
        <v>0</v>
      </c>
      <c r="AW458" s="225"/>
      <c r="AX458" s="225"/>
      <c r="AY458" s="225"/>
      <c r="AZ458" s="225"/>
      <c r="BA458" s="225"/>
      <c r="BB458" s="225"/>
      <c r="BC458" s="257">
        <v>0</v>
      </c>
      <c r="BD458" s="225">
        <v>0</v>
      </c>
      <c r="BE458" s="225">
        <v>0</v>
      </c>
      <c r="BF458" s="350"/>
      <c r="BG458" s="350">
        <v>0</v>
      </c>
      <c r="BH458" s="225">
        <v>0</v>
      </c>
      <c r="BI458" s="225">
        <v>0</v>
      </c>
      <c r="BJ458" s="402">
        <f t="shared" si="368"/>
        <v>14250</v>
      </c>
      <c r="BK458" s="402">
        <v>0</v>
      </c>
      <c r="BL458" s="225">
        <f t="shared" si="354"/>
        <v>0</v>
      </c>
      <c r="BM458" s="225">
        <f t="shared" si="369"/>
        <v>0</v>
      </c>
      <c r="BN458" s="205">
        <f t="shared" si="403"/>
        <v>0</v>
      </c>
      <c r="BO458" s="205"/>
      <c r="BP458" s="227">
        <v>0</v>
      </c>
      <c r="BQ458" s="224">
        <f t="shared" si="355"/>
        <v>0</v>
      </c>
      <c r="BR458" s="227">
        <v>0</v>
      </c>
      <c r="BS458" s="224">
        <f t="shared" si="356"/>
        <v>0</v>
      </c>
      <c r="BT458" s="227">
        <v>0</v>
      </c>
      <c r="BU458" s="224">
        <f t="shared" si="357"/>
        <v>0</v>
      </c>
      <c r="BV458" s="227">
        <v>0</v>
      </c>
      <c r="BW458" s="224">
        <f t="shared" si="358"/>
        <v>0</v>
      </c>
      <c r="BX458" s="227">
        <v>0</v>
      </c>
      <c r="BY458" s="224">
        <f t="shared" si="359"/>
        <v>0</v>
      </c>
      <c r="BZ458" s="227">
        <v>0</v>
      </c>
      <c r="CA458" s="224">
        <f t="shared" si="360"/>
        <v>0</v>
      </c>
      <c r="CB458" s="227">
        <v>5000</v>
      </c>
      <c r="CC458" s="224">
        <f t="shared" si="361"/>
        <v>0.33333333333333331</v>
      </c>
      <c r="CD458" s="227">
        <v>5000</v>
      </c>
      <c r="CE458" s="224">
        <f t="shared" si="361"/>
        <v>0.33333333333333331</v>
      </c>
      <c r="CF458" s="227">
        <v>5000</v>
      </c>
      <c r="CG458" s="224">
        <f t="shared" si="362"/>
        <v>0.33333333333333331</v>
      </c>
      <c r="CH458" s="227">
        <v>8000</v>
      </c>
      <c r="CI458" s="224">
        <f t="shared" si="362"/>
        <v>0.53333333333333333</v>
      </c>
      <c r="CJ458" s="227">
        <v>8000</v>
      </c>
      <c r="CK458" s="224">
        <f t="shared" si="363"/>
        <v>0.53333333333333333</v>
      </c>
      <c r="CL458" s="227">
        <v>14250</v>
      </c>
      <c r="CM458" s="224">
        <f t="shared" si="364"/>
        <v>0.95</v>
      </c>
      <c r="CN458" s="227">
        <v>14250</v>
      </c>
      <c r="CO458" s="224">
        <f t="shared" si="365"/>
        <v>0.95</v>
      </c>
      <c r="CP458" s="213" t="str">
        <f t="shared" si="370"/>
        <v>Không đạt</v>
      </c>
      <c r="CQ458" s="213" t="str">
        <f t="shared" si="371"/>
        <v>Không đạt</v>
      </c>
      <c r="CR458" s="192"/>
      <c r="CS458" s="192"/>
      <c r="CT458" s="223"/>
      <c r="CU458" s="163"/>
      <c r="CW458" s="195"/>
      <c r="CX458" s="196"/>
      <c r="CY458" s="196"/>
      <c r="CZ458" s="197"/>
      <c r="DA458" s="196"/>
      <c r="DB458" s="196"/>
      <c r="DC458" s="196"/>
      <c r="DE458" s="199"/>
      <c r="DF458" s="200"/>
      <c r="DG458" s="181"/>
    </row>
    <row r="459" spans="1:111" ht="25.5" hidden="1" outlineLevel="1" x14ac:dyDescent="0.25">
      <c r="A459" s="192"/>
      <c r="B459" s="325" t="s">
        <v>465</v>
      </c>
      <c r="C459" s="325"/>
      <c r="D459" s="214">
        <f t="shared" si="401"/>
        <v>40000</v>
      </c>
      <c r="E459" s="215"/>
      <c r="F459" s="214">
        <f t="shared" si="402"/>
        <v>40000</v>
      </c>
      <c r="G459" s="260"/>
      <c r="H459" s="257">
        <f>25000+15000</f>
        <v>40000</v>
      </c>
      <c r="I459" s="235"/>
      <c r="J459" s="235"/>
      <c r="K459" s="223"/>
      <c r="L459" s="235"/>
      <c r="M459" s="223"/>
      <c r="N459" s="223"/>
      <c r="O459" s="257">
        <f t="shared" si="382"/>
        <v>0</v>
      </c>
      <c r="P459" s="257">
        <v>0</v>
      </c>
      <c r="Q459" s="224">
        <f t="shared" si="367"/>
        <v>0</v>
      </c>
      <c r="R459" s="257">
        <v>0</v>
      </c>
      <c r="S459" s="225">
        <v>0</v>
      </c>
      <c r="T459" s="225">
        <v>0</v>
      </c>
      <c r="U459" s="257">
        <v>0</v>
      </c>
      <c r="V459" s="225">
        <v>0</v>
      </c>
      <c r="W459" s="225">
        <v>0</v>
      </c>
      <c r="X459" s="257">
        <v>0</v>
      </c>
      <c r="Y459" s="225">
        <v>0</v>
      </c>
      <c r="Z459" s="225">
        <v>0</v>
      </c>
      <c r="AA459" s="257">
        <v>0</v>
      </c>
      <c r="AB459" s="225">
        <v>0</v>
      </c>
      <c r="AC459" s="225">
        <v>0</v>
      </c>
      <c r="AD459" s="257">
        <v>0</v>
      </c>
      <c r="AE459" s="225">
        <v>0</v>
      </c>
      <c r="AF459" s="225">
        <v>0</v>
      </c>
      <c r="AG459" s="257">
        <v>0</v>
      </c>
      <c r="AH459" s="225">
        <v>0</v>
      </c>
      <c r="AI459" s="225">
        <v>0</v>
      </c>
      <c r="AJ459" s="257">
        <v>0</v>
      </c>
      <c r="AK459" s="225">
        <v>0</v>
      </c>
      <c r="AL459" s="225">
        <v>0</v>
      </c>
      <c r="AM459" s="257">
        <v>0</v>
      </c>
      <c r="AN459" s="225">
        <v>0</v>
      </c>
      <c r="AO459" s="225">
        <v>0</v>
      </c>
      <c r="AP459" s="225"/>
      <c r="AQ459" s="257">
        <v>0</v>
      </c>
      <c r="AR459" s="225">
        <v>0</v>
      </c>
      <c r="AS459" s="225">
        <v>0</v>
      </c>
      <c r="AT459" s="257">
        <v>0</v>
      </c>
      <c r="AU459" s="225">
        <v>0</v>
      </c>
      <c r="AV459" s="225">
        <v>0</v>
      </c>
      <c r="AW459" s="225"/>
      <c r="AX459" s="225"/>
      <c r="AY459" s="225"/>
      <c r="AZ459" s="225"/>
      <c r="BA459" s="225"/>
      <c r="BB459" s="225"/>
      <c r="BC459" s="257">
        <v>0</v>
      </c>
      <c r="BD459" s="225">
        <v>0</v>
      </c>
      <c r="BE459" s="225">
        <v>0</v>
      </c>
      <c r="BF459" s="350"/>
      <c r="BG459" s="350">
        <v>0</v>
      </c>
      <c r="BH459" s="225">
        <v>0</v>
      </c>
      <c r="BI459" s="225">
        <v>0</v>
      </c>
      <c r="BJ459" s="402">
        <f t="shared" si="368"/>
        <v>38000</v>
      </c>
      <c r="BK459" s="402">
        <v>0</v>
      </c>
      <c r="BL459" s="225">
        <f t="shared" si="354"/>
        <v>0</v>
      </c>
      <c r="BM459" s="225">
        <f t="shared" si="369"/>
        <v>0</v>
      </c>
      <c r="BN459" s="205">
        <f t="shared" si="403"/>
        <v>0</v>
      </c>
      <c r="BO459" s="205"/>
      <c r="BP459" s="227">
        <v>0</v>
      </c>
      <c r="BQ459" s="224">
        <f t="shared" si="355"/>
        <v>0</v>
      </c>
      <c r="BR459" s="227">
        <v>0</v>
      </c>
      <c r="BS459" s="224">
        <f t="shared" si="356"/>
        <v>0</v>
      </c>
      <c r="BT459" s="227">
        <v>0</v>
      </c>
      <c r="BU459" s="224">
        <f t="shared" si="357"/>
        <v>0</v>
      </c>
      <c r="BV459" s="227">
        <v>0</v>
      </c>
      <c r="BW459" s="224">
        <f t="shared" si="358"/>
        <v>0</v>
      </c>
      <c r="BX459" s="227">
        <v>0</v>
      </c>
      <c r="BY459" s="224">
        <f t="shared" si="359"/>
        <v>0</v>
      </c>
      <c r="BZ459" s="227">
        <v>0</v>
      </c>
      <c r="CA459" s="224">
        <f t="shared" si="360"/>
        <v>0</v>
      </c>
      <c r="CB459" s="227">
        <v>10000</v>
      </c>
      <c r="CC459" s="224">
        <f t="shared" ref="CC459:CE474" si="404">CB459/$D459</f>
        <v>0.25</v>
      </c>
      <c r="CD459" s="227">
        <v>10000</v>
      </c>
      <c r="CE459" s="224">
        <f t="shared" si="404"/>
        <v>0.25</v>
      </c>
      <c r="CF459" s="227">
        <v>15000</v>
      </c>
      <c r="CG459" s="224">
        <f t="shared" ref="CG459:CI474" si="405">CF459/$D459</f>
        <v>0.375</v>
      </c>
      <c r="CH459" s="227">
        <v>15000</v>
      </c>
      <c r="CI459" s="224">
        <f t="shared" si="405"/>
        <v>0.375</v>
      </c>
      <c r="CJ459" s="227">
        <v>20000</v>
      </c>
      <c r="CK459" s="224">
        <f t="shared" si="363"/>
        <v>0.5</v>
      </c>
      <c r="CL459" s="227">
        <v>23750</v>
      </c>
      <c r="CM459" s="224">
        <f t="shared" si="364"/>
        <v>0.59375</v>
      </c>
      <c r="CN459" s="227">
        <v>23750</v>
      </c>
      <c r="CO459" s="224">
        <f t="shared" si="365"/>
        <v>0.59375</v>
      </c>
      <c r="CP459" s="213" t="str">
        <f t="shared" si="370"/>
        <v>Không đạt</v>
      </c>
      <c r="CQ459" s="213" t="str">
        <f t="shared" si="371"/>
        <v>Không đạt</v>
      </c>
      <c r="CR459" s="192"/>
      <c r="CS459" s="192"/>
      <c r="CT459" s="223"/>
      <c r="CU459" s="163"/>
      <c r="CW459" s="195"/>
      <c r="CX459" s="196"/>
      <c r="CY459" s="196"/>
      <c r="CZ459" s="197"/>
      <c r="DA459" s="196"/>
      <c r="DB459" s="196"/>
      <c r="DC459" s="196"/>
      <c r="DE459" s="199"/>
      <c r="DF459" s="200"/>
      <c r="DG459" s="181"/>
    </row>
    <row r="460" spans="1:111" ht="38.25" hidden="1" outlineLevel="1" x14ac:dyDescent="0.25">
      <c r="A460" s="192"/>
      <c r="B460" s="325" t="s">
        <v>466</v>
      </c>
      <c r="C460" s="325"/>
      <c r="D460" s="214">
        <f t="shared" si="401"/>
        <v>0</v>
      </c>
      <c r="E460" s="215"/>
      <c r="F460" s="214">
        <f t="shared" si="402"/>
        <v>0</v>
      </c>
      <c r="G460" s="260"/>
      <c r="H460" s="257">
        <f>15000-15000</f>
        <v>0</v>
      </c>
      <c r="I460" s="235"/>
      <c r="J460" s="235"/>
      <c r="K460" s="223"/>
      <c r="L460" s="235"/>
      <c r="M460" s="223"/>
      <c r="N460" s="223"/>
      <c r="O460" s="257">
        <f t="shared" si="382"/>
        <v>0</v>
      </c>
      <c r="P460" s="257">
        <v>0</v>
      </c>
      <c r="Q460" s="224" t="e">
        <f t="shared" si="367"/>
        <v>#DIV/0!</v>
      </c>
      <c r="R460" s="257">
        <v>0</v>
      </c>
      <c r="S460" s="225">
        <v>0</v>
      </c>
      <c r="T460" s="225">
        <v>0</v>
      </c>
      <c r="U460" s="257">
        <v>0</v>
      </c>
      <c r="V460" s="225">
        <v>0</v>
      </c>
      <c r="W460" s="225">
        <v>0</v>
      </c>
      <c r="X460" s="257">
        <v>0</v>
      </c>
      <c r="Y460" s="225">
        <v>0</v>
      </c>
      <c r="Z460" s="225">
        <v>0</v>
      </c>
      <c r="AA460" s="257">
        <v>0</v>
      </c>
      <c r="AB460" s="225">
        <v>0</v>
      </c>
      <c r="AC460" s="225">
        <v>0</v>
      </c>
      <c r="AD460" s="257">
        <v>0</v>
      </c>
      <c r="AE460" s="225">
        <v>0</v>
      </c>
      <c r="AF460" s="225">
        <v>0</v>
      </c>
      <c r="AG460" s="257">
        <v>0</v>
      </c>
      <c r="AH460" s="225">
        <v>0</v>
      </c>
      <c r="AI460" s="225">
        <v>0</v>
      </c>
      <c r="AJ460" s="260">
        <v>0</v>
      </c>
      <c r="AK460" s="225">
        <v>0</v>
      </c>
      <c r="AL460" s="225">
        <v>0</v>
      </c>
      <c r="AM460" s="257">
        <v>0</v>
      </c>
      <c r="AN460" s="225">
        <v>0</v>
      </c>
      <c r="AO460" s="225">
        <v>0</v>
      </c>
      <c r="AP460" s="225"/>
      <c r="AQ460" s="257">
        <v>0</v>
      </c>
      <c r="AR460" s="225">
        <v>0</v>
      </c>
      <c r="AS460" s="225">
        <v>0</v>
      </c>
      <c r="AT460" s="257">
        <v>0</v>
      </c>
      <c r="AU460" s="225">
        <v>0</v>
      </c>
      <c r="AV460" s="225">
        <v>0</v>
      </c>
      <c r="AW460" s="225"/>
      <c r="AX460" s="225"/>
      <c r="AY460" s="225"/>
      <c r="AZ460" s="225"/>
      <c r="BA460" s="225"/>
      <c r="BB460" s="225"/>
      <c r="BC460" s="257">
        <v>0</v>
      </c>
      <c r="BD460" s="225">
        <v>0</v>
      </c>
      <c r="BE460" s="225">
        <v>0</v>
      </c>
      <c r="BF460" s="350"/>
      <c r="BG460" s="350">
        <v>0</v>
      </c>
      <c r="BH460" s="225" t="e">
        <v>#DIV/0!</v>
      </c>
      <c r="BI460" s="225" t="e">
        <v>#DIV/0!</v>
      </c>
      <c r="BJ460" s="402">
        <f t="shared" ref="BJ460:BJ523" si="406">E460+(F460*0.95)</f>
        <v>0</v>
      </c>
      <c r="BK460" s="402">
        <v>0</v>
      </c>
      <c r="BL460" s="225" t="e">
        <f t="shared" si="354"/>
        <v>#DIV/0!</v>
      </c>
      <c r="BM460" s="225" t="e">
        <f t="shared" si="369"/>
        <v>#DIV/0!</v>
      </c>
      <c r="BN460" s="205">
        <f t="shared" si="403"/>
        <v>0</v>
      </c>
      <c r="BO460" s="205"/>
      <c r="BP460" s="227">
        <v>0</v>
      </c>
      <c r="BQ460" s="224" t="e">
        <f t="shared" si="355"/>
        <v>#DIV/0!</v>
      </c>
      <c r="BR460" s="227">
        <v>0</v>
      </c>
      <c r="BS460" s="224" t="e">
        <f t="shared" si="356"/>
        <v>#DIV/0!</v>
      </c>
      <c r="BT460" s="227">
        <v>0</v>
      </c>
      <c r="BU460" s="224" t="e">
        <f t="shared" si="357"/>
        <v>#DIV/0!</v>
      </c>
      <c r="BV460" s="227">
        <v>0</v>
      </c>
      <c r="BW460" s="224" t="e">
        <f t="shared" si="358"/>
        <v>#DIV/0!</v>
      </c>
      <c r="BX460" s="227">
        <v>0</v>
      </c>
      <c r="BY460" s="224" t="e">
        <f t="shared" si="359"/>
        <v>#DIV/0!</v>
      </c>
      <c r="BZ460" s="227">
        <v>0</v>
      </c>
      <c r="CA460" s="224" t="e">
        <f t="shared" si="360"/>
        <v>#DIV/0!</v>
      </c>
      <c r="CB460" s="227">
        <v>5500</v>
      </c>
      <c r="CC460" s="224" t="e">
        <f t="shared" si="404"/>
        <v>#DIV/0!</v>
      </c>
      <c r="CD460" s="227">
        <v>10000</v>
      </c>
      <c r="CE460" s="224" t="e">
        <f t="shared" si="404"/>
        <v>#DIV/0!</v>
      </c>
      <c r="CF460" s="227">
        <v>10000</v>
      </c>
      <c r="CG460" s="224" t="e">
        <f t="shared" si="405"/>
        <v>#DIV/0!</v>
      </c>
      <c r="CH460" s="227">
        <v>10000</v>
      </c>
      <c r="CI460" s="224" t="e">
        <f t="shared" si="405"/>
        <v>#DIV/0!</v>
      </c>
      <c r="CJ460" s="227">
        <v>10000</v>
      </c>
      <c r="CK460" s="224" t="e">
        <f t="shared" si="363"/>
        <v>#DIV/0!</v>
      </c>
      <c r="CL460" s="227">
        <v>14250</v>
      </c>
      <c r="CM460" s="224" t="e">
        <f t="shared" si="364"/>
        <v>#DIV/0!</v>
      </c>
      <c r="CN460" s="227">
        <v>14250</v>
      </c>
      <c r="CO460" s="224" t="e">
        <f t="shared" si="365"/>
        <v>#DIV/0!</v>
      </c>
      <c r="CP460" s="213" t="e">
        <f t="shared" si="370"/>
        <v>#DIV/0!</v>
      </c>
      <c r="CQ460" s="213" t="e">
        <f t="shared" si="371"/>
        <v>#DIV/0!</v>
      </c>
      <c r="CR460" s="192"/>
      <c r="CS460" s="192"/>
      <c r="CT460" s="223"/>
      <c r="CU460" s="163"/>
      <c r="CW460" s="195"/>
      <c r="CX460" s="196"/>
      <c r="CY460" s="196"/>
      <c r="CZ460" s="197"/>
      <c r="DA460" s="196"/>
      <c r="DB460" s="196"/>
      <c r="DC460" s="196"/>
      <c r="DE460" s="199"/>
      <c r="DF460" s="200"/>
      <c r="DG460" s="181"/>
    </row>
    <row r="461" spans="1:111" ht="38.25" hidden="1" outlineLevel="1" x14ac:dyDescent="0.25">
      <c r="A461" s="192"/>
      <c r="B461" s="325" t="s">
        <v>467</v>
      </c>
      <c r="C461" s="325"/>
      <c r="D461" s="214">
        <f t="shared" si="401"/>
        <v>0</v>
      </c>
      <c r="E461" s="215"/>
      <c r="F461" s="214">
        <f t="shared" si="402"/>
        <v>0</v>
      </c>
      <c r="G461" s="260">
        <f>1100-1100</f>
        <v>0</v>
      </c>
      <c r="H461" s="260"/>
      <c r="I461" s="235"/>
      <c r="J461" s="235"/>
      <c r="K461" s="223"/>
      <c r="L461" s="235"/>
      <c r="M461" s="223"/>
      <c r="N461" s="223"/>
      <c r="O461" s="260">
        <f t="shared" si="382"/>
        <v>0</v>
      </c>
      <c r="P461" s="260">
        <v>0</v>
      </c>
      <c r="Q461" s="224" t="e">
        <f t="shared" si="367"/>
        <v>#DIV/0!</v>
      </c>
      <c r="R461" s="260">
        <v>0</v>
      </c>
      <c r="S461" s="225">
        <v>0</v>
      </c>
      <c r="T461" s="225">
        <v>0</v>
      </c>
      <c r="U461" s="260">
        <v>0</v>
      </c>
      <c r="V461" s="225">
        <v>0</v>
      </c>
      <c r="W461" s="225">
        <v>0</v>
      </c>
      <c r="X461" s="260">
        <v>0</v>
      </c>
      <c r="Y461" s="225">
        <v>0</v>
      </c>
      <c r="Z461" s="225">
        <v>0</v>
      </c>
      <c r="AA461" s="260">
        <v>0</v>
      </c>
      <c r="AB461" s="225">
        <v>0</v>
      </c>
      <c r="AC461" s="225">
        <v>0</v>
      </c>
      <c r="AD461" s="260">
        <v>0</v>
      </c>
      <c r="AE461" s="225">
        <v>0</v>
      </c>
      <c r="AF461" s="225">
        <v>0</v>
      </c>
      <c r="AG461" s="260">
        <v>0</v>
      </c>
      <c r="AH461" s="225">
        <v>0</v>
      </c>
      <c r="AI461" s="225">
        <v>0</v>
      </c>
      <c r="AJ461" s="307">
        <v>0</v>
      </c>
      <c r="AK461" s="225">
        <v>0</v>
      </c>
      <c r="AL461" s="225">
        <v>0</v>
      </c>
      <c r="AM461" s="260">
        <v>0</v>
      </c>
      <c r="AN461" s="225">
        <v>0</v>
      </c>
      <c r="AO461" s="225">
        <v>0</v>
      </c>
      <c r="AP461" s="225"/>
      <c r="AQ461" s="260">
        <v>0</v>
      </c>
      <c r="AR461" s="225">
        <v>0</v>
      </c>
      <c r="AS461" s="225">
        <v>0</v>
      </c>
      <c r="AT461" s="260">
        <v>0</v>
      </c>
      <c r="AU461" s="225">
        <v>0</v>
      </c>
      <c r="AV461" s="225">
        <v>0</v>
      </c>
      <c r="AW461" s="225"/>
      <c r="AX461" s="225"/>
      <c r="AY461" s="225"/>
      <c r="AZ461" s="225"/>
      <c r="BA461" s="225"/>
      <c r="BB461" s="225"/>
      <c r="BC461" s="260">
        <v>0</v>
      </c>
      <c r="BD461" s="225">
        <v>0</v>
      </c>
      <c r="BE461" s="225">
        <v>0</v>
      </c>
      <c r="BF461" s="350"/>
      <c r="BG461" s="350">
        <v>0</v>
      </c>
      <c r="BH461" s="225" t="e">
        <v>#DIV/0!</v>
      </c>
      <c r="BI461" s="225" t="e">
        <v>#DIV/0!</v>
      </c>
      <c r="BJ461" s="402">
        <f t="shared" si="406"/>
        <v>0</v>
      </c>
      <c r="BK461" s="402">
        <v>0</v>
      </c>
      <c r="BL461" s="225" t="e">
        <f t="shared" ref="BL461:BL524" si="407">BK461/$D461</f>
        <v>#DIV/0!</v>
      </c>
      <c r="BM461" s="225" t="e">
        <f t="shared" si="369"/>
        <v>#DIV/0!</v>
      </c>
      <c r="BN461" s="205">
        <f t="shared" si="403"/>
        <v>0</v>
      </c>
      <c r="BO461" s="205"/>
      <c r="BP461" s="227">
        <v>0</v>
      </c>
      <c r="BQ461" s="224" t="e">
        <f t="shared" ref="BQ461:BQ524" si="408">BP461/$D461</f>
        <v>#DIV/0!</v>
      </c>
      <c r="BR461" s="227">
        <v>0</v>
      </c>
      <c r="BS461" s="224" t="e">
        <f t="shared" ref="BS461:BS524" si="409">BR461/$D461</f>
        <v>#DIV/0!</v>
      </c>
      <c r="BT461" s="227">
        <v>0</v>
      </c>
      <c r="BU461" s="224" t="e">
        <f t="shared" ref="BU461:BU524" si="410">BT461/$D461</f>
        <v>#DIV/0!</v>
      </c>
      <c r="BV461" s="227">
        <v>0</v>
      </c>
      <c r="BW461" s="224" t="e">
        <f t="shared" ref="BW461:BW511" si="411">BV461/$D461</f>
        <v>#DIV/0!</v>
      </c>
      <c r="BX461" s="227">
        <v>0</v>
      </c>
      <c r="BY461" s="224" t="e">
        <f t="shared" ref="BY461:BY511" si="412">BX461/$D461</f>
        <v>#DIV/0!</v>
      </c>
      <c r="BZ461" s="227">
        <v>0</v>
      </c>
      <c r="CA461" s="224" t="e">
        <f t="shared" ref="CA461:CA511" si="413">BZ461/$D461</f>
        <v>#DIV/0!</v>
      </c>
      <c r="CB461" s="227">
        <v>700</v>
      </c>
      <c r="CC461" s="224" t="e">
        <f t="shared" si="404"/>
        <v>#DIV/0!</v>
      </c>
      <c r="CD461" s="227">
        <v>1045</v>
      </c>
      <c r="CE461" s="224" t="e">
        <f t="shared" si="404"/>
        <v>#DIV/0!</v>
      </c>
      <c r="CF461" s="227">
        <v>1045</v>
      </c>
      <c r="CG461" s="224" t="e">
        <f t="shared" si="405"/>
        <v>#DIV/0!</v>
      </c>
      <c r="CH461" s="227">
        <v>1045</v>
      </c>
      <c r="CI461" s="224" t="e">
        <f t="shared" si="405"/>
        <v>#DIV/0!</v>
      </c>
      <c r="CJ461" s="227">
        <v>1045</v>
      </c>
      <c r="CK461" s="224" t="e">
        <f t="shared" ref="CK461:CK511" si="414">CJ461/$D461</f>
        <v>#DIV/0!</v>
      </c>
      <c r="CL461" s="227">
        <v>1045</v>
      </c>
      <c r="CM461" s="224" t="e">
        <f t="shared" ref="CM461:CM511" si="415">CL461/$D461</f>
        <v>#DIV/0!</v>
      </c>
      <c r="CN461" s="227">
        <v>1045</v>
      </c>
      <c r="CO461" s="224" t="e">
        <f t="shared" ref="CO461:CO511" si="416">CN461/$D461</f>
        <v>#DIV/0!</v>
      </c>
      <c r="CP461" s="213" t="e">
        <f t="shared" si="370"/>
        <v>#DIV/0!</v>
      </c>
      <c r="CQ461" s="213" t="e">
        <f t="shared" si="371"/>
        <v>#DIV/0!</v>
      </c>
      <c r="CR461" s="192"/>
      <c r="CS461" s="192"/>
      <c r="CT461" s="223"/>
      <c r="CU461" s="163"/>
      <c r="CW461" s="195"/>
      <c r="CX461" s="196"/>
      <c r="CY461" s="196"/>
      <c r="CZ461" s="197"/>
      <c r="DA461" s="196"/>
      <c r="DB461" s="196"/>
      <c r="DC461" s="196"/>
      <c r="DE461" s="199"/>
      <c r="DF461" s="200"/>
      <c r="DG461" s="181"/>
    </row>
    <row r="462" spans="1:111" s="324" customFormat="1" hidden="1" outlineLevel="1" x14ac:dyDescent="0.25">
      <c r="A462" s="305" t="s">
        <v>34</v>
      </c>
      <c r="B462" s="318" t="s">
        <v>376</v>
      </c>
      <c r="C462" s="306"/>
      <c r="D462" s="307">
        <f t="shared" si="401"/>
        <v>3000</v>
      </c>
      <c r="E462" s="307"/>
      <c r="F462" s="307">
        <f t="shared" si="402"/>
        <v>3000</v>
      </c>
      <c r="G462" s="307">
        <v>3000</v>
      </c>
      <c r="H462" s="307"/>
      <c r="I462" s="235"/>
      <c r="J462" s="235"/>
      <c r="K462" s="303"/>
      <c r="L462" s="235"/>
      <c r="M462" s="223"/>
      <c r="N462" s="223"/>
      <c r="O462" s="307">
        <f t="shared" si="382"/>
        <v>3000</v>
      </c>
      <c r="P462" s="307">
        <v>0</v>
      </c>
      <c r="Q462" s="308">
        <f t="shared" ref="Q462:Q525" si="417">P462/$D462</f>
        <v>0</v>
      </c>
      <c r="R462" s="307"/>
      <c r="S462" s="309">
        <v>0</v>
      </c>
      <c r="T462" s="309">
        <v>0</v>
      </c>
      <c r="U462" s="307"/>
      <c r="V462" s="309">
        <v>0</v>
      </c>
      <c r="W462" s="309">
        <v>0</v>
      </c>
      <c r="X462" s="307"/>
      <c r="Y462" s="309">
        <v>0</v>
      </c>
      <c r="Z462" s="309">
        <v>0</v>
      </c>
      <c r="AA462" s="307"/>
      <c r="AB462" s="309">
        <v>0</v>
      </c>
      <c r="AC462" s="309">
        <v>0</v>
      </c>
      <c r="AD462" s="307">
        <v>320.11500000000001</v>
      </c>
      <c r="AE462" s="309">
        <v>0.10670500000000001</v>
      </c>
      <c r="AF462" s="309">
        <v>0.11232105263157895</v>
      </c>
      <c r="AG462" s="307">
        <v>320.11500000000001</v>
      </c>
      <c r="AH462" s="309">
        <v>0.10670500000000001</v>
      </c>
      <c r="AI462" s="309">
        <v>0.11232105263157895</v>
      </c>
      <c r="AJ462" s="303">
        <v>320.11500000000001</v>
      </c>
      <c r="AK462" s="309">
        <v>0.10670500000000001</v>
      </c>
      <c r="AL462" s="309">
        <v>0.11232105263157895</v>
      </c>
      <c r="AM462" s="307">
        <v>320.11500000000001</v>
      </c>
      <c r="AN462" s="309">
        <v>0.10670500000000001</v>
      </c>
      <c r="AO462" s="309">
        <v>0.11232105263157895</v>
      </c>
      <c r="AP462" s="309"/>
      <c r="AQ462" s="307">
        <v>320.11500000000001</v>
      </c>
      <c r="AR462" s="309">
        <v>0.10670500000000001</v>
      </c>
      <c r="AS462" s="309">
        <v>0.11232105263157895</v>
      </c>
      <c r="AT462" s="307">
        <v>320.11500000000001</v>
      </c>
      <c r="AU462" s="309">
        <v>0.10670500000000001</v>
      </c>
      <c r="AV462" s="309">
        <v>0.11232105263157895</v>
      </c>
      <c r="AW462" s="309"/>
      <c r="AX462" s="309"/>
      <c r="AY462" s="309"/>
      <c r="AZ462" s="309"/>
      <c r="BA462" s="309"/>
      <c r="BB462" s="309"/>
      <c r="BC462" s="307">
        <v>320.11500000000001</v>
      </c>
      <c r="BD462" s="309">
        <v>0.10670500000000001</v>
      </c>
      <c r="BE462" s="309">
        <v>0.11232105263157895</v>
      </c>
      <c r="BF462" s="351"/>
      <c r="BG462" s="351">
        <v>320.11500000000001</v>
      </c>
      <c r="BH462" s="309">
        <v>0.10670500000000001</v>
      </c>
      <c r="BI462" s="309">
        <v>0.11232105263157895</v>
      </c>
      <c r="BJ462" s="349">
        <f t="shared" si="406"/>
        <v>2850</v>
      </c>
      <c r="BK462" s="349">
        <v>1785.4110000000001</v>
      </c>
      <c r="BL462" s="309">
        <f t="shared" si="407"/>
        <v>0.59513700000000003</v>
      </c>
      <c r="BM462" s="309">
        <f t="shared" si="369"/>
        <v>0.62646000000000002</v>
      </c>
      <c r="BN462" s="205">
        <f t="shared" si="403"/>
        <v>1465.296</v>
      </c>
      <c r="BO462" s="205"/>
      <c r="BP462" s="310">
        <v>300</v>
      </c>
      <c r="BQ462" s="308">
        <f t="shared" si="408"/>
        <v>0.1</v>
      </c>
      <c r="BR462" s="310">
        <v>300</v>
      </c>
      <c r="BS462" s="308">
        <f t="shared" si="409"/>
        <v>0.1</v>
      </c>
      <c r="BT462" s="310">
        <v>300</v>
      </c>
      <c r="BU462" s="308">
        <f t="shared" si="410"/>
        <v>0.1</v>
      </c>
      <c r="BV462" s="310">
        <v>300</v>
      </c>
      <c r="BW462" s="308">
        <f t="shared" si="411"/>
        <v>0.1</v>
      </c>
      <c r="BX462" s="310">
        <v>300</v>
      </c>
      <c r="BY462" s="308">
        <f t="shared" si="412"/>
        <v>0.1</v>
      </c>
      <c r="BZ462" s="310">
        <v>2850</v>
      </c>
      <c r="CA462" s="308">
        <f t="shared" si="413"/>
        <v>0.95</v>
      </c>
      <c r="CB462" s="310">
        <v>2850</v>
      </c>
      <c r="CC462" s="308">
        <f t="shared" si="404"/>
        <v>0.95</v>
      </c>
      <c r="CD462" s="310">
        <v>2850</v>
      </c>
      <c r="CE462" s="308">
        <f t="shared" si="404"/>
        <v>0.95</v>
      </c>
      <c r="CF462" s="310">
        <v>2850</v>
      </c>
      <c r="CG462" s="308">
        <f t="shared" si="405"/>
        <v>0.95</v>
      </c>
      <c r="CH462" s="310">
        <v>2850</v>
      </c>
      <c r="CI462" s="308">
        <f t="shared" si="405"/>
        <v>0.95</v>
      </c>
      <c r="CJ462" s="310">
        <v>2850</v>
      </c>
      <c r="CK462" s="308">
        <f t="shared" si="414"/>
        <v>0.95</v>
      </c>
      <c r="CL462" s="310">
        <v>2850</v>
      </c>
      <c r="CM462" s="308">
        <f t="shared" si="415"/>
        <v>0.95</v>
      </c>
      <c r="CN462" s="310">
        <v>2850</v>
      </c>
      <c r="CO462" s="308">
        <f t="shared" si="416"/>
        <v>0.95</v>
      </c>
      <c r="CP462" s="213" t="str">
        <f t="shared" ref="CP462:CP525" si="418">IF(BM462&gt;34.7%,"Đạt","Không đạt")</f>
        <v>Đạt</v>
      </c>
      <c r="CQ462" s="213" t="str">
        <f t="shared" ref="CQ462:CQ525" si="419">IF(BM462&gt;43.8%,"Đạt","Không đạt")</f>
        <v>Đạt</v>
      </c>
      <c r="CR462" s="312"/>
      <c r="CS462" s="312"/>
      <c r="CT462" s="235"/>
      <c r="CU462" s="163"/>
      <c r="CV462" s="323"/>
      <c r="CW462" s="195"/>
      <c r="CX462" s="196"/>
      <c r="CY462" s="196"/>
      <c r="CZ462" s="197"/>
      <c r="DA462" s="196"/>
      <c r="DB462" s="196"/>
      <c r="DC462" s="196"/>
      <c r="DE462" s="199"/>
      <c r="DF462" s="200"/>
      <c r="DG462" s="181"/>
    </row>
    <row r="463" spans="1:111" ht="25.5" hidden="1" outlineLevel="1" x14ac:dyDescent="0.25">
      <c r="A463" s="305" t="s">
        <v>34</v>
      </c>
      <c r="B463" s="306" t="s">
        <v>377</v>
      </c>
      <c r="C463" s="306"/>
      <c r="D463" s="307">
        <f t="shared" si="401"/>
        <v>21250</v>
      </c>
      <c r="E463" s="307"/>
      <c r="F463" s="307">
        <f>G463+H463+K463+M463</f>
        <v>21250</v>
      </c>
      <c r="G463" s="307"/>
      <c r="H463" s="307">
        <v>21250</v>
      </c>
      <c r="I463" s="235"/>
      <c r="J463" s="235"/>
      <c r="K463" s="303"/>
      <c r="L463" s="235"/>
      <c r="M463" s="223"/>
      <c r="N463" s="223"/>
      <c r="O463" s="303"/>
      <c r="P463" s="303">
        <v>0</v>
      </c>
      <c r="Q463" s="224">
        <f t="shared" si="417"/>
        <v>0</v>
      </c>
      <c r="R463" s="303"/>
      <c r="S463" s="225">
        <v>0</v>
      </c>
      <c r="T463" s="225">
        <v>0</v>
      </c>
      <c r="U463" s="303"/>
      <c r="V463" s="225">
        <v>0</v>
      </c>
      <c r="W463" s="225">
        <v>0</v>
      </c>
      <c r="X463" s="303"/>
      <c r="Y463" s="225">
        <v>0</v>
      </c>
      <c r="Z463" s="225">
        <v>0</v>
      </c>
      <c r="AA463" s="303"/>
      <c r="AB463" s="225">
        <v>0</v>
      </c>
      <c r="AC463" s="225">
        <v>0</v>
      </c>
      <c r="AD463" s="303"/>
      <c r="AE463" s="225">
        <v>0</v>
      </c>
      <c r="AF463" s="225">
        <v>0</v>
      </c>
      <c r="AG463" s="303"/>
      <c r="AH463" s="225">
        <v>0</v>
      </c>
      <c r="AI463" s="225">
        <v>0</v>
      </c>
      <c r="AJ463" s="188"/>
      <c r="AK463" s="225">
        <v>0</v>
      </c>
      <c r="AL463" s="225">
        <v>0</v>
      </c>
      <c r="AM463" s="303"/>
      <c r="AN463" s="225">
        <v>0</v>
      </c>
      <c r="AO463" s="225">
        <v>0</v>
      </c>
      <c r="AP463" s="225"/>
      <c r="AQ463" s="303"/>
      <c r="AR463" s="225">
        <v>0</v>
      </c>
      <c r="AS463" s="225">
        <v>0</v>
      </c>
      <c r="AT463" s="303"/>
      <c r="AU463" s="225">
        <v>0</v>
      </c>
      <c r="AV463" s="225">
        <v>0</v>
      </c>
      <c r="AW463" s="225"/>
      <c r="AX463" s="225"/>
      <c r="AY463" s="225"/>
      <c r="AZ463" s="225"/>
      <c r="BA463" s="225"/>
      <c r="BB463" s="225"/>
      <c r="BC463" s="303"/>
      <c r="BD463" s="225">
        <v>0</v>
      </c>
      <c r="BE463" s="225">
        <v>0</v>
      </c>
      <c r="BF463" s="351"/>
      <c r="BG463" s="351">
        <v>0</v>
      </c>
      <c r="BH463" s="225">
        <v>0</v>
      </c>
      <c r="BI463" s="225">
        <v>0</v>
      </c>
      <c r="BJ463" s="349">
        <f t="shared" si="406"/>
        <v>20187.5</v>
      </c>
      <c r="BK463" s="349">
        <v>0</v>
      </c>
      <c r="BL463" s="225">
        <f t="shared" si="407"/>
        <v>0</v>
      </c>
      <c r="BM463" s="225">
        <f t="shared" si="369"/>
        <v>0</v>
      </c>
      <c r="BN463" s="205">
        <f t="shared" si="403"/>
        <v>0</v>
      </c>
      <c r="BO463" s="205"/>
      <c r="BP463" s="227"/>
      <c r="BQ463" s="224">
        <f t="shared" si="408"/>
        <v>0</v>
      </c>
      <c r="BR463" s="227"/>
      <c r="BS463" s="224">
        <f t="shared" si="409"/>
        <v>0</v>
      </c>
      <c r="BT463" s="227">
        <f>21250*0.1</f>
        <v>2125</v>
      </c>
      <c r="BU463" s="224">
        <f t="shared" si="410"/>
        <v>0.1</v>
      </c>
      <c r="BV463" s="227">
        <f>21250*0.2</f>
        <v>4250</v>
      </c>
      <c r="BW463" s="224">
        <f t="shared" si="411"/>
        <v>0.2</v>
      </c>
      <c r="BX463" s="227">
        <f>21250*0.3</f>
        <v>6375</v>
      </c>
      <c r="BY463" s="224">
        <f t="shared" si="412"/>
        <v>0.3</v>
      </c>
      <c r="BZ463" s="227">
        <f>21250*0.4</f>
        <v>8500</v>
      </c>
      <c r="CA463" s="224">
        <f t="shared" si="413"/>
        <v>0.4</v>
      </c>
      <c r="CB463" s="227">
        <f>21250*0.5</f>
        <v>10625</v>
      </c>
      <c r="CC463" s="224">
        <f t="shared" si="404"/>
        <v>0.5</v>
      </c>
      <c r="CD463" s="227">
        <f>21250*0.6</f>
        <v>12750</v>
      </c>
      <c r="CE463" s="224">
        <f t="shared" si="404"/>
        <v>0.6</v>
      </c>
      <c r="CF463" s="227">
        <f>21250*0.7</f>
        <v>14874.999999999998</v>
      </c>
      <c r="CG463" s="224">
        <f t="shared" si="405"/>
        <v>0.7</v>
      </c>
      <c r="CH463" s="227">
        <f>21250*0.8</f>
        <v>17000</v>
      </c>
      <c r="CI463" s="224">
        <f t="shared" si="405"/>
        <v>0.8</v>
      </c>
      <c r="CJ463" s="227">
        <f>21250*0.82</f>
        <v>17425</v>
      </c>
      <c r="CK463" s="224">
        <f t="shared" si="414"/>
        <v>0.82</v>
      </c>
      <c r="CL463" s="227">
        <f>21250*0.85</f>
        <v>18062.5</v>
      </c>
      <c r="CM463" s="224">
        <f t="shared" si="415"/>
        <v>0.85</v>
      </c>
      <c r="CN463" s="227">
        <f>21250*0.95</f>
        <v>20187.5</v>
      </c>
      <c r="CO463" s="224">
        <f t="shared" si="416"/>
        <v>0.95</v>
      </c>
      <c r="CP463" s="213" t="str">
        <f t="shared" si="418"/>
        <v>Không đạt</v>
      </c>
      <c r="CQ463" s="213" t="str">
        <f t="shared" si="419"/>
        <v>Không đạt</v>
      </c>
      <c r="CR463" s="312"/>
      <c r="CS463" s="312"/>
      <c r="CT463" s="235"/>
      <c r="CU463" s="163"/>
      <c r="CW463" s="195"/>
      <c r="CX463" s="196"/>
      <c r="CY463" s="196"/>
      <c r="CZ463" s="197"/>
      <c r="DA463" s="196"/>
      <c r="DB463" s="196"/>
      <c r="DC463" s="196"/>
      <c r="DE463" s="199"/>
      <c r="DF463" s="200"/>
      <c r="DG463" s="181"/>
    </row>
    <row r="464" spans="1:111" ht="18" customHeight="1" collapsed="1" x14ac:dyDescent="0.25">
      <c r="A464" s="213">
        <f>MAX(A$239:A462)+1</f>
        <v>65</v>
      </c>
      <c r="B464" s="240" t="s">
        <v>468</v>
      </c>
      <c r="C464" s="240"/>
      <c r="D464" s="188">
        <f t="shared" ref="D464:I464" si="420">D465+D467+D468</f>
        <v>49950</v>
      </c>
      <c r="E464" s="188">
        <f t="shared" si="420"/>
        <v>0</v>
      </c>
      <c r="F464" s="188">
        <f t="shared" si="420"/>
        <v>49950</v>
      </c>
      <c r="G464" s="188">
        <f t="shared" si="420"/>
        <v>3000</v>
      </c>
      <c r="H464" s="188">
        <f t="shared" si="420"/>
        <v>46950</v>
      </c>
      <c r="I464" s="188">
        <f t="shared" si="420"/>
        <v>0</v>
      </c>
      <c r="J464" s="188"/>
      <c r="K464" s="188">
        <f>K465+K467+K468</f>
        <v>0</v>
      </c>
      <c r="L464" s="188">
        <f>L465+L467+L468</f>
        <v>0</v>
      </c>
      <c r="M464" s="188">
        <f>M465+M467+M468</f>
        <v>0</v>
      </c>
      <c r="N464" s="188">
        <f>N465+N467+N468</f>
        <v>0</v>
      </c>
      <c r="O464" s="188">
        <f>O465+O467+O468</f>
        <v>3000</v>
      </c>
      <c r="P464" s="188">
        <v>0</v>
      </c>
      <c r="Q464" s="186">
        <f t="shared" si="417"/>
        <v>0</v>
      </c>
      <c r="R464" s="188">
        <v>0</v>
      </c>
      <c r="S464" s="185">
        <v>0</v>
      </c>
      <c r="T464" s="185">
        <v>0</v>
      </c>
      <c r="U464" s="188">
        <v>1131.7998460000001</v>
      </c>
      <c r="V464" s="185">
        <v>2.2658655575575577E-2</v>
      </c>
      <c r="W464" s="185">
        <v>2.3851216395342715E-2</v>
      </c>
      <c r="X464" s="188">
        <v>1131.7998460000001</v>
      </c>
      <c r="Y464" s="185">
        <v>2.2658655575575577E-2</v>
      </c>
      <c r="Z464" s="185">
        <v>2.3851216395342715E-2</v>
      </c>
      <c r="AA464" s="188">
        <v>1131.7998460000001</v>
      </c>
      <c r="AB464" s="185">
        <v>2.2658655575575577E-2</v>
      </c>
      <c r="AC464" s="185">
        <v>2.3851216395342715E-2</v>
      </c>
      <c r="AD464" s="188">
        <v>221</v>
      </c>
      <c r="AE464" s="185">
        <v>4.4244244244244241E-3</v>
      </c>
      <c r="AF464" s="185">
        <v>4.6572888678151833E-3</v>
      </c>
      <c r="AG464" s="188">
        <v>221</v>
      </c>
      <c r="AH464" s="185">
        <v>4.4244244244244241E-3</v>
      </c>
      <c r="AI464" s="185">
        <v>4.6572888678151833E-3</v>
      </c>
      <c r="AJ464" s="317">
        <v>221</v>
      </c>
      <c r="AK464" s="185">
        <v>4.4244244244244241E-3</v>
      </c>
      <c r="AL464" s="185">
        <v>4.6572888678151833E-3</v>
      </c>
      <c r="AM464" s="188">
        <v>221</v>
      </c>
      <c r="AN464" s="185">
        <v>4.4244244244244241E-3</v>
      </c>
      <c r="AO464" s="185">
        <v>4.6572888678151833E-3</v>
      </c>
      <c r="AP464" s="185"/>
      <c r="AQ464" s="188">
        <v>563.69200000000001</v>
      </c>
      <c r="AR464" s="185">
        <v>1.1285125125125126E-2</v>
      </c>
      <c r="AS464" s="185">
        <v>1.1879079079079079E-2</v>
      </c>
      <c r="AT464" s="188">
        <v>563.69200000000001</v>
      </c>
      <c r="AU464" s="185">
        <v>1.1285125125125126E-2</v>
      </c>
      <c r="AV464" s="185">
        <v>1.1879079079079079E-2</v>
      </c>
      <c r="AW464" s="185"/>
      <c r="AX464" s="185"/>
      <c r="AY464" s="185"/>
      <c r="AZ464" s="185"/>
      <c r="BA464" s="185"/>
      <c r="BB464" s="185"/>
      <c r="BC464" s="188">
        <v>563.69200000000001</v>
      </c>
      <c r="BD464" s="185">
        <v>1.1285125125125126E-2</v>
      </c>
      <c r="BE464" s="185">
        <v>1.1879079079079079E-2</v>
      </c>
      <c r="BF464" s="352"/>
      <c r="BG464" s="352">
        <v>3030.692</v>
      </c>
      <c r="BH464" s="185">
        <v>6.0674514514514513E-2</v>
      </c>
      <c r="BI464" s="185">
        <v>6.3867910015278431E-2</v>
      </c>
      <c r="BJ464" s="374">
        <f t="shared" si="406"/>
        <v>47452.5</v>
      </c>
      <c r="BK464" s="374">
        <v>3117.692</v>
      </c>
      <c r="BL464" s="185">
        <f t="shared" si="407"/>
        <v>6.2416256256256256E-2</v>
      </c>
      <c r="BM464" s="185">
        <f t="shared" ref="BM464:BM527" si="421">BK464/(E464+0.95*F464)</f>
        <v>6.5701322375006588E-2</v>
      </c>
      <c r="BN464" s="205">
        <f t="shared" si="403"/>
        <v>2896.692</v>
      </c>
      <c r="BO464" s="205"/>
      <c r="BP464" s="189">
        <f>BP465+BP467+BP468</f>
        <v>0</v>
      </c>
      <c r="BQ464" s="186">
        <f t="shared" si="408"/>
        <v>0</v>
      </c>
      <c r="BR464" s="189">
        <f>BR465+BR467+BR468</f>
        <v>0</v>
      </c>
      <c r="BS464" s="186">
        <f t="shared" si="409"/>
        <v>0</v>
      </c>
      <c r="BT464" s="189">
        <f>BT465+BT467+BT468</f>
        <v>0</v>
      </c>
      <c r="BU464" s="186">
        <f t="shared" si="410"/>
        <v>0</v>
      </c>
      <c r="BV464" s="189">
        <f>BV465+BV467+BV468</f>
        <v>0</v>
      </c>
      <c r="BW464" s="186">
        <f t="shared" si="411"/>
        <v>0</v>
      </c>
      <c r="BX464" s="189">
        <f>BX465+BX467+BX468</f>
        <v>0</v>
      </c>
      <c r="BY464" s="186">
        <f t="shared" si="412"/>
        <v>0</v>
      </c>
      <c r="BZ464" s="189">
        <f>BZ465+BZ467+BZ468</f>
        <v>2850</v>
      </c>
      <c r="CA464" s="186">
        <f t="shared" si="413"/>
        <v>5.7057057057057055E-2</v>
      </c>
      <c r="CB464" s="189">
        <f>CB465+CB467+CB468</f>
        <v>14725</v>
      </c>
      <c r="CC464" s="186">
        <f t="shared" si="404"/>
        <v>0.29479479479479481</v>
      </c>
      <c r="CD464" s="189">
        <f>CD465+CD467+CD468</f>
        <v>21831</v>
      </c>
      <c r="CE464" s="186">
        <f t="shared" si="404"/>
        <v>0.43705705705705705</v>
      </c>
      <c r="CF464" s="189">
        <f>CF465+CF467+CF468</f>
        <v>28471</v>
      </c>
      <c r="CG464" s="186">
        <f t="shared" si="405"/>
        <v>0.56998998998998995</v>
      </c>
      <c r="CH464" s="189">
        <f>CH465+CH467+CH468</f>
        <v>33096</v>
      </c>
      <c r="CI464" s="186">
        <f t="shared" si="405"/>
        <v>0.66258258258258262</v>
      </c>
      <c r="CJ464" s="189">
        <f>CJ465+CJ467+CJ468</f>
        <v>36125</v>
      </c>
      <c r="CK464" s="186">
        <f t="shared" si="414"/>
        <v>0.72322322322322319</v>
      </c>
      <c r="CL464" s="189">
        <f>CL465+CL467+CL468</f>
        <v>47452</v>
      </c>
      <c r="CM464" s="186">
        <f t="shared" si="415"/>
        <v>0.94998998998998996</v>
      </c>
      <c r="CN464" s="189">
        <f>CN465+CN467+CN468</f>
        <v>47452</v>
      </c>
      <c r="CO464" s="186">
        <f t="shared" si="416"/>
        <v>0.94998998998998996</v>
      </c>
      <c r="CP464" s="213" t="str">
        <f t="shared" si="418"/>
        <v>Không đạt</v>
      </c>
      <c r="CQ464" s="213" t="str">
        <f t="shared" si="419"/>
        <v>Không đạt</v>
      </c>
      <c r="CR464" s="213"/>
      <c r="CS464" s="213"/>
      <c r="CT464" s="231"/>
      <c r="CU464" s="163"/>
      <c r="CW464" s="195"/>
      <c r="CX464" s="196"/>
      <c r="CY464" s="196"/>
      <c r="CZ464" s="197"/>
      <c r="DA464" s="196"/>
      <c r="DB464" s="196"/>
      <c r="DC464" s="196"/>
      <c r="DE464" s="199"/>
      <c r="DF464" s="200"/>
      <c r="DG464" s="181"/>
    </row>
    <row r="465" spans="1:111" s="324" customFormat="1" hidden="1" outlineLevel="1" x14ac:dyDescent="0.25">
      <c r="A465" s="305" t="s">
        <v>34</v>
      </c>
      <c r="B465" s="318" t="s">
        <v>381</v>
      </c>
      <c r="C465" s="306"/>
      <c r="D465" s="317">
        <f t="shared" ref="D465:I465" si="422">D466</f>
        <v>25000</v>
      </c>
      <c r="E465" s="317">
        <f t="shared" si="422"/>
        <v>0</v>
      </c>
      <c r="F465" s="317">
        <f t="shared" si="422"/>
        <v>25000</v>
      </c>
      <c r="G465" s="317">
        <f t="shared" si="422"/>
        <v>0</v>
      </c>
      <c r="H465" s="317">
        <f t="shared" si="422"/>
        <v>25000</v>
      </c>
      <c r="I465" s="317">
        <f t="shared" si="422"/>
        <v>0</v>
      </c>
      <c r="J465" s="317"/>
      <c r="K465" s="317">
        <f>K466</f>
        <v>0</v>
      </c>
      <c r="L465" s="317">
        <f>L466</f>
        <v>0</v>
      </c>
      <c r="M465" s="223"/>
      <c r="N465" s="223"/>
      <c r="O465" s="317">
        <f>O466</f>
        <v>0</v>
      </c>
      <c r="P465" s="317">
        <v>0</v>
      </c>
      <c r="Q465" s="319">
        <f t="shared" si="417"/>
        <v>0</v>
      </c>
      <c r="R465" s="317">
        <v>0</v>
      </c>
      <c r="S465" s="320">
        <v>0</v>
      </c>
      <c r="T465" s="320">
        <v>0</v>
      </c>
      <c r="U465" s="317">
        <v>0</v>
      </c>
      <c r="V465" s="320">
        <v>0</v>
      </c>
      <c r="W465" s="320">
        <v>0</v>
      </c>
      <c r="X465" s="317">
        <v>0</v>
      </c>
      <c r="Y465" s="320">
        <v>0</v>
      </c>
      <c r="Z465" s="320">
        <v>0</v>
      </c>
      <c r="AA465" s="317">
        <v>0</v>
      </c>
      <c r="AB465" s="320">
        <v>0</v>
      </c>
      <c r="AC465" s="320">
        <v>0</v>
      </c>
      <c r="AD465" s="317">
        <v>0</v>
      </c>
      <c r="AE465" s="320">
        <v>0</v>
      </c>
      <c r="AF465" s="320">
        <v>0</v>
      </c>
      <c r="AG465" s="317">
        <v>0</v>
      </c>
      <c r="AH465" s="320">
        <v>0</v>
      </c>
      <c r="AI465" s="320">
        <v>0</v>
      </c>
      <c r="AJ465" s="257">
        <v>0</v>
      </c>
      <c r="AK465" s="320">
        <v>0</v>
      </c>
      <c r="AL465" s="320">
        <v>0</v>
      </c>
      <c r="AM465" s="317">
        <v>0</v>
      </c>
      <c r="AN465" s="320">
        <v>0</v>
      </c>
      <c r="AO465" s="320">
        <v>0</v>
      </c>
      <c r="AP465" s="320"/>
      <c r="AQ465" s="317">
        <v>0</v>
      </c>
      <c r="AR465" s="320">
        <v>0</v>
      </c>
      <c r="AS465" s="320">
        <v>0</v>
      </c>
      <c r="AT465" s="317">
        <v>0</v>
      </c>
      <c r="AU465" s="320">
        <v>0</v>
      </c>
      <c r="AV465" s="320">
        <v>0</v>
      </c>
      <c r="AW465" s="320"/>
      <c r="AX465" s="320"/>
      <c r="AY465" s="320"/>
      <c r="AZ465" s="320"/>
      <c r="BA465" s="320"/>
      <c r="BB465" s="320"/>
      <c r="BC465" s="317">
        <v>0</v>
      </c>
      <c r="BD465" s="320">
        <v>0</v>
      </c>
      <c r="BE465" s="320">
        <v>0</v>
      </c>
      <c r="BF465" s="349"/>
      <c r="BG465" s="349">
        <v>0</v>
      </c>
      <c r="BH465" s="320">
        <v>0</v>
      </c>
      <c r="BI465" s="320">
        <v>0</v>
      </c>
      <c r="BJ465" s="349">
        <f t="shared" si="406"/>
        <v>23750</v>
      </c>
      <c r="BK465" s="349">
        <v>0</v>
      </c>
      <c r="BL465" s="320">
        <f t="shared" si="407"/>
        <v>0</v>
      </c>
      <c r="BM465" s="320">
        <f t="shared" si="421"/>
        <v>0</v>
      </c>
      <c r="BN465" s="205">
        <f t="shared" si="403"/>
        <v>0</v>
      </c>
      <c r="BO465" s="205"/>
      <c r="BP465" s="307">
        <f>BP466</f>
        <v>0</v>
      </c>
      <c r="BQ465" s="322">
        <f t="shared" si="408"/>
        <v>0</v>
      </c>
      <c r="BR465" s="307">
        <f>BR466</f>
        <v>0</v>
      </c>
      <c r="BS465" s="322">
        <f t="shared" si="409"/>
        <v>0</v>
      </c>
      <c r="BT465" s="307">
        <f>BT466</f>
        <v>0</v>
      </c>
      <c r="BU465" s="319">
        <f t="shared" si="410"/>
        <v>0</v>
      </c>
      <c r="BV465" s="307">
        <f>BV466</f>
        <v>0</v>
      </c>
      <c r="BW465" s="322">
        <f t="shared" si="411"/>
        <v>0</v>
      </c>
      <c r="BX465" s="307">
        <f>BX466</f>
        <v>0</v>
      </c>
      <c r="BY465" s="322">
        <f t="shared" si="412"/>
        <v>0</v>
      </c>
      <c r="BZ465" s="307">
        <f>BZ466</f>
        <v>0</v>
      </c>
      <c r="CA465" s="322">
        <f t="shared" si="413"/>
        <v>0</v>
      </c>
      <c r="CB465" s="307">
        <f>CB466</f>
        <v>11875</v>
      </c>
      <c r="CC465" s="322">
        <f t="shared" si="404"/>
        <v>0.47499999999999998</v>
      </c>
      <c r="CD465" s="307">
        <f>CD466</f>
        <v>11875</v>
      </c>
      <c r="CE465" s="322">
        <f t="shared" si="404"/>
        <v>0.47499999999999998</v>
      </c>
      <c r="CF465" s="307">
        <f>CF466</f>
        <v>11875</v>
      </c>
      <c r="CG465" s="322">
        <f t="shared" si="405"/>
        <v>0.47499999999999998</v>
      </c>
      <c r="CH465" s="307">
        <f>CH466</f>
        <v>16500</v>
      </c>
      <c r="CI465" s="322">
        <f t="shared" si="405"/>
        <v>0.66</v>
      </c>
      <c r="CJ465" s="307">
        <f>CJ466</f>
        <v>16500</v>
      </c>
      <c r="CK465" s="322">
        <f t="shared" si="414"/>
        <v>0.66</v>
      </c>
      <c r="CL465" s="307">
        <f>CL466</f>
        <v>23750</v>
      </c>
      <c r="CM465" s="322">
        <f t="shared" si="415"/>
        <v>0.95</v>
      </c>
      <c r="CN465" s="307">
        <f>CN466</f>
        <v>23750</v>
      </c>
      <c r="CO465" s="322">
        <f t="shared" si="416"/>
        <v>0.95</v>
      </c>
      <c r="CP465" s="213" t="str">
        <f t="shared" si="418"/>
        <v>Không đạt</v>
      </c>
      <c r="CQ465" s="213" t="str">
        <f t="shared" si="419"/>
        <v>Không đạt</v>
      </c>
      <c r="CR465" s="312"/>
      <c r="CS465" s="312"/>
      <c r="CT465" s="235"/>
      <c r="CU465" s="163"/>
      <c r="CV465" s="323"/>
      <c r="CW465" s="195"/>
      <c r="CX465" s="196"/>
      <c r="CY465" s="196"/>
      <c r="CZ465" s="197"/>
      <c r="DA465" s="196"/>
      <c r="DB465" s="196"/>
      <c r="DC465" s="196"/>
      <c r="DE465" s="199"/>
      <c r="DF465" s="200"/>
      <c r="DG465" s="181"/>
    </row>
    <row r="466" spans="1:111" ht="38.25" hidden="1" outlineLevel="1" x14ac:dyDescent="0.25">
      <c r="A466" s="192"/>
      <c r="B466" s="325" t="s">
        <v>469</v>
      </c>
      <c r="C466" s="325"/>
      <c r="D466" s="214">
        <f>E466+F466</f>
        <v>25000</v>
      </c>
      <c r="E466" s="215"/>
      <c r="F466" s="214">
        <f>G466+H466+K466+M466</f>
        <v>25000</v>
      </c>
      <c r="G466" s="223"/>
      <c r="H466" s="257">
        <v>25000</v>
      </c>
      <c r="I466" s="235"/>
      <c r="J466" s="235"/>
      <c r="K466" s="223"/>
      <c r="L466" s="235"/>
      <c r="M466" s="223"/>
      <c r="N466" s="223"/>
      <c r="O466" s="257">
        <f t="shared" ref="O466:O509" si="423">G466+I466+L466+N466</f>
        <v>0</v>
      </c>
      <c r="P466" s="257">
        <v>0</v>
      </c>
      <c r="Q466" s="224">
        <f t="shared" si="417"/>
        <v>0</v>
      </c>
      <c r="R466" s="257"/>
      <c r="S466" s="326">
        <v>0</v>
      </c>
      <c r="T466" s="326">
        <v>0</v>
      </c>
      <c r="U466" s="257"/>
      <c r="V466" s="326">
        <v>0</v>
      </c>
      <c r="W466" s="326">
        <v>0</v>
      </c>
      <c r="X466" s="257"/>
      <c r="Y466" s="326">
        <v>0</v>
      </c>
      <c r="Z466" s="326">
        <v>0</v>
      </c>
      <c r="AA466" s="257"/>
      <c r="AB466" s="326">
        <v>0</v>
      </c>
      <c r="AC466" s="326">
        <v>0</v>
      </c>
      <c r="AD466" s="257"/>
      <c r="AE466" s="326">
        <v>0</v>
      </c>
      <c r="AF466" s="326">
        <v>0</v>
      </c>
      <c r="AG466" s="257"/>
      <c r="AH466" s="326">
        <v>0</v>
      </c>
      <c r="AI466" s="326">
        <v>0</v>
      </c>
      <c r="AJ466" s="307"/>
      <c r="AK466" s="326">
        <v>0</v>
      </c>
      <c r="AL466" s="326">
        <v>0</v>
      </c>
      <c r="AM466" s="257"/>
      <c r="AN466" s="326">
        <v>0</v>
      </c>
      <c r="AO466" s="326">
        <v>0</v>
      </c>
      <c r="AP466" s="326"/>
      <c r="AQ466" s="257"/>
      <c r="AR466" s="326">
        <v>0</v>
      </c>
      <c r="AS466" s="326">
        <v>0</v>
      </c>
      <c r="AT466" s="257"/>
      <c r="AU466" s="326">
        <v>0</v>
      </c>
      <c r="AV466" s="326">
        <v>0</v>
      </c>
      <c r="AW466" s="326"/>
      <c r="AX466" s="326"/>
      <c r="AY466" s="326"/>
      <c r="AZ466" s="326"/>
      <c r="BA466" s="326"/>
      <c r="BB466" s="326"/>
      <c r="BC466" s="257"/>
      <c r="BD466" s="326">
        <v>0</v>
      </c>
      <c r="BE466" s="326">
        <v>0</v>
      </c>
      <c r="BF466" s="350"/>
      <c r="BG466" s="350">
        <v>0</v>
      </c>
      <c r="BH466" s="326">
        <v>0</v>
      </c>
      <c r="BI466" s="326">
        <v>0</v>
      </c>
      <c r="BJ466" s="402">
        <f t="shared" si="406"/>
        <v>23750</v>
      </c>
      <c r="BK466" s="402">
        <v>0</v>
      </c>
      <c r="BL466" s="326">
        <f t="shared" si="407"/>
        <v>0</v>
      </c>
      <c r="BM466" s="326">
        <f t="shared" si="421"/>
        <v>0</v>
      </c>
      <c r="BN466" s="205">
        <f t="shared" si="403"/>
        <v>0</v>
      </c>
      <c r="BO466" s="205"/>
      <c r="BP466" s="227"/>
      <c r="BQ466" s="327">
        <f t="shared" si="408"/>
        <v>0</v>
      </c>
      <c r="BR466" s="227"/>
      <c r="BS466" s="327">
        <f t="shared" si="409"/>
        <v>0</v>
      </c>
      <c r="BT466" s="227"/>
      <c r="BU466" s="224">
        <f t="shared" si="410"/>
        <v>0</v>
      </c>
      <c r="BV466" s="227"/>
      <c r="BW466" s="327">
        <f t="shared" si="411"/>
        <v>0</v>
      </c>
      <c r="BX466" s="227"/>
      <c r="BY466" s="327">
        <f t="shared" si="412"/>
        <v>0</v>
      </c>
      <c r="BZ466" s="227"/>
      <c r="CA466" s="327">
        <f t="shared" si="413"/>
        <v>0</v>
      </c>
      <c r="CB466" s="227">
        <v>11875</v>
      </c>
      <c r="CC466" s="327">
        <f t="shared" si="404"/>
        <v>0.47499999999999998</v>
      </c>
      <c r="CD466" s="227">
        <v>11875</v>
      </c>
      <c r="CE466" s="327">
        <f t="shared" si="404"/>
        <v>0.47499999999999998</v>
      </c>
      <c r="CF466" s="227">
        <v>11875</v>
      </c>
      <c r="CG466" s="327">
        <f t="shared" si="405"/>
        <v>0.47499999999999998</v>
      </c>
      <c r="CH466" s="227">
        <v>16500</v>
      </c>
      <c r="CI466" s="327">
        <f t="shared" si="405"/>
        <v>0.66</v>
      </c>
      <c r="CJ466" s="227">
        <v>16500</v>
      </c>
      <c r="CK466" s="327">
        <f t="shared" si="414"/>
        <v>0.66</v>
      </c>
      <c r="CL466" s="227">
        <v>23750</v>
      </c>
      <c r="CM466" s="327">
        <f t="shared" si="415"/>
        <v>0.95</v>
      </c>
      <c r="CN466" s="227">
        <v>23750</v>
      </c>
      <c r="CO466" s="327">
        <f t="shared" si="416"/>
        <v>0.95</v>
      </c>
      <c r="CP466" s="213" t="str">
        <f t="shared" si="418"/>
        <v>Không đạt</v>
      </c>
      <c r="CQ466" s="213" t="str">
        <f t="shared" si="419"/>
        <v>Không đạt</v>
      </c>
      <c r="CR466" s="192"/>
      <c r="CS466" s="192"/>
      <c r="CT466" s="223"/>
      <c r="CU466" s="163"/>
      <c r="CW466" s="195"/>
      <c r="CX466" s="196"/>
      <c r="CY466" s="196"/>
      <c r="CZ466" s="197"/>
      <c r="DA466" s="196"/>
      <c r="DB466" s="196"/>
      <c r="DC466" s="196"/>
      <c r="DE466" s="199"/>
      <c r="DF466" s="200"/>
      <c r="DG466" s="181"/>
    </row>
    <row r="467" spans="1:111" s="324" customFormat="1" hidden="1" outlineLevel="1" x14ac:dyDescent="0.25">
      <c r="A467" s="305" t="s">
        <v>34</v>
      </c>
      <c r="B467" s="318" t="s">
        <v>376</v>
      </c>
      <c r="C467" s="306"/>
      <c r="D467" s="307">
        <f>E467+F467</f>
        <v>3000</v>
      </c>
      <c r="E467" s="307"/>
      <c r="F467" s="307">
        <f>G467+H467+K467+M467</f>
        <v>3000</v>
      </c>
      <c r="G467" s="303">
        <v>3000</v>
      </c>
      <c r="H467" s="303"/>
      <c r="I467" s="235"/>
      <c r="J467" s="235"/>
      <c r="K467" s="303"/>
      <c r="L467" s="235"/>
      <c r="M467" s="223"/>
      <c r="N467" s="223"/>
      <c r="O467" s="303">
        <f t="shared" si="423"/>
        <v>3000</v>
      </c>
      <c r="P467" s="303">
        <v>0</v>
      </c>
      <c r="Q467" s="308">
        <f t="shared" si="417"/>
        <v>0</v>
      </c>
      <c r="R467" s="303"/>
      <c r="S467" s="313">
        <v>0</v>
      </c>
      <c r="T467" s="313">
        <v>0</v>
      </c>
      <c r="U467" s="303">
        <v>1131.7998460000001</v>
      </c>
      <c r="V467" s="313">
        <v>0.37726661533333339</v>
      </c>
      <c r="W467" s="313">
        <v>0.3971227529824562</v>
      </c>
      <c r="X467" s="303">
        <v>1131.7998460000001</v>
      </c>
      <c r="Y467" s="313">
        <v>0.37726661533333339</v>
      </c>
      <c r="Z467" s="313">
        <v>0.3971227529824562</v>
      </c>
      <c r="AA467" s="303">
        <v>1131.7998460000001</v>
      </c>
      <c r="AB467" s="313">
        <v>0.37726661533333339</v>
      </c>
      <c r="AC467" s="313">
        <v>0.3971227529824562</v>
      </c>
      <c r="AD467" s="303">
        <v>221</v>
      </c>
      <c r="AE467" s="313">
        <v>7.3666666666666672E-2</v>
      </c>
      <c r="AF467" s="313">
        <v>7.7543859649122804E-2</v>
      </c>
      <c r="AG467" s="307">
        <v>221</v>
      </c>
      <c r="AH467" s="313">
        <v>7.3666666666666672E-2</v>
      </c>
      <c r="AI467" s="313">
        <v>7.7543859649122804E-2</v>
      </c>
      <c r="AJ467" s="303">
        <v>221</v>
      </c>
      <c r="AK467" s="313">
        <v>7.3666666666666672E-2</v>
      </c>
      <c r="AL467" s="313">
        <v>7.7543859649122804E-2</v>
      </c>
      <c r="AM467" s="307">
        <v>221</v>
      </c>
      <c r="AN467" s="313">
        <v>7.3666666666666672E-2</v>
      </c>
      <c r="AO467" s="313">
        <v>7.7543859649122804E-2</v>
      </c>
      <c r="AP467" s="313"/>
      <c r="AQ467" s="307">
        <v>563.69200000000001</v>
      </c>
      <c r="AR467" s="313">
        <v>0.18789733333333333</v>
      </c>
      <c r="AS467" s="313">
        <v>0.19778666666666667</v>
      </c>
      <c r="AT467" s="307">
        <v>563.69200000000001</v>
      </c>
      <c r="AU467" s="313">
        <v>0.18789733333333333</v>
      </c>
      <c r="AV467" s="313">
        <v>0.19778666666666667</v>
      </c>
      <c r="AW467" s="313"/>
      <c r="AX467" s="313"/>
      <c r="AY467" s="313"/>
      <c r="AZ467" s="313"/>
      <c r="BA467" s="313"/>
      <c r="BB467" s="313"/>
      <c r="BC467" s="307">
        <v>563.69200000000001</v>
      </c>
      <c r="BD467" s="313">
        <v>0.18789733333333333</v>
      </c>
      <c r="BE467" s="313">
        <v>0.19778666666666667</v>
      </c>
      <c r="BF467" s="351"/>
      <c r="BG467" s="351">
        <v>2849.692</v>
      </c>
      <c r="BH467" s="313">
        <v>0.94989733333333337</v>
      </c>
      <c r="BI467" s="313">
        <v>0.99989192982456143</v>
      </c>
      <c r="BJ467" s="349">
        <f t="shared" si="406"/>
        <v>2850</v>
      </c>
      <c r="BK467" s="349">
        <v>2849.692</v>
      </c>
      <c r="BL467" s="313">
        <f t="shared" si="407"/>
        <v>0.94989733333333337</v>
      </c>
      <c r="BM467" s="313">
        <f t="shared" si="421"/>
        <v>0.99989192982456143</v>
      </c>
      <c r="BN467" s="205">
        <f t="shared" si="403"/>
        <v>2628.692</v>
      </c>
      <c r="BO467" s="205"/>
      <c r="BP467" s="310"/>
      <c r="BQ467" s="311">
        <f t="shared" si="408"/>
        <v>0</v>
      </c>
      <c r="BR467" s="310"/>
      <c r="BS467" s="311">
        <f t="shared" si="409"/>
        <v>0</v>
      </c>
      <c r="BT467" s="310"/>
      <c r="BU467" s="308">
        <f t="shared" si="410"/>
        <v>0</v>
      </c>
      <c r="BV467" s="310"/>
      <c r="BW467" s="311">
        <f t="shared" si="411"/>
        <v>0</v>
      </c>
      <c r="BX467" s="310"/>
      <c r="BY467" s="311">
        <f t="shared" si="412"/>
        <v>0</v>
      </c>
      <c r="BZ467" s="310">
        <v>2850</v>
      </c>
      <c r="CA467" s="311">
        <f t="shared" si="413"/>
        <v>0.95</v>
      </c>
      <c r="CB467" s="310">
        <v>2850</v>
      </c>
      <c r="CC467" s="311">
        <f t="shared" si="404"/>
        <v>0.95</v>
      </c>
      <c r="CD467" s="310">
        <v>2850</v>
      </c>
      <c r="CE467" s="311">
        <f t="shared" si="404"/>
        <v>0.95</v>
      </c>
      <c r="CF467" s="310">
        <v>2850</v>
      </c>
      <c r="CG467" s="311">
        <f t="shared" si="405"/>
        <v>0.95</v>
      </c>
      <c r="CH467" s="310">
        <v>2850</v>
      </c>
      <c r="CI467" s="311">
        <f t="shared" si="405"/>
        <v>0.95</v>
      </c>
      <c r="CJ467" s="310">
        <v>2850</v>
      </c>
      <c r="CK467" s="311">
        <f t="shared" si="414"/>
        <v>0.95</v>
      </c>
      <c r="CL467" s="310">
        <v>2850</v>
      </c>
      <c r="CM467" s="311">
        <f t="shared" si="415"/>
        <v>0.95</v>
      </c>
      <c r="CN467" s="310">
        <v>2850</v>
      </c>
      <c r="CO467" s="311">
        <f t="shared" si="416"/>
        <v>0.95</v>
      </c>
      <c r="CP467" s="213" t="str">
        <f t="shared" si="418"/>
        <v>Đạt</v>
      </c>
      <c r="CQ467" s="213" t="str">
        <f t="shared" si="419"/>
        <v>Đạt</v>
      </c>
      <c r="CR467" s="312"/>
      <c r="CS467" s="312"/>
      <c r="CT467" s="235"/>
      <c r="CU467" s="163"/>
      <c r="CV467" s="323"/>
      <c r="CW467" s="195"/>
      <c r="CX467" s="196"/>
      <c r="CY467" s="196"/>
      <c r="CZ467" s="197"/>
      <c r="DA467" s="196"/>
      <c r="DB467" s="196"/>
      <c r="DC467" s="196"/>
      <c r="DE467" s="199"/>
      <c r="DF467" s="200"/>
      <c r="DG467" s="181"/>
    </row>
    <row r="468" spans="1:111" ht="25.5" hidden="1" outlineLevel="1" x14ac:dyDescent="0.25">
      <c r="A468" s="305" t="s">
        <v>34</v>
      </c>
      <c r="B468" s="306" t="s">
        <v>377</v>
      </c>
      <c r="C468" s="306"/>
      <c r="D468" s="307">
        <f>E468+F468</f>
        <v>21950</v>
      </c>
      <c r="E468" s="307"/>
      <c r="F468" s="307">
        <f>G468+H468+K468+M468</f>
        <v>21950</v>
      </c>
      <c r="G468" s="307"/>
      <c r="H468" s="307">
        <v>21950</v>
      </c>
      <c r="I468" s="235"/>
      <c r="J468" s="235"/>
      <c r="K468" s="303"/>
      <c r="L468" s="235"/>
      <c r="M468" s="223"/>
      <c r="N468" s="223"/>
      <c r="O468" s="303"/>
      <c r="P468" s="303">
        <v>0</v>
      </c>
      <c r="Q468" s="308">
        <f t="shared" si="417"/>
        <v>0</v>
      </c>
      <c r="R468" s="303"/>
      <c r="S468" s="313">
        <v>0</v>
      </c>
      <c r="T468" s="313">
        <v>0</v>
      </c>
      <c r="U468" s="303"/>
      <c r="V468" s="313">
        <v>0</v>
      </c>
      <c r="W468" s="313">
        <v>0</v>
      </c>
      <c r="X468" s="303"/>
      <c r="Y468" s="313">
        <v>0</v>
      </c>
      <c r="Z468" s="313">
        <v>0</v>
      </c>
      <c r="AA468" s="303"/>
      <c r="AB468" s="313">
        <v>0</v>
      </c>
      <c r="AC468" s="313">
        <v>0</v>
      </c>
      <c r="AD468" s="303"/>
      <c r="AE468" s="313">
        <v>0</v>
      </c>
      <c r="AF468" s="313">
        <v>0</v>
      </c>
      <c r="AG468" s="303"/>
      <c r="AH468" s="313">
        <v>0</v>
      </c>
      <c r="AI468" s="313">
        <v>0</v>
      </c>
      <c r="AJ468" s="189"/>
      <c r="AK468" s="313">
        <v>0</v>
      </c>
      <c r="AL468" s="313">
        <v>0</v>
      </c>
      <c r="AM468" s="303"/>
      <c r="AN468" s="313">
        <v>0</v>
      </c>
      <c r="AO468" s="313">
        <v>0</v>
      </c>
      <c r="AP468" s="313"/>
      <c r="AQ468" s="303"/>
      <c r="AR468" s="313">
        <v>0</v>
      </c>
      <c r="AS468" s="313">
        <v>0</v>
      </c>
      <c r="AT468" s="303"/>
      <c r="AU468" s="313">
        <v>0</v>
      </c>
      <c r="AV468" s="313">
        <v>0</v>
      </c>
      <c r="AW468" s="313"/>
      <c r="AX468" s="313"/>
      <c r="AY468" s="313"/>
      <c r="AZ468" s="313"/>
      <c r="BA468" s="313"/>
      <c r="BB468" s="313"/>
      <c r="BC468" s="303"/>
      <c r="BD468" s="313">
        <v>0</v>
      </c>
      <c r="BE468" s="313">
        <v>0</v>
      </c>
      <c r="BF468" s="351"/>
      <c r="BG468" s="351">
        <v>181</v>
      </c>
      <c r="BH468" s="313">
        <v>8.2460136674259686E-3</v>
      </c>
      <c r="BI468" s="313">
        <v>8.6800143867641778E-3</v>
      </c>
      <c r="BJ468" s="349">
        <f t="shared" si="406"/>
        <v>20852.5</v>
      </c>
      <c r="BK468" s="349">
        <v>181</v>
      </c>
      <c r="BL468" s="313">
        <f t="shared" si="407"/>
        <v>8.2460136674259686E-3</v>
      </c>
      <c r="BM468" s="313">
        <f t="shared" si="421"/>
        <v>8.6800143867641778E-3</v>
      </c>
      <c r="BN468" s="205">
        <f t="shared" si="403"/>
        <v>181</v>
      </c>
      <c r="BO468" s="205"/>
      <c r="BP468" s="310"/>
      <c r="BQ468" s="311">
        <f t="shared" si="408"/>
        <v>0</v>
      </c>
      <c r="BR468" s="310"/>
      <c r="BS468" s="311">
        <f t="shared" si="409"/>
        <v>0</v>
      </c>
      <c r="BT468" s="310"/>
      <c r="BU468" s="308">
        <f t="shared" si="410"/>
        <v>0</v>
      </c>
      <c r="BV468" s="310"/>
      <c r="BW468" s="311">
        <f t="shared" si="411"/>
        <v>0</v>
      </c>
      <c r="BX468" s="310"/>
      <c r="BY468" s="311">
        <f t="shared" si="412"/>
        <v>0</v>
      </c>
      <c r="BZ468" s="310"/>
      <c r="CA468" s="311">
        <f t="shared" si="413"/>
        <v>0</v>
      </c>
      <c r="CB468" s="310"/>
      <c r="CC468" s="311">
        <f t="shared" si="404"/>
        <v>0</v>
      </c>
      <c r="CD468" s="310">
        <v>7106</v>
      </c>
      <c r="CE468" s="311">
        <f t="shared" si="404"/>
        <v>0.32373576309794988</v>
      </c>
      <c r="CF468" s="310">
        <f>6640+7106</f>
        <v>13746</v>
      </c>
      <c r="CG468" s="311">
        <f t="shared" si="405"/>
        <v>0.62624145785876995</v>
      </c>
      <c r="CH468" s="310">
        <v>13746</v>
      </c>
      <c r="CI468" s="311">
        <f t="shared" si="405"/>
        <v>0.62624145785876995</v>
      </c>
      <c r="CJ468" s="310">
        <v>16775</v>
      </c>
      <c r="CK468" s="311">
        <f t="shared" si="414"/>
        <v>0.76423690205011385</v>
      </c>
      <c r="CL468" s="310">
        <v>20852</v>
      </c>
      <c r="CM468" s="311">
        <f t="shared" si="415"/>
        <v>0.94997722095671977</v>
      </c>
      <c r="CN468" s="310">
        <v>20852</v>
      </c>
      <c r="CO468" s="311">
        <f t="shared" si="416"/>
        <v>0.94997722095671977</v>
      </c>
      <c r="CP468" s="213" t="str">
        <f t="shared" si="418"/>
        <v>Không đạt</v>
      </c>
      <c r="CQ468" s="213" t="str">
        <f t="shared" si="419"/>
        <v>Không đạt</v>
      </c>
      <c r="CR468" s="312"/>
      <c r="CS468" s="312"/>
      <c r="CT468" s="235"/>
      <c r="CU468" s="163"/>
      <c r="CW468" s="195"/>
      <c r="CX468" s="196"/>
      <c r="CY468" s="196"/>
      <c r="CZ468" s="197"/>
      <c r="DA468" s="196"/>
      <c r="DB468" s="196"/>
      <c r="DC468" s="196"/>
      <c r="DE468" s="199"/>
      <c r="DF468" s="200"/>
      <c r="DG468" s="181"/>
    </row>
    <row r="469" spans="1:111" ht="18" customHeight="1" collapsed="1" x14ac:dyDescent="0.25">
      <c r="A469" s="213">
        <f>MAX(A$239:A467)+1</f>
        <v>66</v>
      </c>
      <c r="B469" s="240" t="s">
        <v>470</v>
      </c>
      <c r="C469" s="240"/>
      <c r="D469" s="188">
        <f t="shared" ref="D469:I469" si="424">D470+D471</f>
        <v>7675</v>
      </c>
      <c r="E469" s="188">
        <f t="shared" si="424"/>
        <v>0</v>
      </c>
      <c r="F469" s="188">
        <f t="shared" si="424"/>
        <v>7675</v>
      </c>
      <c r="G469" s="188">
        <f t="shared" si="424"/>
        <v>3000</v>
      </c>
      <c r="H469" s="188">
        <f t="shared" si="424"/>
        <v>4675</v>
      </c>
      <c r="I469" s="188">
        <f t="shared" si="424"/>
        <v>0</v>
      </c>
      <c r="J469" s="188"/>
      <c r="K469" s="188">
        <f>K470+K471</f>
        <v>0</v>
      </c>
      <c r="L469" s="188">
        <f>L470+L471</f>
        <v>0</v>
      </c>
      <c r="M469" s="188">
        <f>M470+M471</f>
        <v>0</v>
      </c>
      <c r="N469" s="188">
        <f>N470+N471</f>
        <v>0</v>
      </c>
      <c r="O469" s="188">
        <f>O470+O471</f>
        <v>3000</v>
      </c>
      <c r="P469" s="188">
        <v>0</v>
      </c>
      <c r="Q469" s="186">
        <f t="shared" si="417"/>
        <v>0</v>
      </c>
      <c r="R469" s="189">
        <v>1088.7765999999999</v>
      </c>
      <c r="S469" s="185">
        <v>0.14186058631921825</v>
      </c>
      <c r="T469" s="185">
        <v>0.14932693296759814</v>
      </c>
      <c r="U469" s="189">
        <v>1088.7765999999999</v>
      </c>
      <c r="V469" s="185">
        <v>0.14186014332247557</v>
      </c>
      <c r="W469" s="185">
        <v>0.14932646665523744</v>
      </c>
      <c r="X469" s="189">
        <v>1088.7765999999999</v>
      </c>
      <c r="Y469" s="185">
        <v>0.14186014332247557</v>
      </c>
      <c r="Z469" s="185">
        <v>0.14932646665523744</v>
      </c>
      <c r="AA469" s="189">
        <v>1088.7765999999999</v>
      </c>
      <c r="AB469" s="185">
        <v>0.14186014332247557</v>
      </c>
      <c r="AC469" s="185">
        <v>0.14932646665523744</v>
      </c>
      <c r="AD469" s="189">
        <v>1158</v>
      </c>
      <c r="AE469" s="185">
        <v>0.15087947882736155</v>
      </c>
      <c r="AF469" s="185">
        <v>0.15882050402880166</v>
      </c>
      <c r="AG469" s="189">
        <v>1158</v>
      </c>
      <c r="AH469" s="185">
        <v>0.15087947882736155</v>
      </c>
      <c r="AI469" s="185">
        <v>0.15882050402880166</v>
      </c>
      <c r="AJ469" s="307">
        <v>1158</v>
      </c>
      <c r="AK469" s="185">
        <v>0.15087947882736155</v>
      </c>
      <c r="AL469" s="185">
        <v>0.15882050402880166</v>
      </c>
      <c r="AM469" s="189">
        <v>1158</v>
      </c>
      <c r="AN469" s="185">
        <v>0.15087947882736155</v>
      </c>
      <c r="AO469" s="185">
        <v>0.15882050402880166</v>
      </c>
      <c r="AP469" s="185"/>
      <c r="AQ469" s="189">
        <v>2191.6206950000001</v>
      </c>
      <c r="AR469" s="185">
        <v>0.28555318501628668</v>
      </c>
      <c r="AS469" s="185">
        <v>0.30058230001714387</v>
      </c>
      <c r="AT469" s="189">
        <v>2191.6206950000001</v>
      </c>
      <c r="AU469" s="185">
        <v>0.28555318501628668</v>
      </c>
      <c r="AV469" s="185">
        <v>0.30058230001714387</v>
      </c>
      <c r="AW469" s="185"/>
      <c r="AX469" s="185"/>
      <c r="AY469" s="185"/>
      <c r="AZ469" s="185"/>
      <c r="BA469" s="185"/>
      <c r="BB469" s="185"/>
      <c r="BC469" s="189">
        <v>2191.6206950000001</v>
      </c>
      <c r="BD469" s="185">
        <v>0.28555318501628668</v>
      </c>
      <c r="BE469" s="185">
        <v>0.30058230001714387</v>
      </c>
      <c r="BF469" s="352"/>
      <c r="BG469" s="352">
        <v>2717.8388570000002</v>
      </c>
      <c r="BH469" s="185">
        <v>0.35411581198697073</v>
      </c>
      <c r="BI469" s="185">
        <v>0.37275348630207444</v>
      </c>
      <c r="BJ469" s="374">
        <f t="shared" si="406"/>
        <v>7291.25</v>
      </c>
      <c r="BK469" s="374">
        <v>4724.6591100000005</v>
      </c>
      <c r="BL469" s="185">
        <f t="shared" si="407"/>
        <v>0.61559076351791542</v>
      </c>
      <c r="BM469" s="185">
        <f t="shared" si="421"/>
        <v>0.64799027738727932</v>
      </c>
      <c r="BN469" s="205">
        <f t="shared" si="403"/>
        <v>3566.6591100000005</v>
      </c>
      <c r="BO469" s="205"/>
      <c r="BP469" s="189">
        <f>BP470+BP471</f>
        <v>0</v>
      </c>
      <c r="BQ469" s="186">
        <f t="shared" si="408"/>
        <v>0</v>
      </c>
      <c r="BR469" s="189">
        <f>BR470+BR471</f>
        <v>0</v>
      </c>
      <c r="BS469" s="186">
        <f t="shared" si="409"/>
        <v>0</v>
      </c>
      <c r="BT469" s="189">
        <f>BT470+BT471</f>
        <v>767.5</v>
      </c>
      <c r="BU469" s="186">
        <f t="shared" si="410"/>
        <v>0.1</v>
      </c>
      <c r="BV469" s="189">
        <f>BV470+BV471</f>
        <v>1385</v>
      </c>
      <c r="BW469" s="186">
        <f t="shared" si="411"/>
        <v>0.18045602605863192</v>
      </c>
      <c r="BX469" s="189">
        <f>BX470+BX471</f>
        <v>2152.5</v>
      </c>
      <c r="BY469" s="186">
        <f t="shared" si="412"/>
        <v>0.2804560260586319</v>
      </c>
      <c r="BZ469" s="189">
        <f>BZ470+BZ471</f>
        <v>3070</v>
      </c>
      <c r="CA469" s="186">
        <f t="shared" si="413"/>
        <v>0.4</v>
      </c>
      <c r="CB469" s="189">
        <f>CB470+CB471</f>
        <v>3987.5</v>
      </c>
      <c r="CC469" s="186">
        <f t="shared" si="404"/>
        <v>0.51954397394136809</v>
      </c>
      <c r="CD469" s="189">
        <f>CD470+CD471</f>
        <v>4671.25</v>
      </c>
      <c r="CE469" s="186">
        <f t="shared" si="404"/>
        <v>0.60863192182410419</v>
      </c>
      <c r="CF469" s="189">
        <f>CF470+CF471</f>
        <v>5055</v>
      </c>
      <c r="CG469" s="186">
        <f t="shared" si="405"/>
        <v>0.65863192182410424</v>
      </c>
      <c r="CH469" s="189">
        <f>CH470+CH471</f>
        <v>5672.5</v>
      </c>
      <c r="CI469" s="186">
        <f t="shared" si="405"/>
        <v>0.73908794788273613</v>
      </c>
      <c r="CJ469" s="189">
        <f>CJ470+CJ471</f>
        <v>6200</v>
      </c>
      <c r="CK469" s="186">
        <f t="shared" si="414"/>
        <v>0.80781758957654726</v>
      </c>
      <c r="CL469" s="189">
        <f>CL470+CL471</f>
        <v>6757.5</v>
      </c>
      <c r="CM469" s="186">
        <f t="shared" si="415"/>
        <v>0.88045602605863194</v>
      </c>
      <c r="CN469" s="189">
        <f>CN470+CN471</f>
        <v>7291.25</v>
      </c>
      <c r="CO469" s="186">
        <f t="shared" si="416"/>
        <v>0.95</v>
      </c>
      <c r="CP469" s="213" t="str">
        <f t="shared" si="418"/>
        <v>Đạt</v>
      </c>
      <c r="CQ469" s="213" t="str">
        <f t="shared" si="419"/>
        <v>Đạt</v>
      </c>
      <c r="CR469" s="213"/>
      <c r="CS469" s="213"/>
      <c r="CT469" s="231"/>
      <c r="CU469" s="163"/>
      <c r="CW469" s="195"/>
      <c r="CX469" s="196"/>
      <c r="CY469" s="196"/>
      <c r="CZ469" s="197"/>
      <c r="DA469" s="196"/>
      <c r="DB469" s="196"/>
      <c r="DC469" s="196"/>
      <c r="DE469" s="199"/>
      <c r="DF469" s="200"/>
      <c r="DG469" s="181"/>
    </row>
    <row r="470" spans="1:111" s="324" customFormat="1" hidden="1" outlineLevel="1" x14ac:dyDescent="0.25">
      <c r="A470" s="305" t="s">
        <v>34</v>
      </c>
      <c r="B470" s="318" t="s">
        <v>376</v>
      </c>
      <c r="C470" s="306"/>
      <c r="D470" s="307">
        <f>E470+F470</f>
        <v>3000</v>
      </c>
      <c r="E470" s="307"/>
      <c r="F470" s="307">
        <f>G470+H470+K470+M470</f>
        <v>3000</v>
      </c>
      <c r="G470" s="303">
        <v>3000</v>
      </c>
      <c r="H470" s="303"/>
      <c r="I470" s="235"/>
      <c r="J470" s="235"/>
      <c r="K470" s="303"/>
      <c r="L470" s="235"/>
      <c r="M470" s="223"/>
      <c r="N470" s="223"/>
      <c r="O470" s="303">
        <f t="shared" si="423"/>
        <v>3000</v>
      </c>
      <c r="P470" s="303">
        <v>0</v>
      </c>
      <c r="Q470" s="308">
        <f t="shared" si="417"/>
        <v>0</v>
      </c>
      <c r="R470" s="303">
        <v>1088.7765999999999</v>
      </c>
      <c r="S470" s="309">
        <v>0.36292666666666668</v>
      </c>
      <c r="T470" s="309">
        <v>0.38202807017543861</v>
      </c>
      <c r="U470" s="357">
        <v>1088.7765999999999</v>
      </c>
      <c r="V470" s="309">
        <v>0.36292553333333333</v>
      </c>
      <c r="W470" s="309">
        <v>0.38202687719298245</v>
      </c>
      <c r="X470" s="357">
        <v>1088.7765999999999</v>
      </c>
      <c r="Y470" s="309">
        <v>0.36292553333333333</v>
      </c>
      <c r="Z470" s="309">
        <v>0.38202687719298245</v>
      </c>
      <c r="AA470" s="357">
        <v>1088.7765999999999</v>
      </c>
      <c r="AB470" s="309">
        <v>0.36292553333333333</v>
      </c>
      <c r="AC470" s="309">
        <v>0.38202687719298245</v>
      </c>
      <c r="AD470" s="357">
        <v>1158</v>
      </c>
      <c r="AE470" s="309">
        <v>0.38600000000000001</v>
      </c>
      <c r="AF470" s="309">
        <v>0.40631578947368419</v>
      </c>
      <c r="AG470" s="307">
        <v>1158</v>
      </c>
      <c r="AH470" s="309">
        <v>0.38600000000000001</v>
      </c>
      <c r="AI470" s="309">
        <v>0.40631578947368419</v>
      </c>
      <c r="AJ470" s="303">
        <v>1158</v>
      </c>
      <c r="AK470" s="309">
        <v>0.38600000000000001</v>
      </c>
      <c r="AL470" s="309">
        <v>0.40631578947368419</v>
      </c>
      <c r="AM470" s="307">
        <v>1158</v>
      </c>
      <c r="AN470" s="309">
        <v>0.38600000000000001</v>
      </c>
      <c r="AO470" s="309">
        <v>0.40631578947368419</v>
      </c>
      <c r="AP470" s="309"/>
      <c r="AQ470" s="307">
        <v>2191.6206950000001</v>
      </c>
      <c r="AR470" s="309">
        <v>0.73054023166666671</v>
      </c>
      <c r="AS470" s="309">
        <v>0.7689897175438597</v>
      </c>
      <c r="AT470" s="307">
        <v>2191.6206950000001</v>
      </c>
      <c r="AU470" s="309">
        <v>0.73054023166666671</v>
      </c>
      <c r="AV470" s="309">
        <v>0.7689897175438597</v>
      </c>
      <c r="AW470" s="309"/>
      <c r="AX470" s="309"/>
      <c r="AY470" s="309"/>
      <c r="AZ470" s="309"/>
      <c r="BA470" s="309"/>
      <c r="BB470" s="309"/>
      <c r="BC470" s="307">
        <v>2191.6206950000001</v>
      </c>
      <c r="BD470" s="309">
        <v>0.73054023166666671</v>
      </c>
      <c r="BE470" s="309">
        <v>0.7689897175438597</v>
      </c>
      <c r="BF470" s="351"/>
      <c r="BG470" s="351">
        <v>2340.2348570000004</v>
      </c>
      <c r="BH470" s="309">
        <v>0.78007828566666682</v>
      </c>
      <c r="BI470" s="309">
        <v>0.82113503754385975</v>
      </c>
      <c r="BJ470" s="349">
        <f t="shared" si="406"/>
        <v>2850</v>
      </c>
      <c r="BK470" s="349">
        <v>2340.2348570000004</v>
      </c>
      <c r="BL470" s="309">
        <f t="shared" si="407"/>
        <v>0.78007828566666682</v>
      </c>
      <c r="BM470" s="309">
        <f t="shared" si="421"/>
        <v>0.82113503754385975</v>
      </c>
      <c r="BN470" s="205">
        <f t="shared" si="403"/>
        <v>1182.2348570000004</v>
      </c>
      <c r="BO470" s="205"/>
      <c r="BP470" s="310"/>
      <c r="BQ470" s="308">
        <f t="shared" si="408"/>
        <v>0</v>
      </c>
      <c r="BR470" s="310"/>
      <c r="BS470" s="308">
        <f t="shared" si="409"/>
        <v>0</v>
      </c>
      <c r="BT470" s="310">
        <f>3000*0.1</f>
        <v>300</v>
      </c>
      <c r="BU470" s="308">
        <f t="shared" si="410"/>
        <v>0.1</v>
      </c>
      <c r="BV470" s="310">
        <f>3000*0.15</f>
        <v>450</v>
      </c>
      <c r="BW470" s="308">
        <f t="shared" si="411"/>
        <v>0.15</v>
      </c>
      <c r="BX470" s="310">
        <f>3000*0.25</f>
        <v>750</v>
      </c>
      <c r="BY470" s="308">
        <f t="shared" si="412"/>
        <v>0.25</v>
      </c>
      <c r="BZ470" s="310">
        <f>3000*0.4</f>
        <v>1200</v>
      </c>
      <c r="CA470" s="308">
        <f t="shared" si="413"/>
        <v>0.4</v>
      </c>
      <c r="CB470" s="310">
        <f>3000*0.55</f>
        <v>1650.0000000000002</v>
      </c>
      <c r="CC470" s="308">
        <f t="shared" si="404"/>
        <v>0.55000000000000004</v>
      </c>
      <c r="CD470" s="310">
        <f>3000*0.7</f>
        <v>2100</v>
      </c>
      <c r="CE470" s="308">
        <f t="shared" si="404"/>
        <v>0.7</v>
      </c>
      <c r="CF470" s="310">
        <f>3000*0.75</f>
        <v>2250</v>
      </c>
      <c r="CG470" s="308">
        <f t="shared" si="405"/>
        <v>0.75</v>
      </c>
      <c r="CH470" s="310">
        <f>3000*0.8</f>
        <v>2400</v>
      </c>
      <c r="CI470" s="308">
        <f t="shared" si="405"/>
        <v>0.8</v>
      </c>
      <c r="CJ470" s="310">
        <f>3000*0.82</f>
        <v>2460</v>
      </c>
      <c r="CK470" s="308">
        <f t="shared" si="414"/>
        <v>0.82</v>
      </c>
      <c r="CL470" s="310">
        <f>3000*0.85</f>
        <v>2550</v>
      </c>
      <c r="CM470" s="308">
        <f t="shared" si="415"/>
        <v>0.85</v>
      </c>
      <c r="CN470" s="310">
        <f>3000*0.95</f>
        <v>2850</v>
      </c>
      <c r="CO470" s="308">
        <f t="shared" si="416"/>
        <v>0.95</v>
      </c>
      <c r="CP470" s="213" t="str">
        <f t="shared" si="418"/>
        <v>Đạt</v>
      </c>
      <c r="CQ470" s="213" t="str">
        <f t="shared" si="419"/>
        <v>Đạt</v>
      </c>
      <c r="CR470" s="312"/>
      <c r="CS470" s="312"/>
      <c r="CT470" s="235"/>
      <c r="CU470" s="163"/>
      <c r="CV470" s="323"/>
      <c r="CW470" s="195"/>
      <c r="CX470" s="196"/>
      <c r="CY470" s="196"/>
      <c r="CZ470" s="197"/>
      <c r="DA470" s="196"/>
      <c r="DB470" s="196"/>
      <c r="DC470" s="196"/>
      <c r="DE470" s="199"/>
      <c r="DF470" s="200"/>
      <c r="DG470" s="181"/>
    </row>
    <row r="471" spans="1:111" ht="45.75" hidden="1" customHeight="1" outlineLevel="1" x14ac:dyDescent="0.25">
      <c r="A471" s="305" t="s">
        <v>34</v>
      </c>
      <c r="B471" s="306" t="s">
        <v>377</v>
      </c>
      <c r="C471" s="306"/>
      <c r="D471" s="307">
        <f>E471+F471</f>
        <v>4675</v>
      </c>
      <c r="E471" s="307"/>
      <c r="F471" s="307">
        <f>G471+H471+K471+M471</f>
        <v>4675</v>
      </c>
      <c r="G471" s="307"/>
      <c r="H471" s="307">
        <v>4675</v>
      </c>
      <c r="I471" s="235"/>
      <c r="J471" s="235"/>
      <c r="K471" s="303"/>
      <c r="L471" s="235"/>
      <c r="M471" s="223"/>
      <c r="N471" s="223"/>
      <c r="O471" s="303"/>
      <c r="P471" s="303">
        <v>0</v>
      </c>
      <c r="Q471" s="308">
        <f t="shared" si="417"/>
        <v>0</v>
      </c>
      <c r="R471" s="303"/>
      <c r="S471" s="309">
        <v>0</v>
      </c>
      <c r="T471" s="309">
        <v>0</v>
      </c>
      <c r="U471" s="303"/>
      <c r="V471" s="309">
        <v>0</v>
      </c>
      <c r="W471" s="309">
        <v>0</v>
      </c>
      <c r="X471" s="303"/>
      <c r="Y471" s="309">
        <v>0</v>
      </c>
      <c r="Z471" s="309">
        <v>0</v>
      </c>
      <c r="AA471" s="303"/>
      <c r="AB471" s="309">
        <v>0</v>
      </c>
      <c r="AC471" s="309">
        <v>0</v>
      </c>
      <c r="AD471" s="303"/>
      <c r="AE471" s="309">
        <v>0</v>
      </c>
      <c r="AF471" s="309">
        <v>0</v>
      </c>
      <c r="AG471" s="303"/>
      <c r="AH471" s="309">
        <v>0</v>
      </c>
      <c r="AI471" s="309">
        <v>0</v>
      </c>
      <c r="AJ471" s="188"/>
      <c r="AK471" s="309">
        <v>0</v>
      </c>
      <c r="AL471" s="309">
        <v>0</v>
      </c>
      <c r="AM471" s="303"/>
      <c r="AN471" s="309">
        <v>0</v>
      </c>
      <c r="AO471" s="309">
        <v>0</v>
      </c>
      <c r="AP471" s="309"/>
      <c r="AQ471" s="303"/>
      <c r="AR471" s="309">
        <v>0</v>
      </c>
      <c r="AS471" s="309">
        <v>0</v>
      </c>
      <c r="AT471" s="303"/>
      <c r="AU471" s="309">
        <v>0</v>
      </c>
      <c r="AV471" s="309">
        <v>0</v>
      </c>
      <c r="AW471" s="309"/>
      <c r="AX471" s="309"/>
      <c r="AY471" s="309"/>
      <c r="AZ471" s="309"/>
      <c r="BA471" s="309"/>
      <c r="BB471" s="309"/>
      <c r="BC471" s="303"/>
      <c r="BD471" s="309">
        <v>0</v>
      </c>
      <c r="BE471" s="309">
        <v>0</v>
      </c>
      <c r="BF471" s="351"/>
      <c r="BG471" s="351">
        <v>377.60399999999998</v>
      </c>
      <c r="BH471" s="309">
        <v>8.0770909090909088E-2</v>
      </c>
      <c r="BI471" s="309">
        <v>8.5022009569377985E-2</v>
      </c>
      <c r="BJ471" s="349">
        <f t="shared" si="406"/>
        <v>4441.25</v>
      </c>
      <c r="BK471" s="349">
        <v>1045.537</v>
      </c>
      <c r="BL471" s="309">
        <f t="shared" si="407"/>
        <v>0.22364427807486631</v>
      </c>
      <c r="BM471" s="309">
        <f t="shared" si="421"/>
        <v>0.23541502955249086</v>
      </c>
      <c r="BN471" s="205">
        <f t="shared" si="403"/>
        <v>1045.537</v>
      </c>
      <c r="BO471" s="205"/>
      <c r="BP471" s="310"/>
      <c r="BQ471" s="308">
        <f t="shared" si="408"/>
        <v>0</v>
      </c>
      <c r="BR471" s="310"/>
      <c r="BS471" s="308">
        <f t="shared" si="409"/>
        <v>0</v>
      </c>
      <c r="BT471" s="310">
        <f>F471*0.1</f>
        <v>467.5</v>
      </c>
      <c r="BU471" s="308">
        <f t="shared" si="410"/>
        <v>0.1</v>
      </c>
      <c r="BV471" s="310">
        <f>F471*0.2</f>
        <v>935</v>
      </c>
      <c r="BW471" s="308">
        <f t="shared" si="411"/>
        <v>0.2</v>
      </c>
      <c r="BX471" s="310">
        <f>F471*0.3</f>
        <v>1402.5</v>
      </c>
      <c r="BY471" s="308">
        <f t="shared" si="412"/>
        <v>0.3</v>
      </c>
      <c r="BZ471" s="310">
        <f>F471*0.4</f>
        <v>1870</v>
      </c>
      <c r="CA471" s="308">
        <f t="shared" si="413"/>
        <v>0.4</v>
      </c>
      <c r="CB471" s="310">
        <f>F471*0.5</f>
        <v>2337.5</v>
      </c>
      <c r="CC471" s="308">
        <f t="shared" si="404"/>
        <v>0.5</v>
      </c>
      <c r="CD471" s="310">
        <f>F471*0.55</f>
        <v>2571.25</v>
      </c>
      <c r="CE471" s="308">
        <f t="shared" si="404"/>
        <v>0.55000000000000004</v>
      </c>
      <c r="CF471" s="310">
        <f>F471*0.6</f>
        <v>2805</v>
      </c>
      <c r="CG471" s="308">
        <f t="shared" si="405"/>
        <v>0.6</v>
      </c>
      <c r="CH471" s="310">
        <f>F471*0.7</f>
        <v>3272.5</v>
      </c>
      <c r="CI471" s="308">
        <f t="shared" si="405"/>
        <v>0.7</v>
      </c>
      <c r="CJ471" s="310">
        <f>F471*0.8</f>
        <v>3740</v>
      </c>
      <c r="CK471" s="308">
        <f t="shared" si="414"/>
        <v>0.8</v>
      </c>
      <c r="CL471" s="310">
        <f>F471*0.9</f>
        <v>4207.5</v>
      </c>
      <c r="CM471" s="308">
        <f t="shared" si="415"/>
        <v>0.9</v>
      </c>
      <c r="CN471" s="310">
        <f>F471*0.95</f>
        <v>4441.25</v>
      </c>
      <c r="CO471" s="308">
        <f t="shared" si="416"/>
        <v>0.95</v>
      </c>
      <c r="CP471" s="213" t="str">
        <f t="shared" si="418"/>
        <v>Không đạt</v>
      </c>
      <c r="CQ471" s="213" t="str">
        <f t="shared" si="419"/>
        <v>Không đạt</v>
      </c>
      <c r="CR471" s="312"/>
      <c r="CS471" s="312"/>
      <c r="CT471" s="235"/>
      <c r="CU471" s="163"/>
      <c r="CW471" s="195"/>
      <c r="CX471" s="196"/>
      <c r="CY471" s="196"/>
      <c r="CZ471" s="197"/>
      <c r="DA471" s="196"/>
      <c r="DB471" s="196"/>
      <c r="DC471" s="196"/>
      <c r="DE471" s="199"/>
      <c r="DF471" s="200"/>
      <c r="DG471" s="181"/>
    </row>
    <row r="472" spans="1:111" ht="18" customHeight="1" collapsed="1" x14ac:dyDescent="0.25">
      <c r="A472" s="213">
        <f>MAX(A$239:A470)+1</f>
        <v>67</v>
      </c>
      <c r="B472" s="240" t="s">
        <v>471</v>
      </c>
      <c r="C472" s="240"/>
      <c r="D472" s="188">
        <f t="shared" ref="D472:I472" si="425">D473+D475+D476</f>
        <v>10975</v>
      </c>
      <c r="E472" s="188">
        <f t="shared" si="425"/>
        <v>0</v>
      </c>
      <c r="F472" s="188">
        <f t="shared" si="425"/>
        <v>10975</v>
      </c>
      <c r="G472" s="188">
        <f t="shared" si="425"/>
        <v>8000</v>
      </c>
      <c r="H472" s="188">
        <f t="shared" si="425"/>
        <v>2975</v>
      </c>
      <c r="I472" s="188">
        <f t="shared" si="425"/>
        <v>0</v>
      </c>
      <c r="J472" s="188"/>
      <c r="K472" s="188">
        <f>K473+K475+K476</f>
        <v>0</v>
      </c>
      <c r="L472" s="188">
        <f>L473+L475+L476</f>
        <v>0</v>
      </c>
      <c r="M472" s="188">
        <f>M473+M475+M476</f>
        <v>0</v>
      </c>
      <c r="N472" s="188">
        <f>N473+N475+N476</f>
        <v>0</v>
      </c>
      <c r="O472" s="188">
        <f>O473+O475+O476</f>
        <v>8000</v>
      </c>
      <c r="P472" s="188">
        <v>0</v>
      </c>
      <c r="Q472" s="186">
        <f t="shared" si="417"/>
        <v>0</v>
      </c>
      <c r="R472" s="188">
        <v>0</v>
      </c>
      <c r="S472" s="185">
        <v>0</v>
      </c>
      <c r="T472" s="185">
        <v>0</v>
      </c>
      <c r="U472" s="188">
        <v>0</v>
      </c>
      <c r="V472" s="185">
        <v>0</v>
      </c>
      <c r="W472" s="185">
        <v>0</v>
      </c>
      <c r="X472" s="188">
        <v>0</v>
      </c>
      <c r="Y472" s="185">
        <v>0</v>
      </c>
      <c r="Z472" s="185">
        <v>0</v>
      </c>
      <c r="AA472" s="188">
        <v>0</v>
      </c>
      <c r="AB472" s="185">
        <v>0</v>
      </c>
      <c r="AC472" s="185">
        <v>0</v>
      </c>
      <c r="AD472" s="188">
        <v>872.75300000000004</v>
      </c>
      <c r="AE472" s="185">
        <v>7.9521913439635536E-2</v>
      </c>
      <c r="AF472" s="185">
        <v>8.3707277304879521E-2</v>
      </c>
      <c r="AG472" s="188">
        <v>872.75300000000004</v>
      </c>
      <c r="AH472" s="185">
        <v>7.9521913439635536E-2</v>
      </c>
      <c r="AI472" s="185">
        <v>8.3707277304879521E-2</v>
      </c>
      <c r="AJ472" s="317">
        <v>872.75300000000004</v>
      </c>
      <c r="AK472" s="185">
        <v>7.9521913439635536E-2</v>
      </c>
      <c r="AL472" s="185">
        <v>8.3707277304879521E-2</v>
      </c>
      <c r="AM472" s="188">
        <v>872.75300000000004</v>
      </c>
      <c r="AN472" s="185">
        <v>7.9521913439635536E-2</v>
      </c>
      <c r="AO472" s="185">
        <v>8.3707277304879521E-2</v>
      </c>
      <c r="AP472" s="185"/>
      <c r="AQ472" s="188">
        <v>872.75300000000004</v>
      </c>
      <c r="AR472" s="185">
        <v>7.9521913439635536E-2</v>
      </c>
      <c r="AS472" s="185">
        <v>8.3707277304879521E-2</v>
      </c>
      <c r="AT472" s="188">
        <v>872.75300000000004</v>
      </c>
      <c r="AU472" s="185">
        <v>7.9521913439635536E-2</v>
      </c>
      <c r="AV472" s="185">
        <v>8.3707277304879521E-2</v>
      </c>
      <c r="AW472" s="185"/>
      <c r="AX472" s="185"/>
      <c r="AY472" s="185"/>
      <c r="AZ472" s="185"/>
      <c r="BA472" s="185"/>
      <c r="BB472" s="185"/>
      <c r="BC472" s="188">
        <v>872.75300000000004</v>
      </c>
      <c r="BD472" s="185">
        <v>7.9521913439635536E-2</v>
      </c>
      <c r="BE472" s="185">
        <v>8.3707277304879521E-2</v>
      </c>
      <c r="BF472" s="352"/>
      <c r="BG472" s="352">
        <v>962.173</v>
      </c>
      <c r="BH472" s="185">
        <v>8.7669521640091119E-2</v>
      </c>
      <c r="BI472" s="185">
        <v>9.22837069895696E-2</v>
      </c>
      <c r="BJ472" s="374">
        <f t="shared" si="406"/>
        <v>10426.25</v>
      </c>
      <c r="BK472" s="374">
        <v>1012.143</v>
      </c>
      <c r="BL472" s="185">
        <f t="shared" si="407"/>
        <v>9.2222596810933949E-2</v>
      </c>
      <c r="BM472" s="185">
        <f t="shared" si="421"/>
        <v>9.7076417695719938E-2</v>
      </c>
      <c r="BN472" s="205">
        <f t="shared" si="403"/>
        <v>139.38999999999999</v>
      </c>
      <c r="BO472" s="205"/>
      <c r="BP472" s="189">
        <f>BP473+BP475+BP476</f>
        <v>800</v>
      </c>
      <c r="BQ472" s="186">
        <f t="shared" si="408"/>
        <v>7.289293849658314E-2</v>
      </c>
      <c r="BR472" s="189">
        <f>BR473+BR475+BR476</f>
        <v>2300</v>
      </c>
      <c r="BS472" s="186">
        <f t="shared" si="409"/>
        <v>0.20956719817767655</v>
      </c>
      <c r="BT472" s="189">
        <f>BT473+BT475+BT476</f>
        <v>3740</v>
      </c>
      <c r="BU472" s="186">
        <f t="shared" si="410"/>
        <v>0.34077448747152622</v>
      </c>
      <c r="BV472" s="189">
        <f>BV473+BV475+BV476</f>
        <v>5190</v>
      </c>
      <c r="BW472" s="186">
        <f t="shared" si="411"/>
        <v>0.47289293849658315</v>
      </c>
      <c r="BX472" s="189">
        <f>BX473+BX475+BX476</f>
        <v>6640</v>
      </c>
      <c r="BY472" s="186">
        <f t="shared" si="412"/>
        <v>0.60501138952164013</v>
      </c>
      <c r="BZ472" s="189">
        <f>BZ473+BZ475+BZ476</f>
        <v>8040</v>
      </c>
      <c r="CA472" s="186">
        <f t="shared" si="413"/>
        <v>0.73257403189066062</v>
      </c>
      <c r="CB472" s="189">
        <f>CB473+CB475+CB476</f>
        <v>8790</v>
      </c>
      <c r="CC472" s="186">
        <f t="shared" si="404"/>
        <v>0.80091116173120724</v>
      </c>
      <c r="CD472" s="189">
        <f>CD473+CD475+CD476</f>
        <v>9240</v>
      </c>
      <c r="CE472" s="186">
        <f t="shared" si="404"/>
        <v>0.84191343963553533</v>
      </c>
      <c r="CF472" s="189">
        <f>CF473+CF475+CF476</f>
        <v>9640</v>
      </c>
      <c r="CG472" s="186">
        <f t="shared" si="405"/>
        <v>0.87835990888382687</v>
      </c>
      <c r="CH472" s="189">
        <f>CH473+CH475+CH476</f>
        <v>9890</v>
      </c>
      <c r="CI472" s="186">
        <f t="shared" si="405"/>
        <v>0.90113895216400908</v>
      </c>
      <c r="CJ472" s="189">
        <f>CJ473+CJ475+CJ476</f>
        <v>10140</v>
      </c>
      <c r="CK472" s="186">
        <f t="shared" si="414"/>
        <v>0.9239179954441914</v>
      </c>
      <c r="CL472" s="189">
        <f>CL473+CL475+CL476</f>
        <v>10426.25</v>
      </c>
      <c r="CM472" s="186">
        <f t="shared" si="415"/>
        <v>0.95</v>
      </c>
      <c r="CN472" s="189">
        <f>CN473+CN475+CN476</f>
        <v>10426.25</v>
      </c>
      <c r="CO472" s="186">
        <f t="shared" si="416"/>
        <v>0.95</v>
      </c>
      <c r="CP472" s="213" t="str">
        <f t="shared" si="418"/>
        <v>Không đạt</v>
      </c>
      <c r="CQ472" s="213" t="str">
        <f t="shared" si="419"/>
        <v>Không đạt</v>
      </c>
      <c r="CR472" s="213"/>
      <c r="CS472" s="213"/>
      <c r="CT472" s="231"/>
      <c r="CU472" s="163"/>
      <c r="CW472" s="195"/>
      <c r="CX472" s="196"/>
      <c r="CY472" s="196"/>
      <c r="CZ472" s="197"/>
      <c r="DA472" s="196"/>
      <c r="DB472" s="196"/>
      <c r="DC472" s="196"/>
      <c r="DE472" s="199"/>
      <c r="DF472" s="200"/>
      <c r="DG472" s="181"/>
    </row>
    <row r="473" spans="1:111" s="324" customFormat="1" hidden="1" outlineLevel="1" x14ac:dyDescent="0.25">
      <c r="A473" s="305" t="s">
        <v>34</v>
      </c>
      <c r="B473" s="318" t="s">
        <v>381</v>
      </c>
      <c r="C473" s="306"/>
      <c r="D473" s="317">
        <f>D474</f>
        <v>5000</v>
      </c>
      <c r="E473" s="317">
        <f t="shared" ref="E473:L473" si="426">E474</f>
        <v>0</v>
      </c>
      <c r="F473" s="317">
        <f t="shared" si="426"/>
        <v>5000</v>
      </c>
      <c r="G473" s="317">
        <f t="shared" si="426"/>
        <v>5000</v>
      </c>
      <c r="H473" s="317">
        <f t="shared" si="426"/>
        <v>0</v>
      </c>
      <c r="I473" s="214">
        <f t="shared" si="426"/>
        <v>0</v>
      </c>
      <c r="J473" s="214"/>
      <c r="K473" s="317">
        <f t="shared" si="426"/>
        <v>0</v>
      </c>
      <c r="L473" s="214">
        <f t="shared" si="426"/>
        <v>0</v>
      </c>
      <c r="M473" s="223"/>
      <c r="N473" s="223"/>
      <c r="O473" s="317">
        <f t="shared" si="423"/>
        <v>5000</v>
      </c>
      <c r="P473" s="317">
        <v>0</v>
      </c>
      <c r="Q473" s="319">
        <f t="shared" si="417"/>
        <v>0</v>
      </c>
      <c r="R473" s="317">
        <v>0</v>
      </c>
      <c r="S473" s="320">
        <v>0</v>
      </c>
      <c r="T473" s="320">
        <v>0</v>
      </c>
      <c r="U473" s="317">
        <v>0</v>
      </c>
      <c r="V473" s="320">
        <v>0</v>
      </c>
      <c r="W473" s="320">
        <v>0</v>
      </c>
      <c r="X473" s="317">
        <v>0</v>
      </c>
      <c r="Y473" s="320">
        <v>0</v>
      </c>
      <c r="Z473" s="320">
        <v>0</v>
      </c>
      <c r="AA473" s="317">
        <v>0</v>
      </c>
      <c r="AB473" s="320">
        <v>0</v>
      </c>
      <c r="AC473" s="320">
        <v>0</v>
      </c>
      <c r="AD473" s="317">
        <v>0</v>
      </c>
      <c r="AE473" s="320">
        <v>0</v>
      </c>
      <c r="AF473" s="320">
        <v>0</v>
      </c>
      <c r="AG473" s="317">
        <v>0</v>
      </c>
      <c r="AH473" s="320">
        <v>0</v>
      </c>
      <c r="AI473" s="320">
        <v>0</v>
      </c>
      <c r="AJ473" s="223">
        <v>0</v>
      </c>
      <c r="AK473" s="320">
        <v>0</v>
      </c>
      <c r="AL473" s="320">
        <v>0</v>
      </c>
      <c r="AM473" s="317">
        <v>0</v>
      </c>
      <c r="AN473" s="320">
        <v>0</v>
      </c>
      <c r="AO473" s="320">
        <v>0</v>
      </c>
      <c r="AP473" s="320"/>
      <c r="AQ473" s="317">
        <v>0</v>
      </c>
      <c r="AR473" s="320">
        <v>0</v>
      </c>
      <c r="AS473" s="320">
        <v>0</v>
      </c>
      <c r="AT473" s="317">
        <v>0</v>
      </c>
      <c r="AU473" s="320">
        <v>0</v>
      </c>
      <c r="AV473" s="320">
        <v>0</v>
      </c>
      <c r="AW473" s="320"/>
      <c r="AX473" s="320"/>
      <c r="AY473" s="320"/>
      <c r="AZ473" s="320"/>
      <c r="BA473" s="320"/>
      <c r="BB473" s="320"/>
      <c r="BC473" s="317">
        <v>0</v>
      </c>
      <c r="BD473" s="320">
        <v>0</v>
      </c>
      <c r="BE473" s="320">
        <v>0</v>
      </c>
      <c r="BF473" s="349"/>
      <c r="BG473" s="349">
        <v>0</v>
      </c>
      <c r="BH473" s="320">
        <v>0</v>
      </c>
      <c r="BI473" s="320">
        <v>0</v>
      </c>
      <c r="BJ473" s="349">
        <f t="shared" si="406"/>
        <v>4750</v>
      </c>
      <c r="BK473" s="349">
        <v>0</v>
      </c>
      <c r="BL473" s="320">
        <f t="shared" si="407"/>
        <v>0</v>
      </c>
      <c r="BM473" s="320">
        <f t="shared" si="421"/>
        <v>0</v>
      </c>
      <c r="BN473" s="205">
        <f t="shared" si="403"/>
        <v>0</v>
      </c>
      <c r="BO473" s="205"/>
      <c r="BP473" s="307">
        <f>BP474</f>
        <v>800</v>
      </c>
      <c r="BQ473" s="322">
        <f t="shared" si="408"/>
        <v>0.16</v>
      </c>
      <c r="BR473" s="307">
        <f>BR474</f>
        <v>1700</v>
      </c>
      <c r="BS473" s="322">
        <f t="shared" si="409"/>
        <v>0.34</v>
      </c>
      <c r="BT473" s="307">
        <f>BT474</f>
        <v>2500</v>
      </c>
      <c r="BU473" s="319">
        <f t="shared" si="410"/>
        <v>0.5</v>
      </c>
      <c r="BV473" s="307">
        <f>BV474</f>
        <v>3300</v>
      </c>
      <c r="BW473" s="322">
        <f t="shared" si="411"/>
        <v>0.66</v>
      </c>
      <c r="BX473" s="307">
        <f>BX474</f>
        <v>4100</v>
      </c>
      <c r="BY473" s="322">
        <f t="shared" si="412"/>
        <v>0.82</v>
      </c>
      <c r="BZ473" s="307">
        <f>BZ474</f>
        <v>4750</v>
      </c>
      <c r="CA473" s="322">
        <f t="shared" si="413"/>
        <v>0.95</v>
      </c>
      <c r="CB473" s="307">
        <f>CB474</f>
        <v>4750</v>
      </c>
      <c r="CC473" s="322">
        <f t="shared" si="404"/>
        <v>0.95</v>
      </c>
      <c r="CD473" s="307">
        <f>CD474</f>
        <v>4750</v>
      </c>
      <c r="CE473" s="322">
        <f t="shared" si="404"/>
        <v>0.95</v>
      </c>
      <c r="CF473" s="307">
        <f>CF474</f>
        <v>4750</v>
      </c>
      <c r="CG473" s="322">
        <f t="shared" si="405"/>
        <v>0.95</v>
      </c>
      <c r="CH473" s="307">
        <f>CH474</f>
        <v>4750</v>
      </c>
      <c r="CI473" s="322">
        <f t="shared" si="405"/>
        <v>0.95</v>
      </c>
      <c r="CJ473" s="307">
        <f>CJ474</f>
        <v>4750</v>
      </c>
      <c r="CK473" s="322">
        <f t="shared" si="414"/>
        <v>0.95</v>
      </c>
      <c r="CL473" s="307">
        <f>CL474</f>
        <v>4750</v>
      </c>
      <c r="CM473" s="322">
        <f t="shared" si="415"/>
        <v>0.95</v>
      </c>
      <c r="CN473" s="307">
        <f>CN474</f>
        <v>4750</v>
      </c>
      <c r="CO473" s="322">
        <f t="shared" si="416"/>
        <v>0.95</v>
      </c>
      <c r="CP473" s="213" t="str">
        <f t="shared" si="418"/>
        <v>Không đạt</v>
      </c>
      <c r="CQ473" s="213" t="str">
        <f t="shared" si="419"/>
        <v>Không đạt</v>
      </c>
      <c r="CR473" s="312"/>
      <c r="CS473" s="312"/>
      <c r="CT473" s="235"/>
      <c r="CU473" s="163"/>
      <c r="CV473" s="323"/>
      <c r="CW473" s="195"/>
      <c r="CX473" s="196"/>
      <c r="CY473" s="196"/>
      <c r="CZ473" s="197"/>
      <c r="DA473" s="196"/>
      <c r="DB473" s="196"/>
      <c r="DC473" s="196"/>
      <c r="DE473" s="199"/>
      <c r="DF473" s="200"/>
      <c r="DG473" s="181"/>
    </row>
    <row r="474" spans="1:111" ht="25.5" hidden="1" outlineLevel="1" x14ac:dyDescent="0.25">
      <c r="A474" s="192"/>
      <c r="B474" s="325" t="s">
        <v>472</v>
      </c>
      <c r="C474" s="325"/>
      <c r="D474" s="214">
        <f>E474+F474</f>
        <v>5000</v>
      </c>
      <c r="E474" s="215"/>
      <c r="F474" s="214">
        <f>G474+H474+K474+M474</f>
        <v>5000</v>
      </c>
      <c r="G474" s="333">
        <v>5000</v>
      </c>
      <c r="H474" s="223"/>
      <c r="I474" s="235"/>
      <c r="J474" s="235"/>
      <c r="K474" s="223"/>
      <c r="L474" s="235"/>
      <c r="M474" s="223"/>
      <c r="N474" s="223"/>
      <c r="O474" s="223">
        <f t="shared" si="423"/>
        <v>5000</v>
      </c>
      <c r="P474" s="223">
        <v>0</v>
      </c>
      <c r="Q474" s="224">
        <f t="shared" si="417"/>
        <v>0</v>
      </c>
      <c r="R474" s="223"/>
      <c r="S474" s="326">
        <v>0</v>
      </c>
      <c r="T474" s="326">
        <v>0</v>
      </c>
      <c r="U474" s="223"/>
      <c r="V474" s="326">
        <v>0</v>
      </c>
      <c r="W474" s="326">
        <v>0</v>
      </c>
      <c r="X474" s="223"/>
      <c r="Y474" s="326">
        <v>0</v>
      </c>
      <c r="Z474" s="326">
        <v>0</v>
      </c>
      <c r="AA474" s="223"/>
      <c r="AB474" s="326">
        <v>0</v>
      </c>
      <c r="AC474" s="326">
        <v>0</v>
      </c>
      <c r="AD474" s="223"/>
      <c r="AE474" s="326">
        <v>0</v>
      </c>
      <c r="AF474" s="326">
        <v>0</v>
      </c>
      <c r="AG474" s="223"/>
      <c r="AH474" s="326">
        <v>0</v>
      </c>
      <c r="AI474" s="326">
        <v>0</v>
      </c>
      <c r="AJ474" s="307"/>
      <c r="AK474" s="326">
        <v>0</v>
      </c>
      <c r="AL474" s="326">
        <v>0</v>
      </c>
      <c r="AM474" s="223"/>
      <c r="AN474" s="326">
        <v>0</v>
      </c>
      <c r="AO474" s="326">
        <v>0</v>
      </c>
      <c r="AP474" s="326"/>
      <c r="AQ474" s="223"/>
      <c r="AR474" s="326">
        <v>0</v>
      </c>
      <c r="AS474" s="326">
        <v>0</v>
      </c>
      <c r="AT474" s="223"/>
      <c r="AU474" s="326">
        <v>0</v>
      </c>
      <c r="AV474" s="326">
        <v>0</v>
      </c>
      <c r="AW474" s="326"/>
      <c r="AX474" s="326"/>
      <c r="AY474" s="326"/>
      <c r="AZ474" s="326"/>
      <c r="BA474" s="326"/>
      <c r="BB474" s="326"/>
      <c r="BC474" s="223"/>
      <c r="BD474" s="326">
        <v>0</v>
      </c>
      <c r="BE474" s="326">
        <v>0</v>
      </c>
      <c r="BF474" s="350"/>
      <c r="BG474" s="350">
        <v>0</v>
      </c>
      <c r="BH474" s="326">
        <v>0</v>
      </c>
      <c r="BI474" s="326">
        <v>0</v>
      </c>
      <c r="BJ474" s="402">
        <f t="shared" si="406"/>
        <v>4750</v>
      </c>
      <c r="BK474" s="402">
        <v>0</v>
      </c>
      <c r="BL474" s="326">
        <f t="shared" si="407"/>
        <v>0</v>
      </c>
      <c r="BM474" s="326">
        <f t="shared" si="421"/>
        <v>0</v>
      </c>
      <c r="BN474" s="205">
        <f t="shared" si="403"/>
        <v>0</v>
      </c>
      <c r="BO474" s="205"/>
      <c r="BP474" s="227">
        <v>800</v>
      </c>
      <c r="BQ474" s="327">
        <f t="shared" si="408"/>
        <v>0.16</v>
      </c>
      <c r="BR474" s="227">
        <v>1700</v>
      </c>
      <c r="BS474" s="327">
        <f t="shared" si="409"/>
        <v>0.34</v>
      </c>
      <c r="BT474" s="227">
        <v>2500</v>
      </c>
      <c r="BU474" s="224">
        <f t="shared" si="410"/>
        <v>0.5</v>
      </c>
      <c r="BV474" s="227">
        <v>3300</v>
      </c>
      <c r="BW474" s="327">
        <f t="shared" si="411"/>
        <v>0.66</v>
      </c>
      <c r="BX474" s="227">
        <v>4100</v>
      </c>
      <c r="BY474" s="327">
        <f t="shared" si="412"/>
        <v>0.82</v>
      </c>
      <c r="BZ474" s="227">
        <v>4750</v>
      </c>
      <c r="CA474" s="327">
        <f t="shared" si="413"/>
        <v>0.95</v>
      </c>
      <c r="CB474" s="227">
        <v>4750</v>
      </c>
      <c r="CC474" s="327">
        <f t="shared" si="404"/>
        <v>0.95</v>
      </c>
      <c r="CD474" s="227">
        <v>4750</v>
      </c>
      <c r="CE474" s="327">
        <f t="shared" si="404"/>
        <v>0.95</v>
      </c>
      <c r="CF474" s="227">
        <v>4750</v>
      </c>
      <c r="CG474" s="327">
        <f t="shared" si="405"/>
        <v>0.95</v>
      </c>
      <c r="CH474" s="227">
        <v>4750</v>
      </c>
      <c r="CI474" s="327">
        <f t="shared" si="405"/>
        <v>0.95</v>
      </c>
      <c r="CJ474" s="227">
        <v>4750</v>
      </c>
      <c r="CK474" s="327">
        <f t="shared" si="414"/>
        <v>0.95</v>
      </c>
      <c r="CL474" s="227">
        <v>4750</v>
      </c>
      <c r="CM474" s="327">
        <f t="shared" si="415"/>
        <v>0.95</v>
      </c>
      <c r="CN474" s="227">
        <v>4750</v>
      </c>
      <c r="CO474" s="327">
        <f t="shared" si="416"/>
        <v>0.95</v>
      </c>
      <c r="CP474" s="213" t="str">
        <f t="shared" si="418"/>
        <v>Không đạt</v>
      </c>
      <c r="CQ474" s="213" t="str">
        <f t="shared" si="419"/>
        <v>Không đạt</v>
      </c>
      <c r="CR474" s="192"/>
      <c r="CS474" s="192"/>
      <c r="CT474" s="223"/>
      <c r="CU474" s="163"/>
      <c r="CW474" s="195"/>
      <c r="CX474" s="196"/>
      <c r="CY474" s="196"/>
      <c r="CZ474" s="197"/>
      <c r="DA474" s="196"/>
      <c r="DB474" s="196"/>
      <c r="DC474" s="196"/>
      <c r="DE474" s="199"/>
      <c r="DF474" s="200"/>
      <c r="DG474" s="181"/>
    </row>
    <row r="475" spans="1:111" s="324" customFormat="1" hidden="1" outlineLevel="1" x14ac:dyDescent="0.25">
      <c r="A475" s="305" t="s">
        <v>34</v>
      </c>
      <c r="B475" s="318" t="s">
        <v>376</v>
      </c>
      <c r="C475" s="306"/>
      <c r="D475" s="307">
        <f>E475+F475</f>
        <v>3000</v>
      </c>
      <c r="E475" s="307"/>
      <c r="F475" s="307">
        <f>G475+H475+K475+M475</f>
        <v>3000</v>
      </c>
      <c r="G475" s="307">
        <v>3000</v>
      </c>
      <c r="H475" s="303"/>
      <c r="I475" s="235"/>
      <c r="J475" s="235"/>
      <c r="K475" s="303"/>
      <c r="L475" s="235"/>
      <c r="M475" s="223"/>
      <c r="N475" s="223"/>
      <c r="O475" s="303">
        <f t="shared" si="423"/>
        <v>3000</v>
      </c>
      <c r="P475" s="303">
        <v>0</v>
      </c>
      <c r="Q475" s="308">
        <f t="shared" si="417"/>
        <v>0</v>
      </c>
      <c r="R475" s="303"/>
      <c r="S475" s="313">
        <v>0</v>
      </c>
      <c r="T475" s="313">
        <v>0</v>
      </c>
      <c r="U475" s="303"/>
      <c r="V475" s="313">
        <v>0</v>
      </c>
      <c r="W475" s="313">
        <v>0</v>
      </c>
      <c r="X475" s="303"/>
      <c r="Y475" s="313">
        <v>0</v>
      </c>
      <c r="Z475" s="313">
        <v>0</v>
      </c>
      <c r="AA475" s="303"/>
      <c r="AB475" s="313">
        <v>0</v>
      </c>
      <c r="AC475" s="313">
        <v>0</v>
      </c>
      <c r="AD475" s="303">
        <v>872.75300000000004</v>
      </c>
      <c r="AE475" s="313">
        <v>0.29091766666666669</v>
      </c>
      <c r="AF475" s="313">
        <v>0.30622912280701758</v>
      </c>
      <c r="AG475" s="307">
        <v>872.75300000000004</v>
      </c>
      <c r="AH475" s="313">
        <v>0.29091766666666669</v>
      </c>
      <c r="AI475" s="313">
        <v>0.30622912280701758</v>
      </c>
      <c r="AJ475" s="303">
        <v>872.75300000000004</v>
      </c>
      <c r="AK475" s="313">
        <v>0.29091766666666669</v>
      </c>
      <c r="AL475" s="313">
        <v>0.30622912280701758</v>
      </c>
      <c r="AM475" s="307">
        <v>872.75300000000004</v>
      </c>
      <c r="AN475" s="313">
        <v>0.29091766666666669</v>
      </c>
      <c r="AO475" s="313">
        <v>0.30622912280701758</v>
      </c>
      <c r="AP475" s="313"/>
      <c r="AQ475" s="307">
        <v>872.75300000000004</v>
      </c>
      <c r="AR475" s="313">
        <v>0.29091766666666669</v>
      </c>
      <c r="AS475" s="313">
        <v>0.30622912280701758</v>
      </c>
      <c r="AT475" s="307">
        <v>872.75300000000004</v>
      </c>
      <c r="AU475" s="313">
        <v>0.29091766666666669</v>
      </c>
      <c r="AV475" s="313">
        <v>0.30622912280701758</v>
      </c>
      <c r="AW475" s="313"/>
      <c r="AX475" s="313"/>
      <c r="AY475" s="313"/>
      <c r="AZ475" s="313"/>
      <c r="BA475" s="313"/>
      <c r="BB475" s="313"/>
      <c r="BC475" s="307">
        <v>872.75300000000004</v>
      </c>
      <c r="BD475" s="313">
        <v>0.29091766666666669</v>
      </c>
      <c r="BE475" s="313">
        <v>0.30622912280701758</v>
      </c>
      <c r="BF475" s="351"/>
      <c r="BG475" s="351">
        <v>962.173</v>
      </c>
      <c r="BH475" s="313">
        <v>0.32072433333333333</v>
      </c>
      <c r="BI475" s="313">
        <v>0.33760456140350875</v>
      </c>
      <c r="BJ475" s="349">
        <f t="shared" si="406"/>
        <v>2850</v>
      </c>
      <c r="BK475" s="349">
        <v>962.173</v>
      </c>
      <c r="BL475" s="313">
        <f t="shared" si="407"/>
        <v>0.32072433333333333</v>
      </c>
      <c r="BM475" s="313">
        <f t="shared" si="421"/>
        <v>0.33760456140350875</v>
      </c>
      <c r="BN475" s="205">
        <f t="shared" si="403"/>
        <v>89.419999999999959</v>
      </c>
      <c r="BO475" s="205"/>
      <c r="BP475" s="310"/>
      <c r="BQ475" s="311">
        <f t="shared" si="408"/>
        <v>0</v>
      </c>
      <c r="BR475" s="310">
        <v>300</v>
      </c>
      <c r="BS475" s="311">
        <f t="shared" si="409"/>
        <v>0.1</v>
      </c>
      <c r="BT475" s="310">
        <v>700</v>
      </c>
      <c r="BU475" s="308">
        <f t="shared" si="410"/>
        <v>0.23333333333333334</v>
      </c>
      <c r="BV475" s="310">
        <v>1100</v>
      </c>
      <c r="BW475" s="311">
        <f t="shared" si="411"/>
        <v>0.36666666666666664</v>
      </c>
      <c r="BX475" s="310">
        <v>1500</v>
      </c>
      <c r="BY475" s="311">
        <f t="shared" si="412"/>
        <v>0.5</v>
      </c>
      <c r="BZ475" s="310">
        <v>2000</v>
      </c>
      <c r="CA475" s="311">
        <f t="shared" si="413"/>
        <v>0.66666666666666663</v>
      </c>
      <c r="CB475" s="310">
        <v>2500</v>
      </c>
      <c r="CC475" s="311">
        <f t="shared" ref="CC475:CC538" si="427">CB475/$D475</f>
        <v>0.83333333333333337</v>
      </c>
      <c r="CD475" s="310">
        <v>2700</v>
      </c>
      <c r="CE475" s="311">
        <f t="shared" ref="CE475:CE511" si="428">CD475/$D475</f>
        <v>0.9</v>
      </c>
      <c r="CF475" s="310">
        <v>2850</v>
      </c>
      <c r="CG475" s="311">
        <f t="shared" ref="CG475:CG511" si="429">CF475/$D475</f>
        <v>0.95</v>
      </c>
      <c r="CH475" s="310">
        <v>2850</v>
      </c>
      <c r="CI475" s="311">
        <f t="shared" ref="CI475:CI511" si="430">CH475/$D475</f>
        <v>0.95</v>
      </c>
      <c r="CJ475" s="310">
        <v>2850</v>
      </c>
      <c r="CK475" s="311">
        <f t="shared" si="414"/>
        <v>0.95</v>
      </c>
      <c r="CL475" s="310">
        <v>2850</v>
      </c>
      <c r="CM475" s="311">
        <f t="shared" si="415"/>
        <v>0.95</v>
      </c>
      <c r="CN475" s="310">
        <v>2850</v>
      </c>
      <c r="CO475" s="311">
        <f t="shared" si="416"/>
        <v>0.95</v>
      </c>
      <c r="CP475" s="213" t="str">
        <f t="shared" si="418"/>
        <v>Không đạt</v>
      </c>
      <c r="CQ475" s="213" t="str">
        <f t="shared" si="419"/>
        <v>Không đạt</v>
      </c>
      <c r="CR475" s="312"/>
      <c r="CS475" s="312"/>
      <c r="CT475" s="235"/>
      <c r="CU475" s="163"/>
      <c r="CV475" s="323"/>
      <c r="CW475" s="195"/>
      <c r="CX475" s="196"/>
      <c r="CY475" s="196"/>
      <c r="CZ475" s="197"/>
      <c r="DA475" s="196"/>
      <c r="DB475" s="196"/>
      <c r="DC475" s="196"/>
      <c r="DE475" s="199"/>
      <c r="DF475" s="200"/>
      <c r="DG475" s="181"/>
    </row>
    <row r="476" spans="1:111" ht="25.5" hidden="1" outlineLevel="1" x14ac:dyDescent="0.25">
      <c r="A476" s="305" t="s">
        <v>34</v>
      </c>
      <c r="B476" s="306" t="s">
        <v>377</v>
      </c>
      <c r="C476" s="306"/>
      <c r="D476" s="307">
        <f>E476+F476</f>
        <v>2975</v>
      </c>
      <c r="E476" s="307"/>
      <c r="F476" s="307">
        <f>G476+H476+K476+M476</f>
        <v>2975</v>
      </c>
      <c r="G476" s="307"/>
      <c r="H476" s="307">
        <v>2975</v>
      </c>
      <c r="I476" s="235"/>
      <c r="J476" s="235"/>
      <c r="K476" s="303"/>
      <c r="L476" s="235"/>
      <c r="M476" s="223"/>
      <c r="N476" s="223"/>
      <c r="O476" s="303"/>
      <c r="P476" s="303">
        <v>0</v>
      </c>
      <c r="Q476" s="308">
        <f t="shared" si="417"/>
        <v>0</v>
      </c>
      <c r="R476" s="303"/>
      <c r="S476" s="313">
        <v>0</v>
      </c>
      <c r="T476" s="313">
        <v>0</v>
      </c>
      <c r="U476" s="303"/>
      <c r="V476" s="313">
        <v>0</v>
      </c>
      <c r="W476" s="313">
        <v>0</v>
      </c>
      <c r="X476" s="303"/>
      <c r="Y476" s="313">
        <v>0</v>
      </c>
      <c r="Z476" s="313">
        <v>0</v>
      </c>
      <c r="AA476" s="303"/>
      <c r="AB476" s="313">
        <v>0</v>
      </c>
      <c r="AC476" s="313">
        <v>0</v>
      </c>
      <c r="AD476" s="303"/>
      <c r="AE476" s="313">
        <v>0</v>
      </c>
      <c r="AF476" s="313">
        <v>0</v>
      </c>
      <c r="AG476" s="303"/>
      <c r="AH476" s="313">
        <v>0</v>
      </c>
      <c r="AI476" s="313">
        <v>0</v>
      </c>
      <c r="AJ476" s="314"/>
      <c r="AK476" s="313">
        <v>0</v>
      </c>
      <c r="AL476" s="313">
        <v>0</v>
      </c>
      <c r="AM476" s="303"/>
      <c r="AN476" s="313">
        <v>0</v>
      </c>
      <c r="AO476" s="313">
        <v>0</v>
      </c>
      <c r="AP476" s="313"/>
      <c r="AQ476" s="303"/>
      <c r="AR476" s="313">
        <v>0</v>
      </c>
      <c r="AS476" s="313">
        <v>0</v>
      </c>
      <c r="AT476" s="303"/>
      <c r="AU476" s="313">
        <v>0</v>
      </c>
      <c r="AV476" s="313">
        <v>0</v>
      </c>
      <c r="AW476" s="313"/>
      <c r="AX476" s="313"/>
      <c r="AY476" s="313"/>
      <c r="AZ476" s="313"/>
      <c r="BA476" s="313"/>
      <c r="BB476" s="313"/>
      <c r="BC476" s="303"/>
      <c r="BD476" s="313">
        <v>0</v>
      </c>
      <c r="BE476" s="313">
        <v>0</v>
      </c>
      <c r="BF476" s="351"/>
      <c r="BG476" s="351">
        <v>0</v>
      </c>
      <c r="BH476" s="313">
        <v>0</v>
      </c>
      <c r="BI476" s="313">
        <v>0</v>
      </c>
      <c r="BJ476" s="349">
        <f t="shared" si="406"/>
        <v>2826.25</v>
      </c>
      <c r="BK476" s="349">
        <v>0</v>
      </c>
      <c r="BL476" s="313">
        <f t="shared" si="407"/>
        <v>0</v>
      </c>
      <c r="BM476" s="313">
        <f t="shared" si="421"/>
        <v>0</v>
      </c>
      <c r="BN476" s="205">
        <f t="shared" si="403"/>
        <v>0</v>
      </c>
      <c r="BO476" s="205"/>
      <c r="BP476" s="310"/>
      <c r="BQ476" s="311">
        <f t="shared" si="408"/>
        <v>0</v>
      </c>
      <c r="BR476" s="310">
        <v>300</v>
      </c>
      <c r="BS476" s="311">
        <f t="shared" si="409"/>
        <v>0.10084033613445378</v>
      </c>
      <c r="BT476" s="310">
        <v>540</v>
      </c>
      <c r="BU476" s="308">
        <f t="shared" si="410"/>
        <v>0.1815126050420168</v>
      </c>
      <c r="BV476" s="310">
        <v>790</v>
      </c>
      <c r="BW476" s="311">
        <f t="shared" si="411"/>
        <v>0.26554621848739496</v>
      </c>
      <c r="BX476" s="310">
        <v>1040</v>
      </c>
      <c r="BY476" s="311">
        <f t="shared" si="412"/>
        <v>0.34957983193277309</v>
      </c>
      <c r="BZ476" s="310">
        <v>1290</v>
      </c>
      <c r="CA476" s="311">
        <f t="shared" si="413"/>
        <v>0.43361344537815127</v>
      </c>
      <c r="CB476" s="310">
        <v>1540</v>
      </c>
      <c r="CC476" s="311">
        <f t="shared" si="427"/>
        <v>0.51764705882352946</v>
      </c>
      <c r="CD476" s="310">
        <v>1790</v>
      </c>
      <c r="CE476" s="311">
        <f t="shared" si="428"/>
        <v>0.60168067226890753</v>
      </c>
      <c r="CF476" s="310">
        <v>2040</v>
      </c>
      <c r="CG476" s="311">
        <f t="shared" si="429"/>
        <v>0.68571428571428572</v>
      </c>
      <c r="CH476" s="310">
        <v>2290</v>
      </c>
      <c r="CI476" s="311">
        <f t="shared" si="430"/>
        <v>0.76974789915966391</v>
      </c>
      <c r="CJ476" s="310">
        <v>2540</v>
      </c>
      <c r="CK476" s="311">
        <f t="shared" si="414"/>
        <v>0.85378151260504198</v>
      </c>
      <c r="CL476" s="310">
        <v>2826.25</v>
      </c>
      <c r="CM476" s="311">
        <f t="shared" si="415"/>
        <v>0.95</v>
      </c>
      <c r="CN476" s="310">
        <v>2826.25</v>
      </c>
      <c r="CO476" s="311">
        <f t="shared" si="416"/>
        <v>0.95</v>
      </c>
      <c r="CP476" s="213" t="str">
        <f t="shared" si="418"/>
        <v>Không đạt</v>
      </c>
      <c r="CQ476" s="213" t="str">
        <f t="shared" si="419"/>
        <v>Không đạt</v>
      </c>
      <c r="CR476" s="312"/>
      <c r="CS476" s="312"/>
      <c r="CT476" s="235"/>
      <c r="CU476" s="163"/>
      <c r="CW476" s="195"/>
      <c r="CX476" s="196"/>
      <c r="CY476" s="196"/>
      <c r="CZ476" s="197"/>
      <c r="DA476" s="196"/>
      <c r="DB476" s="196"/>
      <c r="DC476" s="196"/>
      <c r="DE476" s="199"/>
      <c r="DF476" s="200"/>
      <c r="DG476" s="181"/>
    </row>
    <row r="477" spans="1:111" ht="18" customHeight="1" collapsed="1" x14ac:dyDescent="0.25">
      <c r="A477" s="213">
        <f>MAX(A$239:A475)+1</f>
        <v>68</v>
      </c>
      <c r="B477" s="240" t="s">
        <v>473</v>
      </c>
      <c r="C477" s="240"/>
      <c r="D477" s="188">
        <f t="shared" ref="D477:I477" si="431">D478+D481+D482</f>
        <v>77750</v>
      </c>
      <c r="E477" s="188">
        <f t="shared" si="431"/>
        <v>0</v>
      </c>
      <c r="F477" s="188">
        <f t="shared" si="431"/>
        <v>77750</v>
      </c>
      <c r="G477" s="188">
        <f t="shared" si="431"/>
        <v>3000</v>
      </c>
      <c r="H477" s="188">
        <f t="shared" si="431"/>
        <v>74750</v>
      </c>
      <c r="I477" s="188">
        <f t="shared" si="431"/>
        <v>52250</v>
      </c>
      <c r="J477" s="188"/>
      <c r="K477" s="188">
        <f>K478+K481+K482</f>
        <v>0</v>
      </c>
      <c r="L477" s="188">
        <f>L478+L481+L482</f>
        <v>0</v>
      </c>
      <c r="M477" s="188">
        <f>M478+M481+M482</f>
        <v>0</v>
      </c>
      <c r="N477" s="188">
        <f>N478+N481+N482</f>
        <v>0</v>
      </c>
      <c r="O477" s="188">
        <f>O478+O481+O482</f>
        <v>55250</v>
      </c>
      <c r="P477" s="188">
        <v>0</v>
      </c>
      <c r="Q477" s="186">
        <f t="shared" si="417"/>
        <v>0</v>
      </c>
      <c r="R477" s="188">
        <v>0</v>
      </c>
      <c r="S477" s="185">
        <v>0</v>
      </c>
      <c r="T477" s="185">
        <v>0</v>
      </c>
      <c r="U477" s="314">
        <v>1131.7998460000001</v>
      </c>
      <c r="V477" s="185">
        <v>1.4556911202572348E-2</v>
      </c>
      <c r="W477" s="185">
        <v>1.5323064423760368E-2</v>
      </c>
      <c r="X477" s="314">
        <v>1131.7998460000001</v>
      </c>
      <c r="Y477" s="185">
        <v>1.4556911202572348E-2</v>
      </c>
      <c r="Z477" s="185">
        <v>1.5323064423760368E-2</v>
      </c>
      <c r="AA477" s="314">
        <v>1131.7998460000001</v>
      </c>
      <c r="AB477" s="185">
        <v>1.4556911202572348E-2</v>
      </c>
      <c r="AC477" s="185">
        <v>1.5323064423760368E-2</v>
      </c>
      <c r="AD477" s="314">
        <v>1648</v>
      </c>
      <c r="AE477" s="185">
        <v>2.1196141479099678E-2</v>
      </c>
      <c r="AF477" s="185">
        <v>2.2311727872736505E-2</v>
      </c>
      <c r="AG477" s="314">
        <v>1648</v>
      </c>
      <c r="AH477" s="185">
        <v>2.1196141479099678E-2</v>
      </c>
      <c r="AI477" s="185">
        <v>2.2311727872736505E-2</v>
      </c>
      <c r="AJ477" s="317">
        <v>1648</v>
      </c>
      <c r="AK477" s="185">
        <v>2.1196141479099678E-2</v>
      </c>
      <c r="AL477" s="185">
        <v>2.2311727872736505E-2</v>
      </c>
      <c r="AM477" s="314">
        <v>1648</v>
      </c>
      <c r="AN477" s="185">
        <v>2.1196141479099678E-2</v>
      </c>
      <c r="AO477" s="185">
        <v>2.2311727872736505E-2</v>
      </c>
      <c r="AP477" s="185"/>
      <c r="AQ477" s="188">
        <v>53953</v>
      </c>
      <c r="AR477" s="185">
        <v>0.69392926045016079</v>
      </c>
      <c r="AS477" s="185">
        <v>0.73045185310543237</v>
      </c>
      <c r="AT477" s="188">
        <v>53953</v>
      </c>
      <c r="AU477" s="185">
        <v>0.69392926045016079</v>
      </c>
      <c r="AV477" s="185">
        <v>0.73045185310543237</v>
      </c>
      <c r="AW477" s="185"/>
      <c r="AX477" s="185"/>
      <c r="AY477" s="185"/>
      <c r="AZ477" s="185"/>
      <c r="BA477" s="185"/>
      <c r="BB477" s="185"/>
      <c r="BC477" s="188">
        <v>53953</v>
      </c>
      <c r="BD477" s="185">
        <v>0.69392926045016079</v>
      </c>
      <c r="BE477" s="185">
        <v>0.73045185310543237</v>
      </c>
      <c r="BF477" s="352"/>
      <c r="BG477" s="352">
        <v>55953</v>
      </c>
      <c r="BH477" s="185">
        <v>0.71965273311897104</v>
      </c>
      <c r="BI477" s="185">
        <v>0.75752919275681163</v>
      </c>
      <c r="BJ477" s="374">
        <f t="shared" si="406"/>
        <v>73862.5</v>
      </c>
      <c r="BK477" s="374">
        <v>55953</v>
      </c>
      <c r="BL477" s="185">
        <f t="shared" si="407"/>
        <v>0.71965273311897104</v>
      </c>
      <c r="BM477" s="185">
        <f t="shared" si="421"/>
        <v>0.75752919275681163</v>
      </c>
      <c r="BN477" s="205">
        <f t="shared" si="403"/>
        <v>54305</v>
      </c>
      <c r="BO477" s="205"/>
      <c r="BP477" s="189">
        <f>BP478+BP481+BP482</f>
        <v>0</v>
      </c>
      <c r="BQ477" s="186">
        <f t="shared" si="408"/>
        <v>0</v>
      </c>
      <c r="BR477" s="189">
        <f>BR478+BR481+BR482</f>
        <v>52250</v>
      </c>
      <c r="BS477" s="186">
        <f t="shared" si="409"/>
        <v>0.67202572347266876</v>
      </c>
      <c r="BT477" s="189">
        <f>BT478+BT481+BT482</f>
        <v>52250</v>
      </c>
      <c r="BU477" s="186">
        <f t="shared" si="410"/>
        <v>0.67202572347266876</v>
      </c>
      <c r="BV477" s="189">
        <f>BV478+BV481+BV482</f>
        <v>53250</v>
      </c>
      <c r="BW477" s="186">
        <f t="shared" si="411"/>
        <v>0.68488745980707399</v>
      </c>
      <c r="BX477" s="189">
        <f>BX478+BX481+BX482</f>
        <v>54250</v>
      </c>
      <c r="BY477" s="186">
        <f t="shared" si="412"/>
        <v>0.69774919614147912</v>
      </c>
      <c r="BZ477" s="189">
        <f>BZ478+BZ481+BZ482</f>
        <v>57820</v>
      </c>
      <c r="CA477" s="186">
        <f t="shared" si="413"/>
        <v>0.74366559485530548</v>
      </c>
      <c r="CB477" s="189">
        <f>CB478+CB481+CB482</f>
        <v>59750</v>
      </c>
      <c r="CC477" s="186">
        <f t="shared" si="427"/>
        <v>0.76848874598070738</v>
      </c>
      <c r="CD477" s="189">
        <f>CD478+CD481+CD482</f>
        <v>60650</v>
      </c>
      <c r="CE477" s="186">
        <f t="shared" si="428"/>
        <v>0.78006430868167198</v>
      </c>
      <c r="CF477" s="189">
        <f>CF478+CF481+CF482</f>
        <v>62950</v>
      </c>
      <c r="CG477" s="186">
        <f t="shared" si="429"/>
        <v>0.80964630225080381</v>
      </c>
      <c r="CH477" s="189">
        <f>CH478+CH481+CH482</f>
        <v>63750</v>
      </c>
      <c r="CI477" s="186">
        <f t="shared" si="430"/>
        <v>0.819935691318328</v>
      </c>
      <c r="CJ477" s="189">
        <f>CJ478+CJ481+CJ482</f>
        <v>73862.5</v>
      </c>
      <c r="CK477" s="186">
        <f t="shared" si="414"/>
        <v>0.95</v>
      </c>
      <c r="CL477" s="189">
        <f>CL478+CL481+CL482</f>
        <v>73862.5</v>
      </c>
      <c r="CM477" s="186">
        <f t="shared" si="415"/>
        <v>0.95</v>
      </c>
      <c r="CN477" s="189">
        <f>CN478+CN481+CN482</f>
        <v>73862.5</v>
      </c>
      <c r="CO477" s="186">
        <f t="shared" si="416"/>
        <v>0.95</v>
      </c>
      <c r="CP477" s="213" t="str">
        <f t="shared" si="418"/>
        <v>Đạt</v>
      </c>
      <c r="CQ477" s="213" t="str">
        <f t="shared" si="419"/>
        <v>Đạt</v>
      </c>
      <c r="CR477" s="213"/>
      <c r="CS477" s="213"/>
      <c r="CT477" s="231"/>
      <c r="CU477" s="163"/>
      <c r="CW477" s="195"/>
      <c r="CX477" s="196"/>
      <c r="CY477" s="196"/>
      <c r="CZ477" s="197"/>
      <c r="DA477" s="196"/>
      <c r="DB477" s="196"/>
      <c r="DC477" s="196"/>
      <c r="DE477" s="199"/>
      <c r="DF477" s="200"/>
      <c r="DG477" s="181"/>
    </row>
    <row r="478" spans="1:111" s="324" customFormat="1" hidden="1" outlineLevel="1" x14ac:dyDescent="0.25">
      <c r="A478" s="305" t="s">
        <v>34</v>
      </c>
      <c r="B478" s="318" t="s">
        <v>381</v>
      </c>
      <c r="C478" s="306"/>
      <c r="D478" s="317">
        <f>D479+D480</f>
        <v>62000</v>
      </c>
      <c r="E478" s="317">
        <f t="shared" ref="E478:L478" si="432">E479+E480</f>
        <v>0</v>
      </c>
      <c r="F478" s="317">
        <f t="shared" si="432"/>
        <v>62000</v>
      </c>
      <c r="G478" s="317">
        <f t="shared" si="432"/>
        <v>0</v>
      </c>
      <c r="H478" s="317">
        <f t="shared" si="432"/>
        <v>62000</v>
      </c>
      <c r="I478" s="214">
        <f t="shared" si="432"/>
        <v>52250</v>
      </c>
      <c r="J478" s="214"/>
      <c r="K478" s="317">
        <f t="shared" si="432"/>
        <v>0</v>
      </c>
      <c r="L478" s="214">
        <f t="shared" si="432"/>
        <v>0</v>
      </c>
      <c r="M478" s="223"/>
      <c r="N478" s="223"/>
      <c r="O478" s="317">
        <f t="shared" si="423"/>
        <v>52250</v>
      </c>
      <c r="P478" s="317">
        <v>0</v>
      </c>
      <c r="Q478" s="319">
        <f t="shared" si="417"/>
        <v>0</v>
      </c>
      <c r="R478" s="317">
        <v>0</v>
      </c>
      <c r="S478" s="320">
        <v>0</v>
      </c>
      <c r="T478" s="320">
        <v>0</v>
      </c>
      <c r="U478" s="317">
        <v>0</v>
      </c>
      <c r="V478" s="320">
        <v>0</v>
      </c>
      <c r="W478" s="320">
        <v>0</v>
      </c>
      <c r="X478" s="317">
        <v>0</v>
      </c>
      <c r="Y478" s="320">
        <v>0</v>
      </c>
      <c r="Z478" s="320">
        <v>0</v>
      </c>
      <c r="AA478" s="317">
        <v>0</v>
      </c>
      <c r="AB478" s="320">
        <v>0</v>
      </c>
      <c r="AC478" s="320">
        <v>0</v>
      </c>
      <c r="AD478" s="317">
        <v>0</v>
      </c>
      <c r="AE478" s="320">
        <v>0</v>
      </c>
      <c r="AF478" s="320">
        <v>0</v>
      </c>
      <c r="AG478" s="317">
        <v>0</v>
      </c>
      <c r="AH478" s="320">
        <v>0</v>
      </c>
      <c r="AI478" s="320">
        <v>0</v>
      </c>
      <c r="AJ478" s="257">
        <v>0</v>
      </c>
      <c r="AK478" s="320">
        <v>0</v>
      </c>
      <c r="AL478" s="320">
        <v>0</v>
      </c>
      <c r="AM478" s="317">
        <v>0</v>
      </c>
      <c r="AN478" s="320">
        <v>0</v>
      </c>
      <c r="AO478" s="320">
        <v>0</v>
      </c>
      <c r="AP478" s="320"/>
      <c r="AQ478" s="317">
        <v>52250</v>
      </c>
      <c r="AR478" s="320">
        <v>0.842741935483871</v>
      </c>
      <c r="AS478" s="320">
        <v>0.88709677419354838</v>
      </c>
      <c r="AT478" s="317">
        <v>52250</v>
      </c>
      <c r="AU478" s="320">
        <v>0.842741935483871</v>
      </c>
      <c r="AV478" s="320">
        <v>0.88709677419354838</v>
      </c>
      <c r="AW478" s="320"/>
      <c r="AX478" s="320"/>
      <c r="AY478" s="320"/>
      <c r="AZ478" s="320"/>
      <c r="BA478" s="320"/>
      <c r="BB478" s="320"/>
      <c r="BC478" s="317">
        <v>52250</v>
      </c>
      <c r="BD478" s="320">
        <v>0.842741935483871</v>
      </c>
      <c r="BE478" s="320">
        <v>0.88709677419354838</v>
      </c>
      <c r="BF478" s="349"/>
      <c r="BG478" s="349">
        <v>52250</v>
      </c>
      <c r="BH478" s="320">
        <v>0.842741935483871</v>
      </c>
      <c r="BI478" s="320">
        <v>0.88709677419354838</v>
      </c>
      <c r="BJ478" s="349">
        <f t="shared" si="406"/>
        <v>58900</v>
      </c>
      <c r="BK478" s="349">
        <v>52250</v>
      </c>
      <c r="BL478" s="320">
        <f t="shared" si="407"/>
        <v>0.842741935483871</v>
      </c>
      <c r="BM478" s="320">
        <f t="shared" si="421"/>
        <v>0.88709677419354838</v>
      </c>
      <c r="BN478" s="205">
        <f t="shared" si="403"/>
        <v>52250</v>
      </c>
      <c r="BO478" s="205"/>
      <c r="BP478" s="307">
        <f>BP479+BP480</f>
        <v>0</v>
      </c>
      <c r="BQ478" s="322">
        <f t="shared" si="408"/>
        <v>0</v>
      </c>
      <c r="BR478" s="307">
        <f>BR479+BR480</f>
        <v>52250</v>
      </c>
      <c r="BS478" s="322">
        <f t="shared" si="409"/>
        <v>0.842741935483871</v>
      </c>
      <c r="BT478" s="307">
        <f>BT479+BT480</f>
        <v>52250</v>
      </c>
      <c r="BU478" s="319">
        <f t="shared" si="410"/>
        <v>0.842741935483871</v>
      </c>
      <c r="BV478" s="307">
        <f>BV479+BV480</f>
        <v>52250</v>
      </c>
      <c r="BW478" s="322">
        <f t="shared" si="411"/>
        <v>0.842741935483871</v>
      </c>
      <c r="BX478" s="307">
        <f>BX479+BX480</f>
        <v>53250</v>
      </c>
      <c r="BY478" s="322">
        <f t="shared" si="412"/>
        <v>0.8588709677419355</v>
      </c>
      <c r="BZ478" s="307">
        <f>BZ479+BZ480</f>
        <v>54820</v>
      </c>
      <c r="CA478" s="322">
        <f t="shared" si="413"/>
        <v>0.88419354838709674</v>
      </c>
      <c r="CB478" s="307">
        <f>CB479+CB480</f>
        <v>56750</v>
      </c>
      <c r="CC478" s="322">
        <f t="shared" si="427"/>
        <v>0.91532258064516125</v>
      </c>
      <c r="CD478" s="307">
        <f>CD479+CD480</f>
        <v>57650</v>
      </c>
      <c r="CE478" s="322">
        <f t="shared" si="428"/>
        <v>0.92983870967741933</v>
      </c>
      <c r="CF478" s="307">
        <f>CF479+CF480</f>
        <v>58100</v>
      </c>
      <c r="CG478" s="322">
        <f t="shared" si="429"/>
        <v>0.93709677419354842</v>
      </c>
      <c r="CH478" s="307">
        <f>CH479+CH480</f>
        <v>58900</v>
      </c>
      <c r="CI478" s="322">
        <f t="shared" si="430"/>
        <v>0.95</v>
      </c>
      <c r="CJ478" s="307">
        <f>CJ479+CJ480</f>
        <v>58900</v>
      </c>
      <c r="CK478" s="322">
        <f t="shared" si="414"/>
        <v>0.95</v>
      </c>
      <c r="CL478" s="307">
        <f>CL479+CL480</f>
        <v>58900</v>
      </c>
      <c r="CM478" s="322">
        <f t="shared" si="415"/>
        <v>0.95</v>
      </c>
      <c r="CN478" s="307">
        <f>CN479+CN480</f>
        <v>58900</v>
      </c>
      <c r="CO478" s="322">
        <f t="shared" si="416"/>
        <v>0.95</v>
      </c>
      <c r="CP478" s="213" t="str">
        <f t="shared" si="418"/>
        <v>Đạt</v>
      </c>
      <c r="CQ478" s="213" t="str">
        <f t="shared" si="419"/>
        <v>Đạt</v>
      </c>
      <c r="CR478" s="312"/>
      <c r="CS478" s="312"/>
      <c r="CT478" s="235"/>
      <c r="CU478" s="163"/>
      <c r="CV478" s="323"/>
      <c r="CW478" s="195"/>
      <c r="CX478" s="196"/>
      <c r="CY478" s="196"/>
      <c r="CZ478" s="197"/>
      <c r="DA478" s="196"/>
      <c r="DB478" s="196"/>
      <c r="DC478" s="196"/>
      <c r="DE478" s="199"/>
      <c r="DF478" s="200"/>
      <c r="DG478" s="181"/>
    </row>
    <row r="479" spans="1:111" ht="67.900000000000006" hidden="1" customHeight="1" outlineLevel="1" x14ac:dyDescent="0.25">
      <c r="A479" s="192"/>
      <c r="B479" s="269" t="s">
        <v>474</v>
      </c>
      <c r="C479" s="269"/>
      <c r="D479" s="214">
        <f>E479+F479</f>
        <v>55000</v>
      </c>
      <c r="E479" s="215"/>
      <c r="F479" s="214">
        <f>G479+H479+K479+M479</f>
        <v>55000</v>
      </c>
      <c r="G479" s="223"/>
      <c r="H479" s="257">
        <f>45000+10000</f>
        <v>55000</v>
      </c>
      <c r="I479" s="235">
        <v>52250</v>
      </c>
      <c r="J479" s="235"/>
      <c r="K479" s="223"/>
      <c r="L479" s="235"/>
      <c r="M479" s="223"/>
      <c r="N479" s="223"/>
      <c r="O479" s="257">
        <f t="shared" si="423"/>
        <v>52250</v>
      </c>
      <c r="P479" s="257">
        <v>0</v>
      </c>
      <c r="Q479" s="224">
        <f t="shared" si="417"/>
        <v>0</v>
      </c>
      <c r="R479" s="257"/>
      <c r="S479" s="326">
        <v>0</v>
      </c>
      <c r="T479" s="326">
        <v>0</v>
      </c>
      <c r="U479" s="257"/>
      <c r="V479" s="326">
        <v>0</v>
      </c>
      <c r="W479" s="326">
        <v>0</v>
      </c>
      <c r="X479" s="257"/>
      <c r="Y479" s="326">
        <v>0</v>
      </c>
      <c r="Z479" s="326">
        <v>0</v>
      </c>
      <c r="AA479" s="257"/>
      <c r="AB479" s="326">
        <v>0</v>
      </c>
      <c r="AC479" s="326">
        <v>0</v>
      </c>
      <c r="AD479" s="257"/>
      <c r="AE479" s="326">
        <v>0</v>
      </c>
      <c r="AF479" s="326">
        <v>0</v>
      </c>
      <c r="AG479" s="257"/>
      <c r="AH479" s="326">
        <v>0</v>
      </c>
      <c r="AI479" s="326">
        <v>0</v>
      </c>
      <c r="AJ479" s="257"/>
      <c r="AK479" s="326">
        <v>0</v>
      </c>
      <c r="AL479" s="326">
        <v>0</v>
      </c>
      <c r="AM479" s="257"/>
      <c r="AN479" s="326">
        <v>0</v>
      </c>
      <c r="AO479" s="326">
        <v>0</v>
      </c>
      <c r="AP479" s="326"/>
      <c r="AQ479" s="257">
        <v>52250</v>
      </c>
      <c r="AR479" s="326">
        <v>0.95</v>
      </c>
      <c r="AS479" s="326">
        <v>1</v>
      </c>
      <c r="AT479" s="257">
        <v>52250</v>
      </c>
      <c r="AU479" s="326">
        <v>0.95</v>
      </c>
      <c r="AV479" s="326">
        <v>1</v>
      </c>
      <c r="AW479" s="326"/>
      <c r="AX479" s="326"/>
      <c r="AY479" s="326"/>
      <c r="AZ479" s="326"/>
      <c r="BA479" s="326"/>
      <c r="BB479" s="326"/>
      <c r="BC479" s="257">
        <v>52250</v>
      </c>
      <c r="BD479" s="326">
        <v>0.95</v>
      </c>
      <c r="BE479" s="326">
        <v>1</v>
      </c>
      <c r="BF479" s="350">
        <v>52250</v>
      </c>
      <c r="BG479" s="350">
        <v>52250</v>
      </c>
      <c r="BH479" s="326">
        <v>0.95</v>
      </c>
      <c r="BI479" s="326">
        <v>1</v>
      </c>
      <c r="BJ479" s="402">
        <f t="shared" si="406"/>
        <v>52250</v>
      </c>
      <c r="BK479" s="402">
        <v>52250</v>
      </c>
      <c r="BL479" s="326">
        <f t="shared" si="407"/>
        <v>0.95</v>
      </c>
      <c r="BM479" s="326">
        <f t="shared" si="421"/>
        <v>1</v>
      </c>
      <c r="BN479" s="205">
        <f t="shared" si="403"/>
        <v>52250</v>
      </c>
      <c r="BO479" s="205"/>
      <c r="BP479" s="227"/>
      <c r="BQ479" s="327">
        <f t="shared" si="408"/>
        <v>0</v>
      </c>
      <c r="BR479" s="227">
        <f>55000*0.95</f>
        <v>52250</v>
      </c>
      <c r="BS479" s="327">
        <f t="shared" si="409"/>
        <v>0.95</v>
      </c>
      <c r="BT479" s="227">
        <v>52250</v>
      </c>
      <c r="BU479" s="224">
        <f t="shared" si="410"/>
        <v>0.95</v>
      </c>
      <c r="BV479" s="227">
        <v>52250</v>
      </c>
      <c r="BW479" s="327">
        <f t="shared" si="411"/>
        <v>0.95</v>
      </c>
      <c r="BX479" s="227">
        <v>52250</v>
      </c>
      <c r="BY479" s="327">
        <f t="shared" si="412"/>
        <v>0.95</v>
      </c>
      <c r="BZ479" s="227">
        <v>52250</v>
      </c>
      <c r="CA479" s="327">
        <f t="shared" si="413"/>
        <v>0.95</v>
      </c>
      <c r="CB479" s="227">
        <v>52250</v>
      </c>
      <c r="CC479" s="327">
        <f t="shared" si="427"/>
        <v>0.95</v>
      </c>
      <c r="CD479" s="227">
        <v>52250</v>
      </c>
      <c r="CE479" s="327">
        <f t="shared" si="428"/>
        <v>0.95</v>
      </c>
      <c r="CF479" s="227">
        <v>52250</v>
      </c>
      <c r="CG479" s="327">
        <f t="shared" si="429"/>
        <v>0.95</v>
      </c>
      <c r="CH479" s="227">
        <v>52250</v>
      </c>
      <c r="CI479" s="327">
        <f t="shared" si="430"/>
        <v>0.95</v>
      </c>
      <c r="CJ479" s="227">
        <v>52250</v>
      </c>
      <c r="CK479" s="327">
        <f t="shared" si="414"/>
        <v>0.95</v>
      </c>
      <c r="CL479" s="227">
        <v>52250</v>
      </c>
      <c r="CM479" s="327">
        <f t="shared" si="415"/>
        <v>0.95</v>
      </c>
      <c r="CN479" s="227">
        <v>52250</v>
      </c>
      <c r="CO479" s="327">
        <f t="shared" si="416"/>
        <v>0.95</v>
      </c>
      <c r="CP479" s="213" t="str">
        <f t="shared" si="418"/>
        <v>Đạt</v>
      </c>
      <c r="CQ479" s="213" t="str">
        <f t="shared" si="419"/>
        <v>Đạt</v>
      </c>
      <c r="CR479" s="192"/>
      <c r="CS479" s="192"/>
      <c r="CT479" s="223"/>
      <c r="CU479" s="163"/>
      <c r="CW479" s="195"/>
      <c r="CX479" s="196"/>
      <c r="CY479" s="196"/>
      <c r="CZ479" s="197"/>
      <c r="DA479" s="196"/>
      <c r="DB479" s="196"/>
      <c r="DC479" s="196"/>
      <c r="DE479" s="199"/>
      <c r="DF479" s="200"/>
      <c r="DG479" s="181"/>
    </row>
    <row r="480" spans="1:111" ht="67.900000000000006" hidden="1" customHeight="1" outlineLevel="1" x14ac:dyDescent="0.25">
      <c r="A480" s="192"/>
      <c r="B480" s="269" t="s">
        <v>475</v>
      </c>
      <c r="C480" s="269"/>
      <c r="D480" s="214">
        <f>E480+F480</f>
        <v>7000</v>
      </c>
      <c r="E480" s="215"/>
      <c r="F480" s="214">
        <f>G480+H480+K480+M480</f>
        <v>7000</v>
      </c>
      <c r="G480" s="223"/>
      <c r="H480" s="257">
        <v>7000</v>
      </c>
      <c r="I480" s="235"/>
      <c r="J480" s="235"/>
      <c r="K480" s="223"/>
      <c r="L480" s="235"/>
      <c r="M480" s="223"/>
      <c r="N480" s="223"/>
      <c r="O480" s="257">
        <f t="shared" si="423"/>
        <v>0</v>
      </c>
      <c r="P480" s="257">
        <v>0</v>
      </c>
      <c r="Q480" s="224">
        <f t="shared" si="417"/>
        <v>0</v>
      </c>
      <c r="R480" s="257"/>
      <c r="S480" s="326">
        <v>0</v>
      </c>
      <c r="T480" s="326">
        <v>0</v>
      </c>
      <c r="U480" s="257"/>
      <c r="V480" s="326">
        <v>0</v>
      </c>
      <c r="W480" s="326">
        <v>0</v>
      </c>
      <c r="X480" s="257"/>
      <c r="Y480" s="326">
        <v>0</v>
      </c>
      <c r="Z480" s="326">
        <v>0</v>
      </c>
      <c r="AA480" s="257"/>
      <c r="AB480" s="326">
        <v>0</v>
      </c>
      <c r="AC480" s="326">
        <v>0</v>
      </c>
      <c r="AD480" s="257"/>
      <c r="AE480" s="326">
        <v>0</v>
      </c>
      <c r="AF480" s="326">
        <v>0</v>
      </c>
      <c r="AG480" s="257"/>
      <c r="AH480" s="326">
        <v>0</v>
      </c>
      <c r="AI480" s="326">
        <v>0</v>
      </c>
      <c r="AJ480" s="307"/>
      <c r="AK480" s="326">
        <v>0</v>
      </c>
      <c r="AL480" s="326">
        <v>0</v>
      </c>
      <c r="AM480" s="257"/>
      <c r="AN480" s="326">
        <v>0</v>
      </c>
      <c r="AO480" s="326">
        <v>0</v>
      </c>
      <c r="AP480" s="326"/>
      <c r="AQ480" s="257"/>
      <c r="AR480" s="326">
        <v>0</v>
      </c>
      <c r="AS480" s="326">
        <v>0</v>
      </c>
      <c r="AT480" s="257"/>
      <c r="AU480" s="326">
        <v>0</v>
      </c>
      <c r="AV480" s="326">
        <v>0</v>
      </c>
      <c r="AW480" s="326"/>
      <c r="AX480" s="326"/>
      <c r="AY480" s="326"/>
      <c r="AZ480" s="326"/>
      <c r="BA480" s="326"/>
      <c r="BB480" s="326"/>
      <c r="BC480" s="257"/>
      <c r="BD480" s="326">
        <v>0</v>
      </c>
      <c r="BE480" s="326">
        <v>0</v>
      </c>
      <c r="BF480" s="350"/>
      <c r="BG480" s="350">
        <v>0</v>
      </c>
      <c r="BH480" s="326">
        <v>0</v>
      </c>
      <c r="BI480" s="326">
        <v>0</v>
      </c>
      <c r="BJ480" s="402">
        <f t="shared" si="406"/>
        <v>6650</v>
      </c>
      <c r="BK480" s="402">
        <v>0</v>
      </c>
      <c r="BL480" s="326">
        <f t="shared" si="407"/>
        <v>0</v>
      </c>
      <c r="BM480" s="326">
        <f t="shared" si="421"/>
        <v>0</v>
      </c>
      <c r="BN480" s="205">
        <f t="shared" si="403"/>
        <v>0</v>
      </c>
      <c r="BO480" s="205"/>
      <c r="BP480" s="227"/>
      <c r="BQ480" s="327">
        <f t="shared" si="408"/>
        <v>0</v>
      </c>
      <c r="BR480" s="227"/>
      <c r="BS480" s="327">
        <f t="shared" si="409"/>
        <v>0</v>
      </c>
      <c r="BT480" s="227"/>
      <c r="BU480" s="224">
        <f t="shared" si="410"/>
        <v>0</v>
      </c>
      <c r="BV480" s="227"/>
      <c r="BW480" s="327">
        <f t="shared" si="411"/>
        <v>0</v>
      </c>
      <c r="BX480" s="227">
        <v>1000</v>
      </c>
      <c r="BY480" s="327">
        <f t="shared" si="412"/>
        <v>0.14285714285714285</v>
      </c>
      <c r="BZ480" s="227">
        <v>2570</v>
      </c>
      <c r="CA480" s="327">
        <f t="shared" si="413"/>
        <v>0.36714285714285716</v>
      </c>
      <c r="CB480" s="227">
        <v>4500</v>
      </c>
      <c r="CC480" s="327">
        <f t="shared" si="427"/>
        <v>0.6428571428571429</v>
      </c>
      <c r="CD480" s="227">
        <v>5400</v>
      </c>
      <c r="CE480" s="327">
        <f t="shared" si="428"/>
        <v>0.77142857142857146</v>
      </c>
      <c r="CF480" s="227">
        <v>5850</v>
      </c>
      <c r="CG480" s="327">
        <f>CF480/$D480</f>
        <v>0.83571428571428574</v>
      </c>
      <c r="CH480" s="227">
        <v>6650</v>
      </c>
      <c r="CI480" s="327">
        <f>CH480/$D480</f>
        <v>0.95</v>
      </c>
      <c r="CJ480" s="227">
        <v>6650</v>
      </c>
      <c r="CK480" s="327">
        <f t="shared" si="414"/>
        <v>0.95</v>
      </c>
      <c r="CL480" s="227">
        <v>6650</v>
      </c>
      <c r="CM480" s="327">
        <f t="shared" si="415"/>
        <v>0.95</v>
      </c>
      <c r="CN480" s="227">
        <v>6650</v>
      </c>
      <c r="CO480" s="327">
        <f t="shared" si="416"/>
        <v>0.95</v>
      </c>
      <c r="CP480" s="213" t="str">
        <f t="shared" si="418"/>
        <v>Không đạt</v>
      </c>
      <c r="CQ480" s="213" t="str">
        <f t="shared" si="419"/>
        <v>Không đạt</v>
      </c>
      <c r="CR480" s="192"/>
      <c r="CS480" s="192"/>
      <c r="CT480" s="223"/>
      <c r="CU480" s="163"/>
      <c r="CW480" s="195"/>
      <c r="CX480" s="196"/>
      <c r="CY480" s="196"/>
      <c r="CZ480" s="197"/>
      <c r="DA480" s="196"/>
      <c r="DB480" s="196"/>
      <c r="DC480" s="196"/>
      <c r="DE480" s="199"/>
      <c r="DF480" s="200"/>
      <c r="DG480" s="181"/>
    </row>
    <row r="481" spans="1:111" s="324" customFormat="1" hidden="1" outlineLevel="1" collapsed="1" x14ac:dyDescent="0.25">
      <c r="A481" s="305" t="s">
        <v>34</v>
      </c>
      <c r="B481" s="318" t="s">
        <v>376</v>
      </c>
      <c r="C481" s="306"/>
      <c r="D481" s="307">
        <f>E481+F481</f>
        <v>3000</v>
      </c>
      <c r="E481" s="307"/>
      <c r="F481" s="307">
        <f>G481+H481+K481+M481</f>
        <v>3000</v>
      </c>
      <c r="G481" s="303">
        <v>3000</v>
      </c>
      <c r="H481" s="303"/>
      <c r="I481" s="235"/>
      <c r="J481" s="235"/>
      <c r="K481" s="303"/>
      <c r="L481" s="235"/>
      <c r="M481" s="223"/>
      <c r="N481" s="223"/>
      <c r="O481" s="303">
        <f t="shared" si="423"/>
        <v>3000</v>
      </c>
      <c r="P481" s="303">
        <v>0</v>
      </c>
      <c r="Q481" s="308">
        <f t="shared" si="417"/>
        <v>0</v>
      </c>
      <c r="R481" s="303"/>
      <c r="S481" s="313">
        <v>0</v>
      </c>
      <c r="T481" s="313">
        <v>0</v>
      </c>
      <c r="U481" s="303">
        <v>1131.7998460000001</v>
      </c>
      <c r="V481" s="313">
        <v>0.37726661533333339</v>
      </c>
      <c r="W481" s="313">
        <v>0.3971227529824562</v>
      </c>
      <c r="X481" s="303">
        <v>1131.7998460000001</v>
      </c>
      <c r="Y481" s="313">
        <v>0.37726661533333339</v>
      </c>
      <c r="Z481" s="313">
        <v>0.3971227529824562</v>
      </c>
      <c r="AA481" s="303">
        <v>1131.7998460000001</v>
      </c>
      <c r="AB481" s="313">
        <v>0.37726661533333339</v>
      </c>
      <c r="AC481" s="313">
        <v>0.3971227529824562</v>
      </c>
      <c r="AD481" s="303">
        <v>1648</v>
      </c>
      <c r="AE481" s="313">
        <v>0.54933333333333334</v>
      </c>
      <c r="AF481" s="313">
        <v>0.57824561403508767</v>
      </c>
      <c r="AG481" s="307">
        <v>1648</v>
      </c>
      <c r="AH481" s="313">
        <v>0.54933333333333334</v>
      </c>
      <c r="AI481" s="313">
        <v>0.57824561403508767</v>
      </c>
      <c r="AJ481" s="303">
        <v>1648</v>
      </c>
      <c r="AK481" s="313">
        <v>0.54933333333333334</v>
      </c>
      <c r="AL481" s="313">
        <v>0.57824561403508767</v>
      </c>
      <c r="AM481" s="307">
        <v>1648</v>
      </c>
      <c r="AN481" s="313">
        <v>0.54933333333333334</v>
      </c>
      <c r="AO481" s="313">
        <v>0.57824561403508767</v>
      </c>
      <c r="AP481" s="313"/>
      <c r="AQ481" s="307">
        <v>1703</v>
      </c>
      <c r="AR481" s="313">
        <v>0.56766666666666665</v>
      </c>
      <c r="AS481" s="313">
        <v>0.59754385964912282</v>
      </c>
      <c r="AT481" s="307">
        <v>1703</v>
      </c>
      <c r="AU481" s="313">
        <v>0.56766666666666665</v>
      </c>
      <c r="AV481" s="313">
        <v>0.59754385964912282</v>
      </c>
      <c r="AW481" s="313"/>
      <c r="AX481" s="313"/>
      <c r="AY481" s="313"/>
      <c r="AZ481" s="313"/>
      <c r="BA481" s="313"/>
      <c r="BB481" s="313"/>
      <c r="BC481" s="307">
        <v>1703</v>
      </c>
      <c r="BD481" s="313">
        <v>0.56766666666666665</v>
      </c>
      <c r="BE481" s="313">
        <v>0.59754385964912282</v>
      </c>
      <c r="BF481" s="351"/>
      <c r="BG481" s="351">
        <v>2794</v>
      </c>
      <c r="BH481" s="313">
        <v>0.93133333333333335</v>
      </c>
      <c r="BI481" s="313">
        <v>0.98035087719298242</v>
      </c>
      <c r="BJ481" s="349">
        <f t="shared" si="406"/>
        <v>2850</v>
      </c>
      <c r="BK481" s="349">
        <v>2794</v>
      </c>
      <c r="BL481" s="313">
        <f t="shared" si="407"/>
        <v>0.93133333333333335</v>
      </c>
      <c r="BM481" s="313">
        <f t="shared" si="421"/>
        <v>0.98035087719298242</v>
      </c>
      <c r="BN481" s="205">
        <f t="shared" si="403"/>
        <v>1146</v>
      </c>
      <c r="BO481" s="205"/>
      <c r="BP481" s="310"/>
      <c r="BQ481" s="311">
        <f t="shared" si="408"/>
        <v>0</v>
      </c>
      <c r="BR481" s="310"/>
      <c r="BS481" s="311">
        <f t="shared" si="409"/>
        <v>0</v>
      </c>
      <c r="BT481" s="310"/>
      <c r="BU481" s="308">
        <f t="shared" si="410"/>
        <v>0</v>
      </c>
      <c r="BV481" s="310">
        <v>1000</v>
      </c>
      <c r="BW481" s="311">
        <f t="shared" si="411"/>
        <v>0.33333333333333331</v>
      </c>
      <c r="BX481" s="310">
        <v>1000</v>
      </c>
      <c r="BY481" s="311">
        <f t="shared" si="412"/>
        <v>0.33333333333333331</v>
      </c>
      <c r="BZ481" s="310">
        <v>2000</v>
      </c>
      <c r="CA481" s="311">
        <f t="shared" si="413"/>
        <v>0.66666666666666663</v>
      </c>
      <c r="CB481" s="310">
        <v>2000</v>
      </c>
      <c r="CC481" s="311">
        <f t="shared" si="427"/>
        <v>0.66666666666666663</v>
      </c>
      <c r="CD481" s="310">
        <v>2000</v>
      </c>
      <c r="CE481" s="311">
        <f t="shared" si="428"/>
        <v>0.66666666666666663</v>
      </c>
      <c r="CF481" s="310">
        <v>2850</v>
      </c>
      <c r="CG481" s="311">
        <f t="shared" si="429"/>
        <v>0.95</v>
      </c>
      <c r="CH481" s="310">
        <v>2850</v>
      </c>
      <c r="CI481" s="311">
        <f t="shared" si="430"/>
        <v>0.95</v>
      </c>
      <c r="CJ481" s="310">
        <v>2850</v>
      </c>
      <c r="CK481" s="311">
        <f t="shared" si="414"/>
        <v>0.95</v>
      </c>
      <c r="CL481" s="310">
        <v>2850</v>
      </c>
      <c r="CM481" s="311">
        <f t="shared" si="415"/>
        <v>0.95</v>
      </c>
      <c r="CN481" s="310">
        <v>2850</v>
      </c>
      <c r="CO481" s="311">
        <f t="shared" si="416"/>
        <v>0.95</v>
      </c>
      <c r="CP481" s="213" t="str">
        <f t="shared" si="418"/>
        <v>Đạt</v>
      </c>
      <c r="CQ481" s="213" t="str">
        <f t="shared" si="419"/>
        <v>Đạt</v>
      </c>
      <c r="CR481" s="312"/>
      <c r="CS481" s="312"/>
      <c r="CT481" s="235"/>
      <c r="CU481" s="163"/>
      <c r="CV481" s="323"/>
      <c r="CW481" s="195"/>
      <c r="CX481" s="196"/>
      <c r="CY481" s="196"/>
      <c r="CZ481" s="197"/>
      <c r="DA481" s="196"/>
      <c r="DB481" s="196"/>
      <c r="DC481" s="196"/>
      <c r="DE481" s="199"/>
      <c r="DF481" s="200"/>
      <c r="DG481" s="181"/>
    </row>
    <row r="482" spans="1:111" ht="25.5" hidden="1" outlineLevel="1" x14ac:dyDescent="0.25">
      <c r="A482" s="305" t="s">
        <v>34</v>
      </c>
      <c r="B482" s="306" t="s">
        <v>377</v>
      </c>
      <c r="C482" s="306"/>
      <c r="D482" s="307">
        <f>E482+F482</f>
        <v>12750</v>
      </c>
      <c r="E482" s="307"/>
      <c r="F482" s="307">
        <f>G482+H482+K482+M482</f>
        <v>12750</v>
      </c>
      <c r="G482" s="307"/>
      <c r="H482" s="307">
        <v>12750</v>
      </c>
      <c r="I482" s="235"/>
      <c r="J482" s="235"/>
      <c r="K482" s="303"/>
      <c r="L482" s="235"/>
      <c r="M482" s="223"/>
      <c r="N482" s="223"/>
      <c r="O482" s="303"/>
      <c r="P482" s="303">
        <v>0</v>
      </c>
      <c r="Q482" s="308">
        <f t="shared" si="417"/>
        <v>0</v>
      </c>
      <c r="R482" s="303"/>
      <c r="S482" s="313">
        <v>0</v>
      </c>
      <c r="T482" s="313">
        <v>0</v>
      </c>
      <c r="U482" s="303"/>
      <c r="V482" s="313">
        <v>0</v>
      </c>
      <c r="W482" s="313">
        <v>0</v>
      </c>
      <c r="X482" s="303"/>
      <c r="Y482" s="313">
        <v>0</v>
      </c>
      <c r="Z482" s="313">
        <v>0</v>
      </c>
      <c r="AA482" s="303"/>
      <c r="AB482" s="313">
        <v>0</v>
      </c>
      <c r="AC482" s="313">
        <v>0</v>
      </c>
      <c r="AD482" s="303"/>
      <c r="AE482" s="313">
        <v>0</v>
      </c>
      <c r="AF482" s="313">
        <v>0</v>
      </c>
      <c r="AG482" s="303"/>
      <c r="AH482" s="313">
        <v>0</v>
      </c>
      <c r="AI482" s="313">
        <v>0</v>
      </c>
      <c r="AJ482" s="189"/>
      <c r="AK482" s="313">
        <v>0</v>
      </c>
      <c r="AL482" s="313">
        <v>0</v>
      </c>
      <c r="AM482" s="303"/>
      <c r="AN482" s="313">
        <v>0</v>
      </c>
      <c r="AO482" s="313">
        <v>0</v>
      </c>
      <c r="AP482" s="313"/>
      <c r="AQ482" s="303"/>
      <c r="AR482" s="313">
        <v>0</v>
      </c>
      <c r="AS482" s="313">
        <v>0</v>
      </c>
      <c r="AT482" s="303"/>
      <c r="AU482" s="313">
        <v>0</v>
      </c>
      <c r="AV482" s="313">
        <v>0</v>
      </c>
      <c r="AW482" s="313"/>
      <c r="AX482" s="313"/>
      <c r="AY482" s="313"/>
      <c r="AZ482" s="313"/>
      <c r="BA482" s="313"/>
      <c r="BB482" s="313"/>
      <c r="BC482" s="303"/>
      <c r="BD482" s="313">
        <v>0</v>
      </c>
      <c r="BE482" s="313">
        <v>0</v>
      </c>
      <c r="BF482" s="351"/>
      <c r="BG482" s="351">
        <v>909</v>
      </c>
      <c r="BH482" s="313">
        <v>7.1294117647058827E-2</v>
      </c>
      <c r="BI482" s="313">
        <v>7.5046439628482967E-2</v>
      </c>
      <c r="BJ482" s="349">
        <f t="shared" si="406"/>
        <v>12112.5</v>
      </c>
      <c r="BK482" s="349">
        <v>909</v>
      </c>
      <c r="BL482" s="313">
        <f t="shared" si="407"/>
        <v>7.1294117647058827E-2</v>
      </c>
      <c r="BM482" s="313">
        <f t="shared" si="421"/>
        <v>7.5046439628482967E-2</v>
      </c>
      <c r="BN482" s="205">
        <f t="shared" si="403"/>
        <v>909</v>
      </c>
      <c r="BO482" s="205"/>
      <c r="BP482" s="310"/>
      <c r="BQ482" s="311">
        <f t="shared" si="408"/>
        <v>0</v>
      </c>
      <c r="BR482" s="310"/>
      <c r="BS482" s="311">
        <f t="shared" si="409"/>
        <v>0</v>
      </c>
      <c r="BT482" s="310"/>
      <c r="BU482" s="308">
        <f t="shared" si="410"/>
        <v>0</v>
      </c>
      <c r="BV482" s="310"/>
      <c r="BW482" s="311">
        <f t="shared" si="411"/>
        <v>0</v>
      </c>
      <c r="BX482" s="310"/>
      <c r="BY482" s="311">
        <f t="shared" si="412"/>
        <v>0</v>
      </c>
      <c r="BZ482" s="310">
        <v>1000</v>
      </c>
      <c r="CA482" s="311">
        <f t="shared" si="413"/>
        <v>7.8431372549019607E-2</v>
      </c>
      <c r="CB482" s="310">
        <v>1000</v>
      </c>
      <c r="CC482" s="311">
        <f t="shared" si="427"/>
        <v>7.8431372549019607E-2</v>
      </c>
      <c r="CD482" s="310">
        <v>1000</v>
      </c>
      <c r="CE482" s="311">
        <f t="shared" si="428"/>
        <v>7.8431372549019607E-2</v>
      </c>
      <c r="CF482" s="310">
        <v>2000</v>
      </c>
      <c r="CG482" s="311">
        <f t="shared" si="429"/>
        <v>0.15686274509803921</v>
      </c>
      <c r="CH482" s="310">
        <v>2000</v>
      </c>
      <c r="CI482" s="311">
        <f t="shared" si="430"/>
        <v>0.15686274509803921</v>
      </c>
      <c r="CJ482" s="310">
        <f>12750*0.95</f>
        <v>12112.5</v>
      </c>
      <c r="CK482" s="311">
        <f t="shared" si="414"/>
        <v>0.95</v>
      </c>
      <c r="CL482" s="310">
        <f>12750*0.95</f>
        <v>12112.5</v>
      </c>
      <c r="CM482" s="311">
        <f t="shared" si="415"/>
        <v>0.95</v>
      </c>
      <c r="CN482" s="310">
        <f>12750*0.95</f>
        <v>12112.5</v>
      </c>
      <c r="CO482" s="311">
        <f t="shared" si="416"/>
        <v>0.95</v>
      </c>
      <c r="CP482" s="213" t="str">
        <f t="shared" si="418"/>
        <v>Không đạt</v>
      </c>
      <c r="CQ482" s="213" t="str">
        <f t="shared" si="419"/>
        <v>Không đạt</v>
      </c>
      <c r="CR482" s="312"/>
      <c r="CS482" s="312"/>
      <c r="CT482" s="235"/>
      <c r="CU482" s="163"/>
      <c r="CW482" s="195"/>
      <c r="CX482" s="196"/>
      <c r="CY482" s="196"/>
      <c r="CZ482" s="197"/>
      <c r="DA482" s="196"/>
      <c r="DB482" s="196"/>
      <c r="DC482" s="196"/>
      <c r="DE482" s="199"/>
      <c r="DF482" s="200"/>
      <c r="DG482" s="181"/>
    </row>
    <row r="483" spans="1:111" ht="18" customHeight="1" collapsed="1" x14ac:dyDescent="0.25">
      <c r="A483" s="213">
        <f>MAX(A$239:A481)+1</f>
        <v>69</v>
      </c>
      <c r="B483" s="240" t="s">
        <v>476</v>
      </c>
      <c r="C483" s="240"/>
      <c r="D483" s="188">
        <f t="shared" ref="D483:I483" si="433">D484+D486+D487</f>
        <v>25550</v>
      </c>
      <c r="E483" s="188">
        <f t="shared" si="433"/>
        <v>0</v>
      </c>
      <c r="F483" s="188">
        <f t="shared" si="433"/>
        <v>25550</v>
      </c>
      <c r="G483" s="188">
        <f t="shared" si="433"/>
        <v>3000</v>
      </c>
      <c r="H483" s="188">
        <f t="shared" si="433"/>
        <v>22550</v>
      </c>
      <c r="I483" s="188">
        <f t="shared" si="433"/>
        <v>19000</v>
      </c>
      <c r="J483" s="188"/>
      <c r="K483" s="188">
        <f t="shared" ref="K483:P483" si="434">K484+K486+K487</f>
        <v>0</v>
      </c>
      <c r="L483" s="188">
        <f t="shared" si="434"/>
        <v>0</v>
      </c>
      <c r="M483" s="188">
        <f t="shared" si="434"/>
        <v>0</v>
      </c>
      <c r="N483" s="188">
        <f t="shared" si="434"/>
        <v>0</v>
      </c>
      <c r="O483" s="188">
        <f t="shared" si="434"/>
        <v>22000</v>
      </c>
      <c r="P483" s="189">
        <f t="shared" si="434"/>
        <v>0</v>
      </c>
      <c r="Q483" s="186">
        <f t="shared" si="417"/>
        <v>0</v>
      </c>
      <c r="R483" s="189">
        <v>400</v>
      </c>
      <c r="S483" s="185">
        <v>1.5655577299412915E-2</v>
      </c>
      <c r="T483" s="185">
        <v>1.6479555052013595E-2</v>
      </c>
      <c r="U483" s="189">
        <v>4554.8379999999997</v>
      </c>
      <c r="V483" s="185">
        <v>0.17827154598825831</v>
      </c>
      <c r="W483" s="185">
        <v>0.18765425893500876</v>
      </c>
      <c r="X483" s="189">
        <v>4554.8379999999997</v>
      </c>
      <c r="Y483" s="185">
        <v>0.17827154598825831</v>
      </c>
      <c r="Z483" s="185">
        <v>0.18765425893500876</v>
      </c>
      <c r="AA483" s="189">
        <v>4554.8379999999997</v>
      </c>
      <c r="AB483" s="185">
        <v>0.17827154598825831</v>
      </c>
      <c r="AC483" s="185">
        <v>0.18765425893500876</v>
      </c>
      <c r="AD483" s="189">
        <v>19493.257999999998</v>
      </c>
      <c r="AE483" s="185">
        <v>0.76294551859099802</v>
      </c>
      <c r="AF483" s="185">
        <v>0.80310054588526103</v>
      </c>
      <c r="AG483" s="189">
        <v>19493.257999999998</v>
      </c>
      <c r="AH483" s="185">
        <v>0.76294551859099802</v>
      </c>
      <c r="AI483" s="185">
        <v>0.80310054588526103</v>
      </c>
      <c r="AJ483" s="317">
        <v>19493.257999999998</v>
      </c>
      <c r="AK483" s="185">
        <v>0.76294551859099802</v>
      </c>
      <c r="AL483" s="185">
        <v>0.80310054588526103</v>
      </c>
      <c r="AM483" s="189">
        <v>19493.257999999998</v>
      </c>
      <c r="AN483" s="185">
        <v>0.76294551859099802</v>
      </c>
      <c r="AO483" s="185">
        <v>0.80310054588526103</v>
      </c>
      <c r="AP483" s="185"/>
      <c r="AQ483" s="189">
        <v>21625.846999999998</v>
      </c>
      <c r="AR483" s="185">
        <v>0.84641279843444217</v>
      </c>
      <c r="AS483" s="185">
        <v>0.89096084045730761</v>
      </c>
      <c r="AT483" s="189">
        <v>21625.846999999998</v>
      </c>
      <c r="AU483" s="185">
        <v>0.84641279843444217</v>
      </c>
      <c r="AV483" s="185">
        <v>0.89096084045730761</v>
      </c>
      <c r="AW483" s="185"/>
      <c r="AX483" s="185"/>
      <c r="AY483" s="185"/>
      <c r="AZ483" s="185"/>
      <c r="BA483" s="185"/>
      <c r="BB483" s="185"/>
      <c r="BC483" s="189">
        <v>21625.846999999998</v>
      </c>
      <c r="BD483" s="185">
        <v>0.84641279843444217</v>
      </c>
      <c r="BE483" s="185">
        <v>0.89096084045730761</v>
      </c>
      <c r="BF483" s="352"/>
      <c r="BG483" s="352">
        <v>23046.42</v>
      </c>
      <c r="BH483" s="185">
        <v>0.90201252446183944</v>
      </c>
      <c r="BI483" s="185">
        <v>0.94948686785456782</v>
      </c>
      <c r="BJ483" s="374">
        <f t="shared" si="406"/>
        <v>24272.5</v>
      </c>
      <c r="BK483" s="374">
        <v>23289.327000000001</v>
      </c>
      <c r="BL483" s="185">
        <f t="shared" si="407"/>
        <v>0.91151964774951078</v>
      </c>
      <c r="BM483" s="185">
        <f t="shared" si="421"/>
        <v>0.95949436605211669</v>
      </c>
      <c r="BN483" s="205">
        <f t="shared" si="403"/>
        <v>3796.0690000000031</v>
      </c>
      <c r="BO483" s="205"/>
      <c r="BP483" s="189">
        <f>BP484+BP486+BP487</f>
        <v>3500</v>
      </c>
      <c r="BQ483" s="186">
        <f t="shared" si="408"/>
        <v>0.13698630136986301</v>
      </c>
      <c r="BR483" s="189">
        <f>BR484+BR486+BR487</f>
        <v>7000</v>
      </c>
      <c r="BS483" s="186">
        <f t="shared" si="409"/>
        <v>0.27397260273972601</v>
      </c>
      <c r="BT483" s="189">
        <f>BT484+BT486+BT487</f>
        <v>11490</v>
      </c>
      <c r="BU483" s="186">
        <f t="shared" si="410"/>
        <v>0.44970645792563602</v>
      </c>
      <c r="BV483" s="189">
        <f>BV484+BV486+BV487</f>
        <v>14990</v>
      </c>
      <c r="BW483" s="186">
        <f t="shared" si="411"/>
        <v>0.58669275929549902</v>
      </c>
      <c r="BX483" s="189">
        <f>BX484+BX486+BX487</f>
        <v>17323</v>
      </c>
      <c r="BY483" s="186">
        <f t="shared" si="412"/>
        <v>0.67800391389432491</v>
      </c>
      <c r="BZ483" s="189">
        <f>BZ484+BZ486+BZ487</f>
        <v>20402</v>
      </c>
      <c r="CA483" s="186">
        <f t="shared" si="413"/>
        <v>0.79851272015655572</v>
      </c>
      <c r="CB483" s="189">
        <f>CB484+CB486+CB487</f>
        <v>22095</v>
      </c>
      <c r="CC483" s="186">
        <f t="shared" si="427"/>
        <v>0.86477495107632096</v>
      </c>
      <c r="CD483" s="189">
        <f>CD484+CD486+CD487</f>
        <v>22932</v>
      </c>
      <c r="CE483" s="186">
        <f t="shared" si="428"/>
        <v>0.89753424657534242</v>
      </c>
      <c r="CF483" s="189">
        <f>CF484+CF486+CF487</f>
        <v>23307</v>
      </c>
      <c r="CG483" s="186">
        <f t="shared" si="429"/>
        <v>0.91221135029354206</v>
      </c>
      <c r="CH483" s="189">
        <f>CH484+CH486+CH487</f>
        <v>23585</v>
      </c>
      <c r="CI483" s="186">
        <f t="shared" si="430"/>
        <v>0.92309197651663411</v>
      </c>
      <c r="CJ483" s="189">
        <f>CJ484+CJ486+CJ487</f>
        <v>23916</v>
      </c>
      <c r="CK483" s="186">
        <f t="shared" si="414"/>
        <v>0.93604696673189824</v>
      </c>
      <c r="CL483" s="189">
        <f>CL484+CL486+CL487</f>
        <v>24150</v>
      </c>
      <c r="CM483" s="186">
        <f t="shared" si="415"/>
        <v>0.9452054794520548</v>
      </c>
      <c r="CN483" s="189">
        <f>CN484+CN486+CN487</f>
        <v>24272</v>
      </c>
      <c r="CO483" s="186">
        <f t="shared" si="416"/>
        <v>0.94998043052837577</v>
      </c>
      <c r="CP483" s="213" t="str">
        <f t="shared" si="418"/>
        <v>Đạt</v>
      </c>
      <c r="CQ483" s="213" t="str">
        <f t="shared" si="419"/>
        <v>Đạt</v>
      </c>
      <c r="CR483" s="213"/>
      <c r="CS483" s="213"/>
      <c r="CT483" s="231"/>
      <c r="CU483" s="163"/>
      <c r="CW483" s="195"/>
      <c r="CX483" s="196"/>
      <c r="CY483" s="196"/>
      <c r="CZ483" s="197"/>
      <c r="DA483" s="196"/>
      <c r="DB483" s="196"/>
      <c r="DC483" s="196"/>
      <c r="DE483" s="199"/>
      <c r="DF483" s="200"/>
      <c r="DG483" s="181"/>
    </row>
    <row r="484" spans="1:111" s="361" customFormat="1" hidden="1" outlineLevel="1" x14ac:dyDescent="0.25">
      <c r="A484" s="305" t="s">
        <v>34</v>
      </c>
      <c r="B484" s="318" t="s">
        <v>381</v>
      </c>
      <c r="C484" s="306"/>
      <c r="D484" s="317">
        <f t="shared" ref="D484:I484" si="435">D485</f>
        <v>20000</v>
      </c>
      <c r="E484" s="317">
        <f t="shared" si="435"/>
        <v>0</v>
      </c>
      <c r="F484" s="317">
        <f t="shared" si="435"/>
        <v>20000</v>
      </c>
      <c r="G484" s="317">
        <f t="shared" si="435"/>
        <v>0</v>
      </c>
      <c r="H484" s="317">
        <f t="shared" si="435"/>
        <v>20000</v>
      </c>
      <c r="I484" s="214">
        <f t="shared" si="435"/>
        <v>19000</v>
      </c>
      <c r="J484" s="214"/>
      <c r="K484" s="317">
        <f>K485</f>
        <v>0</v>
      </c>
      <c r="L484" s="214">
        <f>L485</f>
        <v>0</v>
      </c>
      <c r="M484" s="223"/>
      <c r="N484" s="223"/>
      <c r="O484" s="317">
        <f t="shared" si="423"/>
        <v>19000</v>
      </c>
      <c r="P484" s="317">
        <v>0</v>
      </c>
      <c r="Q484" s="319">
        <f t="shared" si="417"/>
        <v>0</v>
      </c>
      <c r="R484" s="317">
        <v>400</v>
      </c>
      <c r="S484" s="187">
        <v>0.02</v>
      </c>
      <c r="T484" s="187">
        <v>2.1052631578947368E-2</v>
      </c>
      <c r="U484" s="317">
        <v>4000</v>
      </c>
      <c r="V484" s="187">
        <v>0.2</v>
      </c>
      <c r="W484" s="187">
        <v>0.21052631578947367</v>
      </c>
      <c r="X484" s="317">
        <v>4000</v>
      </c>
      <c r="Y484" s="187">
        <v>0.2</v>
      </c>
      <c r="Z484" s="187">
        <v>0.21052631578947367</v>
      </c>
      <c r="AA484" s="317">
        <v>4000</v>
      </c>
      <c r="AB484" s="187">
        <v>0.2</v>
      </c>
      <c r="AC484" s="187">
        <v>0.21052631578947367</v>
      </c>
      <c r="AD484" s="317">
        <v>18938.419999999998</v>
      </c>
      <c r="AE484" s="187">
        <v>0.9469209999999999</v>
      </c>
      <c r="AF484" s="187">
        <v>0.99675894736842097</v>
      </c>
      <c r="AG484" s="317">
        <v>18938.419999999998</v>
      </c>
      <c r="AH484" s="187">
        <v>0.9469209999999999</v>
      </c>
      <c r="AI484" s="187">
        <v>0.99675894736842097</v>
      </c>
      <c r="AJ484" s="214">
        <v>18938.419999999998</v>
      </c>
      <c r="AK484" s="187">
        <v>0.9469209999999999</v>
      </c>
      <c r="AL484" s="187">
        <v>0.99675894736842097</v>
      </c>
      <c r="AM484" s="317">
        <v>18938.419999999998</v>
      </c>
      <c r="AN484" s="187">
        <v>0.9469209999999999</v>
      </c>
      <c r="AO484" s="187">
        <v>0.99675894736842097</v>
      </c>
      <c r="AP484" s="187"/>
      <c r="AQ484" s="317">
        <v>18938.419999999998</v>
      </c>
      <c r="AR484" s="187">
        <v>0.9469209999999999</v>
      </c>
      <c r="AS484" s="187">
        <v>0.99675894736842097</v>
      </c>
      <c r="AT484" s="317">
        <v>18938.419999999998</v>
      </c>
      <c r="AU484" s="187">
        <v>0.9469209999999999</v>
      </c>
      <c r="AV484" s="187">
        <v>0.99675894736842097</v>
      </c>
      <c r="AW484" s="187"/>
      <c r="AX484" s="187"/>
      <c r="AY484" s="187"/>
      <c r="AZ484" s="187"/>
      <c r="BA484" s="187"/>
      <c r="BB484" s="187"/>
      <c r="BC484" s="317">
        <v>18938.419999999998</v>
      </c>
      <c r="BD484" s="187">
        <v>0.9469209999999999</v>
      </c>
      <c r="BE484" s="187">
        <v>0.99675894736842097</v>
      </c>
      <c r="BF484" s="349"/>
      <c r="BG484" s="349">
        <v>18938.419999999998</v>
      </c>
      <c r="BH484" s="187">
        <v>0.9469209999999999</v>
      </c>
      <c r="BI484" s="187">
        <v>0.99675894736842097</v>
      </c>
      <c r="BJ484" s="349">
        <f t="shared" si="406"/>
        <v>19000</v>
      </c>
      <c r="BK484" s="349">
        <v>18938.419999999998</v>
      </c>
      <c r="BL484" s="187">
        <f t="shared" si="407"/>
        <v>0.9469209999999999</v>
      </c>
      <c r="BM484" s="187">
        <f t="shared" si="421"/>
        <v>0.99675894736842097</v>
      </c>
      <c r="BN484" s="205">
        <f t="shared" si="403"/>
        <v>0</v>
      </c>
      <c r="BO484" s="205"/>
      <c r="BP484" s="307">
        <f>BP485</f>
        <v>3500</v>
      </c>
      <c r="BQ484" s="319">
        <f t="shared" si="408"/>
        <v>0.17499999999999999</v>
      </c>
      <c r="BR484" s="307">
        <f>BR485</f>
        <v>7000</v>
      </c>
      <c r="BS484" s="319">
        <f t="shared" si="409"/>
        <v>0.35</v>
      </c>
      <c r="BT484" s="307">
        <f>BT485</f>
        <v>10500</v>
      </c>
      <c r="BU484" s="319">
        <f t="shared" si="410"/>
        <v>0.52500000000000002</v>
      </c>
      <c r="BV484" s="307">
        <f>BV485</f>
        <v>14000</v>
      </c>
      <c r="BW484" s="319">
        <f t="shared" si="411"/>
        <v>0.7</v>
      </c>
      <c r="BX484" s="307">
        <f>BX485</f>
        <v>16000</v>
      </c>
      <c r="BY484" s="319">
        <f t="shared" si="412"/>
        <v>0.8</v>
      </c>
      <c r="BZ484" s="307">
        <f>BZ485</f>
        <v>18000</v>
      </c>
      <c r="CA484" s="319">
        <f t="shared" si="413"/>
        <v>0.9</v>
      </c>
      <c r="CB484" s="307">
        <f>CB485</f>
        <v>19000</v>
      </c>
      <c r="CC484" s="319">
        <f t="shared" si="427"/>
        <v>0.95</v>
      </c>
      <c r="CD484" s="307">
        <f>CD485</f>
        <v>19000</v>
      </c>
      <c r="CE484" s="319">
        <f t="shared" si="428"/>
        <v>0.95</v>
      </c>
      <c r="CF484" s="307">
        <f>CF485</f>
        <v>19000</v>
      </c>
      <c r="CG484" s="319">
        <f t="shared" si="429"/>
        <v>0.95</v>
      </c>
      <c r="CH484" s="307">
        <f>CH485</f>
        <v>19000</v>
      </c>
      <c r="CI484" s="319">
        <f t="shared" si="430"/>
        <v>0.95</v>
      </c>
      <c r="CJ484" s="307">
        <f>CJ485</f>
        <v>19000</v>
      </c>
      <c r="CK484" s="319">
        <f t="shared" si="414"/>
        <v>0.95</v>
      </c>
      <c r="CL484" s="307">
        <f>CL485</f>
        <v>19000</v>
      </c>
      <c r="CM484" s="319">
        <f t="shared" si="415"/>
        <v>0.95</v>
      </c>
      <c r="CN484" s="307">
        <f>CN485</f>
        <v>19000</v>
      </c>
      <c r="CO484" s="319">
        <f t="shared" si="416"/>
        <v>0.95</v>
      </c>
      <c r="CP484" s="213" t="str">
        <f t="shared" si="418"/>
        <v>Đạt</v>
      </c>
      <c r="CQ484" s="213" t="str">
        <f t="shared" si="419"/>
        <v>Đạt</v>
      </c>
      <c r="CR484" s="312"/>
      <c r="CS484" s="312"/>
      <c r="CT484" s="235"/>
      <c r="CU484" s="163"/>
      <c r="CV484" s="358"/>
      <c r="CW484" s="359"/>
      <c r="CX484" s="360"/>
      <c r="CY484" s="196"/>
      <c r="CZ484" s="197"/>
      <c r="DA484" s="196"/>
      <c r="DB484" s="196"/>
      <c r="DC484" s="196"/>
      <c r="DE484" s="199"/>
      <c r="DF484" s="200"/>
      <c r="DG484" s="181"/>
    </row>
    <row r="485" spans="1:111" s="363" customFormat="1" ht="68.25" hidden="1" customHeight="1" outlineLevel="1" x14ac:dyDescent="0.25">
      <c r="A485" s="192"/>
      <c r="B485" s="325" t="s">
        <v>477</v>
      </c>
      <c r="C485" s="325">
        <v>7883253</v>
      </c>
      <c r="D485" s="214">
        <f>E485+F485</f>
        <v>20000</v>
      </c>
      <c r="E485" s="215"/>
      <c r="F485" s="214">
        <f>G485+H485+K485+M485</f>
        <v>20000</v>
      </c>
      <c r="G485" s="223"/>
      <c r="H485" s="257">
        <v>20000</v>
      </c>
      <c r="I485" s="235">
        <v>19000</v>
      </c>
      <c r="J485" s="214">
        <v>18938.419999999998</v>
      </c>
      <c r="K485" s="223"/>
      <c r="L485" s="235"/>
      <c r="M485" s="223"/>
      <c r="N485" s="223"/>
      <c r="O485" s="257">
        <f t="shared" si="423"/>
        <v>19000</v>
      </c>
      <c r="P485" s="257">
        <v>0</v>
      </c>
      <c r="Q485" s="224">
        <f t="shared" si="417"/>
        <v>0</v>
      </c>
      <c r="R485" s="257">
        <v>400</v>
      </c>
      <c r="S485" s="326">
        <v>0.02</v>
      </c>
      <c r="T485" s="326">
        <v>2.1052631578947368E-2</v>
      </c>
      <c r="U485" s="257">
        <v>4000</v>
      </c>
      <c r="V485" s="326">
        <v>0.2</v>
      </c>
      <c r="W485" s="326">
        <v>0.21052631578947367</v>
      </c>
      <c r="X485" s="257">
        <v>4000</v>
      </c>
      <c r="Y485" s="326">
        <v>0.2</v>
      </c>
      <c r="Z485" s="326">
        <v>0.21052631578947367</v>
      </c>
      <c r="AA485" s="257">
        <v>4000</v>
      </c>
      <c r="AB485" s="326">
        <v>0.2</v>
      </c>
      <c r="AC485" s="326">
        <v>0.21052631578947367</v>
      </c>
      <c r="AD485" s="257">
        <v>18938.419999999998</v>
      </c>
      <c r="AE485" s="326">
        <v>0.9469209999999999</v>
      </c>
      <c r="AF485" s="326">
        <v>0.99675894736842097</v>
      </c>
      <c r="AG485" s="214">
        <v>18938.419999999998</v>
      </c>
      <c r="AH485" s="326">
        <v>0.9469209999999999</v>
      </c>
      <c r="AI485" s="326">
        <v>0.99675894736842097</v>
      </c>
      <c r="AJ485" s="303">
        <v>18938.419999999998</v>
      </c>
      <c r="AK485" s="326">
        <v>0.9469209999999999</v>
      </c>
      <c r="AL485" s="326">
        <v>0.99675894736842097</v>
      </c>
      <c r="AM485" s="214">
        <v>18938.419999999998</v>
      </c>
      <c r="AN485" s="326">
        <v>0.9469209999999999</v>
      </c>
      <c r="AO485" s="326">
        <v>0.99675894736842097</v>
      </c>
      <c r="AP485" s="326"/>
      <c r="AQ485" s="214">
        <v>18938.419999999998</v>
      </c>
      <c r="AR485" s="326">
        <v>0.9469209999999999</v>
      </c>
      <c r="AS485" s="326">
        <v>0.99675894736842097</v>
      </c>
      <c r="AT485" s="214">
        <v>18938.419999999998</v>
      </c>
      <c r="AU485" s="326">
        <v>0.9469209999999999</v>
      </c>
      <c r="AV485" s="326">
        <v>0.99675894736842097</v>
      </c>
      <c r="AW485" s="326"/>
      <c r="AX485" s="326"/>
      <c r="AY485" s="326"/>
      <c r="AZ485" s="326"/>
      <c r="BA485" s="326"/>
      <c r="BB485" s="326"/>
      <c r="BC485" s="214">
        <v>18938.419999999998</v>
      </c>
      <c r="BD485" s="326">
        <v>0.9469209999999999</v>
      </c>
      <c r="BE485" s="326">
        <v>0.99675894736842097</v>
      </c>
      <c r="BF485" s="350">
        <v>18938.419999999998</v>
      </c>
      <c r="BG485" s="350">
        <v>18938.419999999998</v>
      </c>
      <c r="BH485" s="326">
        <v>0.9469209999999999</v>
      </c>
      <c r="BI485" s="326">
        <v>0.99675894736842097</v>
      </c>
      <c r="BJ485" s="402">
        <f t="shared" si="406"/>
        <v>19000</v>
      </c>
      <c r="BK485" s="402">
        <v>18938.419999999998</v>
      </c>
      <c r="BL485" s="326">
        <f t="shared" si="407"/>
        <v>0.9469209999999999</v>
      </c>
      <c r="BM485" s="326">
        <f t="shared" si="421"/>
        <v>0.99675894736842097</v>
      </c>
      <c r="BN485" s="205">
        <f t="shared" si="403"/>
        <v>0</v>
      </c>
      <c r="BO485" s="205"/>
      <c r="BP485" s="227">
        <v>3500</v>
      </c>
      <c r="BQ485" s="327">
        <f t="shared" si="408"/>
        <v>0.17499999999999999</v>
      </c>
      <c r="BR485" s="227">
        <v>7000</v>
      </c>
      <c r="BS485" s="327">
        <f t="shared" si="409"/>
        <v>0.35</v>
      </c>
      <c r="BT485" s="227">
        <v>10500</v>
      </c>
      <c r="BU485" s="224">
        <f t="shared" si="410"/>
        <v>0.52500000000000002</v>
      </c>
      <c r="BV485" s="227">
        <v>14000</v>
      </c>
      <c r="BW485" s="327">
        <f t="shared" si="411"/>
        <v>0.7</v>
      </c>
      <c r="BX485" s="227">
        <v>16000</v>
      </c>
      <c r="BY485" s="327">
        <f t="shared" si="412"/>
        <v>0.8</v>
      </c>
      <c r="BZ485" s="227">
        <v>18000</v>
      </c>
      <c r="CA485" s="327">
        <f t="shared" si="413"/>
        <v>0.9</v>
      </c>
      <c r="CB485" s="227">
        <v>19000</v>
      </c>
      <c r="CC485" s="327">
        <f t="shared" si="427"/>
        <v>0.95</v>
      </c>
      <c r="CD485" s="227">
        <v>19000</v>
      </c>
      <c r="CE485" s="327">
        <f t="shared" si="428"/>
        <v>0.95</v>
      </c>
      <c r="CF485" s="227">
        <v>19000</v>
      </c>
      <c r="CG485" s="327">
        <f t="shared" si="429"/>
        <v>0.95</v>
      </c>
      <c r="CH485" s="227">
        <v>19000</v>
      </c>
      <c r="CI485" s="327">
        <f t="shared" si="430"/>
        <v>0.95</v>
      </c>
      <c r="CJ485" s="227">
        <v>19000</v>
      </c>
      <c r="CK485" s="327">
        <f t="shared" si="414"/>
        <v>0.95</v>
      </c>
      <c r="CL485" s="227">
        <v>19000</v>
      </c>
      <c r="CM485" s="327">
        <f t="shared" si="415"/>
        <v>0.95</v>
      </c>
      <c r="CN485" s="227">
        <v>19000</v>
      </c>
      <c r="CO485" s="327">
        <f t="shared" si="416"/>
        <v>0.95</v>
      </c>
      <c r="CP485" s="213" t="str">
        <f t="shared" si="418"/>
        <v>Đạt</v>
      </c>
      <c r="CQ485" s="213" t="str">
        <f t="shared" si="419"/>
        <v>Đạt</v>
      </c>
      <c r="CR485" s="192"/>
      <c r="CS485" s="192"/>
      <c r="CT485" s="223"/>
      <c r="CU485" s="216"/>
      <c r="CV485" s="362"/>
      <c r="CW485" s="359"/>
      <c r="CX485" s="360"/>
      <c r="CY485" s="196"/>
      <c r="CZ485" s="197"/>
      <c r="DA485" s="196"/>
      <c r="DB485" s="196"/>
      <c r="DC485" s="196"/>
      <c r="DE485" s="199"/>
      <c r="DF485" s="200"/>
      <c r="DG485" s="181"/>
    </row>
    <row r="486" spans="1:111" s="361" customFormat="1" ht="18.75" hidden="1" customHeight="1" outlineLevel="1" x14ac:dyDescent="0.25">
      <c r="A486" s="305" t="s">
        <v>34</v>
      </c>
      <c r="B486" s="318" t="s">
        <v>376</v>
      </c>
      <c r="C486" s="306"/>
      <c r="D486" s="307">
        <f>E486+F486</f>
        <v>3000</v>
      </c>
      <c r="E486" s="307"/>
      <c r="F486" s="307">
        <f>G486+H486+K486+M486</f>
        <v>3000</v>
      </c>
      <c r="G486" s="303">
        <v>3000</v>
      </c>
      <c r="H486" s="303"/>
      <c r="I486" s="235"/>
      <c r="J486" s="235"/>
      <c r="K486" s="303"/>
      <c r="L486" s="235"/>
      <c r="M486" s="223"/>
      <c r="N486" s="223"/>
      <c r="O486" s="303">
        <f t="shared" si="423"/>
        <v>3000</v>
      </c>
      <c r="P486" s="303">
        <v>0</v>
      </c>
      <c r="Q486" s="308">
        <f t="shared" si="417"/>
        <v>0</v>
      </c>
      <c r="R486" s="303"/>
      <c r="S486" s="313">
        <v>0</v>
      </c>
      <c r="T486" s="313">
        <v>0</v>
      </c>
      <c r="U486" s="303">
        <v>554.83799999999997</v>
      </c>
      <c r="V486" s="313">
        <v>0.184946</v>
      </c>
      <c r="W486" s="313">
        <v>0.19467999999999999</v>
      </c>
      <c r="X486" s="303">
        <v>554.83799999999997</v>
      </c>
      <c r="Y486" s="313">
        <v>0.184946</v>
      </c>
      <c r="Z486" s="313">
        <v>0.19467999999999999</v>
      </c>
      <c r="AA486" s="303">
        <v>554.83799999999997</v>
      </c>
      <c r="AB486" s="313">
        <v>0.184946</v>
      </c>
      <c r="AC486" s="313">
        <v>0.19467999999999999</v>
      </c>
      <c r="AD486" s="303">
        <v>554.83799999999997</v>
      </c>
      <c r="AE486" s="313">
        <v>0.184946</v>
      </c>
      <c r="AF486" s="313">
        <v>0.19467999999999999</v>
      </c>
      <c r="AG486" s="303">
        <v>554.83799999999997</v>
      </c>
      <c r="AH486" s="313">
        <v>0.184946</v>
      </c>
      <c r="AI486" s="313">
        <v>0.19467999999999999</v>
      </c>
      <c r="AJ486" s="303">
        <v>554.83799999999997</v>
      </c>
      <c r="AK486" s="313">
        <v>0.184946</v>
      </c>
      <c r="AL486" s="313">
        <v>0.19467999999999999</v>
      </c>
      <c r="AM486" s="303">
        <v>554.83799999999997</v>
      </c>
      <c r="AN486" s="313">
        <v>0.184946</v>
      </c>
      <c r="AO486" s="313">
        <v>0.19467999999999999</v>
      </c>
      <c r="AP486" s="313"/>
      <c r="AQ486" s="303">
        <v>1935.4569999999999</v>
      </c>
      <c r="AR486" s="313">
        <v>0.64515233333333333</v>
      </c>
      <c r="AS486" s="313">
        <v>0.67910771929824554</v>
      </c>
      <c r="AT486" s="303">
        <v>1935.4569999999999</v>
      </c>
      <c r="AU486" s="313">
        <v>0.64515233333333333</v>
      </c>
      <c r="AV486" s="313">
        <v>0.67910771929824554</v>
      </c>
      <c r="AW486" s="313"/>
      <c r="AX486" s="313"/>
      <c r="AY486" s="313"/>
      <c r="AZ486" s="313"/>
      <c r="BA486" s="313"/>
      <c r="BB486" s="313"/>
      <c r="BC486" s="303">
        <v>1935.4569999999999</v>
      </c>
      <c r="BD486" s="313">
        <v>0.64515233333333333</v>
      </c>
      <c r="BE486" s="313">
        <v>0.67910771929824554</v>
      </c>
      <c r="BF486" s="351"/>
      <c r="BG486" s="351">
        <v>2521</v>
      </c>
      <c r="BH486" s="313">
        <v>0.84033333333333338</v>
      </c>
      <c r="BI486" s="313">
        <v>0.88456140350877188</v>
      </c>
      <c r="BJ486" s="349">
        <f t="shared" si="406"/>
        <v>2850</v>
      </c>
      <c r="BK486" s="349">
        <v>2525.1669999999999</v>
      </c>
      <c r="BL486" s="313">
        <f t="shared" si="407"/>
        <v>0.84172233333333335</v>
      </c>
      <c r="BM486" s="313">
        <f t="shared" si="421"/>
        <v>0.88602350877192981</v>
      </c>
      <c r="BN486" s="205">
        <f t="shared" si="403"/>
        <v>1970.329</v>
      </c>
      <c r="BO486" s="205"/>
      <c r="BP486" s="310"/>
      <c r="BQ486" s="311">
        <f t="shared" si="408"/>
        <v>0</v>
      </c>
      <c r="BR486" s="310"/>
      <c r="BS486" s="311">
        <f t="shared" si="409"/>
        <v>0</v>
      </c>
      <c r="BT486" s="310">
        <v>990</v>
      </c>
      <c r="BU486" s="308">
        <f t="shared" si="410"/>
        <v>0.33</v>
      </c>
      <c r="BV486" s="310">
        <v>990</v>
      </c>
      <c r="BW486" s="311">
        <f t="shared" si="411"/>
        <v>0.33</v>
      </c>
      <c r="BX486" s="310">
        <v>1323</v>
      </c>
      <c r="BY486" s="311">
        <f t="shared" si="412"/>
        <v>0.441</v>
      </c>
      <c r="BZ486" s="310">
        <v>1502</v>
      </c>
      <c r="CA486" s="311">
        <f t="shared" si="413"/>
        <v>0.5006666666666667</v>
      </c>
      <c r="CB486" s="310">
        <v>1995</v>
      </c>
      <c r="CC486" s="311">
        <f t="shared" si="427"/>
        <v>0.66500000000000004</v>
      </c>
      <c r="CD486" s="310">
        <v>2412</v>
      </c>
      <c r="CE486" s="311">
        <f t="shared" si="428"/>
        <v>0.80400000000000005</v>
      </c>
      <c r="CF486" s="310">
        <v>2566</v>
      </c>
      <c r="CG486" s="311">
        <f t="shared" si="429"/>
        <v>0.85533333333333328</v>
      </c>
      <c r="CH486" s="310">
        <v>2670</v>
      </c>
      <c r="CI486" s="311">
        <f t="shared" si="430"/>
        <v>0.89</v>
      </c>
      <c r="CJ486" s="310">
        <v>2775</v>
      </c>
      <c r="CK486" s="311">
        <f t="shared" si="414"/>
        <v>0.92500000000000004</v>
      </c>
      <c r="CL486" s="310">
        <v>2850</v>
      </c>
      <c r="CM486" s="311">
        <f t="shared" si="415"/>
        <v>0.95</v>
      </c>
      <c r="CN486" s="310">
        <v>2850</v>
      </c>
      <c r="CO486" s="311">
        <f t="shared" si="416"/>
        <v>0.95</v>
      </c>
      <c r="CP486" s="213" t="str">
        <f t="shared" si="418"/>
        <v>Đạt</v>
      </c>
      <c r="CQ486" s="213" t="str">
        <f t="shared" si="419"/>
        <v>Đạt</v>
      </c>
      <c r="CR486" s="312"/>
      <c r="CS486" s="312"/>
      <c r="CT486" s="235"/>
      <c r="CU486" s="163"/>
      <c r="CV486" s="358"/>
      <c r="CW486" s="359"/>
      <c r="CX486" s="360"/>
      <c r="CY486" s="196"/>
      <c r="CZ486" s="197"/>
      <c r="DA486" s="196"/>
      <c r="DB486" s="196"/>
      <c r="DC486" s="196"/>
      <c r="DE486" s="199"/>
      <c r="DF486" s="200"/>
      <c r="DG486" s="181"/>
    </row>
    <row r="487" spans="1:111" s="363" customFormat="1" ht="42" hidden="1" customHeight="1" outlineLevel="1" x14ac:dyDescent="0.25">
      <c r="A487" s="305" t="s">
        <v>34</v>
      </c>
      <c r="B487" s="306" t="s">
        <v>377</v>
      </c>
      <c r="C487" s="306"/>
      <c r="D487" s="307">
        <f>E487+F487</f>
        <v>2550</v>
      </c>
      <c r="E487" s="307"/>
      <c r="F487" s="307">
        <f>G487+H487+K487+M487</f>
        <v>2550</v>
      </c>
      <c r="G487" s="307"/>
      <c r="H487" s="307">
        <v>2550</v>
      </c>
      <c r="I487" s="235"/>
      <c r="J487" s="235"/>
      <c r="K487" s="303"/>
      <c r="L487" s="235"/>
      <c r="M487" s="223"/>
      <c r="N487" s="223"/>
      <c r="O487" s="303"/>
      <c r="P487" s="303">
        <v>0</v>
      </c>
      <c r="Q487" s="308">
        <f t="shared" si="417"/>
        <v>0</v>
      </c>
      <c r="R487" s="303"/>
      <c r="S487" s="313">
        <v>0</v>
      </c>
      <c r="T487" s="313">
        <v>0</v>
      </c>
      <c r="U487" s="303"/>
      <c r="V487" s="313">
        <v>0</v>
      </c>
      <c r="W487" s="313">
        <v>0</v>
      </c>
      <c r="X487" s="303"/>
      <c r="Y487" s="313">
        <v>0</v>
      </c>
      <c r="Z487" s="313">
        <v>0</v>
      </c>
      <c r="AA487" s="303"/>
      <c r="AB487" s="313">
        <v>0</v>
      </c>
      <c r="AC487" s="313">
        <v>0</v>
      </c>
      <c r="AD487" s="303"/>
      <c r="AE487" s="313">
        <v>0</v>
      </c>
      <c r="AF487" s="313">
        <v>0</v>
      </c>
      <c r="AG487" s="303"/>
      <c r="AH487" s="313">
        <v>0</v>
      </c>
      <c r="AI487" s="313">
        <v>0</v>
      </c>
      <c r="AJ487" s="188"/>
      <c r="AK487" s="313">
        <v>0</v>
      </c>
      <c r="AL487" s="313">
        <v>0</v>
      </c>
      <c r="AM487" s="303"/>
      <c r="AN487" s="313">
        <v>0</v>
      </c>
      <c r="AO487" s="313">
        <v>0</v>
      </c>
      <c r="AP487" s="313"/>
      <c r="AQ487" s="303">
        <v>751.97</v>
      </c>
      <c r="AR487" s="313">
        <v>0.29489019607843137</v>
      </c>
      <c r="AS487" s="313">
        <v>0.31041073271413827</v>
      </c>
      <c r="AT487" s="303">
        <v>751.97</v>
      </c>
      <c r="AU487" s="313">
        <v>0.29489019607843137</v>
      </c>
      <c r="AV487" s="313">
        <v>0.31041073271413827</v>
      </c>
      <c r="AW487" s="313"/>
      <c r="AX487" s="313"/>
      <c r="AY487" s="313"/>
      <c r="AZ487" s="313"/>
      <c r="BA487" s="313"/>
      <c r="BB487" s="313"/>
      <c r="BC487" s="303">
        <v>751.97</v>
      </c>
      <c r="BD487" s="313">
        <v>0.29489019607843137</v>
      </c>
      <c r="BE487" s="313">
        <v>0.31041073271413827</v>
      </c>
      <c r="BF487" s="351"/>
      <c r="BG487" s="351">
        <v>1587</v>
      </c>
      <c r="BH487" s="313">
        <v>0.62235294117647055</v>
      </c>
      <c r="BI487" s="313">
        <v>0.65510835913312693</v>
      </c>
      <c r="BJ487" s="349">
        <f t="shared" si="406"/>
        <v>2422.5</v>
      </c>
      <c r="BK487" s="349">
        <v>1825.74</v>
      </c>
      <c r="BL487" s="313">
        <f t="shared" si="407"/>
        <v>0.71597647058823533</v>
      </c>
      <c r="BM487" s="313">
        <f t="shared" si="421"/>
        <v>0.75365944272445817</v>
      </c>
      <c r="BN487" s="205">
        <f t="shared" si="403"/>
        <v>1825.74</v>
      </c>
      <c r="BO487" s="205"/>
      <c r="BP487" s="310"/>
      <c r="BQ487" s="311">
        <f t="shared" si="408"/>
        <v>0</v>
      </c>
      <c r="BR487" s="310"/>
      <c r="BS487" s="311">
        <f t="shared" si="409"/>
        <v>0</v>
      </c>
      <c r="BT487" s="310"/>
      <c r="BU487" s="308">
        <f t="shared" si="410"/>
        <v>0</v>
      </c>
      <c r="BV487" s="310"/>
      <c r="BW487" s="311">
        <f t="shared" si="411"/>
        <v>0</v>
      </c>
      <c r="BX487" s="310"/>
      <c r="BY487" s="311">
        <f t="shared" si="412"/>
        <v>0</v>
      </c>
      <c r="BZ487" s="310">
        <v>900</v>
      </c>
      <c r="CA487" s="311">
        <f t="shared" si="413"/>
        <v>0.35294117647058826</v>
      </c>
      <c r="CB487" s="310">
        <v>1100</v>
      </c>
      <c r="CC487" s="311">
        <f t="shared" si="427"/>
        <v>0.43137254901960786</v>
      </c>
      <c r="CD487" s="310">
        <v>1520</v>
      </c>
      <c r="CE487" s="311">
        <f t="shared" si="428"/>
        <v>0.59607843137254901</v>
      </c>
      <c r="CF487" s="310">
        <v>1741</v>
      </c>
      <c r="CG487" s="311">
        <f t="shared" si="429"/>
        <v>0.68274509803921568</v>
      </c>
      <c r="CH487" s="310">
        <v>1915</v>
      </c>
      <c r="CI487" s="311">
        <f t="shared" si="430"/>
        <v>0.75098039215686274</v>
      </c>
      <c r="CJ487" s="310">
        <v>2141</v>
      </c>
      <c r="CK487" s="311">
        <f t="shared" si="414"/>
        <v>0.83960784313725489</v>
      </c>
      <c r="CL487" s="310">
        <v>2300</v>
      </c>
      <c r="CM487" s="311">
        <f t="shared" si="415"/>
        <v>0.90196078431372551</v>
      </c>
      <c r="CN487" s="310">
        <v>2422</v>
      </c>
      <c r="CO487" s="311">
        <f t="shared" si="416"/>
        <v>0.94980392156862747</v>
      </c>
      <c r="CP487" s="213" t="str">
        <f t="shared" si="418"/>
        <v>Đạt</v>
      </c>
      <c r="CQ487" s="213" t="str">
        <f t="shared" si="419"/>
        <v>Đạt</v>
      </c>
      <c r="CR487" s="312"/>
      <c r="CS487" s="312"/>
      <c r="CT487" s="235"/>
      <c r="CU487" s="163"/>
      <c r="CV487" s="362"/>
      <c r="CW487" s="359"/>
      <c r="CX487" s="360"/>
      <c r="CY487" s="196"/>
      <c r="CZ487" s="197"/>
      <c r="DA487" s="196"/>
      <c r="DB487" s="196"/>
      <c r="DC487" s="196"/>
      <c r="DE487" s="199"/>
      <c r="DF487" s="200"/>
      <c r="DG487" s="181"/>
    </row>
    <row r="488" spans="1:111" ht="18" customHeight="1" collapsed="1" x14ac:dyDescent="0.25">
      <c r="A488" s="213">
        <f>MAX(A$239:A486)+1</f>
        <v>70</v>
      </c>
      <c r="B488" s="240" t="s">
        <v>478</v>
      </c>
      <c r="C488" s="240"/>
      <c r="D488" s="188">
        <f t="shared" ref="D488:I488" si="436">D489+D490</f>
        <v>4700</v>
      </c>
      <c r="E488" s="188">
        <f t="shared" si="436"/>
        <v>0</v>
      </c>
      <c r="F488" s="188">
        <f t="shared" si="436"/>
        <v>4700</v>
      </c>
      <c r="G488" s="188">
        <f t="shared" si="436"/>
        <v>3000</v>
      </c>
      <c r="H488" s="188">
        <f t="shared" si="436"/>
        <v>1700</v>
      </c>
      <c r="I488" s="188">
        <f t="shared" si="436"/>
        <v>0</v>
      </c>
      <c r="J488" s="188"/>
      <c r="K488" s="188">
        <f>K489+K490</f>
        <v>0</v>
      </c>
      <c r="L488" s="188">
        <f>L489+L490</f>
        <v>0</v>
      </c>
      <c r="M488" s="188">
        <f>M489+M490</f>
        <v>0</v>
      </c>
      <c r="N488" s="188">
        <f>N489+N490</f>
        <v>0</v>
      </c>
      <c r="O488" s="188">
        <f>O489+O490</f>
        <v>3000</v>
      </c>
      <c r="P488" s="188">
        <v>0</v>
      </c>
      <c r="Q488" s="186">
        <f t="shared" si="417"/>
        <v>0</v>
      </c>
      <c r="R488" s="188">
        <v>0</v>
      </c>
      <c r="S488" s="185">
        <v>0</v>
      </c>
      <c r="T488" s="185">
        <v>0</v>
      </c>
      <c r="U488" s="188">
        <v>0</v>
      </c>
      <c r="V488" s="185">
        <v>0</v>
      </c>
      <c r="W488" s="185">
        <v>0</v>
      </c>
      <c r="X488" s="188">
        <v>0</v>
      </c>
      <c r="Y488" s="185">
        <v>0</v>
      </c>
      <c r="Z488" s="185">
        <v>0</v>
      </c>
      <c r="AA488" s="188">
        <v>0</v>
      </c>
      <c r="AB488" s="185">
        <v>0</v>
      </c>
      <c r="AC488" s="185">
        <v>0</v>
      </c>
      <c r="AD488" s="188">
        <v>323.27699999999999</v>
      </c>
      <c r="AE488" s="185">
        <v>6.8782340425531913E-2</v>
      </c>
      <c r="AF488" s="185">
        <v>7.2402463605823059E-2</v>
      </c>
      <c r="AG488" s="188">
        <v>323.27699999999999</v>
      </c>
      <c r="AH488" s="185">
        <v>6.8782340425531913E-2</v>
      </c>
      <c r="AI488" s="185">
        <v>7.2402463605823059E-2</v>
      </c>
      <c r="AJ488" s="307">
        <v>323.27699999999999</v>
      </c>
      <c r="AK488" s="185">
        <v>6.8782340425531913E-2</v>
      </c>
      <c r="AL488" s="185">
        <v>7.2402463605823059E-2</v>
      </c>
      <c r="AM488" s="188">
        <v>323.27699999999999</v>
      </c>
      <c r="AN488" s="185">
        <v>6.8782340425531913E-2</v>
      </c>
      <c r="AO488" s="185">
        <v>7.2402463605823059E-2</v>
      </c>
      <c r="AP488" s="185"/>
      <c r="AQ488" s="188">
        <v>1369.3629000000001</v>
      </c>
      <c r="AR488" s="185">
        <v>0.2913538085106383</v>
      </c>
      <c r="AS488" s="185">
        <v>0.30668821948488245</v>
      </c>
      <c r="AT488" s="188">
        <v>1369.3629000000001</v>
      </c>
      <c r="AU488" s="185">
        <v>0.2913538085106383</v>
      </c>
      <c r="AV488" s="185">
        <v>0.30668821948488245</v>
      </c>
      <c r="AW488" s="185"/>
      <c r="AX488" s="185"/>
      <c r="AY488" s="185"/>
      <c r="AZ488" s="185"/>
      <c r="BA488" s="185"/>
      <c r="BB488" s="185"/>
      <c r="BC488" s="188">
        <v>1369.3629000000001</v>
      </c>
      <c r="BD488" s="185">
        <v>0.2913538085106383</v>
      </c>
      <c r="BE488" s="185">
        <v>0.30668821948488245</v>
      </c>
      <c r="BF488" s="352"/>
      <c r="BG488" s="352">
        <v>1369.3629000000001</v>
      </c>
      <c r="BH488" s="185">
        <v>0.2913538085106383</v>
      </c>
      <c r="BI488" s="185">
        <v>0.30668821948488245</v>
      </c>
      <c r="BJ488" s="374">
        <f t="shared" si="406"/>
        <v>4465</v>
      </c>
      <c r="BK488" s="374">
        <v>1369.3629000000001</v>
      </c>
      <c r="BL488" s="185">
        <f t="shared" si="407"/>
        <v>0.2913538085106383</v>
      </c>
      <c r="BM488" s="185">
        <f t="shared" si="421"/>
        <v>0.30668821948488245</v>
      </c>
      <c r="BN488" s="205">
        <f t="shared" si="403"/>
        <v>1046.0859</v>
      </c>
      <c r="BO488" s="205"/>
      <c r="BP488" s="189">
        <f>BP489+BP490</f>
        <v>0</v>
      </c>
      <c r="BQ488" s="186">
        <f t="shared" si="408"/>
        <v>0</v>
      </c>
      <c r="BR488" s="189">
        <f>BR489+BR490</f>
        <v>0</v>
      </c>
      <c r="BS488" s="186">
        <f t="shared" si="409"/>
        <v>0</v>
      </c>
      <c r="BT488" s="189">
        <f>BT489+BT490</f>
        <v>0</v>
      </c>
      <c r="BU488" s="186">
        <f t="shared" si="410"/>
        <v>0</v>
      </c>
      <c r="BV488" s="189">
        <f>BV489+BV490</f>
        <v>0</v>
      </c>
      <c r="BW488" s="186">
        <f t="shared" si="411"/>
        <v>0</v>
      </c>
      <c r="BX488" s="189">
        <f>BX489+BX490</f>
        <v>0</v>
      </c>
      <c r="BY488" s="186">
        <f t="shared" si="412"/>
        <v>0</v>
      </c>
      <c r="BZ488" s="189">
        <f>BZ489+BZ490</f>
        <v>3050</v>
      </c>
      <c r="CA488" s="186">
        <f t="shared" si="413"/>
        <v>0.64893617021276595</v>
      </c>
      <c r="CB488" s="189">
        <f>CB489+CB490</f>
        <v>3270</v>
      </c>
      <c r="CC488" s="186">
        <f t="shared" si="427"/>
        <v>0.69574468085106378</v>
      </c>
      <c r="CD488" s="189">
        <f>CD489+CD490</f>
        <v>3540</v>
      </c>
      <c r="CE488" s="186">
        <f t="shared" si="428"/>
        <v>0.7531914893617021</v>
      </c>
      <c r="CF488" s="189">
        <f>CF489+CF490</f>
        <v>3660</v>
      </c>
      <c r="CG488" s="186">
        <f t="shared" si="429"/>
        <v>0.77872340425531916</v>
      </c>
      <c r="CH488" s="189">
        <f>CH489+CH490</f>
        <v>3780</v>
      </c>
      <c r="CI488" s="186">
        <f t="shared" si="430"/>
        <v>0.80425531914893622</v>
      </c>
      <c r="CJ488" s="189">
        <f>CJ489+CJ490</f>
        <v>4091</v>
      </c>
      <c r="CK488" s="186">
        <f t="shared" si="414"/>
        <v>0.87042553191489358</v>
      </c>
      <c r="CL488" s="189">
        <f>CL489+CL490</f>
        <v>4361</v>
      </c>
      <c r="CM488" s="186">
        <f t="shared" si="415"/>
        <v>0.92787234042553191</v>
      </c>
      <c r="CN488" s="189">
        <f>CN489+CN490</f>
        <v>4465</v>
      </c>
      <c r="CO488" s="186">
        <f t="shared" si="416"/>
        <v>0.95</v>
      </c>
      <c r="CP488" s="213" t="str">
        <f t="shared" si="418"/>
        <v>Không đạt</v>
      </c>
      <c r="CQ488" s="213" t="str">
        <f t="shared" si="419"/>
        <v>Không đạt</v>
      </c>
      <c r="CR488" s="213"/>
      <c r="CS488" s="213"/>
      <c r="CT488" s="231"/>
      <c r="CU488" s="163"/>
      <c r="CW488" s="195"/>
      <c r="CX488" s="196"/>
      <c r="CY488" s="196"/>
      <c r="CZ488" s="197"/>
      <c r="DA488" s="196"/>
      <c r="DB488" s="196"/>
      <c r="DC488" s="196"/>
      <c r="DE488" s="199"/>
      <c r="DF488" s="200"/>
      <c r="DG488" s="181"/>
    </row>
    <row r="489" spans="1:111" s="324" customFormat="1" ht="21.75" hidden="1" customHeight="1" outlineLevel="1" x14ac:dyDescent="0.25">
      <c r="A489" s="305" t="s">
        <v>34</v>
      </c>
      <c r="B489" s="306" t="s">
        <v>376</v>
      </c>
      <c r="C489" s="306"/>
      <c r="D489" s="307">
        <f>E489+F489</f>
        <v>3000</v>
      </c>
      <c r="E489" s="307"/>
      <c r="F489" s="307">
        <f>G489+H489+K489+M489</f>
        <v>3000</v>
      </c>
      <c r="G489" s="303">
        <v>3000</v>
      </c>
      <c r="H489" s="303"/>
      <c r="I489" s="235"/>
      <c r="J489" s="235"/>
      <c r="K489" s="303"/>
      <c r="L489" s="235"/>
      <c r="M489" s="223"/>
      <c r="N489" s="223"/>
      <c r="O489" s="303">
        <f t="shared" si="423"/>
        <v>3000</v>
      </c>
      <c r="P489" s="303">
        <v>0</v>
      </c>
      <c r="Q489" s="308">
        <f t="shared" si="417"/>
        <v>0</v>
      </c>
      <c r="R489" s="303"/>
      <c r="S489" s="313">
        <v>0</v>
      </c>
      <c r="T489" s="313">
        <v>0</v>
      </c>
      <c r="U489" s="303"/>
      <c r="V489" s="313">
        <v>0</v>
      </c>
      <c r="W489" s="313">
        <v>0</v>
      </c>
      <c r="X489" s="303"/>
      <c r="Y489" s="313">
        <v>0</v>
      </c>
      <c r="Z489" s="313">
        <v>0</v>
      </c>
      <c r="AA489" s="303"/>
      <c r="AB489" s="313">
        <v>0</v>
      </c>
      <c r="AC489" s="313">
        <v>0</v>
      </c>
      <c r="AD489" s="303">
        <v>323.27699999999999</v>
      </c>
      <c r="AE489" s="313">
        <v>0.10775899999999999</v>
      </c>
      <c r="AF489" s="313">
        <v>0.11343052631578947</v>
      </c>
      <c r="AG489" s="307">
        <v>323.27699999999999</v>
      </c>
      <c r="AH489" s="313">
        <v>0.10775899999999999</v>
      </c>
      <c r="AI489" s="313">
        <v>0.11343052631578947</v>
      </c>
      <c r="AJ489" s="364">
        <v>323.27699999999999</v>
      </c>
      <c r="AK489" s="313">
        <v>0.10775899999999999</v>
      </c>
      <c r="AL489" s="313">
        <v>0.11343052631578947</v>
      </c>
      <c r="AM489" s="307">
        <v>323.27699999999999</v>
      </c>
      <c r="AN489" s="313">
        <v>0.10775899999999999</v>
      </c>
      <c r="AO489" s="313">
        <v>0.11343052631578947</v>
      </c>
      <c r="AP489" s="313"/>
      <c r="AQ489" s="307">
        <v>1369.3629000000001</v>
      </c>
      <c r="AR489" s="313">
        <v>0.45645430000000004</v>
      </c>
      <c r="AS489" s="313">
        <v>0.48047821052631584</v>
      </c>
      <c r="AT489" s="307">
        <v>1369.3629000000001</v>
      </c>
      <c r="AU489" s="313">
        <v>0.45645430000000004</v>
      </c>
      <c r="AV489" s="313">
        <v>0.48047821052631584</v>
      </c>
      <c r="AW489" s="313"/>
      <c r="AX489" s="313"/>
      <c r="AY489" s="313"/>
      <c r="AZ489" s="313"/>
      <c r="BA489" s="313"/>
      <c r="BB489" s="313"/>
      <c r="BC489" s="307">
        <v>1369.3629000000001</v>
      </c>
      <c r="BD489" s="313">
        <v>0.45645430000000004</v>
      </c>
      <c r="BE489" s="313">
        <v>0.48047821052631584</v>
      </c>
      <c r="BF489" s="351"/>
      <c r="BG489" s="351">
        <v>1369.3629000000001</v>
      </c>
      <c r="BH489" s="313">
        <v>0.45645430000000004</v>
      </c>
      <c r="BI489" s="313">
        <v>0.48047821052631584</v>
      </c>
      <c r="BJ489" s="349">
        <f t="shared" si="406"/>
        <v>2850</v>
      </c>
      <c r="BK489" s="349">
        <v>1369.3629000000001</v>
      </c>
      <c r="BL489" s="313">
        <f t="shared" si="407"/>
        <v>0.45645430000000004</v>
      </c>
      <c r="BM489" s="313">
        <f t="shared" si="421"/>
        <v>0.48047821052631584</v>
      </c>
      <c r="BN489" s="205">
        <f t="shared" si="403"/>
        <v>1046.0859</v>
      </c>
      <c r="BO489" s="205"/>
      <c r="BP489" s="310"/>
      <c r="BQ489" s="311">
        <f t="shared" si="408"/>
        <v>0</v>
      </c>
      <c r="BR489" s="310"/>
      <c r="BS489" s="311">
        <f t="shared" si="409"/>
        <v>0</v>
      </c>
      <c r="BT489" s="310"/>
      <c r="BU489" s="308">
        <f t="shared" si="410"/>
        <v>0</v>
      </c>
      <c r="BV489" s="310"/>
      <c r="BW489" s="311">
        <f t="shared" si="411"/>
        <v>0</v>
      </c>
      <c r="BX489" s="310"/>
      <c r="BY489" s="311">
        <f t="shared" si="412"/>
        <v>0</v>
      </c>
      <c r="BZ489" s="310">
        <f>2850</f>
        <v>2850</v>
      </c>
      <c r="CA489" s="311">
        <f t="shared" si="413"/>
        <v>0.95</v>
      </c>
      <c r="CB489" s="310">
        <v>2850</v>
      </c>
      <c r="CC489" s="311">
        <f t="shared" si="427"/>
        <v>0.95</v>
      </c>
      <c r="CD489" s="310">
        <v>2850</v>
      </c>
      <c r="CE489" s="311">
        <f t="shared" si="428"/>
        <v>0.95</v>
      </c>
      <c r="CF489" s="310">
        <v>2850</v>
      </c>
      <c r="CG489" s="311">
        <f t="shared" si="429"/>
        <v>0.95</v>
      </c>
      <c r="CH489" s="310">
        <v>2850</v>
      </c>
      <c r="CI489" s="311">
        <f t="shared" si="430"/>
        <v>0.95</v>
      </c>
      <c r="CJ489" s="310">
        <v>2850</v>
      </c>
      <c r="CK489" s="311">
        <f t="shared" si="414"/>
        <v>0.95</v>
      </c>
      <c r="CL489" s="310">
        <v>2850</v>
      </c>
      <c r="CM489" s="311">
        <f t="shared" si="415"/>
        <v>0.95</v>
      </c>
      <c r="CN489" s="310">
        <v>2850</v>
      </c>
      <c r="CO489" s="311">
        <f t="shared" si="416"/>
        <v>0.95</v>
      </c>
      <c r="CP489" s="213" t="str">
        <f t="shared" si="418"/>
        <v>Đạt</v>
      </c>
      <c r="CQ489" s="213" t="str">
        <f t="shared" si="419"/>
        <v>Đạt</v>
      </c>
      <c r="CR489" s="312"/>
      <c r="CS489" s="312"/>
      <c r="CT489" s="235"/>
      <c r="CU489" s="163"/>
      <c r="CV489" s="323"/>
      <c r="CW489" s="195"/>
      <c r="CX489" s="196"/>
      <c r="CY489" s="196"/>
      <c r="CZ489" s="197"/>
      <c r="DA489" s="196"/>
      <c r="DB489" s="196"/>
      <c r="DC489" s="196"/>
      <c r="DE489" s="199"/>
      <c r="DF489" s="200"/>
      <c r="DG489" s="181"/>
    </row>
    <row r="490" spans="1:111" s="372" customFormat="1" ht="50.25" hidden="1" customHeight="1" outlineLevel="1" x14ac:dyDescent="0.25">
      <c r="A490" s="305" t="s">
        <v>34</v>
      </c>
      <c r="B490" s="365" t="s">
        <v>377</v>
      </c>
      <c r="C490" s="365"/>
      <c r="D490" s="366">
        <f>E490+F490</f>
        <v>1700</v>
      </c>
      <c r="E490" s="366"/>
      <c r="F490" s="366">
        <f>G490+H490+K490+M490</f>
        <v>1700</v>
      </c>
      <c r="G490" s="366"/>
      <c r="H490" s="366">
        <v>1700</v>
      </c>
      <c r="I490" s="367"/>
      <c r="J490" s="367"/>
      <c r="K490" s="364"/>
      <c r="L490" s="367"/>
      <c r="M490" s="368"/>
      <c r="N490" s="368"/>
      <c r="O490" s="364"/>
      <c r="P490" s="364">
        <v>0</v>
      </c>
      <c r="Q490" s="308">
        <f t="shared" si="417"/>
        <v>0</v>
      </c>
      <c r="R490" s="364"/>
      <c r="S490" s="313">
        <v>0</v>
      </c>
      <c r="T490" s="313">
        <v>0</v>
      </c>
      <c r="U490" s="364"/>
      <c r="V490" s="313">
        <v>0</v>
      </c>
      <c r="W490" s="313">
        <v>0</v>
      </c>
      <c r="X490" s="364"/>
      <c r="Y490" s="313">
        <v>0</v>
      </c>
      <c r="Z490" s="313">
        <v>0</v>
      </c>
      <c r="AA490" s="364"/>
      <c r="AB490" s="313">
        <v>0</v>
      </c>
      <c r="AC490" s="313">
        <v>0</v>
      </c>
      <c r="AD490" s="364"/>
      <c r="AE490" s="313">
        <v>0</v>
      </c>
      <c r="AF490" s="313">
        <v>0</v>
      </c>
      <c r="AG490" s="364"/>
      <c r="AH490" s="313">
        <v>0</v>
      </c>
      <c r="AI490" s="313">
        <v>0</v>
      </c>
      <c r="AJ490" s="188"/>
      <c r="AK490" s="313">
        <v>0</v>
      </c>
      <c r="AL490" s="313">
        <v>0</v>
      </c>
      <c r="AM490" s="364"/>
      <c r="AN490" s="313">
        <v>0</v>
      </c>
      <c r="AO490" s="313">
        <v>0</v>
      </c>
      <c r="AP490" s="313"/>
      <c r="AQ490" s="364"/>
      <c r="AR490" s="313">
        <v>0</v>
      </c>
      <c r="AS490" s="313">
        <v>0</v>
      </c>
      <c r="AT490" s="364"/>
      <c r="AU490" s="313">
        <v>0</v>
      </c>
      <c r="AV490" s="313">
        <v>0</v>
      </c>
      <c r="AW490" s="313"/>
      <c r="AX490" s="313"/>
      <c r="AY490" s="313"/>
      <c r="AZ490" s="313"/>
      <c r="BA490" s="313"/>
      <c r="BB490" s="313"/>
      <c r="BC490" s="364"/>
      <c r="BD490" s="313">
        <v>0</v>
      </c>
      <c r="BE490" s="313">
        <v>0</v>
      </c>
      <c r="BF490" s="351"/>
      <c r="BG490" s="351">
        <v>0</v>
      </c>
      <c r="BH490" s="313">
        <v>0</v>
      </c>
      <c r="BI490" s="313">
        <v>0</v>
      </c>
      <c r="BJ490" s="349">
        <f t="shared" si="406"/>
        <v>1615</v>
      </c>
      <c r="BK490" s="349">
        <v>0</v>
      </c>
      <c r="BL490" s="313">
        <f t="shared" si="407"/>
        <v>0</v>
      </c>
      <c r="BM490" s="313">
        <f t="shared" si="421"/>
        <v>0</v>
      </c>
      <c r="BN490" s="205">
        <f t="shared" si="403"/>
        <v>0</v>
      </c>
      <c r="BO490" s="205"/>
      <c r="BP490" s="310"/>
      <c r="BQ490" s="311">
        <f t="shared" si="408"/>
        <v>0</v>
      </c>
      <c r="BR490" s="310"/>
      <c r="BS490" s="311">
        <f t="shared" si="409"/>
        <v>0</v>
      </c>
      <c r="BT490" s="310"/>
      <c r="BU490" s="308">
        <f t="shared" si="410"/>
        <v>0</v>
      </c>
      <c r="BV490" s="310"/>
      <c r="BW490" s="311">
        <f t="shared" si="411"/>
        <v>0</v>
      </c>
      <c r="BX490" s="310"/>
      <c r="BY490" s="311">
        <f t="shared" si="412"/>
        <v>0</v>
      </c>
      <c r="BZ490" s="310">
        <v>200</v>
      </c>
      <c r="CA490" s="311">
        <f t="shared" si="413"/>
        <v>0.11764705882352941</v>
      </c>
      <c r="CB490" s="310">
        <v>420</v>
      </c>
      <c r="CC490" s="311">
        <f t="shared" si="427"/>
        <v>0.24705882352941178</v>
      </c>
      <c r="CD490" s="310">
        <v>690</v>
      </c>
      <c r="CE490" s="311">
        <f t="shared" si="428"/>
        <v>0.40588235294117647</v>
      </c>
      <c r="CF490" s="310">
        <v>810</v>
      </c>
      <c r="CG490" s="311">
        <f t="shared" si="429"/>
        <v>0.47647058823529409</v>
      </c>
      <c r="CH490" s="310">
        <v>930</v>
      </c>
      <c r="CI490" s="311">
        <f t="shared" si="430"/>
        <v>0.54705882352941182</v>
      </c>
      <c r="CJ490" s="310">
        <v>1241</v>
      </c>
      <c r="CK490" s="311">
        <f t="shared" si="414"/>
        <v>0.73</v>
      </c>
      <c r="CL490" s="310">
        <v>1511</v>
      </c>
      <c r="CM490" s="311">
        <f t="shared" si="415"/>
        <v>0.88882352941176468</v>
      </c>
      <c r="CN490" s="310">
        <f>1700*0.95</f>
        <v>1615</v>
      </c>
      <c r="CO490" s="311">
        <f t="shared" si="416"/>
        <v>0.95</v>
      </c>
      <c r="CP490" s="213" t="str">
        <f t="shared" si="418"/>
        <v>Không đạt</v>
      </c>
      <c r="CQ490" s="213" t="str">
        <f t="shared" si="419"/>
        <v>Không đạt</v>
      </c>
      <c r="CR490" s="312"/>
      <c r="CS490" s="312"/>
      <c r="CT490" s="367"/>
      <c r="CU490" s="163"/>
      <c r="CV490" s="369"/>
      <c r="CW490" s="370"/>
      <c r="CX490" s="371"/>
      <c r="CY490" s="196"/>
      <c r="CZ490" s="197"/>
      <c r="DA490" s="196"/>
      <c r="DB490" s="196"/>
      <c r="DC490" s="196"/>
      <c r="DE490" s="199"/>
      <c r="DF490" s="200"/>
      <c r="DG490" s="181"/>
    </row>
    <row r="491" spans="1:111" ht="18" customHeight="1" collapsed="1" x14ac:dyDescent="0.25">
      <c r="A491" s="213">
        <f>MAX(A$239:A488)+1</f>
        <v>71</v>
      </c>
      <c r="B491" s="240" t="s">
        <v>479</v>
      </c>
      <c r="C491" s="240"/>
      <c r="D491" s="188">
        <f t="shared" ref="D491:I491" si="437">D492+D493</f>
        <v>3850</v>
      </c>
      <c r="E491" s="188">
        <f t="shared" si="437"/>
        <v>0</v>
      </c>
      <c r="F491" s="188">
        <f t="shared" si="437"/>
        <v>3850</v>
      </c>
      <c r="G491" s="188">
        <f t="shared" si="437"/>
        <v>3000</v>
      </c>
      <c r="H491" s="188">
        <f t="shared" si="437"/>
        <v>850</v>
      </c>
      <c r="I491" s="188">
        <f t="shared" si="437"/>
        <v>0</v>
      </c>
      <c r="J491" s="188"/>
      <c r="K491" s="188">
        <f>K492+K493</f>
        <v>0</v>
      </c>
      <c r="L491" s="188">
        <f>L492+L493</f>
        <v>0</v>
      </c>
      <c r="M491" s="188">
        <f>M492+M493</f>
        <v>0</v>
      </c>
      <c r="N491" s="188">
        <f>N492+N493</f>
        <v>0</v>
      </c>
      <c r="O491" s="188">
        <f>O492+O493</f>
        <v>3000</v>
      </c>
      <c r="P491" s="188">
        <v>0</v>
      </c>
      <c r="Q491" s="186">
        <f t="shared" si="417"/>
        <v>0</v>
      </c>
      <c r="R491" s="188">
        <v>0</v>
      </c>
      <c r="S491" s="185">
        <v>0</v>
      </c>
      <c r="T491" s="185">
        <v>0</v>
      </c>
      <c r="U491" s="188">
        <v>0</v>
      </c>
      <c r="V491" s="185">
        <v>0</v>
      </c>
      <c r="W491" s="185">
        <v>0</v>
      </c>
      <c r="X491" s="188">
        <v>0</v>
      </c>
      <c r="Y491" s="185">
        <v>0</v>
      </c>
      <c r="Z491" s="185">
        <v>0</v>
      </c>
      <c r="AA491" s="188">
        <v>0</v>
      </c>
      <c r="AB491" s="185">
        <v>0</v>
      </c>
      <c r="AC491" s="185">
        <v>0</v>
      </c>
      <c r="AD491" s="188">
        <v>0</v>
      </c>
      <c r="AE491" s="185">
        <v>0</v>
      </c>
      <c r="AF491" s="185">
        <v>0</v>
      </c>
      <c r="AG491" s="188">
        <v>0</v>
      </c>
      <c r="AH491" s="185">
        <v>0</v>
      </c>
      <c r="AI491" s="185">
        <v>0</v>
      </c>
      <c r="AJ491" s="307">
        <v>0</v>
      </c>
      <c r="AK491" s="185">
        <v>0</v>
      </c>
      <c r="AL491" s="185">
        <v>0</v>
      </c>
      <c r="AM491" s="188">
        <v>0</v>
      </c>
      <c r="AN491" s="185">
        <v>0</v>
      </c>
      <c r="AO491" s="185">
        <v>0</v>
      </c>
      <c r="AP491" s="185"/>
      <c r="AQ491" s="188">
        <v>1201.6199999999999</v>
      </c>
      <c r="AR491" s="185">
        <v>0.31210909090909089</v>
      </c>
      <c r="AS491" s="185">
        <v>0.32853588516746407</v>
      </c>
      <c r="AT491" s="188">
        <v>1201.6199999999999</v>
      </c>
      <c r="AU491" s="185">
        <v>0.31210909090909089</v>
      </c>
      <c r="AV491" s="185">
        <v>0.32853588516746407</v>
      </c>
      <c r="AW491" s="185"/>
      <c r="AX491" s="185"/>
      <c r="AY491" s="185"/>
      <c r="AZ491" s="185"/>
      <c r="BA491" s="185"/>
      <c r="BB491" s="185"/>
      <c r="BC491" s="188">
        <v>1201.6199999999999</v>
      </c>
      <c r="BD491" s="185">
        <v>0.31210909090909089</v>
      </c>
      <c r="BE491" s="185">
        <v>0.32853588516746407</v>
      </c>
      <c r="BF491" s="352"/>
      <c r="BG491" s="352">
        <v>1410.17</v>
      </c>
      <c r="BH491" s="185">
        <v>0.36627792207792209</v>
      </c>
      <c r="BI491" s="185">
        <v>0.38555570745044432</v>
      </c>
      <c r="BJ491" s="374">
        <f t="shared" si="406"/>
        <v>3657.5</v>
      </c>
      <c r="BK491" s="374">
        <v>2429.11</v>
      </c>
      <c r="BL491" s="185">
        <f t="shared" si="407"/>
        <v>0.63093766233766235</v>
      </c>
      <c r="BM491" s="185">
        <f t="shared" si="421"/>
        <v>0.66414490772385515</v>
      </c>
      <c r="BN491" s="205">
        <f t="shared" si="403"/>
        <v>2429.11</v>
      </c>
      <c r="BO491" s="205"/>
      <c r="BP491" s="189">
        <f>BP492+BP493</f>
        <v>0</v>
      </c>
      <c r="BQ491" s="186">
        <f t="shared" si="408"/>
        <v>0</v>
      </c>
      <c r="BR491" s="189">
        <f>BR492+BR493</f>
        <v>200</v>
      </c>
      <c r="BS491" s="186">
        <f t="shared" si="409"/>
        <v>5.1948051948051951E-2</v>
      </c>
      <c r="BT491" s="189">
        <f>BT492+BT493</f>
        <v>370</v>
      </c>
      <c r="BU491" s="186">
        <f t="shared" si="410"/>
        <v>9.6103896103896108E-2</v>
      </c>
      <c r="BV491" s="189">
        <f>BV492+BV493</f>
        <v>500</v>
      </c>
      <c r="BW491" s="186">
        <f t="shared" si="411"/>
        <v>0.12987012987012986</v>
      </c>
      <c r="BX491" s="189">
        <f>BX492+BX493</f>
        <v>780</v>
      </c>
      <c r="BY491" s="186">
        <f t="shared" si="412"/>
        <v>0.20259740259740261</v>
      </c>
      <c r="BZ491" s="189">
        <f>BZ492+BZ493</f>
        <v>1200</v>
      </c>
      <c r="CA491" s="186">
        <f t="shared" si="413"/>
        <v>0.31168831168831168</v>
      </c>
      <c r="CB491" s="189">
        <f>CB492+CB493</f>
        <v>2000</v>
      </c>
      <c r="CC491" s="186">
        <f t="shared" si="427"/>
        <v>0.51948051948051943</v>
      </c>
      <c r="CD491" s="189">
        <f>CD492+CD493</f>
        <v>2850</v>
      </c>
      <c r="CE491" s="186">
        <f t="shared" si="428"/>
        <v>0.74025974025974028</v>
      </c>
      <c r="CF491" s="189">
        <f>CF492+CF493</f>
        <v>2850</v>
      </c>
      <c r="CG491" s="186">
        <f t="shared" si="429"/>
        <v>0.74025974025974028</v>
      </c>
      <c r="CH491" s="189">
        <f>CH492+CH493</f>
        <v>2850</v>
      </c>
      <c r="CI491" s="186">
        <f t="shared" si="430"/>
        <v>0.74025974025974028</v>
      </c>
      <c r="CJ491" s="189">
        <f>CJ492+CJ493</f>
        <v>2850</v>
      </c>
      <c r="CK491" s="186">
        <f t="shared" si="414"/>
        <v>0.74025974025974028</v>
      </c>
      <c r="CL491" s="189">
        <f>CL492+CL493</f>
        <v>2850</v>
      </c>
      <c r="CM491" s="186">
        <f t="shared" si="415"/>
        <v>0.74025974025974028</v>
      </c>
      <c r="CN491" s="189">
        <f>CN492+CN493</f>
        <v>3657.5</v>
      </c>
      <c r="CO491" s="186">
        <f t="shared" si="416"/>
        <v>0.95</v>
      </c>
      <c r="CP491" s="213" t="str">
        <f t="shared" si="418"/>
        <v>Đạt</v>
      </c>
      <c r="CQ491" s="213" t="str">
        <f t="shared" si="419"/>
        <v>Đạt</v>
      </c>
      <c r="CR491" s="213"/>
      <c r="CS491" s="213"/>
      <c r="CT491" s="231"/>
      <c r="CU491" s="163"/>
      <c r="CW491" s="195"/>
      <c r="CX491" s="196"/>
      <c r="CY491" s="196"/>
      <c r="CZ491" s="197"/>
      <c r="DA491" s="196"/>
      <c r="DB491" s="196"/>
      <c r="DC491" s="196"/>
      <c r="DE491" s="199"/>
      <c r="DF491" s="200"/>
      <c r="DG491" s="181"/>
    </row>
    <row r="492" spans="1:111" s="324" customFormat="1" hidden="1" outlineLevel="1" x14ac:dyDescent="0.25">
      <c r="A492" s="305" t="s">
        <v>34</v>
      </c>
      <c r="B492" s="306" t="s">
        <v>376</v>
      </c>
      <c r="C492" s="306"/>
      <c r="D492" s="307">
        <f>E492+F492</f>
        <v>3000</v>
      </c>
      <c r="E492" s="307"/>
      <c r="F492" s="307">
        <f>G492+H492+K492+M492</f>
        <v>3000</v>
      </c>
      <c r="G492" s="303">
        <v>3000</v>
      </c>
      <c r="H492" s="303"/>
      <c r="I492" s="235"/>
      <c r="J492" s="235"/>
      <c r="K492" s="303"/>
      <c r="L492" s="235"/>
      <c r="M492" s="223"/>
      <c r="N492" s="223"/>
      <c r="O492" s="303">
        <f t="shared" si="423"/>
        <v>3000</v>
      </c>
      <c r="P492" s="303">
        <v>0</v>
      </c>
      <c r="Q492" s="308">
        <f t="shared" si="417"/>
        <v>0</v>
      </c>
      <c r="R492" s="303"/>
      <c r="S492" s="313">
        <v>0</v>
      </c>
      <c r="T492" s="313">
        <v>0</v>
      </c>
      <c r="U492" s="303"/>
      <c r="V492" s="313">
        <v>0</v>
      </c>
      <c r="W492" s="313">
        <v>0</v>
      </c>
      <c r="X492" s="303"/>
      <c r="Y492" s="313">
        <v>0</v>
      </c>
      <c r="Z492" s="313">
        <v>0</v>
      </c>
      <c r="AA492" s="303"/>
      <c r="AB492" s="313">
        <v>0</v>
      </c>
      <c r="AC492" s="313">
        <v>0</v>
      </c>
      <c r="AD492" s="303"/>
      <c r="AE492" s="313">
        <v>0</v>
      </c>
      <c r="AF492" s="313">
        <v>0</v>
      </c>
      <c r="AG492" s="307"/>
      <c r="AH492" s="313">
        <v>0</v>
      </c>
      <c r="AI492" s="313">
        <v>0</v>
      </c>
      <c r="AJ492" s="303"/>
      <c r="AK492" s="313">
        <v>0</v>
      </c>
      <c r="AL492" s="313">
        <v>0</v>
      </c>
      <c r="AM492" s="307"/>
      <c r="AN492" s="313">
        <v>0</v>
      </c>
      <c r="AO492" s="313">
        <v>0</v>
      </c>
      <c r="AP492" s="313"/>
      <c r="AQ492" s="307">
        <v>1201.6199999999999</v>
      </c>
      <c r="AR492" s="313">
        <v>0.40053999999999995</v>
      </c>
      <c r="AS492" s="313">
        <v>0.4216210526315789</v>
      </c>
      <c r="AT492" s="307">
        <v>1201.6199999999999</v>
      </c>
      <c r="AU492" s="313">
        <v>0.40053999999999995</v>
      </c>
      <c r="AV492" s="313">
        <v>0.4216210526315789</v>
      </c>
      <c r="AW492" s="313"/>
      <c r="AX492" s="313"/>
      <c r="AY492" s="313"/>
      <c r="AZ492" s="313"/>
      <c r="BA492" s="313"/>
      <c r="BB492" s="313"/>
      <c r="BC492" s="307">
        <v>1201.6199999999999</v>
      </c>
      <c r="BD492" s="313">
        <v>0.40053999999999995</v>
      </c>
      <c r="BE492" s="313">
        <v>0.4216210526315789</v>
      </c>
      <c r="BF492" s="351"/>
      <c r="BG492" s="351">
        <v>1410.17</v>
      </c>
      <c r="BH492" s="313">
        <v>0.47005666666666668</v>
      </c>
      <c r="BI492" s="313">
        <v>0.49479649122807018</v>
      </c>
      <c r="BJ492" s="349">
        <f t="shared" si="406"/>
        <v>2850</v>
      </c>
      <c r="BK492" s="349">
        <v>2116.8000000000002</v>
      </c>
      <c r="BL492" s="313">
        <f t="shared" si="407"/>
        <v>0.70560000000000012</v>
      </c>
      <c r="BM492" s="313">
        <f t="shared" si="421"/>
        <v>0.74273684210526325</v>
      </c>
      <c r="BN492" s="205">
        <f t="shared" si="403"/>
        <v>2116.8000000000002</v>
      </c>
      <c r="BO492" s="205"/>
      <c r="BP492" s="310"/>
      <c r="BQ492" s="311">
        <f t="shared" si="408"/>
        <v>0</v>
      </c>
      <c r="BR492" s="310">
        <v>200</v>
      </c>
      <c r="BS492" s="311">
        <f t="shared" si="409"/>
        <v>6.6666666666666666E-2</v>
      </c>
      <c r="BT492" s="310">
        <v>370</v>
      </c>
      <c r="BU492" s="308">
        <f t="shared" si="410"/>
        <v>0.12333333333333334</v>
      </c>
      <c r="BV492" s="310">
        <v>500</v>
      </c>
      <c r="BW492" s="311">
        <f t="shared" si="411"/>
        <v>0.16666666666666666</v>
      </c>
      <c r="BX492" s="310">
        <v>780</v>
      </c>
      <c r="BY492" s="311">
        <f t="shared" si="412"/>
        <v>0.26</v>
      </c>
      <c r="BZ492" s="310">
        <v>1200</v>
      </c>
      <c r="CA492" s="311">
        <f t="shared" si="413"/>
        <v>0.4</v>
      </c>
      <c r="CB492" s="310">
        <v>2000</v>
      </c>
      <c r="CC492" s="311">
        <f t="shared" si="427"/>
        <v>0.66666666666666663</v>
      </c>
      <c r="CD492" s="310">
        <v>2850</v>
      </c>
      <c r="CE492" s="311">
        <f t="shared" si="428"/>
        <v>0.95</v>
      </c>
      <c r="CF492" s="310">
        <v>2850</v>
      </c>
      <c r="CG492" s="311">
        <f t="shared" si="429"/>
        <v>0.95</v>
      </c>
      <c r="CH492" s="310">
        <v>2850</v>
      </c>
      <c r="CI492" s="311">
        <f t="shared" si="430"/>
        <v>0.95</v>
      </c>
      <c r="CJ492" s="310">
        <v>2850</v>
      </c>
      <c r="CK492" s="311">
        <f t="shared" si="414"/>
        <v>0.95</v>
      </c>
      <c r="CL492" s="310">
        <v>2850</v>
      </c>
      <c r="CM492" s="311">
        <f t="shared" si="415"/>
        <v>0.95</v>
      </c>
      <c r="CN492" s="310">
        <v>2850</v>
      </c>
      <c r="CO492" s="311">
        <f t="shared" si="416"/>
        <v>0.95</v>
      </c>
      <c r="CP492" s="213" t="str">
        <f t="shared" si="418"/>
        <v>Đạt</v>
      </c>
      <c r="CQ492" s="213" t="str">
        <f t="shared" si="419"/>
        <v>Đạt</v>
      </c>
      <c r="CR492" s="312"/>
      <c r="CS492" s="312"/>
      <c r="CT492" s="235"/>
      <c r="CU492" s="163"/>
      <c r="CV492" s="323"/>
      <c r="CW492" s="195"/>
      <c r="CX492" s="196"/>
      <c r="CY492" s="196"/>
      <c r="CZ492" s="197"/>
      <c r="DA492" s="196"/>
      <c r="DB492" s="196"/>
      <c r="DC492" s="196"/>
      <c r="DE492" s="199"/>
      <c r="DF492" s="200"/>
      <c r="DG492" s="181"/>
    </row>
    <row r="493" spans="1:111" ht="25.5" hidden="1" outlineLevel="1" x14ac:dyDescent="0.25">
      <c r="A493" s="305" t="s">
        <v>34</v>
      </c>
      <c r="B493" s="306" t="s">
        <v>377</v>
      </c>
      <c r="C493" s="306"/>
      <c r="D493" s="307">
        <f>E493+F493</f>
        <v>850</v>
      </c>
      <c r="E493" s="307"/>
      <c r="F493" s="307">
        <f>G493+H493+K493+M493</f>
        <v>850</v>
      </c>
      <c r="G493" s="307"/>
      <c r="H493" s="307">
        <v>850</v>
      </c>
      <c r="I493" s="235"/>
      <c r="J493" s="235"/>
      <c r="K493" s="303"/>
      <c r="L493" s="235"/>
      <c r="M493" s="223"/>
      <c r="N493" s="223"/>
      <c r="O493" s="303"/>
      <c r="P493" s="303">
        <v>0</v>
      </c>
      <c r="Q493" s="308">
        <f t="shared" si="417"/>
        <v>0</v>
      </c>
      <c r="R493" s="303"/>
      <c r="S493" s="313">
        <v>0</v>
      </c>
      <c r="T493" s="313">
        <v>0</v>
      </c>
      <c r="U493" s="303"/>
      <c r="V493" s="313">
        <v>0</v>
      </c>
      <c r="W493" s="313">
        <v>0</v>
      </c>
      <c r="X493" s="303"/>
      <c r="Y493" s="313">
        <v>0</v>
      </c>
      <c r="Z493" s="313">
        <v>0</v>
      </c>
      <c r="AA493" s="303"/>
      <c r="AB493" s="313">
        <v>0</v>
      </c>
      <c r="AC493" s="313">
        <v>0</v>
      </c>
      <c r="AD493" s="303"/>
      <c r="AE493" s="313">
        <v>0</v>
      </c>
      <c r="AF493" s="313">
        <v>0</v>
      </c>
      <c r="AG493" s="303"/>
      <c r="AH493" s="313">
        <v>0</v>
      </c>
      <c r="AI493" s="313">
        <v>0</v>
      </c>
      <c r="AJ493" s="188"/>
      <c r="AK493" s="313">
        <v>0</v>
      </c>
      <c r="AL493" s="313">
        <v>0</v>
      </c>
      <c r="AM493" s="303"/>
      <c r="AN493" s="313">
        <v>0</v>
      </c>
      <c r="AO493" s="313">
        <v>0</v>
      </c>
      <c r="AP493" s="313"/>
      <c r="AQ493" s="303"/>
      <c r="AR493" s="313">
        <v>0</v>
      </c>
      <c r="AS493" s="313">
        <v>0</v>
      </c>
      <c r="AT493" s="303"/>
      <c r="AU493" s="313">
        <v>0</v>
      </c>
      <c r="AV493" s="313">
        <v>0</v>
      </c>
      <c r="AW493" s="313"/>
      <c r="AX493" s="313"/>
      <c r="AY493" s="313"/>
      <c r="AZ493" s="313"/>
      <c r="BA493" s="313"/>
      <c r="BB493" s="313"/>
      <c r="BC493" s="303"/>
      <c r="BD493" s="313">
        <v>0</v>
      </c>
      <c r="BE493" s="313">
        <v>0</v>
      </c>
      <c r="BF493" s="351"/>
      <c r="BG493" s="351">
        <v>0</v>
      </c>
      <c r="BH493" s="313">
        <v>0</v>
      </c>
      <c r="BI493" s="313">
        <v>0</v>
      </c>
      <c r="BJ493" s="349">
        <f t="shared" si="406"/>
        <v>807.5</v>
      </c>
      <c r="BK493" s="349">
        <v>0</v>
      </c>
      <c r="BL493" s="313">
        <f t="shared" si="407"/>
        <v>0</v>
      </c>
      <c r="BM493" s="313">
        <f t="shared" si="421"/>
        <v>0</v>
      </c>
      <c r="BN493" s="205">
        <f t="shared" si="403"/>
        <v>0</v>
      </c>
      <c r="BO493" s="205"/>
      <c r="BP493" s="310"/>
      <c r="BQ493" s="311">
        <f t="shared" si="408"/>
        <v>0</v>
      </c>
      <c r="BR493" s="310"/>
      <c r="BS493" s="311">
        <f t="shared" si="409"/>
        <v>0</v>
      </c>
      <c r="BT493" s="310"/>
      <c r="BU493" s="308">
        <f t="shared" si="410"/>
        <v>0</v>
      </c>
      <c r="BV493" s="310"/>
      <c r="BW493" s="311">
        <f t="shared" si="411"/>
        <v>0</v>
      </c>
      <c r="BX493" s="310"/>
      <c r="BY493" s="311">
        <f t="shared" si="412"/>
        <v>0</v>
      </c>
      <c r="BZ493" s="310"/>
      <c r="CA493" s="311">
        <f t="shared" si="413"/>
        <v>0</v>
      </c>
      <c r="CB493" s="310"/>
      <c r="CC493" s="311">
        <f t="shared" si="427"/>
        <v>0</v>
      </c>
      <c r="CD493" s="310"/>
      <c r="CE493" s="311">
        <f t="shared" si="428"/>
        <v>0</v>
      </c>
      <c r="CF493" s="310"/>
      <c r="CG493" s="311">
        <f t="shared" si="429"/>
        <v>0</v>
      </c>
      <c r="CH493" s="310"/>
      <c r="CI493" s="311">
        <f t="shared" si="430"/>
        <v>0</v>
      </c>
      <c r="CJ493" s="310"/>
      <c r="CK493" s="311">
        <f t="shared" si="414"/>
        <v>0</v>
      </c>
      <c r="CL493" s="310"/>
      <c r="CM493" s="311">
        <f t="shared" si="415"/>
        <v>0</v>
      </c>
      <c r="CN493" s="310">
        <v>807.5</v>
      </c>
      <c r="CO493" s="311">
        <f t="shared" si="416"/>
        <v>0.95</v>
      </c>
      <c r="CP493" s="213" t="str">
        <f t="shared" si="418"/>
        <v>Không đạt</v>
      </c>
      <c r="CQ493" s="213" t="str">
        <f t="shared" si="419"/>
        <v>Không đạt</v>
      </c>
      <c r="CR493" s="312"/>
      <c r="CS493" s="312"/>
      <c r="CT493" s="235"/>
      <c r="CU493" s="163"/>
      <c r="CW493" s="195"/>
      <c r="CX493" s="196"/>
      <c r="CY493" s="196"/>
      <c r="CZ493" s="197"/>
      <c r="DA493" s="196"/>
      <c r="DB493" s="196"/>
      <c r="DC493" s="196"/>
      <c r="DE493" s="199"/>
      <c r="DF493" s="200"/>
      <c r="DG493" s="181"/>
    </row>
    <row r="494" spans="1:111" ht="18" customHeight="1" collapsed="1" x14ac:dyDescent="0.25">
      <c r="A494" s="213">
        <f>MAX(A$239:A491)+1</f>
        <v>72</v>
      </c>
      <c r="B494" s="240" t="s">
        <v>480</v>
      </c>
      <c r="C494" s="240"/>
      <c r="D494" s="188">
        <f t="shared" ref="D494:I494" si="438">D495+D496</f>
        <v>3127</v>
      </c>
      <c r="E494" s="188">
        <f t="shared" si="438"/>
        <v>0</v>
      </c>
      <c r="F494" s="188">
        <f t="shared" si="438"/>
        <v>3127</v>
      </c>
      <c r="G494" s="188">
        <f t="shared" si="438"/>
        <v>3000</v>
      </c>
      <c r="H494" s="188">
        <f t="shared" si="438"/>
        <v>127</v>
      </c>
      <c r="I494" s="188">
        <f t="shared" si="438"/>
        <v>0</v>
      </c>
      <c r="J494" s="188"/>
      <c r="K494" s="188">
        <f>K495+K496</f>
        <v>0</v>
      </c>
      <c r="L494" s="188">
        <f>L495+L496</f>
        <v>0</v>
      </c>
      <c r="M494" s="188">
        <f>M495+M496</f>
        <v>0</v>
      </c>
      <c r="N494" s="188">
        <f>N495+N496</f>
        <v>0</v>
      </c>
      <c r="O494" s="188">
        <f>O495+O496</f>
        <v>3000</v>
      </c>
      <c r="P494" s="188">
        <v>0</v>
      </c>
      <c r="Q494" s="186">
        <f t="shared" si="417"/>
        <v>0</v>
      </c>
      <c r="R494" s="188">
        <v>0</v>
      </c>
      <c r="S494" s="185">
        <v>0</v>
      </c>
      <c r="T494" s="185">
        <v>0</v>
      </c>
      <c r="U494" s="188">
        <v>0</v>
      </c>
      <c r="V494" s="185">
        <v>0</v>
      </c>
      <c r="W494" s="185">
        <v>0</v>
      </c>
      <c r="X494" s="188">
        <v>0</v>
      </c>
      <c r="Y494" s="185">
        <v>0</v>
      </c>
      <c r="Z494" s="185">
        <v>0</v>
      </c>
      <c r="AA494" s="188">
        <v>0</v>
      </c>
      <c r="AB494" s="185">
        <v>0</v>
      </c>
      <c r="AC494" s="185">
        <v>0</v>
      </c>
      <c r="AD494" s="188">
        <v>909.61500000000001</v>
      </c>
      <c r="AE494" s="185">
        <v>0.29089062999680204</v>
      </c>
      <c r="AF494" s="185">
        <v>0.30620066315452849</v>
      </c>
      <c r="AG494" s="188">
        <v>909.61500000000001</v>
      </c>
      <c r="AH494" s="185">
        <v>0.29089062999680204</v>
      </c>
      <c r="AI494" s="185">
        <v>0.30620066315452849</v>
      </c>
      <c r="AJ494" s="307">
        <v>909.61500000000001</v>
      </c>
      <c r="AK494" s="185">
        <v>0.29089062999680204</v>
      </c>
      <c r="AL494" s="185">
        <v>0.30620066315452849</v>
      </c>
      <c r="AM494" s="188">
        <v>909.61500000000001</v>
      </c>
      <c r="AN494" s="185">
        <v>0.29089062999680204</v>
      </c>
      <c r="AO494" s="185">
        <v>0.30620066315452849</v>
      </c>
      <c r="AP494" s="185"/>
      <c r="AQ494" s="188">
        <v>909.61500000000001</v>
      </c>
      <c r="AR494" s="185">
        <v>0.29089062999680204</v>
      </c>
      <c r="AS494" s="185">
        <v>0.30620066315452849</v>
      </c>
      <c r="AT494" s="188">
        <v>909.61500000000001</v>
      </c>
      <c r="AU494" s="185">
        <v>0.29089062999680204</v>
      </c>
      <c r="AV494" s="185">
        <v>0.30620066315452849</v>
      </c>
      <c r="AW494" s="185"/>
      <c r="AX494" s="185"/>
      <c r="AY494" s="185"/>
      <c r="AZ494" s="185"/>
      <c r="BA494" s="185"/>
      <c r="BB494" s="185"/>
      <c r="BC494" s="188">
        <v>909.61500000000001</v>
      </c>
      <c r="BD494" s="185">
        <v>0.29089062999680204</v>
      </c>
      <c r="BE494" s="185">
        <v>0.30620066315452849</v>
      </c>
      <c r="BF494" s="352"/>
      <c r="BG494" s="352">
        <v>1444.26</v>
      </c>
      <c r="BH494" s="185">
        <v>0.46186760473297089</v>
      </c>
      <c r="BI494" s="185">
        <v>0.48617642603470629</v>
      </c>
      <c r="BJ494" s="374">
        <f t="shared" si="406"/>
        <v>2970.6499999999996</v>
      </c>
      <c r="BK494" s="374">
        <v>2142.123</v>
      </c>
      <c r="BL494" s="185">
        <f t="shared" si="407"/>
        <v>0.68504093380236653</v>
      </c>
      <c r="BM494" s="185">
        <f t="shared" si="421"/>
        <v>0.72109571979196485</v>
      </c>
      <c r="BN494" s="205">
        <f t="shared" si="403"/>
        <v>1232.508</v>
      </c>
      <c r="BO494" s="205"/>
      <c r="BP494" s="189">
        <f>BP495+BP496</f>
        <v>0</v>
      </c>
      <c r="BQ494" s="186">
        <f t="shared" si="408"/>
        <v>0</v>
      </c>
      <c r="BR494" s="189">
        <f>BR495+BR496</f>
        <v>0</v>
      </c>
      <c r="BS494" s="186">
        <f t="shared" si="409"/>
        <v>0</v>
      </c>
      <c r="BT494" s="189">
        <f>BT495+BT496</f>
        <v>312.7</v>
      </c>
      <c r="BU494" s="186">
        <f t="shared" si="410"/>
        <v>9.9999999999999992E-2</v>
      </c>
      <c r="BV494" s="189">
        <f>BV495+BV496</f>
        <v>625.4</v>
      </c>
      <c r="BW494" s="186">
        <f t="shared" si="411"/>
        <v>0.19999999999999998</v>
      </c>
      <c r="BX494" s="189">
        <f>BX495+BX496</f>
        <v>938.1</v>
      </c>
      <c r="BY494" s="186">
        <f t="shared" si="412"/>
        <v>0.3</v>
      </c>
      <c r="BZ494" s="189">
        <f>BZ495+BZ496</f>
        <v>1250.8</v>
      </c>
      <c r="CA494" s="186">
        <f t="shared" si="413"/>
        <v>0.39999999999999997</v>
      </c>
      <c r="CB494" s="189">
        <f>CB495+CB496</f>
        <v>1563.5</v>
      </c>
      <c r="CC494" s="186">
        <f t="shared" si="427"/>
        <v>0.5</v>
      </c>
      <c r="CD494" s="189">
        <f>CD495+CD496</f>
        <v>1719.8500000000001</v>
      </c>
      <c r="CE494" s="186">
        <f t="shared" si="428"/>
        <v>0.55000000000000004</v>
      </c>
      <c r="CF494" s="189">
        <f>CF495+CF496</f>
        <v>1876.2</v>
      </c>
      <c r="CG494" s="186">
        <f t="shared" si="429"/>
        <v>0.6</v>
      </c>
      <c r="CH494" s="189">
        <f>CH495+CH496</f>
        <v>2188.9</v>
      </c>
      <c r="CI494" s="186">
        <f t="shared" si="430"/>
        <v>0.70000000000000007</v>
      </c>
      <c r="CJ494" s="189">
        <f>CJ495+CJ496</f>
        <v>2345.25</v>
      </c>
      <c r="CK494" s="186">
        <f t="shared" si="414"/>
        <v>0.75</v>
      </c>
      <c r="CL494" s="189">
        <f>CL495+CL496</f>
        <v>2345.25</v>
      </c>
      <c r="CM494" s="186">
        <f t="shared" si="415"/>
        <v>0.75</v>
      </c>
      <c r="CN494" s="189">
        <f>CN495+CN496</f>
        <v>2970.65</v>
      </c>
      <c r="CO494" s="186">
        <f t="shared" si="416"/>
        <v>0.95000000000000007</v>
      </c>
      <c r="CP494" s="213" t="str">
        <f t="shared" si="418"/>
        <v>Đạt</v>
      </c>
      <c r="CQ494" s="213" t="str">
        <f t="shared" si="419"/>
        <v>Đạt</v>
      </c>
      <c r="CR494" s="213"/>
      <c r="CS494" s="213"/>
      <c r="CT494" s="231"/>
      <c r="CU494" s="163"/>
      <c r="CW494" s="195"/>
      <c r="CX494" s="196"/>
      <c r="CY494" s="196"/>
      <c r="CZ494" s="197"/>
      <c r="DA494" s="196"/>
      <c r="DB494" s="196"/>
      <c r="DC494" s="196"/>
      <c r="DE494" s="199"/>
      <c r="DF494" s="200"/>
      <c r="DG494" s="181"/>
    </row>
    <row r="495" spans="1:111" s="324" customFormat="1" hidden="1" outlineLevel="1" x14ac:dyDescent="0.25">
      <c r="A495" s="305" t="s">
        <v>34</v>
      </c>
      <c r="B495" s="306" t="s">
        <v>376</v>
      </c>
      <c r="C495" s="306"/>
      <c r="D495" s="307">
        <f>E495+F495</f>
        <v>3000</v>
      </c>
      <c r="E495" s="307"/>
      <c r="F495" s="307">
        <f>G495+H495+K495+M495</f>
        <v>3000</v>
      </c>
      <c r="G495" s="303">
        <v>3000</v>
      </c>
      <c r="H495" s="303"/>
      <c r="I495" s="235"/>
      <c r="J495" s="235"/>
      <c r="K495" s="303"/>
      <c r="L495" s="235"/>
      <c r="M495" s="223"/>
      <c r="N495" s="223"/>
      <c r="O495" s="303">
        <f t="shared" si="423"/>
        <v>3000</v>
      </c>
      <c r="P495" s="303">
        <v>0</v>
      </c>
      <c r="Q495" s="308">
        <f t="shared" si="417"/>
        <v>0</v>
      </c>
      <c r="R495" s="303"/>
      <c r="S495" s="309">
        <v>0</v>
      </c>
      <c r="T495" s="309">
        <v>0</v>
      </c>
      <c r="U495" s="303"/>
      <c r="V495" s="309">
        <v>0</v>
      </c>
      <c r="W495" s="309">
        <v>0</v>
      </c>
      <c r="X495" s="303"/>
      <c r="Y495" s="309">
        <v>0</v>
      </c>
      <c r="Z495" s="309">
        <v>0</v>
      </c>
      <c r="AA495" s="303"/>
      <c r="AB495" s="309">
        <v>0</v>
      </c>
      <c r="AC495" s="309">
        <v>0</v>
      </c>
      <c r="AD495" s="303">
        <v>909.61500000000001</v>
      </c>
      <c r="AE495" s="309">
        <v>0.303205</v>
      </c>
      <c r="AF495" s="309">
        <v>0.31916315789473687</v>
      </c>
      <c r="AG495" s="307">
        <v>909.61500000000001</v>
      </c>
      <c r="AH495" s="309">
        <v>0.303205</v>
      </c>
      <c r="AI495" s="309">
        <v>0.31916315789473687</v>
      </c>
      <c r="AJ495" s="303">
        <v>909.61500000000001</v>
      </c>
      <c r="AK495" s="309">
        <v>0.303205</v>
      </c>
      <c r="AL495" s="309">
        <v>0.31916315789473687</v>
      </c>
      <c r="AM495" s="307">
        <v>909.61500000000001</v>
      </c>
      <c r="AN495" s="309">
        <v>0.303205</v>
      </c>
      <c r="AO495" s="309">
        <v>0.31916315789473687</v>
      </c>
      <c r="AP495" s="309"/>
      <c r="AQ495" s="307">
        <v>909.61500000000001</v>
      </c>
      <c r="AR495" s="309">
        <v>0.303205</v>
      </c>
      <c r="AS495" s="309">
        <v>0.31916315789473687</v>
      </c>
      <c r="AT495" s="307">
        <v>909.61500000000001</v>
      </c>
      <c r="AU495" s="309">
        <v>0.303205</v>
      </c>
      <c r="AV495" s="309">
        <v>0.31916315789473687</v>
      </c>
      <c r="AW495" s="309"/>
      <c r="AX495" s="309"/>
      <c r="AY495" s="309"/>
      <c r="AZ495" s="309"/>
      <c r="BA495" s="309"/>
      <c r="BB495" s="309"/>
      <c r="BC495" s="307">
        <v>909.61500000000001</v>
      </c>
      <c r="BD495" s="309">
        <v>0.303205</v>
      </c>
      <c r="BE495" s="309">
        <v>0.31916315789473687</v>
      </c>
      <c r="BF495" s="351"/>
      <c r="BG495" s="351">
        <v>1444.26</v>
      </c>
      <c r="BH495" s="309">
        <v>0.48142000000000001</v>
      </c>
      <c r="BI495" s="309">
        <v>0.50675789473684207</v>
      </c>
      <c r="BJ495" s="349">
        <f t="shared" si="406"/>
        <v>2850</v>
      </c>
      <c r="BK495" s="349">
        <v>1444.26</v>
      </c>
      <c r="BL495" s="309">
        <f t="shared" si="407"/>
        <v>0.48142000000000001</v>
      </c>
      <c r="BM495" s="309">
        <f t="shared" si="421"/>
        <v>0.50675789473684207</v>
      </c>
      <c r="BN495" s="205">
        <f t="shared" si="403"/>
        <v>534.64499999999998</v>
      </c>
      <c r="BO495" s="205"/>
      <c r="BP495" s="310"/>
      <c r="BQ495" s="308">
        <f t="shared" si="408"/>
        <v>0</v>
      </c>
      <c r="BR495" s="310"/>
      <c r="BS495" s="308">
        <f t="shared" si="409"/>
        <v>0</v>
      </c>
      <c r="BT495" s="310">
        <f>$F495*0.1</f>
        <v>300</v>
      </c>
      <c r="BU495" s="308">
        <f t="shared" si="410"/>
        <v>0.1</v>
      </c>
      <c r="BV495" s="310">
        <f>$F495*0.2</f>
        <v>600</v>
      </c>
      <c r="BW495" s="308">
        <f t="shared" si="411"/>
        <v>0.2</v>
      </c>
      <c r="BX495" s="310">
        <f>$F495*0.3</f>
        <v>900</v>
      </c>
      <c r="BY495" s="308">
        <f t="shared" si="412"/>
        <v>0.3</v>
      </c>
      <c r="BZ495" s="310">
        <f>$F495*0.4</f>
        <v>1200</v>
      </c>
      <c r="CA495" s="308">
        <f t="shared" si="413"/>
        <v>0.4</v>
      </c>
      <c r="CB495" s="310">
        <f>$F495*0.5</f>
        <v>1500</v>
      </c>
      <c r="CC495" s="308">
        <f t="shared" si="427"/>
        <v>0.5</v>
      </c>
      <c r="CD495" s="310">
        <f>$F495*0.55</f>
        <v>1650.0000000000002</v>
      </c>
      <c r="CE495" s="308">
        <f t="shared" si="428"/>
        <v>0.55000000000000004</v>
      </c>
      <c r="CF495" s="310">
        <f>$F495*0.6</f>
        <v>1800</v>
      </c>
      <c r="CG495" s="308">
        <f t="shared" si="429"/>
        <v>0.6</v>
      </c>
      <c r="CH495" s="310">
        <f>$F495*0.7</f>
        <v>2100</v>
      </c>
      <c r="CI495" s="308">
        <f t="shared" si="430"/>
        <v>0.7</v>
      </c>
      <c r="CJ495" s="310">
        <f>$F495*0.75</f>
        <v>2250</v>
      </c>
      <c r="CK495" s="308">
        <f t="shared" si="414"/>
        <v>0.75</v>
      </c>
      <c r="CL495" s="310">
        <f>$F495*0.75</f>
        <v>2250</v>
      </c>
      <c r="CM495" s="308">
        <f t="shared" si="415"/>
        <v>0.75</v>
      </c>
      <c r="CN495" s="310">
        <f>$F495*0.95</f>
        <v>2850</v>
      </c>
      <c r="CO495" s="308">
        <f t="shared" si="416"/>
        <v>0.95</v>
      </c>
      <c r="CP495" s="213" t="str">
        <f t="shared" si="418"/>
        <v>Đạt</v>
      </c>
      <c r="CQ495" s="213" t="str">
        <f t="shared" si="419"/>
        <v>Đạt</v>
      </c>
      <c r="CR495" s="312"/>
      <c r="CS495" s="312"/>
      <c r="CT495" s="235"/>
      <c r="CU495" s="163"/>
      <c r="CV495" s="323"/>
      <c r="CW495" s="195"/>
      <c r="CX495" s="196"/>
      <c r="CY495" s="196"/>
      <c r="CZ495" s="197"/>
      <c r="DA495" s="196"/>
      <c r="DB495" s="196"/>
      <c r="DC495" s="196"/>
      <c r="DE495" s="199"/>
      <c r="DF495" s="200"/>
      <c r="DG495" s="181"/>
    </row>
    <row r="496" spans="1:111" ht="25.5" hidden="1" outlineLevel="1" x14ac:dyDescent="0.25">
      <c r="A496" s="305" t="s">
        <v>34</v>
      </c>
      <c r="B496" s="306" t="s">
        <v>377</v>
      </c>
      <c r="C496" s="306"/>
      <c r="D496" s="307">
        <f>E496+F496</f>
        <v>127</v>
      </c>
      <c r="E496" s="307"/>
      <c r="F496" s="307">
        <f>G496+H496+K496+M496</f>
        <v>127</v>
      </c>
      <c r="G496" s="307"/>
      <c r="H496" s="307">
        <v>127</v>
      </c>
      <c r="I496" s="235"/>
      <c r="J496" s="235"/>
      <c r="K496" s="303"/>
      <c r="L496" s="235"/>
      <c r="M496" s="223"/>
      <c r="N496" s="223"/>
      <c r="O496" s="303"/>
      <c r="P496" s="303">
        <v>0</v>
      </c>
      <c r="Q496" s="308">
        <f t="shared" si="417"/>
        <v>0</v>
      </c>
      <c r="R496" s="303"/>
      <c r="S496" s="309">
        <v>0</v>
      </c>
      <c r="T496" s="309">
        <v>0</v>
      </c>
      <c r="U496" s="303"/>
      <c r="V496" s="309">
        <v>0</v>
      </c>
      <c r="W496" s="309">
        <v>0</v>
      </c>
      <c r="X496" s="303"/>
      <c r="Y496" s="309">
        <v>0</v>
      </c>
      <c r="Z496" s="309">
        <v>0</v>
      </c>
      <c r="AA496" s="303"/>
      <c r="AB496" s="309">
        <v>0</v>
      </c>
      <c r="AC496" s="309">
        <v>0</v>
      </c>
      <c r="AD496" s="303"/>
      <c r="AE496" s="309">
        <v>0</v>
      </c>
      <c r="AF496" s="309">
        <v>0</v>
      </c>
      <c r="AG496" s="303"/>
      <c r="AH496" s="309">
        <v>0</v>
      </c>
      <c r="AI496" s="309">
        <v>0</v>
      </c>
      <c r="AJ496" s="188"/>
      <c r="AK496" s="309">
        <v>0</v>
      </c>
      <c r="AL496" s="309">
        <v>0</v>
      </c>
      <c r="AM496" s="303"/>
      <c r="AN496" s="309">
        <v>0</v>
      </c>
      <c r="AO496" s="309">
        <v>0</v>
      </c>
      <c r="AP496" s="309"/>
      <c r="AQ496" s="303"/>
      <c r="AR496" s="309">
        <v>0</v>
      </c>
      <c r="AS496" s="309">
        <v>0</v>
      </c>
      <c r="AT496" s="303"/>
      <c r="AU496" s="309">
        <v>0</v>
      </c>
      <c r="AV496" s="309">
        <v>0</v>
      </c>
      <c r="AW496" s="309"/>
      <c r="AX496" s="309"/>
      <c r="AY496" s="309"/>
      <c r="AZ496" s="309"/>
      <c r="BA496" s="309"/>
      <c r="BB496" s="309"/>
      <c r="BC496" s="303"/>
      <c r="BD496" s="309">
        <v>0</v>
      </c>
      <c r="BE496" s="309">
        <v>0</v>
      </c>
      <c r="BF496" s="351"/>
      <c r="BG496" s="351">
        <v>0</v>
      </c>
      <c r="BH496" s="309">
        <v>0</v>
      </c>
      <c r="BI496" s="309">
        <v>0</v>
      </c>
      <c r="BJ496" s="349">
        <f t="shared" si="406"/>
        <v>120.64999999999999</v>
      </c>
      <c r="BK496" s="349">
        <v>0</v>
      </c>
      <c r="BL496" s="309">
        <f t="shared" si="407"/>
        <v>0</v>
      </c>
      <c r="BM496" s="309">
        <f t="shared" si="421"/>
        <v>0</v>
      </c>
      <c r="BN496" s="205">
        <f t="shared" si="403"/>
        <v>0</v>
      </c>
      <c r="BO496" s="205"/>
      <c r="BP496" s="310"/>
      <c r="BQ496" s="308">
        <f t="shared" si="408"/>
        <v>0</v>
      </c>
      <c r="BR496" s="310"/>
      <c r="BS496" s="308">
        <f t="shared" si="409"/>
        <v>0</v>
      </c>
      <c r="BT496" s="310">
        <f>$F496*0.1</f>
        <v>12.700000000000001</v>
      </c>
      <c r="BU496" s="308">
        <f t="shared" si="410"/>
        <v>0.1</v>
      </c>
      <c r="BV496" s="310">
        <f>$F496*0.2</f>
        <v>25.400000000000002</v>
      </c>
      <c r="BW496" s="308">
        <f t="shared" si="411"/>
        <v>0.2</v>
      </c>
      <c r="BX496" s="310">
        <f>$F496*0.3</f>
        <v>38.1</v>
      </c>
      <c r="BY496" s="308">
        <f t="shared" si="412"/>
        <v>0.3</v>
      </c>
      <c r="BZ496" s="310">
        <f>$F496*0.4</f>
        <v>50.800000000000004</v>
      </c>
      <c r="CA496" s="308">
        <f t="shared" si="413"/>
        <v>0.4</v>
      </c>
      <c r="CB496" s="310">
        <f>$F496*0.5</f>
        <v>63.5</v>
      </c>
      <c r="CC496" s="308">
        <f t="shared" si="427"/>
        <v>0.5</v>
      </c>
      <c r="CD496" s="310">
        <f>$F496*0.55</f>
        <v>69.850000000000009</v>
      </c>
      <c r="CE496" s="308">
        <f t="shared" si="428"/>
        <v>0.55000000000000004</v>
      </c>
      <c r="CF496" s="310">
        <f>$F496*0.6</f>
        <v>76.2</v>
      </c>
      <c r="CG496" s="308">
        <f t="shared" si="429"/>
        <v>0.6</v>
      </c>
      <c r="CH496" s="310">
        <f>$F496*0.7</f>
        <v>88.899999999999991</v>
      </c>
      <c r="CI496" s="308">
        <f t="shared" si="430"/>
        <v>0.7</v>
      </c>
      <c r="CJ496" s="310">
        <f>$F496*0.75</f>
        <v>95.25</v>
      </c>
      <c r="CK496" s="308">
        <f t="shared" si="414"/>
        <v>0.75</v>
      </c>
      <c r="CL496" s="310">
        <f>$F496*0.75</f>
        <v>95.25</v>
      </c>
      <c r="CM496" s="308">
        <f t="shared" si="415"/>
        <v>0.75</v>
      </c>
      <c r="CN496" s="310">
        <f>$F496*0.95</f>
        <v>120.64999999999999</v>
      </c>
      <c r="CO496" s="308">
        <f t="shared" si="416"/>
        <v>0.95</v>
      </c>
      <c r="CP496" s="213" t="str">
        <f t="shared" si="418"/>
        <v>Không đạt</v>
      </c>
      <c r="CQ496" s="213" t="str">
        <f t="shared" si="419"/>
        <v>Không đạt</v>
      </c>
      <c r="CR496" s="312"/>
      <c r="CS496" s="312"/>
      <c r="CT496" s="235"/>
      <c r="CU496" s="163"/>
      <c r="CW496" s="195"/>
      <c r="CX496" s="196"/>
      <c r="CY496" s="196"/>
      <c r="CZ496" s="197"/>
      <c r="DA496" s="196"/>
      <c r="DB496" s="196"/>
      <c r="DC496" s="196"/>
      <c r="DE496" s="199"/>
      <c r="DF496" s="200"/>
      <c r="DG496" s="181"/>
    </row>
    <row r="497" spans="1:111" ht="18" customHeight="1" collapsed="1" x14ac:dyDescent="0.25">
      <c r="A497" s="213">
        <f>MAX(A$239:A494)+1</f>
        <v>73</v>
      </c>
      <c r="B497" s="240" t="s">
        <v>481</v>
      </c>
      <c r="C497" s="240"/>
      <c r="D497" s="188">
        <f t="shared" ref="D497:I497" si="439">D498+D500+D501</f>
        <v>38425</v>
      </c>
      <c r="E497" s="188">
        <f t="shared" si="439"/>
        <v>0</v>
      </c>
      <c r="F497" s="188">
        <f t="shared" si="439"/>
        <v>38425</v>
      </c>
      <c r="G497" s="188">
        <f t="shared" si="439"/>
        <v>13000</v>
      </c>
      <c r="H497" s="188">
        <f t="shared" si="439"/>
        <v>25425</v>
      </c>
      <c r="I497" s="188">
        <f t="shared" si="439"/>
        <v>0</v>
      </c>
      <c r="J497" s="188"/>
      <c r="K497" s="188">
        <f>K498+K500+K501</f>
        <v>0</v>
      </c>
      <c r="L497" s="188">
        <f>L498+L500+L501</f>
        <v>0</v>
      </c>
      <c r="M497" s="188">
        <f>M498+M500+M501</f>
        <v>0</v>
      </c>
      <c r="N497" s="188">
        <f>N498+N500+N501</f>
        <v>0</v>
      </c>
      <c r="O497" s="188">
        <f>O498+O500+O501</f>
        <v>13000</v>
      </c>
      <c r="P497" s="188">
        <v>0</v>
      </c>
      <c r="Q497" s="186">
        <f t="shared" si="417"/>
        <v>0</v>
      </c>
      <c r="R497" s="188">
        <v>0</v>
      </c>
      <c r="S497" s="185">
        <v>0</v>
      </c>
      <c r="T497" s="185">
        <v>0</v>
      </c>
      <c r="U497" s="188">
        <v>501.61723599999999</v>
      </c>
      <c r="V497" s="185">
        <v>1.3054449863370201E-2</v>
      </c>
      <c r="W497" s="185">
        <v>1.3741526171968632E-2</v>
      </c>
      <c r="X497" s="188">
        <v>501.61723599999999</v>
      </c>
      <c r="Y497" s="185">
        <v>1.3054449863370201E-2</v>
      </c>
      <c r="Z497" s="185">
        <v>1.3741526171968632E-2</v>
      </c>
      <c r="AA497" s="188">
        <v>501.61723599999999</v>
      </c>
      <c r="AB497" s="185">
        <v>1.3054449863370201E-2</v>
      </c>
      <c r="AC497" s="185">
        <v>1.3741526171968632E-2</v>
      </c>
      <c r="AD497" s="188">
        <v>2020.509648</v>
      </c>
      <c r="AE497" s="185">
        <v>5.2583204892648013E-2</v>
      </c>
      <c r="AF497" s="185">
        <v>5.5350741992261067E-2</v>
      </c>
      <c r="AG497" s="188">
        <v>2020.509648</v>
      </c>
      <c r="AH497" s="185">
        <v>5.2583204892648013E-2</v>
      </c>
      <c r="AI497" s="185">
        <v>5.5350741992261067E-2</v>
      </c>
      <c r="AJ497" s="317">
        <v>2020.509648</v>
      </c>
      <c r="AK497" s="185">
        <v>5.2583204892648013E-2</v>
      </c>
      <c r="AL497" s="185">
        <v>5.5350741992261067E-2</v>
      </c>
      <c r="AM497" s="188">
        <v>2020.509648</v>
      </c>
      <c r="AN497" s="185">
        <v>5.2583204892648013E-2</v>
      </c>
      <c r="AO497" s="185">
        <v>5.5350741992261067E-2</v>
      </c>
      <c r="AP497" s="185"/>
      <c r="AQ497" s="188">
        <v>7299.8275509999994</v>
      </c>
      <c r="AR497" s="185">
        <v>0.18997599351984384</v>
      </c>
      <c r="AS497" s="185">
        <v>0.19997473002088825</v>
      </c>
      <c r="AT497" s="188">
        <v>7299.8275509999994</v>
      </c>
      <c r="AU497" s="185">
        <v>0.18997599351984384</v>
      </c>
      <c r="AV497" s="185">
        <v>0.19997473002088825</v>
      </c>
      <c r="AW497" s="185"/>
      <c r="AX497" s="185"/>
      <c r="AY497" s="185"/>
      <c r="AZ497" s="185"/>
      <c r="BA497" s="185"/>
      <c r="BB497" s="185"/>
      <c r="BC497" s="188">
        <v>7299.8275509999994</v>
      </c>
      <c r="BD497" s="185">
        <v>0.18997599351984384</v>
      </c>
      <c r="BE497" s="185">
        <v>0.19997473002088825</v>
      </c>
      <c r="BF497" s="352"/>
      <c r="BG497" s="352">
        <v>11335.739648000001</v>
      </c>
      <c r="BH497" s="185">
        <v>0.29500948986337022</v>
      </c>
      <c r="BI497" s="185">
        <v>0.31053630511933705</v>
      </c>
      <c r="BJ497" s="374">
        <f t="shared" si="406"/>
        <v>36503.75</v>
      </c>
      <c r="BK497" s="374">
        <v>11622.739647999999</v>
      </c>
      <c r="BL497" s="185">
        <f t="shared" si="407"/>
        <v>0.30247858550422901</v>
      </c>
      <c r="BM497" s="185">
        <f t="shared" si="421"/>
        <v>0.31839851105708317</v>
      </c>
      <c r="BN497" s="205">
        <f t="shared" si="403"/>
        <v>9602.23</v>
      </c>
      <c r="BO497" s="205"/>
      <c r="BP497" s="189">
        <f>BP498+BP500+BP501</f>
        <v>0</v>
      </c>
      <c r="BQ497" s="186">
        <f t="shared" si="408"/>
        <v>0</v>
      </c>
      <c r="BR497" s="189">
        <f>BR498+BR500+BR501</f>
        <v>0</v>
      </c>
      <c r="BS497" s="186">
        <f t="shared" si="409"/>
        <v>0</v>
      </c>
      <c r="BT497" s="189">
        <f>BT498+BT500+BT501</f>
        <v>3842.5</v>
      </c>
      <c r="BU497" s="186">
        <f t="shared" si="410"/>
        <v>0.1</v>
      </c>
      <c r="BV497" s="189">
        <f>BV498+BV500+BV501</f>
        <v>7685</v>
      </c>
      <c r="BW497" s="186">
        <f t="shared" si="411"/>
        <v>0.2</v>
      </c>
      <c r="BX497" s="189">
        <f>BX498+BX500+BX501</f>
        <v>11527.5</v>
      </c>
      <c r="BY497" s="186">
        <f t="shared" si="412"/>
        <v>0.3</v>
      </c>
      <c r="BZ497" s="189">
        <f>BZ498+BZ500+BZ501</f>
        <v>15370</v>
      </c>
      <c r="CA497" s="186">
        <f t="shared" si="413"/>
        <v>0.4</v>
      </c>
      <c r="CB497" s="189">
        <f>CB498+CB500+CB501</f>
        <v>19212.5</v>
      </c>
      <c r="CC497" s="186">
        <f t="shared" si="427"/>
        <v>0.5</v>
      </c>
      <c r="CD497" s="189">
        <f>CD498+CD500+CD501</f>
        <v>21133.75</v>
      </c>
      <c r="CE497" s="186">
        <f t="shared" si="428"/>
        <v>0.55000000000000004</v>
      </c>
      <c r="CF497" s="189">
        <f>CF498+CF500+CF501</f>
        <v>26897.5</v>
      </c>
      <c r="CG497" s="186">
        <f t="shared" si="429"/>
        <v>0.7</v>
      </c>
      <c r="CH497" s="189">
        <f>CH498+CH500+CH501</f>
        <v>26897.5</v>
      </c>
      <c r="CI497" s="186">
        <f t="shared" si="430"/>
        <v>0.7</v>
      </c>
      <c r="CJ497" s="189">
        <f>CJ498+CJ500+CJ501</f>
        <v>28818.75</v>
      </c>
      <c r="CK497" s="186">
        <f t="shared" si="414"/>
        <v>0.75</v>
      </c>
      <c r="CL497" s="189">
        <f>CL498+CL500+CL501</f>
        <v>30740</v>
      </c>
      <c r="CM497" s="186">
        <f t="shared" si="415"/>
        <v>0.8</v>
      </c>
      <c r="CN497" s="189">
        <f>CN498+CN500+CN501</f>
        <v>36503.75</v>
      </c>
      <c r="CO497" s="186">
        <f t="shared" si="416"/>
        <v>0.95</v>
      </c>
      <c r="CP497" s="213" t="str">
        <f t="shared" si="418"/>
        <v>Không đạt</v>
      </c>
      <c r="CQ497" s="213" t="str">
        <f t="shared" si="419"/>
        <v>Không đạt</v>
      </c>
      <c r="CR497" s="213"/>
      <c r="CS497" s="213"/>
      <c r="CT497" s="231"/>
      <c r="CU497" s="163"/>
      <c r="CW497" s="195"/>
      <c r="CX497" s="196"/>
      <c r="CY497" s="196"/>
      <c r="CZ497" s="197"/>
      <c r="DA497" s="196"/>
      <c r="DB497" s="196"/>
      <c r="DC497" s="196"/>
      <c r="DE497" s="199"/>
      <c r="DF497" s="200"/>
      <c r="DG497" s="181"/>
    </row>
    <row r="498" spans="1:111" s="324" customFormat="1" hidden="1" outlineLevel="1" x14ac:dyDescent="0.25">
      <c r="A498" s="305" t="s">
        <v>34</v>
      </c>
      <c r="B498" s="318" t="s">
        <v>381</v>
      </c>
      <c r="C498" s="306"/>
      <c r="D498" s="317">
        <f t="shared" ref="D498:I498" si="440">D499</f>
        <v>35000</v>
      </c>
      <c r="E498" s="317">
        <f t="shared" si="440"/>
        <v>0</v>
      </c>
      <c r="F498" s="317">
        <f t="shared" si="440"/>
        <v>35000</v>
      </c>
      <c r="G498" s="317">
        <f t="shared" si="440"/>
        <v>10000</v>
      </c>
      <c r="H498" s="317">
        <f t="shared" si="440"/>
        <v>25000</v>
      </c>
      <c r="I498" s="214">
        <f t="shared" si="440"/>
        <v>0</v>
      </c>
      <c r="J498" s="214"/>
      <c r="K498" s="317">
        <f>K499</f>
        <v>0</v>
      </c>
      <c r="L498" s="214">
        <f>L499</f>
        <v>0</v>
      </c>
      <c r="M498" s="223"/>
      <c r="N498" s="223"/>
      <c r="O498" s="317">
        <f t="shared" si="423"/>
        <v>10000</v>
      </c>
      <c r="P498" s="317">
        <v>0</v>
      </c>
      <c r="Q498" s="319">
        <f t="shared" si="417"/>
        <v>0</v>
      </c>
      <c r="R498" s="317">
        <v>0</v>
      </c>
      <c r="S498" s="187">
        <v>0</v>
      </c>
      <c r="T498" s="187">
        <v>0</v>
      </c>
      <c r="U498" s="317">
        <v>0</v>
      </c>
      <c r="V498" s="187">
        <v>0</v>
      </c>
      <c r="W498" s="187">
        <v>0</v>
      </c>
      <c r="X498" s="317">
        <v>0</v>
      </c>
      <c r="Y498" s="187">
        <v>0</v>
      </c>
      <c r="Z498" s="187">
        <v>0</v>
      </c>
      <c r="AA498" s="317">
        <v>0</v>
      </c>
      <c r="AB498" s="187">
        <v>0</v>
      </c>
      <c r="AC498" s="187">
        <v>0</v>
      </c>
      <c r="AD498" s="317">
        <v>920</v>
      </c>
      <c r="AE498" s="187">
        <v>2.6285714285714287E-2</v>
      </c>
      <c r="AF498" s="187">
        <v>2.7669172932330826E-2</v>
      </c>
      <c r="AG498" s="317">
        <v>920</v>
      </c>
      <c r="AH498" s="187">
        <v>2.6285714285714287E-2</v>
      </c>
      <c r="AI498" s="187">
        <v>2.7669172932330826E-2</v>
      </c>
      <c r="AJ498" s="214">
        <v>920</v>
      </c>
      <c r="AK498" s="187">
        <v>2.6285714285714287E-2</v>
      </c>
      <c r="AL498" s="187">
        <v>2.7669172932330826E-2</v>
      </c>
      <c r="AM498" s="317">
        <v>920</v>
      </c>
      <c r="AN498" s="187">
        <v>2.6285714285714287E-2</v>
      </c>
      <c r="AO498" s="187">
        <v>2.7669172932330826E-2</v>
      </c>
      <c r="AP498" s="187"/>
      <c r="AQ498" s="317">
        <v>5820.3419999999996</v>
      </c>
      <c r="AR498" s="187">
        <v>0.16629548571428571</v>
      </c>
      <c r="AS498" s="187">
        <v>0.17504787969924812</v>
      </c>
      <c r="AT498" s="317">
        <v>5820.3419999999996</v>
      </c>
      <c r="AU498" s="187">
        <v>0.16629548571428571</v>
      </c>
      <c r="AV498" s="187">
        <v>0.17504787969924812</v>
      </c>
      <c r="AW498" s="187"/>
      <c r="AX498" s="187"/>
      <c r="AY498" s="187"/>
      <c r="AZ498" s="187"/>
      <c r="BA498" s="187"/>
      <c r="BB498" s="187"/>
      <c r="BC498" s="317">
        <v>5820.3419999999996</v>
      </c>
      <c r="BD498" s="187">
        <v>0.16629548571428571</v>
      </c>
      <c r="BE498" s="187">
        <v>0.17504787969924812</v>
      </c>
      <c r="BF498" s="349"/>
      <c r="BG498" s="349">
        <v>9500</v>
      </c>
      <c r="BH498" s="187">
        <v>0.27142857142857141</v>
      </c>
      <c r="BI498" s="187">
        <v>0.2857142857142857</v>
      </c>
      <c r="BJ498" s="349">
        <f t="shared" si="406"/>
        <v>33250</v>
      </c>
      <c r="BK498" s="349">
        <v>9500</v>
      </c>
      <c r="BL498" s="187">
        <f t="shared" si="407"/>
        <v>0.27142857142857141</v>
      </c>
      <c r="BM498" s="187">
        <f t="shared" si="421"/>
        <v>0.2857142857142857</v>
      </c>
      <c r="BN498" s="205">
        <f t="shared" si="403"/>
        <v>8580</v>
      </c>
      <c r="BO498" s="205"/>
      <c r="BP498" s="307">
        <f>BP499</f>
        <v>0</v>
      </c>
      <c r="BQ498" s="319">
        <f t="shared" si="408"/>
        <v>0</v>
      </c>
      <c r="BR498" s="307">
        <f>BR499</f>
        <v>0</v>
      </c>
      <c r="BS498" s="319">
        <f t="shared" si="409"/>
        <v>0</v>
      </c>
      <c r="BT498" s="307">
        <f>BT499</f>
        <v>3500</v>
      </c>
      <c r="BU498" s="319">
        <f t="shared" si="410"/>
        <v>0.1</v>
      </c>
      <c r="BV498" s="307">
        <f>BV499</f>
        <v>7000</v>
      </c>
      <c r="BW498" s="319">
        <f t="shared" si="411"/>
        <v>0.2</v>
      </c>
      <c r="BX498" s="307">
        <f>BX499</f>
        <v>10500</v>
      </c>
      <c r="BY498" s="319">
        <f t="shared" si="412"/>
        <v>0.3</v>
      </c>
      <c r="BZ498" s="307">
        <f>BZ499</f>
        <v>14000</v>
      </c>
      <c r="CA498" s="319">
        <f t="shared" si="413"/>
        <v>0.4</v>
      </c>
      <c r="CB498" s="307">
        <f>CB499</f>
        <v>17500</v>
      </c>
      <c r="CC498" s="319">
        <f t="shared" si="427"/>
        <v>0.5</v>
      </c>
      <c r="CD498" s="307">
        <f>CD499</f>
        <v>19250</v>
      </c>
      <c r="CE498" s="319">
        <f t="shared" si="428"/>
        <v>0.55000000000000004</v>
      </c>
      <c r="CF498" s="307">
        <v>24500</v>
      </c>
      <c r="CG498" s="319">
        <f t="shared" si="429"/>
        <v>0.7</v>
      </c>
      <c r="CH498" s="307">
        <f>CH499</f>
        <v>24500</v>
      </c>
      <c r="CI498" s="319">
        <f t="shared" si="430"/>
        <v>0.7</v>
      </c>
      <c r="CJ498" s="307">
        <f>CJ499</f>
        <v>26250</v>
      </c>
      <c r="CK498" s="319">
        <f t="shared" si="414"/>
        <v>0.75</v>
      </c>
      <c r="CL498" s="307">
        <f>CL499</f>
        <v>28000</v>
      </c>
      <c r="CM498" s="319">
        <f t="shared" si="415"/>
        <v>0.8</v>
      </c>
      <c r="CN498" s="307">
        <f>CN499</f>
        <v>33250</v>
      </c>
      <c r="CO498" s="319">
        <f t="shared" si="416"/>
        <v>0.95</v>
      </c>
      <c r="CP498" s="213" t="str">
        <f t="shared" si="418"/>
        <v>Không đạt</v>
      </c>
      <c r="CQ498" s="213" t="str">
        <f t="shared" si="419"/>
        <v>Không đạt</v>
      </c>
      <c r="CR498" s="312"/>
      <c r="CS498" s="312"/>
      <c r="CT498" s="235"/>
      <c r="CU498" s="163"/>
      <c r="CV498" s="323"/>
      <c r="CW498" s="195"/>
      <c r="CX498" s="196"/>
      <c r="CY498" s="196"/>
      <c r="CZ498" s="197"/>
      <c r="DA498" s="196"/>
      <c r="DB498" s="196"/>
      <c r="DC498" s="196"/>
      <c r="DE498" s="199"/>
      <c r="DF498" s="200"/>
      <c r="DG498" s="181"/>
    </row>
    <row r="499" spans="1:111" ht="25.5" hidden="1" outlineLevel="1" x14ac:dyDescent="0.25">
      <c r="A499" s="192"/>
      <c r="B499" s="325" t="s">
        <v>482</v>
      </c>
      <c r="C499" s="325">
        <v>7853979</v>
      </c>
      <c r="D499" s="214">
        <f>E499+F499</f>
        <v>35000</v>
      </c>
      <c r="E499" s="215"/>
      <c r="F499" s="214">
        <f>G499+H499+K499+M499</f>
        <v>35000</v>
      </c>
      <c r="G499" s="214">
        <v>10000</v>
      </c>
      <c r="H499" s="214">
        <v>25000</v>
      </c>
      <c r="I499" s="214"/>
      <c r="J499" s="214"/>
      <c r="K499" s="214"/>
      <c r="L499" s="235"/>
      <c r="M499" s="223"/>
      <c r="N499" s="223"/>
      <c r="O499" s="214">
        <f t="shared" si="423"/>
        <v>10000</v>
      </c>
      <c r="P499" s="214">
        <v>0</v>
      </c>
      <c r="Q499" s="224">
        <f t="shared" si="417"/>
        <v>0</v>
      </c>
      <c r="R499" s="214"/>
      <c r="S499" s="225">
        <v>0</v>
      </c>
      <c r="T499" s="225">
        <v>0</v>
      </c>
      <c r="U499" s="214"/>
      <c r="V499" s="225">
        <v>0</v>
      </c>
      <c r="W499" s="225">
        <v>0</v>
      </c>
      <c r="X499" s="214"/>
      <c r="Y499" s="225">
        <v>0</v>
      </c>
      <c r="Z499" s="225">
        <v>0</v>
      </c>
      <c r="AA499" s="214"/>
      <c r="AB499" s="225">
        <v>0</v>
      </c>
      <c r="AC499" s="225">
        <v>0</v>
      </c>
      <c r="AD499" s="214">
        <v>920</v>
      </c>
      <c r="AE499" s="225">
        <v>2.6285714285714287E-2</v>
      </c>
      <c r="AF499" s="225">
        <v>2.7669172932330826E-2</v>
      </c>
      <c r="AG499" s="214">
        <v>920</v>
      </c>
      <c r="AH499" s="225">
        <v>2.6285714285714287E-2</v>
      </c>
      <c r="AI499" s="225">
        <v>2.7669172932330826E-2</v>
      </c>
      <c r="AJ499" s="307">
        <v>920</v>
      </c>
      <c r="AK499" s="225">
        <v>2.6285714285714287E-2</v>
      </c>
      <c r="AL499" s="225">
        <v>2.7669172932330826E-2</v>
      </c>
      <c r="AM499" s="214">
        <v>920</v>
      </c>
      <c r="AN499" s="225">
        <v>2.6285714285714287E-2</v>
      </c>
      <c r="AO499" s="225">
        <v>2.7669172932330826E-2</v>
      </c>
      <c r="AP499" s="225"/>
      <c r="AQ499" s="214">
        <v>5820.3419999999996</v>
      </c>
      <c r="AR499" s="225">
        <v>0.16629548571428571</v>
      </c>
      <c r="AS499" s="225">
        <v>0.17504787969924812</v>
      </c>
      <c r="AT499" s="214">
        <v>5820.3419999999996</v>
      </c>
      <c r="AU499" s="225">
        <v>0.16629548571428571</v>
      </c>
      <c r="AV499" s="225">
        <v>0.17504787969924812</v>
      </c>
      <c r="AW499" s="225"/>
      <c r="AX499" s="225"/>
      <c r="AY499" s="225"/>
      <c r="AZ499" s="225"/>
      <c r="BA499" s="225"/>
      <c r="BB499" s="225"/>
      <c r="BC499" s="214">
        <v>5820.3419999999996</v>
      </c>
      <c r="BD499" s="225">
        <v>0.16629548571428571</v>
      </c>
      <c r="BE499" s="225">
        <v>0.17504787969924812</v>
      </c>
      <c r="BF499" s="350"/>
      <c r="BG499" s="350">
        <v>9500</v>
      </c>
      <c r="BH499" s="225">
        <v>0.27142857142857141</v>
      </c>
      <c r="BI499" s="225">
        <v>0.2857142857142857</v>
      </c>
      <c r="BJ499" s="402">
        <f t="shared" si="406"/>
        <v>33250</v>
      </c>
      <c r="BK499" s="402">
        <v>9500</v>
      </c>
      <c r="BL499" s="225">
        <f t="shared" si="407"/>
        <v>0.27142857142857141</v>
      </c>
      <c r="BM499" s="225">
        <f t="shared" si="421"/>
        <v>0.2857142857142857</v>
      </c>
      <c r="BN499" s="205">
        <f t="shared" si="403"/>
        <v>8580</v>
      </c>
      <c r="BO499" s="205"/>
      <c r="BP499" s="227"/>
      <c r="BQ499" s="224">
        <f t="shared" si="408"/>
        <v>0</v>
      </c>
      <c r="BR499" s="227"/>
      <c r="BS499" s="224">
        <f t="shared" si="409"/>
        <v>0</v>
      </c>
      <c r="BT499" s="227">
        <f>$F499*0.1</f>
        <v>3500</v>
      </c>
      <c r="BU499" s="224">
        <f t="shared" si="410"/>
        <v>0.1</v>
      </c>
      <c r="BV499" s="227">
        <f>$F499*0.2</f>
        <v>7000</v>
      </c>
      <c r="BW499" s="224">
        <f t="shared" si="411"/>
        <v>0.2</v>
      </c>
      <c r="BX499" s="227">
        <f>$F499*0.3</f>
        <v>10500</v>
      </c>
      <c r="BY499" s="224">
        <f t="shared" si="412"/>
        <v>0.3</v>
      </c>
      <c r="BZ499" s="227">
        <f>$F499*0.4</f>
        <v>14000</v>
      </c>
      <c r="CA499" s="224">
        <f t="shared" si="413"/>
        <v>0.4</v>
      </c>
      <c r="CB499" s="227">
        <f>$F499*0.5</f>
        <v>17500</v>
      </c>
      <c r="CC499" s="224">
        <f t="shared" si="427"/>
        <v>0.5</v>
      </c>
      <c r="CD499" s="227">
        <f>$F499*0.55</f>
        <v>19250</v>
      </c>
      <c r="CE499" s="224">
        <f t="shared" si="428"/>
        <v>0.55000000000000004</v>
      </c>
      <c r="CF499" s="227">
        <v>24500</v>
      </c>
      <c r="CG499" s="224">
        <f t="shared" si="429"/>
        <v>0.7</v>
      </c>
      <c r="CH499" s="227">
        <f>$F499*0.7</f>
        <v>24500</v>
      </c>
      <c r="CI499" s="224">
        <f t="shared" si="430"/>
        <v>0.7</v>
      </c>
      <c r="CJ499" s="227">
        <f>$F499*0.75</f>
        <v>26250</v>
      </c>
      <c r="CK499" s="224">
        <f t="shared" si="414"/>
        <v>0.75</v>
      </c>
      <c r="CL499" s="227">
        <f>$F499*0.8</f>
        <v>28000</v>
      </c>
      <c r="CM499" s="224">
        <f t="shared" si="415"/>
        <v>0.8</v>
      </c>
      <c r="CN499" s="227">
        <f>$F499*0.95</f>
        <v>33250</v>
      </c>
      <c r="CO499" s="224">
        <f t="shared" si="416"/>
        <v>0.95</v>
      </c>
      <c r="CP499" s="213" t="str">
        <f t="shared" si="418"/>
        <v>Không đạt</v>
      </c>
      <c r="CQ499" s="213" t="str">
        <f t="shared" si="419"/>
        <v>Không đạt</v>
      </c>
      <c r="CR499" s="192"/>
      <c r="CS499" s="192"/>
      <c r="CT499" s="223"/>
      <c r="CU499" s="163"/>
      <c r="CW499" s="195"/>
      <c r="CX499" s="196"/>
      <c r="CY499" s="196"/>
      <c r="CZ499" s="197"/>
      <c r="DA499" s="196"/>
      <c r="DB499" s="196"/>
      <c r="DC499" s="196"/>
      <c r="DE499" s="199"/>
      <c r="DF499" s="200"/>
      <c r="DG499" s="181"/>
    </row>
    <row r="500" spans="1:111" s="324" customFormat="1" hidden="1" outlineLevel="1" x14ac:dyDescent="0.25">
      <c r="A500" s="305" t="s">
        <v>34</v>
      </c>
      <c r="B500" s="318" t="s">
        <v>376</v>
      </c>
      <c r="C500" s="306"/>
      <c r="D500" s="307">
        <f>E500+F500</f>
        <v>3000</v>
      </c>
      <c r="E500" s="307"/>
      <c r="F500" s="307">
        <f>G500+H500+K500+M500</f>
        <v>3000</v>
      </c>
      <c r="G500" s="303">
        <v>3000</v>
      </c>
      <c r="H500" s="303"/>
      <c r="I500" s="235"/>
      <c r="J500" s="235"/>
      <c r="K500" s="303"/>
      <c r="L500" s="235"/>
      <c r="M500" s="223"/>
      <c r="N500" s="223"/>
      <c r="O500" s="303">
        <f t="shared" si="423"/>
        <v>3000</v>
      </c>
      <c r="P500" s="303">
        <v>0</v>
      </c>
      <c r="Q500" s="308">
        <f t="shared" si="417"/>
        <v>0</v>
      </c>
      <c r="R500" s="303"/>
      <c r="S500" s="309">
        <v>0</v>
      </c>
      <c r="T500" s="309">
        <v>0</v>
      </c>
      <c r="U500" s="303">
        <v>501.61723599999999</v>
      </c>
      <c r="V500" s="309">
        <v>0.16720574533333332</v>
      </c>
      <c r="W500" s="309">
        <v>0.17600604771929823</v>
      </c>
      <c r="X500" s="303">
        <v>501.61723599999999</v>
      </c>
      <c r="Y500" s="309">
        <v>0.16720574533333332</v>
      </c>
      <c r="Z500" s="309">
        <v>0.17600604771929823</v>
      </c>
      <c r="AA500" s="303">
        <v>501.61723599999999</v>
      </c>
      <c r="AB500" s="309">
        <v>0.16720574533333332</v>
      </c>
      <c r="AC500" s="309">
        <v>0.17600604771929823</v>
      </c>
      <c r="AD500" s="303">
        <v>1100.509648</v>
      </c>
      <c r="AE500" s="309">
        <v>0.36683654933333332</v>
      </c>
      <c r="AF500" s="309">
        <v>0.38614373614035086</v>
      </c>
      <c r="AG500" s="307">
        <v>1100.509648</v>
      </c>
      <c r="AH500" s="309">
        <v>0.36683654933333332</v>
      </c>
      <c r="AI500" s="309">
        <v>0.38614373614035086</v>
      </c>
      <c r="AJ500" s="303">
        <v>1100.509648</v>
      </c>
      <c r="AK500" s="309">
        <v>0.36683654933333332</v>
      </c>
      <c r="AL500" s="309">
        <v>0.38614373614035086</v>
      </c>
      <c r="AM500" s="307">
        <v>1100.509648</v>
      </c>
      <c r="AN500" s="309">
        <v>0.36683654933333332</v>
      </c>
      <c r="AO500" s="309">
        <v>0.38614373614035086</v>
      </c>
      <c r="AP500" s="309"/>
      <c r="AQ500" s="307">
        <v>1479.4855509999998</v>
      </c>
      <c r="AR500" s="309">
        <v>0.49316185033333326</v>
      </c>
      <c r="AS500" s="309">
        <v>0.51911773719298238</v>
      </c>
      <c r="AT500" s="307">
        <v>1479.4855509999998</v>
      </c>
      <c r="AU500" s="309">
        <v>0.49316185033333326</v>
      </c>
      <c r="AV500" s="309">
        <v>0.51911773719298238</v>
      </c>
      <c r="AW500" s="309"/>
      <c r="AX500" s="309"/>
      <c r="AY500" s="309"/>
      <c r="AZ500" s="309"/>
      <c r="BA500" s="309"/>
      <c r="BB500" s="309"/>
      <c r="BC500" s="307">
        <v>1479.4855509999998</v>
      </c>
      <c r="BD500" s="309">
        <v>0.49316185033333326</v>
      </c>
      <c r="BE500" s="309">
        <v>0.51911773719298238</v>
      </c>
      <c r="BF500" s="351"/>
      <c r="BG500" s="351">
        <v>1835.739648</v>
      </c>
      <c r="BH500" s="309">
        <v>0.61191321600000004</v>
      </c>
      <c r="BI500" s="309">
        <v>0.6441191747368421</v>
      </c>
      <c r="BJ500" s="349">
        <f t="shared" si="406"/>
        <v>2850</v>
      </c>
      <c r="BK500" s="349">
        <v>1835.739648</v>
      </c>
      <c r="BL500" s="309">
        <f t="shared" si="407"/>
        <v>0.61191321600000004</v>
      </c>
      <c r="BM500" s="309">
        <f t="shared" si="421"/>
        <v>0.6441191747368421</v>
      </c>
      <c r="BN500" s="205">
        <f t="shared" si="403"/>
        <v>735.23</v>
      </c>
      <c r="BO500" s="205"/>
      <c r="BP500" s="310"/>
      <c r="BQ500" s="308">
        <f t="shared" si="408"/>
        <v>0</v>
      </c>
      <c r="BR500" s="310"/>
      <c r="BS500" s="308">
        <f t="shared" si="409"/>
        <v>0</v>
      </c>
      <c r="BT500" s="310">
        <f>$F500*0.1</f>
        <v>300</v>
      </c>
      <c r="BU500" s="308">
        <f t="shared" si="410"/>
        <v>0.1</v>
      </c>
      <c r="BV500" s="310">
        <f>$F500*0.2</f>
        <v>600</v>
      </c>
      <c r="BW500" s="308">
        <f t="shared" si="411"/>
        <v>0.2</v>
      </c>
      <c r="BX500" s="310">
        <f>$F500*0.3</f>
        <v>900</v>
      </c>
      <c r="BY500" s="308">
        <f t="shared" si="412"/>
        <v>0.3</v>
      </c>
      <c r="BZ500" s="310">
        <f>$F500*0.4</f>
        <v>1200</v>
      </c>
      <c r="CA500" s="308">
        <f t="shared" si="413"/>
        <v>0.4</v>
      </c>
      <c r="CB500" s="310">
        <f>$F500*0.5</f>
        <v>1500</v>
      </c>
      <c r="CC500" s="308">
        <f t="shared" si="427"/>
        <v>0.5</v>
      </c>
      <c r="CD500" s="310">
        <f>$F500*0.55</f>
        <v>1650.0000000000002</v>
      </c>
      <c r="CE500" s="308">
        <f t="shared" si="428"/>
        <v>0.55000000000000004</v>
      </c>
      <c r="CF500" s="310">
        <v>2100</v>
      </c>
      <c r="CG500" s="308">
        <f t="shared" si="429"/>
        <v>0.7</v>
      </c>
      <c r="CH500" s="310">
        <f>$F500*0.7</f>
        <v>2100</v>
      </c>
      <c r="CI500" s="308">
        <f t="shared" si="430"/>
        <v>0.7</v>
      </c>
      <c r="CJ500" s="310">
        <f>$F500*0.75</f>
        <v>2250</v>
      </c>
      <c r="CK500" s="308">
        <f t="shared" si="414"/>
        <v>0.75</v>
      </c>
      <c r="CL500" s="310">
        <f>$F500*0.8</f>
        <v>2400</v>
      </c>
      <c r="CM500" s="308">
        <f t="shared" si="415"/>
        <v>0.8</v>
      </c>
      <c r="CN500" s="310">
        <f>$F500*0.95</f>
        <v>2850</v>
      </c>
      <c r="CO500" s="308">
        <f t="shared" si="416"/>
        <v>0.95</v>
      </c>
      <c r="CP500" s="213" t="str">
        <f t="shared" si="418"/>
        <v>Đạt</v>
      </c>
      <c r="CQ500" s="213" t="str">
        <f t="shared" si="419"/>
        <v>Đạt</v>
      </c>
      <c r="CR500" s="312"/>
      <c r="CS500" s="312"/>
      <c r="CT500" s="235"/>
      <c r="CU500" s="163"/>
      <c r="CV500" s="323"/>
      <c r="CW500" s="195"/>
      <c r="CX500" s="196"/>
      <c r="CY500" s="196"/>
      <c r="CZ500" s="197"/>
      <c r="DA500" s="196"/>
      <c r="DB500" s="196"/>
      <c r="DC500" s="196"/>
      <c r="DE500" s="199"/>
      <c r="DF500" s="200"/>
      <c r="DG500" s="181"/>
    </row>
    <row r="501" spans="1:111" ht="25.5" hidden="1" outlineLevel="1" x14ac:dyDescent="0.25">
      <c r="A501" s="305" t="s">
        <v>34</v>
      </c>
      <c r="B501" s="306" t="s">
        <v>377</v>
      </c>
      <c r="C501" s="306"/>
      <c r="D501" s="307">
        <f>E501+F501</f>
        <v>425</v>
      </c>
      <c r="E501" s="307"/>
      <c r="F501" s="307">
        <f>G501+H501+K501+M501</f>
        <v>425</v>
      </c>
      <c r="G501" s="307"/>
      <c r="H501" s="307">
        <v>425</v>
      </c>
      <c r="I501" s="235"/>
      <c r="J501" s="235"/>
      <c r="K501" s="303"/>
      <c r="L501" s="235"/>
      <c r="M501" s="223"/>
      <c r="N501" s="223"/>
      <c r="O501" s="303"/>
      <c r="P501" s="303">
        <v>0</v>
      </c>
      <c r="Q501" s="308">
        <f t="shared" si="417"/>
        <v>0</v>
      </c>
      <c r="R501" s="303"/>
      <c r="S501" s="309">
        <v>0</v>
      </c>
      <c r="T501" s="309">
        <v>0</v>
      </c>
      <c r="U501" s="303"/>
      <c r="V501" s="309">
        <v>0</v>
      </c>
      <c r="W501" s="309">
        <v>0</v>
      </c>
      <c r="X501" s="303"/>
      <c r="Y501" s="309">
        <v>0</v>
      </c>
      <c r="Z501" s="309">
        <v>0</v>
      </c>
      <c r="AA501" s="303"/>
      <c r="AB501" s="309">
        <v>0</v>
      </c>
      <c r="AC501" s="309">
        <v>0</v>
      </c>
      <c r="AD501" s="303"/>
      <c r="AE501" s="309">
        <v>0</v>
      </c>
      <c r="AF501" s="309">
        <v>0</v>
      </c>
      <c r="AG501" s="303"/>
      <c r="AH501" s="309">
        <v>0</v>
      </c>
      <c r="AI501" s="309">
        <v>0</v>
      </c>
      <c r="AJ501" s="189"/>
      <c r="AK501" s="309">
        <v>0</v>
      </c>
      <c r="AL501" s="309">
        <v>0</v>
      </c>
      <c r="AM501" s="303"/>
      <c r="AN501" s="309">
        <v>0</v>
      </c>
      <c r="AO501" s="309">
        <v>0</v>
      </c>
      <c r="AP501" s="309"/>
      <c r="AQ501" s="303"/>
      <c r="AR501" s="309">
        <v>0</v>
      </c>
      <c r="AS501" s="309">
        <v>0</v>
      </c>
      <c r="AT501" s="303"/>
      <c r="AU501" s="309">
        <v>0</v>
      </c>
      <c r="AV501" s="309">
        <v>0</v>
      </c>
      <c r="AW501" s="309"/>
      <c r="AX501" s="309"/>
      <c r="AY501" s="309"/>
      <c r="AZ501" s="309"/>
      <c r="BA501" s="309"/>
      <c r="BB501" s="309"/>
      <c r="BC501" s="303"/>
      <c r="BD501" s="309">
        <v>0</v>
      </c>
      <c r="BE501" s="309">
        <v>0</v>
      </c>
      <c r="BF501" s="351"/>
      <c r="BG501" s="351">
        <v>0</v>
      </c>
      <c r="BH501" s="309">
        <v>0</v>
      </c>
      <c r="BI501" s="309">
        <v>0</v>
      </c>
      <c r="BJ501" s="349">
        <f t="shared" si="406"/>
        <v>403.75</v>
      </c>
      <c r="BK501" s="349">
        <v>0</v>
      </c>
      <c r="BL501" s="309">
        <f t="shared" si="407"/>
        <v>0</v>
      </c>
      <c r="BM501" s="309">
        <f t="shared" si="421"/>
        <v>0</v>
      </c>
      <c r="BN501" s="205">
        <f t="shared" si="403"/>
        <v>0</v>
      </c>
      <c r="BO501" s="205"/>
      <c r="BP501" s="310"/>
      <c r="BQ501" s="308">
        <f t="shared" si="408"/>
        <v>0</v>
      </c>
      <c r="BR501" s="310"/>
      <c r="BS501" s="308">
        <f t="shared" si="409"/>
        <v>0</v>
      </c>
      <c r="BT501" s="310">
        <f>$F501*0.1</f>
        <v>42.5</v>
      </c>
      <c r="BU501" s="308">
        <f t="shared" si="410"/>
        <v>0.1</v>
      </c>
      <c r="BV501" s="310">
        <f>$F501*0.2</f>
        <v>85</v>
      </c>
      <c r="BW501" s="308">
        <f t="shared" si="411"/>
        <v>0.2</v>
      </c>
      <c r="BX501" s="310">
        <f>$F501*0.3</f>
        <v>127.5</v>
      </c>
      <c r="BY501" s="308">
        <f t="shared" si="412"/>
        <v>0.3</v>
      </c>
      <c r="BZ501" s="310">
        <f>$F501*0.4</f>
        <v>170</v>
      </c>
      <c r="CA501" s="308">
        <f t="shared" si="413"/>
        <v>0.4</v>
      </c>
      <c r="CB501" s="310">
        <f>$F501*0.5</f>
        <v>212.5</v>
      </c>
      <c r="CC501" s="308">
        <f t="shared" si="427"/>
        <v>0.5</v>
      </c>
      <c r="CD501" s="310">
        <f>$F501*0.55</f>
        <v>233.75000000000003</v>
      </c>
      <c r="CE501" s="308">
        <f t="shared" si="428"/>
        <v>0.55000000000000004</v>
      </c>
      <c r="CF501" s="310">
        <v>297.5</v>
      </c>
      <c r="CG501" s="308">
        <f t="shared" si="429"/>
        <v>0.7</v>
      </c>
      <c r="CH501" s="310">
        <f>$F501*0.7</f>
        <v>297.5</v>
      </c>
      <c r="CI501" s="308">
        <f t="shared" si="430"/>
        <v>0.7</v>
      </c>
      <c r="CJ501" s="310">
        <f>$F501*0.75</f>
        <v>318.75</v>
      </c>
      <c r="CK501" s="308">
        <f t="shared" si="414"/>
        <v>0.75</v>
      </c>
      <c r="CL501" s="310">
        <f>$F501*0.8</f>
        <v>340</v>
      </c>
      <c r="CM501" s="308">
        <f t="shared" si="415"/>
        <v>0.8</v>
      </c>
      <c r="CN501" s="310">
        <f>$F501*0.95</f>
        <v>403.75</v>
      </c>
      <c r="CO501" s="308">
        <f t="shared" si="416"/>
        <v>0.95</v>
      </c>
      <c r="CP501" s="213" t="str">
        <f t="shared" si="418"/>
        <v>Không đạt</v>
      </c>
      <c r="CQ501" s="213" t="str">
        <f t="shared" si="419"/>
        <v>Không đạt</v>
      </c>
      <c r="CR501" s="312"/>
      <c r="CS501" s="312"/>
      <c r="CT501" s="235"/>
      <c r="CU501" s="163"/>
      <c r="CW501" s="195"/>
      <c r="CX501" s="196"/>
      <c r="CY501" s="196"/>
      <c r="CZ501" s="197"/>
      <c r="DA501" s="196"/>
      <c r="DB501" s="196"/>
      <c r="DC501" s="196"/>
      <c r="DE501" s="199"/>
      <c r="DF501" s="200"/>
      <c r="DG501" s="181"/>
    </row>
    <row r="502" spans="1:111" ht="18" customHeight="1" collapsed="1" x14ac:dyDescent="0.25">
      <c r="A502" s="213">
        <f>MAX(A$239:A499)+1</f>
        <v>74</v>
      </c>
      <c r="B502" s="240" t="s">
        <v>483</v>
      </c>
      <c r="C502" s="240"/>
      <c r="D502" s="188">
        <f t="shared" ref="D502:I502" si="441">D503+D505</f>
        <v>54700</v>
      </c>
      <c r="E502" s="188">
        <f t="shared" si="441"/>
        <v>50000</v>
      </c>
      <c r="F502" s="188">
        <f t="shared" si="441"/>
        <v>4700</v>
      </c>
      <c r="G502" s="188">
        <f t="shared" si="441"/>
        <v>3000</v>
      </c>
      <c r="H502" s="188">
        <f t="shared" si="441"/>
        <v>1700</v>
      </c>
      <c r="I502" s="188">
        <f t="shared" si="441"/>
        <v>0</v>
      </c>
      <c r="J502" s="188"/>
      <c r="K502" s="188">
        <f>K503+K505</f>
        <v>0</v>
      </c>
      <c r="L502" s="188">
        <f>L503+L505</f>
        <v>0</v>
      </c>
      <c r="M502" s="188">
        <f>M503+M505</f>
        <v>0</v>
      </c>
      <c r="N502" s="188">
        <f>N503+N505</f>
        <v>0</v>
      </c>
      <c r="O502" s="188">
        <f>O503+O505</f>
        <v>3000</v>
      </c>
      <c r="P502" s="188">
        <v>215</v>
      </c>
      <c r="Q502" s="186">
        <f t="shared" si="417"/>
        <v>3.9305301645338213E-3</v>
      </c>
      <c r="R502" s="189">
        <v>370.13300000000004</v>
      </c>
      <c r="S502" s="185">
        <v>6.7665996343692879E-3</v>
      </c>
      <c r="T502" s="185">
        <v>6.7957954649775091E-3</v>
      </c>
      <c r="U502" s="189">
        <v>10395.552453999999</v>
      </c>
      <c r="V502" s="185">
        <v>0.1900466627787934</v>
      </c>
      <c r="W502" s="185">
        <v>0.19086665664188007</v>
      </c>
      <c r="X502" s="189">
        <v>10395.552453999999</v>
      </c>
      <c r="Y502" s="185">
        <v>0.1900466627787934</v>
      </c>
      <c r="Z502" s="185">
        <v>0.19086665664188007</v>
      </c>
      <c r="AA502" s="189">
        <v>10395.552453999999</v>
      </c>
      <c r="AB502" s="185">
        <v>0.1900466627787934</v>
      </c>
      <c r="AC502" s="185">
        <v>0.19086665664188007</v>
      </c>
      <c r="AD502" s="189">
        <v>10959</v>
      </c>
      <c r="AE502" s="185">
        <v>0.20034734917733091</v>
      </c>
      <c r="AF502" s="185">
        <v>0.20121178738639492</v>
      </c>
      <c r="AG502" s="189">
        <v>11144</v>
      </c>
      <c r="AH502" s="185">
        <v>0.20372943327239487</v>
      </c>
      <c r="AI502" s="185">
        <v>0.20460846415128983</v>
      </c>
      <c r="AJ502" s="188">
        <v>11144</v>
      </c>
      <c r="AK502" s="185">
        <v>0.20372943327239487</v>
      </c>
      <c r="AL502" s="185">
        <v>0.20460846415128983</v>
      </c>
      <c r="AM502" s="189">
        <v>11144</v>
      </c>
      <c r="AN502" s="185">
        <v>0.20372943327239487</v>
      </c>
      <c r="AO502" s="185">
        <v>0.20460846415128983</v>
      </c>
      <c r="AP502" s="185"/>
      <c r="AQ502" s="189">
        <v>14444</v>
      </c>
      <c r="AR502" s="185">
        <v>0.26405850091407679</v>
      </c>
      <c r="AS502" s="185">
        <v>0.26519783347103643</v>
      </c>
      <c r="AT502" s="189">
        <v>14444</v>
      </c>
      <c r="AU502" s="185">
        <v>0.26405850091407679</v>
      </c>
      <c r="AV502" s="185">
        <v>0.26519783347103643</v>
      </c>
      <c r="AW502" s="185"/>
      <c r="AX502" s="185"/>
      <c r="AY502" s="185"/>
      <c r="AZ502" s="185"/>
      <c r="BA502" s="185"/>
      <c r="BB502" s="185"/>
      <c r="BC502" s="189">
        <v>14444</v>
      </c>
      <c r="BD502" s="185">
        <v>0.26405850091407679</v>
      </c>
      <c r="BE502" s="185">
        <v>0.26519783347103643</v>
      </c>
      <c r="BF502" s="352"/>
      <c r="BG502" s="352">
        <v>16688.655409999999</v>
      </c>
      <c r="BH502" s="185">
        <v>0.30509424881170016</v>
      </c>
      <c r="BI502" s="185">
        <v>0.3064106382080235</v>
      </c>
      <c r="BJ502" s="374">
        <f t="shared" si="406"/>
        <v>54465</v>
      </c>
      <c r="BK502" s="374">
        <v>22955.228465</v>
      </c>
      <c r="BL502" s="185">
        <f t="shared" si="407"/>
        <v>0.41965682751371114</v>
      </c>
      <c r="BM502" s="185">
        <f t="shared" si="421"/>
        <v>0.42146751978334712</v>
      </c>
      <c r="BN502" s="205">
        <f t="shared" si="403"/>
        <v>11996.228465</v>
      </c>
      <c r="BO502" s="205"/>
      <c r="BP502" s="189">
        <f>BP503+BP505</f>
        <v>166</v>
      </c>
      <c r="BQ502" s="186">
        <f t="shared" si="408"/>
        <v>3.0347349177330895E-3</v>
      </c>
      <c r="BR502" s="189">
        <f>BR503+BR505</f>
        <v>6541</v>
      </c>
      <c r="BS502" s="186">
        <f t="shared" si="409"/>
        <v>0.11957952468007313</v>
      </c>
      <c r="BT502" s="189">
        <f>BT503+BT505</f>
        <v>11757</v>
      </c>
      <c r="BU502" s="186">
        <f t="shared" si="410"/>
        <v>0.21493601462522852</v>
      </c>
      <c r="BV502" s="189">
        <f>BV503+BV505</f>
        <v>20816</v>
      </c>
      <c r="BW502" s="186">
        <f t="shared" si="411"/>
        <v>0.38054844606946986</v>
      </c>
      <c r="BX502" s="189">
        <f>BX503+BX505</f>
        <v>26031</v>
      </c>
      <c r="BY502" s="186">
        <f t="shared" si="412"/>
        <v>0.47588665447897621</v>
      </c>
      <c r="BZ502" s="189">
        <f>BZ503+BZ505</f>
        <v>29736.5</v>
      </c>
      <c r="CA502" s="186">
        <f t="shared" si="413"/>
        <v>0.54362888482632543</v>
      </c>
      <c r="CB502" s="189">
        <f>CB503+CB505</f>
        <v>32634.5</v>
      </c>
      <c r="CC502" s="186">
        <f t="shared" si="427"/>
        <v>0.59660877513711152</v>
      </c>
      <c r="CD502" s="189">
        <f>CD503+CD505</f>
        <v>35531.5</v>
      </c>
      <c r="CE502" s="186">
        <f t="shared" si="428"/>
        <v>0.64957038391224864</v>
      </c>
      <c r="CF502" s="189">
        <f>CF503+CF505</f>
        <v>38429.5</v>
      </c>
      <c r="CG502" s="186">
        <f t="shared" si="429"/>
        <v>0.70255027422303473</v>
      </c>
      <c r="CH502" s="189">
        <f>CH503+CH505</f>
        <v>42135</v>
      </c>
      <c r="CI502" s="186">
        <f t="shared" si="430"/>
        <v>0.7702925045703839</v>
      </c>
      <c r="CJ502" s="189">
        <f>CJ503+CJ505</f>
        <v>45032</v>
      </c>
      <c r="CK502" s="186">
        <f t="shared" si="414"/>
        <v>0.82325411334552101</v>
      </c>
      <c r="CL502" s="189">
        <f>CL503+CL505</f>
        <v>51407</v>
      </c>
      <c r="CM502" s="186">
        <f t="shared" si="415"/>
        <v>0.93979890310786107</v>
      </c>
      <c r="CN502" s="189">
        <f>CN503+CN505</f>
        <v>54465</v>
      </c>
      <c r="CO502" s="186">
        <f t="shared" si="416"/>
        <v>0.99570383912248628</v>
      </c>
      <c r="CP502" s="213" t="str">
        <f t="shared" si="418"/>
        <v>Đạt</v>
      </c>
      <c r="CQ502" s="213" t="str">
        <f t="shared" si="419"/>
        <v>Không đạt</v>
      </c>
      <c r="CR502" s="213"/>
      <c r="CS502" s="213"/>
      <c r="CT502" s="231"/>
      <c r="CU502" s="163"/>
      <c r="CW502" s="195"/>
      <c r="CX502" s="196"/>
      <c r="CY502" s="196"/>
      <c r="CZ502" s="197"/>
      <c r="DA502" s="196"/>
      <c r="DB502" s="196"/>
      <c r="DC502" s="196"/>
      <c r="DE502" s="199"/>
      <c r="DF502" s="200"/>
      <c r="DG502" s="181"/>
    </row>
    <row r="503" spans="1:111" s="160" customFormat="1" ht="12.75" hidden="1" outlineLevel="1" x14ac:dyDescent="0.25">
      <c r="A503" s="221" t="s">
        <v>29</v>
      </c>
      <c r="B503" s="222" t="s">
        <v>155</v>
      </c>
      <c r="C503" s="222"/>
      <c r="D503" s="214">
        <f t="shared" ref="D503:I503" si="442">D504</f>
        <v>50000</v>
      </c>
      <c r="E503" s="214">
        <f t="shared" si="442"/>
        <v>50000</v>
      </c>
      <c r="F503" s="214">
        <f t="shared" si="442"/>
        <v>0</v>
      </c>
      <c r="G503" s="214">
        <f t="shared" si="442"/>
        <v>0</v>
      </c>
      <c r="H503" s="214">
        <f t="shared" si="442"/>
        <v>0</v>
      </c>
      <c r="I503" s="188">
        <f t="shared" si="442"/>
        <v>0</v>
      </c>
      <c r="J503" s="188"/>
      <c r="K503" s="214">
        <f t="shared" ref="K503:P503" si="443">K504</f>
        <v>0</v>
      </c>
      <c r="L503" s="188">
        <f t="shared" si="443"/>
        <v>0</v>
      </c>
      <c r="M503" s="188">
        <f t="shared" si="443"/>
        <v>0</v>
      </c>
      <c r="N503" s="188">
        <f t="shared" si="443"/>
        <v>0</v>
      </c>
      <c r="O503" s="188">
        <f t="shared" si="443"/>
        <v>0</v>
      </c>
      <c r="P503" s="188">
        <f t="shared" si="443"/>
        <v>64</v>
      </c>
      <c r="Q503" s="258">
        <f t="shared" si="417"/>
        <v>1.2800000000000001E-3</v>
      </c>
      <c r="R503" s="188">
        <v>218.983</v>
      </c>
      <c r="S503" s="373">
        <v>4.3796600000000005E-3</v>
      </c>
      <c r="T503" s="373">
        <v>4.3796600000000005E-3</v>
      </c>
      <c r="U503" s="188">
        <v>10244.402453999999</v>
      </c>
      <c r="V503" s="373">
        <v>0.20488804908</v>
      </c>
      <c r="W503" s="373">
        <v>0.20488804908</v>
      </c>
      <c r="X503" s="188">
        <v>10244.402453999999</v>
      </c>
      <c r="Y503" s="373">
        <v>0.20488804908</v>
      </c>
      <c r="Z503" s="373">
        <v>0.20488804908</v>
      </c>
      <c r="AA503" s="188">
        <v>10244.402453999999</v>
      </c>
      <c r="AB503" s="373">
        <v>0.20488804908</v>
      </c>
      <c r="AC503" s="373">
        <v>0.20488804908</v>
      </c>
      <c r="AD503" s="188">
        <v>10244.402453999999</v>
      </c>
      <c r="AE503" s="373">
        <v>0.20488804908</v>
      </c>
      <c r="AF503" s="373">
        <v>0.20488804908</v>
      </c>
      <c r="AG503" s="188">
        <v>10429.402453999999</v>
      </c>
      <c r="AH503" s="373">
        <v>0.20858804907999998</v>
      </c>
      <c r="AI503" s="373">
        <v>0.20858804907999998</v>
      </c>
      <c r="AJ503" s="214">
        <v>10429.402453999999</v>
      </c>
      <c r="AK503" s="373">
        <v>0.20858804907999998</v>
      </c>
      <c r="AL503" s="373">
        <v>0.20858804907999998</v>
      </c>
      <c r="AM503" s="188">
        <v>10429.402453999999</v>
      </c>
      <c r="AN503" s="373">
        <v>0.20858804907999998</v>
      </c>
      <c r="AO503" s="373">
        <v>0.20858804907999998</v>
      </c>
      <c r="AP503" s="373"/>
      <c r="AQ503" s="188">
        <v>13729.402453999999</v>
      </c>
      <c r="AR503" s="373">
        <v>0.27458804908000001</v>
      </c>
      <c r="AS503" s="373">
        <v>0.27458804908000001</v>
      </c>
      <c r="AT503" s="188">
        <v>13729.402453999999</v>
      </c>
      <c r="AU503" s="373">
        <v>0.27458804908000001</v>
      </c>
      <c r="AV503" s="373">
        <v>0.27458804908000001</v>
      </c>
      <c r="AW503" s="373"/>
      <c r="AX503" s="373"/>
      <c r="AY503" s="373"/>
      <c r="AZ503" s="373"/>
      <c r="BA503" s="373"/>
      <c r="BB503" s="373"/>
      <c r="BC503" s="188">
        <v>13729.402453999999</v>
      </c>
      <c r="BD503" s="373">
        <v>0.27458804908000001</v>
      </c>
      <c r="BE503" s="373">
        <v>0.27458804908000001</v>
      </c>
      <c r="BF503" s="374"/>
      <c r="BG503" s="374">
        <v>13871.317864000001</v>
      </c>
      <c r="BH503" s="373">
        <v>0.27742635728000004</v>
      </c>
      <c r="BI503" s="373">
        <v>0.27742635728000004</v>
      </c>
      <c r="BJ503" s="374">
        <f t="shared" si="406"/>
        <v>50000</v>
      </c>
      <c r="BK503" s="374">
        <v>20137.890919000001</v>
      </c>
      <c r="BL503" s="373">
        <f t="shared" si="407"/>
        <v>0.40275781838000002</v>
      </c>
      <c r="BM503" s="373">
        <f t="shared" si="421"/>
        <v>0.40275781838000002</v>
      </c>
      <c r="BN503" s="205">
        <f t="shared" si="403"/>
        <v>9893.4884650000022</v>
      </c>
      <c r="BO503" s="205"/>
      <c r="BP503" s="245">
        <f>BP504</f>
        <v>0</v>
      </c>
      <c r="BQ503" s="375">
        <f t="shared" si="408"/>
        <v>0</v>
      </c>
      <c r="BR503" s="245">
        <f>BR504</f>
        <v>6375</v>
      </c>
      <c r="BS503" s="375">
        <f t="shared" si="409"/>
        <v>0.1275</v>
      </c>
      <c r="BT503" s="245">
        <f>BT504</f>
        <v>11591</v>
      </c>
      <c r="BU503" s="258">
        <f t="shared" si="410"/>
        <v>0.23182</v>
      </c>
      <c r="BV503" s="245">
        <f>BV504</f>
        <v>17966</v>
      </c>
      <c r="BW503" s="375">
        <f t="shared" si="411"/>
        <v>0.35931999999999997</v>
      </c>
      <c r="BX503" s="245">
        <f>BX504</f>
        <v>23181</v>
      </c>
      <c r="BY503" s="375">
        <f t="shared" si="412"/>
        <v>0.46361999999999998</v>
      </c>
      <c r="BZ503" s="245">
        <f>BZ504</f>
        <v>26079</v>
      </c>
      <c r="CA503" s="375">
        <f t="shared" si="413"/>
        <v>0.52158000000000004</v>
      </c>
      <c r="CB503" s="245">
        <f>CB504</f>
        <v>28977</v>
      </c>
      <c r="CC503" s="375">
        <f t="shared" si="427"/>
        <v>0.57954000000000006</v>
      </c>
      <c r="CD503" s="245">
        <f>CD504</f>
        <v>31874</v>
      </c>
      <c r="CE503" s="375">
        <f t="shared" si="428"/>
        <v>0.63748000000000005</v>
      </c>
      <c r="CF503" s="245">
        <f>CF504</f>
        <v>34772</v>
      </c>
      <c r="CG503" s="375">
        <f t="shared" si="429"/>
        <v>0.69543999999999995</v>
      </c>
      <c r="CH503" s="245">
        <f>CH504</f>
        <v>37670</v>
      </c>
      <c r="CI503" s="375">
        <f t="shared" si="430"/>
        <v>0.75339999999999996</v>
      </c>
      <c r="CJ503" s="245">
        <f>CJ504</f>
        <v>40567</v>
      </c>
      <c r="CK503" s="375">
        <f t="shared" si="414"/>
        <v>0.81133999999999995</v>
      </c>
      <c r="CL503" s="245">
        <f>CL504</f>
        <v>46942</v>
      </c>
      <c r="CM503" s="375">
        <f t="shared" si="415"/>
        <v>0.93884000000000001</v>
      </c>
      <c r="CN503" s="245">
        <f>CN504</f>
        <v>50000</v>
      </c>
      <c r="CO503" s="375">
        <f t="shared" si="416"/>
        <v>1</v>
      </c>
      <c r="CP503" s="213" t="str">
        <f t="shared" si="418"/>
        <v>Đạt</v>
      </c>
      <c r="CQ503" s="213" t="str">
        <f t="shared" si="419"/>
        <v>Không đạt</v>
      </c>
      <c r="CR503" s="192"/>
      <c r="CS503" s="192"/>
      <c r="CT503" s="223"/>
      <c r="CU503" s="163"/>
      <c r="CV503" s="291"/>
      <c r="CW503" s="218"/>
      <c r="CX503" s="196"/>
      <c r="CY503" s="196"/>
      <c r="CZ503" s="197"/>
      <c r="DA503" s="196"/>
      <c r="DB503" s="196"/>
      <c r="DC503" s="196"/>
      <c r="DE503" s="199"/>
      <c r="DF503" s="200"/>
      <c r="DG503" s="181"/>
    </row>
    <row r="504" spans="1:111" hidden="1" outlineLevel="1" x14ac:dyDescent="0.25">
      <c r="A504" s="192"/>
      <c r="B504" s="269" t="s">
        <v>484</v>
      </c>
      <c r="C504" s="269">
        <v>7910755</v>
      </c>
      <c r="D504" s="245">
        <f>E504+F504</f>
        <v>50000</v>
      </c>
      <c r="E504" s="214">
        <v>50000</v>
      </c>
      <c r="F504" s="214"/>
      <c r="G504" s="214"/>
      <c r="H504" s="214"/>
      <c r="I504" s="214"/>
      <c r="J504" s="214"/>
      <c r="K504" s="214"/>
      <c r="L504" s="214"/>
      <c r="M504" s="223"/>
      <c r="N504" s="223"/>
      <c r="O504" s="214"/>
      <c r="P504" s="214">
        <v>64</v>
      </c>
      <c r="Q504" s="258">
        <f t="shared" si="417"/>
        <v>1.2800000000000001E-3</v>
      </c>
      <c r="R504" s="214">
        <v>218.983</v>
      </c>
      <c r="S504" s="373">
        <v>4.3796600000000005E-3</v>
      </c>
      <c r="T504" s="373">
        <v>4.3796600000000005E-3</v>
      </c>
      <c r="U504" s="214">
        <v>10244.402453999999</v>
      </c>
      <c r="V504" s="373">
        <v>0.20488804908</v>
      </c>
      <c r="W504" s="373">
        <v>0.20488804908</v>
      </c>
      <c r="X504" s="214">
        <v>10244.402453999999</v>
      </c>
      <c r="Y504" s="373">
        <v>0.20488804908</v>
      </c>
      <c r="Z504" s="373">
        <v>0.20488804908</v>
      </c>
      <c r="AA504" s="214">
        <v>10244.402453999999</v>
      </c>
      <c r="AB504" s="373">
        <v>0.20488804908</v>
      </c>
      <c r="AC504" s="373">
        <v>0.20488804908</v>
      </c>
      <c r="AD504" s="214">
        <v>10244.402453999999</v>
      </c>
      <c r="AE504" s="373">
        <v>0.20488804908</v>
      </c>
      <c r="AF504" s="373">
        <v>0.20488804908</v>
      </c>
      <c r="AG504" s="214">
        <v>10429.402453999999</v>
      </c>
      <c r="AH504" s="373">
        <v>0.20858804907999998</v>
      </c>
      <c r="AI504" s="373">
        <v>0.20858804907999998</v>
      </c>
      <c r="AJ504" s="315">
        <v>10429.402453999999</v>
      </c>
      <c r="AK504" s="373">
        <v>0.20858804907999998</v>
      </c>
      <c r="AL504" s="373">
        <v>0.20858804907999998</v>
      </c>
      <c r="AM504" s="214">
        <v>10429.402453999999</v>
      </c>
      <c r="AN504" s="373">
        <v>0.20858804907999998</v>
      </c>
      <c r="AO504" s="373">
        <v>0.20858804907999998</v>
      </c>
      <c r="AP504" s="373"/>
      <c r="AQ504" s="214">
        <v>13729.402453999999</v>
      </c>
      <c r="AR504" s="373">
        <v>0.27458804908000001</v>
      </c>
      <c r="AS504" s="373">
        <v>0.27458804908000001</v>
      </c>
      <c r="AT504" s="214">
        <v>13729.402453999999</v>
      </c>
      <c r="AU504" s="373">
        <v>0.27458804908000001</v>
      </c>
      <c r="AV504" s="373">
        <v>0.27458804908000001</v>
      </c>
      <c r="AW504" s="373"/>
      <c r="AX504" s="373"/>
      <c r="AY504" s="373"/>
      <c r="AZ504" s="373"/>
      <c r="BA504" s="373"/>
      <c r="BB504" s="373"/>
      <c r="BC504" s="214">
        <v>13729.402453999999</v>
      </c>
      <c r="BD504" s="373">
        <v>0.27458804908000001</v>
      </c>
      <c r="BE504" s="373">
        <v>0.27458804908000001</v>
      </c>
      <c r="BF504" s="350"/>
      <c r="BG504" s="350">
        <v>13871.317864000001</v>
      </c>
      <c r="BH504" s="373">
        <v>0.27742635728000004</v>
      </c>
      <c r="BI504" s="373">
        <v>0.27742635728000004</v>
      </c>
      <c r="BJ504" s="402">
        <f t="shared" si="406"/>
        <v>50000</v>
      </c>
      <c r="BK504" s="402">
        <v>20137.890919000001</v>
      </c>
      <c r="BL504" s="373">
        <f t="shared" si="407"/>
        <v>0.40275781838000002</v>
      </c>
      <c r="BM504" s="373">
        <f t="shared" si="421"/>
        <v>0.40275781838000002</v>
      </c>
      <c r="BN504" s="205">
        <f t="shared" si="403"/>
        <v>9893.4884650000022</v>
      </c>
      <c r="BO504" s="205"/>
      <c r="BP504" s="245">
        <v>0</v>
      </c>
      <c r="BQ504" s="375">
        <f t="shared" si="408"/>
        <v>0</v>
      </c>
      <c r="BR504" s="245">
        <v>6375</v>
      </c>
      <c r="BS504" s="375">
        <f t="shared" si="409"/>
        <v>0.1275</v>
      </c>
      <c r="BT504" s="245">
        <v>11591</v>
      </c>
      <c r="BU504" s="258">
        <f t="shared" si="410"/>
        <v>0.23182</v>
      </c>
      <c r="BV504" s="245">
        <v>17966</v>
      </c>
      <c r="BW504" s="375">
        <f t="shared" si="411"/>
        <v>0.35931999999999997</v>
      </c>
      <c r="BX504" s="245">
        <v>23181</v>
      </c>
      <c r="BY504" s="375">
        <f t="shared" si="412"/>
        <v>0.46361999999999998</v>
      </c>
      <c r="BZ504" s="245">
        <v>26079</v>
      </c>
      <c r="CA504" s="375">
        <f t="shared" si="413"/>
        <v>0.52158000000000004</v>
      </c>
      <c r="CB504" s="245">
        <v>28977</v>
      </c>
      <c r="CC504" s="375">
        <f t="shared" si="427"/>
        <v>0.57954000000000006</v>
      </c>
      <c r="CD504" s="245">
        <v>31874</v>
      </c>
      <c r="CE504" s="375">
        <f t="shared" si="428"/>
        <v>0.63748000000000005</v>
      </c>
      <c r="CF504" s="245">
        <v>34772</v>
      </c>
      <c r="CG504" s="375">
        <f t="shared" si="429"/>
        <v>0.69543999999999995</v>
      </c>
      <c r="CH504" s="245">
        <v>37670</v>
      </c>
      <c r="CI504" s="375">
        <f t="shared" si="430"/>
        <v>0.75339999999999996</v>
      </c>
      <c r="CJ504" s="245">
        <v>40567</v>
      </c>
      <c r="CK504" s="375">
        <f t="shared" si="414"/>
        <v>0.81133999999999995</v>
      </c>
      <c r="CL504" s="245">
        <v>46942</v>
      </c>
      <c r="CM504" s="375">
        <f t="shared" si="415"/>
        <v>0.93884000000000001</v>
      </c>
      <c r="CN504" s="245">
        <v>50000</v>
      </c>
      <c r="CO504" s="375">
        <f t="shared" si="416"/>
        <v>1</v>
      </c>
      <c r="CP504" s="213" t="str">
        <f t="shared" si="418"/>
        <v>Đạt</v>
      </c>
      <c r="CQ504" s="213" t="str">
        <f t="shared" si="419"/>
        <v>Không đạt</v>
      </c>
      <c r="CR504" s="192"/>
      <c r="CS504" s="192"/>
      <c r="CT504" s="223"/>
      <c r="CU504" s="216"/>
      <c r="CW504" s="195"/>
      <c r="CX504" s="196"/>
      <c r="CY504" s="196"/>
      <c r="CZ504" s="197"/>
      <c r="DA504" s="196"/>
      <c r="DB504" s="196"/>
      <c r="DC504" s="196"/>
      <c r="DE504" s="376"/>
      <c r="DF504" s="377"/>
      <c r="DG504" s="378"/>
    </row>
    <row r="505" spans="1:111" s="160" customFormat="1" ht="12.75" hidden="1" outlineLevel="1" x14ac:dyDescent="0.25">
      <c r="A505" s="191" t="s">
        <v>29</v>
      </c>
      <c r="B505" s="210" t="s">
        <v>485</v>
      </c>
      <c r="C505" s="210"/>
      <c r="D505" s="188">
        <f t="shared" ref="D505:I505" si="444">D506+D507</f>
        <v>4700</v>
      </c>
      <c r="E505" s="188">
        <f t="shared" si="444"/>
        <v>0</v>
      </c>
      <c r="F505" s="188">
        <f t="shared" si="444"/>
        <v>4700</v>
      </c>
      <c r="G505" s="188">
        <f t="shared" si="444"/>
        <v>3000</v>
      </c>
      <c r="H505" s="188">
        <f t="shared" si="444"/>
        <v>1700</v>
      </c>
      <c r="I505" s="188">
        <f t="shared" si="444"/>
        <v>0</v>
      </c>
      <c r="J505" s="188"/>
      <c r="K505" s="188">
        <f>K506+K507</f>
        <v>0</v>
      </c>
      <c r="L505" s="188">
        <f>L506+L507</f>
        <v>0</v>
      </c>
      <c r="M505" s="188">
        <f>M506+M507</f>
        <v>0</v>
      </c>
      <c r="N505" s="188">
        <f>N506+N507</f>
        <v>0</v>
      </c>
      <c r="O505" s="188">
        <f>O506+O507</f>
        <v>3000</v>
      </c>
      <c r="P505" s="188">
        <v>151</v>
      </c>
      <c r="Q505" s="186">
        <f t="shared" si="417"/>
        <v>3.2127659574468087E-2</v>
      </c>
      <c r="R505" s="188">
        <v>151.15</v>
      </c>
      <c r="S505" s="328">
        <v>3.2159574468085109E-2</v>
      </c>
      <c r="T505" s="328">
        <v>3.3852183650615902E-2</v>
      </c>
      <c r="U505" s="315">
        <v>151.15</v>
      </c>
      <c r="V505" s="328">
        <v>3.2159574468085109E-2</v>
      </c>
      <c r="W505" s="328">
        <v>3.3852183650615902E-2</v>
      </c>
      <c r="X505" s="315">
        <v>151.15</v>
      </c>
      <c r="Y505" s="328">
        <v>3.2159574468085109E-2</v>
      </c>
      <c r="Z505" s="328">
        <v>3.3852183650615902E-2</v>
      </c>
      <c r="AA505" s="315">
        <v>151.15</v>
      </c>
      <c r="AB505" s="328">
        <v>3.2159574468085109E-2</v>
      </c>
      <c r="AC505" s="328">
        <v>3.3852183650615902E-2</v>
      </c>
      <c r="AD505" s="315">
        <v>714.59754600000088</v>
      </c>
      <c r="AE505" s="328">
        <v>0.15204203106382996</v>
      </c>
      <c r="AF505" s="328">
        <v>0.16004424322508418</v>
      </c>
      <c r="AG505" s="315">
        <v>714.59754600000088</v>
      </c>
      <c r="AH505" s="328">
        <v>0.15204203106382996</v>
      </c>
      <c r="AI505" s="328">
        <v>0.16004424322508418</v>
      </c>
      <c r="AJ505" s="307">
        <v>714.59754600000088</v>
      </c>
      <c r="AK505" s="328">
        <v>0.15204203106382996</v>
      </c>
      <c r="AL505" s="328">
        <v>0.16004424322508418</v>
      </c>
      <c r="AM505" s="315">
        <v>714.59754600000088</v>
      </c>
      <c r="AN505" s="328">
        <v>0.15204203106382996</v>
      </c>
      <c r="AO505" s="328">
        <v>0.16004424322508418</v>
      </c>
      <c r="AP505" s="328"/>
      <c r="AQ505" s="315">
        <v>714.59754600000088</v>
      </c>
      <c r="AR505" s="328">
        <v>0.15204203106382996</v>
      </c>
      <c r="AS505" s="328">
        <v>0.16004424322508418</v>
      </c>
      <c r="AT505" s="315">
        <v>714.59754600000088</v>
      </c>
      <c r="AU505" s="328">
        <v>0.15204203106382996</v>
      </c>
      <c r="AV505" s="328">
        <v>0.16004424322508418</v>
      </c>
      <c r="AW505" s="328"/>
      <c r="AX505" s="328"/>
      <c r="AY505" s="328"/>
      <c r="AZ505" s="328"/>
      <c r="BA505" s="328"/>
      <c r="BB505" s="328"/>
      <c r="BC505" s="315">
        <v>714.59754600000088</v>
      </c>
      <c r="BD505" s="328">
        <v>0.15204203106382996</v>
      </c>
      <c r="BE505" s="328">
        <v>0.16004424322508418</v>
      </c>
      <c r="BF505" s="374"/>
      <c r="BG505" s="374">
        <v>2817.3375460000007</v>
      </c>
      <c r="BH505" s="328">
        <v>0.59943352042553211</v>
      </c>
      <c r="BI505" s="328">
        <v>0.63098265307950741</v>
      </c>
      <c r="BJ505" s="374">
        <f t="shared" si="406"/>
        <v>4465</v>
      </c>
      <c r="BK505" s="374">
        <v>2817.3375460000007</v>
      </c>
      <c r="BL505" s="328">
        <f t="shared" si="407"/>
        <v>0.59943352042553211</v>
      </c>
      <c r="BM505" s="328">
        <f t="shared" si="421"/>
        <v>0.63098265307950741</v>
      </c>
      <c r="BN505" s="205">
        <f t="shared" si="403"/>
        <v>2102.7399999999998</v>
      </c>
      <c r="BO505" s="205"/>
      <c r="BP505" s="189">
        <f>BP506+BP507</f>
        <v>166</v>
      </c>
      <c r="BQ505" s="329">
        <f t="shared" si="408"/>
        <v>3.5319148936170212E-2</v>
      </c>
      <c r="BR505" s="189">
        <f>BR506+BR507</f>
        <v>166</v>
      </c>
      <c r="BS505" s="329">
        <f t="shared" si="409"/>
        <v>3.5319148936170212E-2</v>
      </c>
      <c r="BT505" s="189">
        <f>BT506+BT507</f>
        <v>166</v>
      </c>
      <c r="BU505" s="186">
        <f t="shared" si="410"/>
        <v>3.5319148936170212E-2</v>
      </c>
      <c r="BV505" s="189">
        <f>BV506+BV507</f>
        <v>2850</v>
      </c>
      <c r="BW505" s="329">
        <f t="shared" si="411"/>
        <v>0.6063829787234043</v>
      </c>
      <c r="BX505" s="189">
        <f>BX506+BX507</f>
        <v>2850</v>
      </c>
      <c r="BY505" s="329">
        <f t="shared" si="412"/>
        <v>0.6063829787234043</v>
      </c>
      <c r="BZ505" s="189">
        <f>BZ506+BZ507</f>
        <v>3657.5</v>
      </c>
      <c r="CA505" s="329">
        <f t="shared" si="413"/>
        <v>0.77819148936170213</v>
      </c>
      <c r="CB505" s="189">
        <f>CB506+CB507</f>
        <v>3657.5</v>
      </c>
      <c r="CC505" s="329">
        <f t="shared" si="427"/>
        <v>0.77819148936170213</v>
      </c>
      <c r="CD505" s="189">
        <f>CD506+CD507</f>
        <v>3657.5</v>
      </c>
      <c r="CE505" s="329">
        <f t="shared" si="428"/>
        <v>0.77819148936170213</v>
      </c>
      <c r="CF505" s="189">
        <f>CF506+CF507</f>
        <v>3657.5</v>
      </c>
      <c r="CG505" s="329">
        <f t="shared" si="429"/>
        <v>0.77819148936170213</v>
      </c>
      <c r="CH505" s="189">
        <f>CH506+CH507</f>
        <v>4465</v>
      </c>
      <c r="CI505" s="329">
        <f t="shared" si="430"/>
        <v>0.95</v>
      </c>
      <c r="CJ505" s="189">
        <f>CJ506+CJ507</f>
        <v>4465</v>
      </c>
      <c r="CK505" s="329">
        <f t="shared" si="414"/>
        <v>0.95</v>
      </c>
      <c r="CL505" s="189">
        <f>CL506+CL507</f>
        <v>4465</v>
      </c>
      <c r="CM505" s="329">
        <f t="shared" si="415"/>
        <v>0.95</v>
      </c>
      <c r="CN505" s="189">
        <f>CN506+CN507</f>
        <v>4465</v>
      </c>
      <c r="CO505" s="329">
        <f t="shared" si="416"/>
        <v>0.95</v>
      </c>
      <c r="CP505" s="213" t="str">
        <f t="shared" si="418"/>
        <v>Đạt</v>
      </c>
      <c r="CQ505" s="213" t="str">
        <f t="shared" si="419"/>
        <v>Đạt</v>
      </c>
      <c r="CR505" s="213"/>
      <c r="CS505" s="213"/>
      <c r="CT505" s="231"/>
      <c r="CU505" s="163"/>
      <c r="CV505" s="291"/>
      <c r="CW505" s="218"/>
      <c r="CX505" s="196"/>
      <c r="CY505" s="196"/>
      <c r="CZ505" s="197"/>
      <c r="DA505" s="196"/>
      <c r="DB505" s="196"/>
      <c r="DC505" s="196"/>
      <c r="DE505" s="199"/>
      <c r="DF505" s="200"/>
      <c r="DG505" s="181"/>
    </row>
    <row r="506" spans="1:111" s="324" customFormat="1" hidden="1" outlineLevel="1" x14ac:dyDescent="0.2">
      <c r="A506" s="305" t="s">
        <v>34</v>
      </c>
      <c r="B506" s="306" t="s">
        <v>376</v>
      </c>
      <c r="C506" s="306"/>
      <c r="D506" s="307">
        <f>E506+F506</f>
        <v>3000</v>
      </c>
      <c r="E506" s="307"/>
      <c r="F506" s="307">
        <f>G506+H506+K506+M506</f>
        <v>3000</v>
      </c>
      <c r="G506" s="303">
        <v>3000</v>
      </c>
      <c r="H506" s="303"/>
      <c r="I506" s="235"/>
      <c r="J506" s="235"/>
      <c r="K506" s="303"/>
      <c r="L506" s="235"/>
      <c r="M506" s="223"/>
      <c r="N506" s="223"/>
      <c r="O506" s="303">
        <f t="shared" si="423"/>
        <v>3000</v>
      </c>
      <c r="P506" s="303">
        <v>0</v>
      </c>
      <c r="Q506" s="308">
        <f t="shared" si="417"/>
        <v>0</v>
      </c>
      <c r="R506" s="303">
        <v>151.15</v>
      </c>
      <c r="S506" s="313">
        <v>5.0383333333333336E-2</v>
      </c>
      <c r="T506" s="313">
        <v>5.3035087719298248E-2</v>
      </c>
      <c r="U506" s="303">
        <v>151.15</v>
      </c>
      <c r="V506" s="313">
        <v>5.0383333333333336E-2</v>
      </c>
      <c r="W506" s="313">
        <v>5.3035087719298248E-2</v>
      </c>
      <c r="X506" s="303">
        <v>151.15</v>
      </c>
      <c r="Y506" s="313">
        <v>5.0383333333333336E-2</v>
      </c>
      <c r="Z506" s="313">
        <v>5.3035087719298248E-2</v>
      </c>
      <c r="AA506" s="303">
        <v>151.15</v>
      </c>
      <c r="AB506" s="313">
        <v>5.0383333333333336E-2</v>
      </c>
      <c r="AC506" s="313">
        <v>5.3035087719298248E-2</v>
      </c>
      <c r="AD506" s="303">
        <v>714.59754600000088</v>
      </c>
      <c r="AE506" s="313">
        <v>0.23819918200000029</v>
      </c>
      <c r="AF506" s="313">
        <v>0.2507359810526319</v>
      </c>
      <c r="AG506" s="307">
        <v>714.59754600000088</v>
      </c>
      <c r="AH506" s="313">
        <v>0.23819918200000029</v>
      </c>
      <c r="AI506" s="313">
        <v>0.2507359810526319</v>
      </c>
      <c r="AJ506" s="303">
        <v>714.59754600000088</v>
      </c>
      <c r="AK506" s="313">
        <v>0.23819918200000029</v>
      </c>
      <c r="AL506" s="313">
        <v>0.2507359810526319</v>
      </c>
      <c r="AM506" s="307">
        <v>714.59754600000088</v>
      </c>
      <c r="AN506" s="313">
        <v>0.23819918200000029</v>
      </c>
      <c r="AO506" s="313">
        <v>0.2507359810526319</v>
      </c>
      <c r="AP506" s="313"/>
      <c r="AQ506" s="307">
        <v>714.59754600000088</v>
      </c>
      <c r="AR506" s="313">
        <v>0.23819918200000029</v>
      </c>
      <c r="AS506" s="313">
        <v>0.2507359810526319</v>
      </c>
      <c r="AT506" s="307">
        <v>714.59754600000088</v>
      </c>
      <c r="AU506" s="313">
        <v>0.23819918200000029</v>
      </c>
      <c r="AV506" s="313">
        <v>0.2507359810526319</v>
      </c>
      <c r="AW506" s="313"/>
      <c r="AX506" s="313"/>
      <c r="AY506" s="313"/>
      <c r="AZ506" s="313"/>
      <c r="BA506" s="313"/>
      <c r="BB506" s="313"/>
      <c r="BC506" s="307">
        <v>714.59754600000088</v>
      </c>
      <c r="BD506" s="313">
        <v>0.23819918200000029</v>
      </c>
      <c r="BE506" s="313">
        <v>0.2507359810526319</v>
      </c>
      <c r="BF506" s="351"/>
      <c r="BG506" s="351">
        <v>2817.3375460000007</v>
      </c>
      <c r="BH506" s="313">
        <v>0.93911251533333351</v>
      </c>
      <c r="BI506" s="313">
        <v>0.98853948982456163</v>
      </c>
      <c r="BJ506" s="349">
        <f t="shared" si="406"/>
        <v>2850</v>
      </c>
      <c r="BK506" s="349">
        <v>2817.3375460000007</v>
      </c>
      <c r="BL506" s="313">
        <f t="shared" si="407"/>
        <v>0.93911251533333351</v>
      </c>
      <c r="BM506" s="313">
        <f t="shared" si="421"/>
        <v>0.98853948982456163</v>
      </c>
      <c r="BN506" s="205">
        <f t="shared" si="403"/>
        <v>2102.7399999999998</v>
      </c>
      <c r="BO506" s="205"/>
      <c r="BP506" s="310">
        <v>166</v>
      </c>
      <c r="BQ506" s="311">
        <f t="shared" si="408"/>
        <v>5.5333333333333332E-2</v>
      </c>
      <c r="BR506" s="310">
        <v>166</v>
      </c>
      <c r="BS506" s="311">
        <f t="shared" si="409"/>
        <v>5.5333333333333332E-2</v>
      </c>
      <c r="BT506" s="310">
        <v>166</v>
      </c>
      <c r="BU506" s="308">
        <f t="shared" si="410"/>
        <v>5.5333333333333332E-2</v>
      </c>
      <c r="BV506" s="310">
        <v>2850</v>
      </c>
      <c r="BW506" s="311">
        <f t="shared" si="411"/>
        <v>0.95</v>
      </c>
      <c r="BX506" s="310">
        <v>2850</v>
      </c>
      <c r="BY506" s="311">
        <f t="shared" si="412"/>
        <v>0.95</v>
      </c>
      <c r="BZ506" s="310">
        <v>2850</v>
      </c>
      <c r="CA506" s="311">
        <f t="shared" si="413"/>
        <v>0.95</v>
      </c>
      <c r="CB506" s="310">
        <v>2850</v>
      </c>
      <c r="CC506" s="311">
        <f t="shared" si="427"/>
        <v>0.95</v>
      </c>
      <c r="CD506" s="310">
        <v>2850</v>
      </c>
      <c r="CE506" s="311">
        <f t="shared" si="428"/>
        <v>0.95</v>
      </c>
      <c r="CF506" s="310">
        <v>2850</v>
      </c>
      <c r="CG506" s="311">
        <f t="shared" si="429"/>
        <v>0.95</v>
      </c>
      <c r="CH506" s="310">
        <v>2850</v>
      </c>
      <c r="CI506" s="311">
        <f t="shared" si="430"/>
        <v>0.95</v>
      </c>
      <c r="CJ506" s="310">
        <v>2850</v>
      </c>
      <c r="CK506" s="311">
        <f t="shared" si="414"/>
        <v>0.95</v>
      </c>
      <c r="CL506" s="310">
        <v>2850</v>
      </c>
      <c r="CM506" s="311">
        <f t="shared" si="415"/>
        <v>0.95</v>
      </c>
      <c r="CN506" s="310">
        <v>2850</v>
      </c>
      <c r="CO506" s="311">
        <f t="shared" si="416"/>
        <v>0.95</v>
      </c>
      <c r="CP506" s="213" t="str">
        <f t="shared" si="418"/>
        <v>Đạt</v>
      </c>
      <c r="CQ506" s="213" t="str">
        <f t="shared" si="419"/>
        <v>Đạt</v>
      </c>
      <c r="CR506" s="312"/>
      <c r="CS506" s="312"/>
      <c r="CT506" s="235"/>
      <c r="CU506" s="163"/>
      <c r="CV506" s="379"/>
      <c r="CW506" s="195"/>
      <c r="CX506" s="196"/>
      <c r="CY506" s="196"/>
      <c r="CZ506" s="197"/>
      <c r="DA506" s="196"/>
      <c r="DB506" s="196"/>
      <c r="DC506" s="196"/>
      <c r="DE506" s="199"/>
      <c r="DF506" s="200"/>
      <c r="DG506" s="181"/>
    </row>
    <row r="507" spans="1:111" ht="25.5" hidden="1" outlineLevel="1" x14ac:dyDescent="0.2">
      <c r="A507" s="305" t="s">
        <v>34</v>
      </c>
      <c r="B507" s="306" t="s">
        <v>377</v>
      </c>
      <c r="C507" s="306"/>
      <c r="D507" s="307">
        <f>E507+F507</f>
        <v>1700</v>
      </c>
      <c r="E507" s="307"/>
      <c r="F507" s="307">
        <f>G507+H507+K507+M507</f>
        <v>1700</v>
      </c>
      <c r="G507" s="307"/>
      <c r="H507" s="307">
        <v>1700</v>
      </c>
      <c r="I507" s="235"/>
      <c r="J507" s="235"/>
      <c r="K507" s="303"/>
      <c r="L507" s="235"/>
      <c r="M507" s="223"/>
      <c r="N507" s="223"/>
      <c r="O507" s="303"/>
      <c r="P507" s="303">
        <v>0</v>
      </c>
      <c r="Q507" s="308">
        <f t="shared" si="417"/>
        <v>0</v>
      </c>
      <c r="R507" s="303">
        <v>0</v>
      </c>
      <c r="S507" s="313">
        <v>0</v>
      </c>
      <c r="T507" s="313">
        <v>0</v>
      </c>
      <c r="U507" s="303">
        <v>0</v>
      </c>
      <c r="V507" s="313">
        <v>0</v>
      </c>
      <c r="W507" s="313">
        <v>0</v>
      </c>
      <c r="X507" s="303">
        <v>0</v>
      </c>
      <c r="Y507" s="313">
        <v>0</v>
      </c>
      <c r="Z507" s="313">
        <v>0</v>
      </c>
      <c r="AA507" s="303">
        <v>0</v>
      </c>
      <c r="AB507" s="313">
        <v>0</v>
      </c>
      <c r="AC507" s="313">
        <v>0</v>
      </c>
      <c r="AD507" s="303">
        <v>0</v>
      </c>
      <c r="AE507" s="313">
        <v>0</v>
      </c>
      <c r="AF507" s="313">
        <v>0</v>
      </c>
      <c r="AG507" s="303">
        <v>0</v>
      </c>
      <c r="AH507" s="313">
        <v>0</v>
      </c>
      <c r="AI507" s="313">
        <v>0</v>
      </c>
      <c r="AJ507" s="188">
        <v>0</v>
      </c>
      <c r="AK507" s="313">
        <v>0</v>
      </c>
      <c r="AL507" s="313">
        <v>0</v>
      </c>
      <c r="AM507" s="303">
        <v>0</v>
      </c>
      <c r="AN507" s="313">
        <v>0</v>
      </c>
      <c r="AO507" s="313">
        <v>0</v>
      </c>
      <c r="AP507" s="313"/>
      <c r="AQ507" s="303">
        <v>0</v>
      </c>
      <c r="AR507" s="313">
        <v>0</v>
      </c>
      <c r="AS507" s="313">
        <v>0</v>
      </c>
      <c r="AT507" s="303">
        <v>0</v>
      </c>
      <c r="AU507" s="313">
        <v>0</v>
      </c>
      <c r="AV507" s="313">
        <v>0</v>
      </c>
      <c r="AW507" s="313"/>
      <c r="AX507" s="313"/>
      <c r="AY507" s="313"/>
      <c r="AZ507" s="313"/>
      <c r="BA507" s="313"/>
      <c r="BB507" s="313"/>
      <c r="BC507" s="303">
        <v>0</v>
      </c>
      <c r="BD507" s="313">
        <v>0</v>
      </c>
      <c r="BE507" s="313">
        <v>0</v>
      </c>
      <c r="BF507" s="351"/>
      <c r="BG507" s="351">
        <v>0</v>
      </c>
      <c r="BH507" s="313">
        <v>0</v>
      </c>
      <c r="BI507" s="313">
        <v>0</v>
      </c>
      <c r="BJ507" s="349">
        <f t="shared" si="406"/>
        <v>1615</v>
      </c>
      <c r="BK507" s="349">
        <v>0</v>
      </c>
      <c r="BL507" s="313">
        <f t="shared" si="407"/>
        <v>0</v>
      </c>
      <c r="BM507" s="313">
        <f t="shared" si="421"/>
        <v>0</v>
      </c>
      <c r="BN507" s="205">
        <f t="shared" si="403"/>
        <v>0</v>
      </c>
      <c r="BO507" s="205"/>
      <c r="BP507" s="310">
        <v>0</v>
      </c>
      <c r="BQ507" s="311">
        <f t="shared" si="408"/>
        <v>0</v>
      </c>
      <c r="BR507" s="310">
        <v>0</v>
      </c>
      <c r="BS507" s="311">
        <f t="shared" si="409"/>
        <v>0</v>
      </c>
      <c r="BT507" s="310">
        <v>0</v>
      </c>
      <c r="BU507" s="308">
        <f t="shared" si="410"/>
        <v>0</v>
      </c>
      <c r="BV507" s="310">
        <v>0</v>
      </c>
      <c r="BW507" s="311">
        <f t="shared" si="411"/>
        <v>0</v>
      </c>
      <c r="BX507" s="310">
        <v>0</v>
      </c>
      <c r="BY507" s="311">
        <f t="shared" si="412"/>
        <v>0</v>
      </c>
      <c r="BZ507" s="310">
        <v>807.5</v>
      </c>
      <c r="CA507" s="311">
        <f t="shared" si="413"/>
        <v>0.47499999999999998</v>
      </c>
      <c r="CB507" s="310">
        <v>807.5</v>
      </c>
      <c r="CC507" s="311">
        <f t="shared" si="427"/>
        <v>0.47499999999999998</v>
      </c>
      <c r="CD507" s="310">
        <v>807.5</v>
      </c>
      <c r="CE507" s="311">
        <f t="shared" si="428"/>
        <v>0.47499999999999998</v>
      </c>
      <c r="CF507" s="310">
        <v>807.5</v>
      </c>
      <c r="CG507" s="311">
        <f t="shared" si="429"/>
        <v>0.47499999999999998</v>
      </c>
      <c r="CH507" s="310">
        <v>1615</v>
      </c>
      <c r="CI507" s="311">
        <f t="shared" si="430"/>
        <v>0.95</v>
      </c>
      <c r="CJ507" s="310">
        <v>1615</v>
      </c>
      <c r="CK507" s="311">
        <f t="shared" si="414"/>
        <v>0.95</v>
      </c>
      <c r="CL507" s="310">
        <v>1615</v>
      </c>
      <c r="CM507" s="311">
        <f t="shared" si="415"/>
        <v>0.95</v>
      </c>
      <c r="CN507" s="310">
        <v>1615</v>
      </c>
      <c r="CO507" s="311">
        <f t="shared" si="416"/>
        <v>0.95</v>
      </c>
      <c r="CP507" s="213" t="str">
        <f t="shared" si="418"/>
        <v>Không đạt</v>
      </c>
      <c r="CQ507" s="213" t="str">
        <f t="shared" si="419"/>
        <v>Không đạt</v>
      </c>
      <c r="CR507" s="312"/>
      <c r="CS507" s="312"/>
      <c r="CT507" s="235"/>
      <c r="CU507" s="163"/>
      <c r="CV507" s="379"/>
      <c r="CW507" s="195"/>
      <c r="CX507" s="196"/>
      <c r="CY507" s="196"/>
      <c r="CZ507" s="197"/>
      <c r="DA507" s="196"/>
      <c r="DB507" s="196"/>
      <c r="DC507" s="196"/>
      <c r="DE507" s="199"/>
      <c r="DF507" s="200"/>
      <c r="DG507" s="181"/>
    </row>
    <row r="508" spans="1:111" ht="18" customHeight="1" collapsed="1" x14ac:dyDescent="0.25">
      <c r="A508" s="213">
        <f>MAX(A$239:A502)+1</f>
        <v>75</v>
      </c>
      <c r="B508" s="240" t="s">
        <v>486</v>
      </c>
      <c r="C508" s="240"/>
      <c r="D508" s="188">
        <f t="shared" ref="D508:I508" si="445">D509</f>
        <v>3000</v>
      </c>
      <c r="E508" s="188">
        <f t="shared" si="445"/>
        <v>0</v>
      </c>
      <c r="F508" s="188">
        <f t="shared" si="445"/>
        <v>3000</v>
      </c>
      <c r="G508" s="188">
        <f t="shared" si="445"/>
        <v>3000</v>
      </c>
      <c r="H508" s="188">
        <f t="shared" si="445"/>
        <v>0</v>
      </c>
      <c r="I508" s="188">
        <f t="shared" si="445"/>
        <v>0</v>
      </c>
      <c r="J508" s="188"/>
      <c r="K508" s="188">
        <f>K509</f>
        <v>0</v>
      </c>
      <c r="L508" s="188">
        <f>L509</f>
        <v>0</v>
      </c>
      <c r="M508" s="231"/>
      <c r="N508" s="231"/>
      <c r="O508" s="188">
        <f t="shared" si="423"/>
        <v>3000</v>
      </c>
      <c r="P508" s="188">
        <v>0</v>
      </c>
      <c r="Q508" s="186">
        <f t="shared" si="417"/>
        <v>0</v>
      </c>
      <c r="R508" s="188">
        <v>0</v>
      </c>
      <c r="S508" s="185">
        <v>0</v>
      </c>
      <c r="T508" s="185">
        <v>0</v>
      </c>
      <c r="U508" s="188">
        <v>29.387</v>
      </c>
      <c r="V508" s="185">
        <v>9.7956666666666661E-3</v>
      </c>
      <c r="W508" s="185">
        <v>1.0311228070175439E-2</v>
      </c>
      <c r="X508" s="188">
        <v>29.387</v>
      </c>
      <c r="Y508" s="185">
        <v>9.7956666666666661E-3</v>
      </c>
      <c r="Z508" s="185">
        <v>1.0311228070175439E-2</v>
      </c>
      <c r="AA508" s="188">
        <v>29.387</v>
      </c>
      <c r="AB508" s="185">
        <v>9.7956666666666661E-3</v>
      </c>
      <c r="AC508" s="185">
        <v>1.0311228070175439E-2</v>
      </c>
      <c r="AD508" s="188">
        <v>1156.492</v>
      </c>
      <c r="AE508" s="185">
        <v>0.3854973333333333</v>
      </c>
      <c r="AF508" s="185">
        <v>0.40578666666666663</v>
      </c>
      <c r="AG508" s="188">
        <v>1156.492</v>
      </c>
      <c r="AH508" s="185">
        <v>0.3854973333333333</v>
      </c>
      <c r="AI508" s="185">
        <v>0.40578666666666663</v>
      </c>
      <c r="AJ508" s="307">
        <v>1156.492</v>
      </c>
      <c r="AK508" s="185">
        <v>0.3854973333333333</v>
      </c>
      <c r="AL508" s="185">
        <v>0.40578666666666663</v>
      </c>
      <c r="AM508" s="188">
        <v>1156.492</v>
      </c>
      <c r="AN508" s="185">
        <v>0.3854973333333333</v>
      </c>
      <c r="AO508" s="185">
        <v>0.40578666666666663</v>
      </c>
      <c r="AP508" s="185"/>
      <c r="AQ508" s="188">
        <v>1281.7329999999999</v>
      </c>
      <c r="AR508" s="185">
        <v>0.42724433333333334</v>
      </c>
      <c r="AS508" s="185">
        <v>0.44973087719298244</v>
      </c>
      <c r="AT508" s="188">
        <v>1281.7329999999999</v>
      </c>
      <c r="AU508" s="185">
        <v>0.42724433333333334</v>
      </c>
      <c r="AV508" s="185">
        <v>0.44973087719298244</v>
      </c>
      <c r="AW508" s="185"/>
      <c r="AX508" s="185"/>
      <c r="AY508" s="185"/>
      <c r="AZ508" s="185"/>
      <c r="BA508" s="185"/>
      <c r="BB508" s="185"/>
      <c r="BC508" s="188">
        <v>1281.7329999999999</v>
      </c>
      <c r="BD508" s="185">
        <v>0.42724433333333334</v>
      </c>
      <c r="BE508" s="185">
        <v>0.44973087719298244</v>
      </c>
      <c r="BF508" s="352"/>
      <c r="BG508" s="352">
        <v>1742.1120000000001</v>
      </c>
      <c r="BH508" s="185">
        <v>0.580704</v>
      </c>
      <c r="BI508" s="185">
        <v>0.61126736842105267</v>
      </c>
      <c r="BJ508" s="374">
        <f t="shared" si="406"/>
        <v>2850</v>
      </c>
      <c r="BK508" s="374">
        <v>1742.1120000000001</v>
      </c>
      <c r="BL508" s="185">
        <f t="shared" si="407"/>
        <v>0.580704</v>
      </c>
      <c r="BM508" s="185">
        <f t="shared" si="421"/>
        <v>0.61126736842105267</v>
      </c>
      <c r="BN508" s="205">
        <f t="shared" si="403"/>
        <v>585.62000000000012</v>
      </c>
      <c r="BO508" s="205"/>
      <c r="BP508" s="189">
        <f>BP509</f>
        <v>0</v>
      </c>
      <c r="BQ508" s="186">
        <f t="shared" si="408"/>
        <v>0</v>
      </c>
      <c r="BR508" s="189">
        <f>BR509</f>
        <v>0</v>
      </c>
      <c r="BS508" s="186">
        <f t="shared" si="409"/>
        <v>0</v>
      </c>
      <c r="BT508" s="189">
        <f>BT509</f>
        <v>300</v>
      </c>
      <c r="BU508" s="186">
        <f t="shared" si="410"/>
        <v>0.1</v>
      </c>
      <c r="BV508" s="189">
        <f>BV509</f>
        <v>600</v>
      </c>
      <c r="BW508" s="186">
        <f t="shared" si="411"/>
        <v>0.2</v>
      </c>
      <c r="BX508" s="189">
        <f>BX509</f>
        <v>900</v>
      </c>
      <c r="BY508" s="186">
        <f t="shared" si="412"/>
        <v>0.3</v>
      </c>
      <c r="BZ508" s="189">
        <f>BZ509</f>
        <v>1200</v>
      </c>
      <c r="CA508" s="186">
        <f t="shared" si="413"/>
        <v>0.4</v>
      </c>
      <c r="CB508" s="189">
        <f>CB509</f>
        <v>1500</v>
      </c>
      <c r="CC508" s="186">
        <f t="shared" si="427"/>
        <v>0.5</v>
      </c>
      <c r="CD508" s="189">
        <f>CD509</f>
        <v>1650.0000000000002</v>
      </c>
      <c r="CE508" s="186">
        <f t="shared" si="428"/>
        <v>0.55000000000000004</v>
      </c>
      <c r="CF508" s="189">
        <f>CF509</f>
        <v>2100</v>
      </c>
      <c r="CG508" s="186">
        <f t="shared" si="429"/>
        <v>0.7</v>
      </c>
      <c r="CH508" s="189">
        <f>CH509</f>
        <v>2100</v>
      </c>
      <c r="CI508" s="186">
        <f t="shared" si="430"/>
        <v>0.7</v>
      </c>
      <c r="CJ508" s="189">
        <f>CJ509</f>
        <v>2250</v>
      </c>
      <c r="CK508" s="186">
        <f t="shared" si="414"/>
        <v>0.75</v>
      </c>
      <c r="CL508" s="189">
        <f>CL509</f>
        <v>2400</v>
      </c>
      <c r="CM508" s="186">
        <f t="shared" si="415"/>
        <v>0.8</v>
      </c>
      <c r="CN508" s="189">
        <f>CN509</f>
        <v>2850</v>
      </c>
      <c r="CO508" s="186">
        <f t="shared" si="416"/>
        <v>0.95</v>
      </c>
      <c r="CP508" s="213" t="str">
        <f t="shared" si="418"/>
        <v>Đạt</v>
      </c>
      <c r="CQ508" s="213" t="str">
        <f t="shared" si="419"/>
        <v>Đạt</v>
      </c>
      <c r="CR508" s="213"/>
      <c r="CS508" s="213"/>
      <c r="CT508" s="231"/>
      <c r="CU508" s="163"/>
      <c r="CW508" s="195"/>
      <c r="CX508" s="196"/>
      <c r="CY508" s="196"/>
      <c r="CZ508" s="197"/>
      <c r="DA508" s="196"/>
      <c r="DB508" s="196"/>
      <c r="DC508" s="196"/>
      <c r="DE508" s="199"/>
      <c r="DF508" s="200"/>
      <c r="DG508" s="181"/>
    </row>
    <row r="509" spans="1:111" s="324" customFormat="1" hidden="1" outlineLevel="1" x14ac:dyDescent="0.25">
      <c r="A509" s="305" t="s">
        <v>34</v>
      </c>
      <c r="B509" s="306" t="s">
        <v>376</v>
      </c>
      <c r="C509" s="306"/>
      <c r="D509" s="307">
        <f>E509+F509</f>
        <v>3000</v>
      </c>
      <c r="E509" s="307"/>
      <c r="F509" s="307">
        <f>G509+H509+K509+M509</f>
        <v>3000</v>
      </c>
      <c r="G509" s="303">
        <v>3000</v>
      </c>
      <c r="H509" s="303"/>
      <c r="I509" s="235"/>
      <c r="J509" s="235"/>
      <c r="K509" s="303"/>
      <c r="L509" s="235"/>
      <c r="M509" s="223"/>
      <c r="N509" s="223"/>
      <c r="O509" s="303">
        <f t="shared" si="423"/>
        <v>3000</v>
      </c>
      <c r="P509" s="303">
        <v>0</v>
      </c>
      <c r="Q509" s="308">
        <f t="shared" si="417"/>
        <v>0</v>
      </c>
      <c r="R509" s="303"/>
      <c r="S509" s="309">
        <v>0</v>
      </c>
      <c r="T509" s="309">
        <v>0</v>
      </c>
      <c r="U509" s="303">
        <v>29.387</v>
      </c>
      <c r="V509" s="309">
        <v>9.7956666666666661E-3</v>
      </c>
      <c r="W509" s="309">
        <v>1.0311228070175439E-2</v>
      </c>
      <c r="X509" s="303">
        <v>29.387</v>
      </c>
      <c r="Y509" s="309">
        <v>9.7956666666666661E-3</v>
      </c>
      <c r="Z509" s="309">
        <v>1.0311228070175439E-2</v>
      </c>
      <c r="AA509" s="303">
        <v>29.387</v>
      </c>
      <c r="AB509" s="309">
        <v>9.7956666666666661E-3</v>
      </c>
      <c r="AC509" s="309">
        <v>1.0311228070175439E-2</v>
      </c>
      <c r="AD509" s="303">
        <v>1156.492</v>
      </c>
      <c r="AE509" s="309">
        <v>0.3854973333333333</v>
      </c>
      <c r="AF509" s="309">
        <v>0.40578666666666663</v>
      </c>
      <c r="AG509" s="307">
        <v>1156.492</v>
      </c>
      <c r="AH509" s="309">
        <v>0.3854973333333333</v>
      </c>
      <c r="AI509" s="309">
        <v>0.40578666666666663</v>
      </c>
      <c r="AJ509" s="189">
        <v>1156.492</v>
      </c>
      <c r="AK509" s="309">
        <v>0.3854973333333333</v>
      </c>
      <c r="AL509" s="309">
        <v>0.40578666666666663</v>
      </c>
      <c r="AM509" s="307">
        <v>1156.492</v>
      </c>
      <c r="AN509" s="309">
        <v>0.3854973333333333</v>
      </c>
      <c r="AO509" s="309">
        <v>0.40578666666666663</v>
      </c>
      <c r="AP509" s="309"/>
      <c r="AQ509" s="307">
        <v>1281.7329999999999</v>
      </c>
      <c r="AR509" s="309">
        <v>0.42724433333333334</v>
      </c>
      <c r="AS509" s="309">
        <v>0.44973087719298244</v>
      </c>
      <c r="AT509" s="307">
        <v>1281.7329999999999</v>
      </c>
      <c r="AU509" s="309">
        <v>0.42724433333333334</v>
      </c>
      <c r="AV509" s="309">
        <v>0.44973087719298244</v>
      </c>
      <c r="AW509" s="309"/>
      <c r="AX509" s="309"/>
      <c r="AY509" s="309"/>
      <c r="AZ509" s="309"/>
      <c r="BA509" s="309"/>
      <c r="BB509" s="309"/>
      <c r="BC509" s="307">
        <v>1281.7329999999999</v>
      </c>
      <c r="BD509" s="309">
        <v>0.42724433333333334</v>
      </c>
      <c r="BE509" s="309">
        <v>0.44973087719298244</v>
      </c>
      <c r="BF509" s="351"/>
      <c r="BG509" s="351">
        <v>1742.1120000000001</v>
      </c>
      <c r="BH509" s="309">
        <v>0.580704</v>
      </c>
      <c r="BI509" s="309">
        <v>0.61126736842105267</v>
      </c>
      <c r="BJ509" s="349">
        <f t="shared" si="406"/>
        <v>2850</v>
      </c>
      <c r="BK509" s="349">
        <v>1742.1120000000001</v>
      </c>
      <c r="BL509" s="309">
        <f t="shared" si="407"/>
        <v>0.580704</v>
      </c>
      <c r="BM509" s="309">
        <f t="shared" si="421"/>
        <v>0.61126736842105267</v>
      </c>
      <c r="BN509" s="205">
        <f t="shared" si="403"/>
        <v>585.62000000000012</v>
      </c>
      <c r="BO509" s="205"/>
      <c r="BP509" s="310"/>
      <c r="BQ509" s="308">
        <f t="shared" si="408"/>
        <v>0</v>
      </c>
      <c r="BR509" s="310"/>
      <c r="BS509" s="308">
        <f t="shared" si="409"/>
        <v>0</v>
      </c>
      <c r="BT509" s="310">
        <f>$F509*0.1</f>
        <v>300</v>
      </c>
      <c r="BU509" s="308">
        <f t="shared" si="410"/>
        <v>0.1</v>
      </c>
      <c r="BV509" s="310">
        <f>$F509*0.2</f>
        <v>600</v>
      </c>
      <c r="BW509" s="308">
        <f t="shared" si="411"/>
        <v>0.2</v>
      </c>
      <c r="BX509" s="310">
        <f>$F509*0.3</f>
        <v>900</v>
      </c>
      <c r="BY509" s="308">
        <f t="shared" si="412"/>
        <v>0.3</v>
      </c>
      <c r="BZ509" s="310">
        <f>$F509*0.4</f>
        <v>1200</v>
      </c>
      <c r="CA509" s="308">
        <f t="shared" si="413"/>
        <v>0.4</v>
      </c>
      <c r="CB509" s="310">
        <f>$F509*0.5</f>
        <v>1500</v>
      </c>
      <c r="CC509" s="308">
        <f t="shared" si="427"/>
        <v>0.5</v>
      </c>
      <c r="CD509" s="310">
        <f>$F509*0.55</f>
        <v>1650.0000000000002</v>
      </c>
      <c r="CE509" s="308">
        <f t="shared" si="428"/>
        <v>0.55000000000000004</v>
      </c>
      <c r="CF509" s="310">
        <v>2100</v>
      </c>
      <c r="CG509" s="308">
        <f t="shared" si="429"/>
        <v>0.7</v>
      </c>
      <c r="CH509" s="310">
        <f>$F509*0.7</f>
        <v>2100</v>
      </c>
      <c r="CI509" s="308">
        <f t="shared" si="430"/>
        <v>0.7</v>
      </c>
      <c r="CJ509" s="310">
        <f>$F509*0.75</f>
        <v>2250</v>
      </c>
      <c r="CK509" s="308">
        <f t="shared" si="414"/>
        <v>0.75</v>
      </c>
      <c r="CL509" s="310">
        <f>$F509*0.8</f>
        <v>2400</v>
      </c>
      <c r="CM509" s="308">
        <f t="shared" si="415"/>
        <v>0.8</v>
      </c>
      <c r="CN509" s="310">
        <f>$F509*0.95</f>
        <v>2850</v>
      </c>
      <c r="CO509" s="308">
        <f t="shared" si="416"/>
        <v>0.95</v>
      </c>
      <c r="CP509" s="213" t="str">
        <f t="shared" si="418"/>
        <v>Đạt</v>
      </c>
      <c r="CQ509" s="213" t="str">
        <f t="shared" si="419"/>
        <v>Đạt</v>
      </c>
      <c r="CR509" s="312"/>
      <c r="CS509" s="312"/>
      <c r="CT509" s="235"/>
      <c r="CU509" s="163"/>
      <c r="CV509" s="323"/>
      <c r="CW509" s="195"/>
      <c r="CX509" s="196"/>
      <c r="CY509" s="196"/>
      <c r="CZ509" s="197"/>
      <c r="DA509" s="196"/>
      <c r="DB509" s="196"/>
      <c r="DC509" s="196"/>
      <c r="DE509" s="199"/>
      <c r="DF509" s="200"/>
      <c r="DG509" s="181"/>
    </row>
    <row r="510" spans="1:111" ht="18" customHeight="1" collapsed="1" x14ac:dyDescent="0.25">
      <c r="A510" s="213">
        <f>MAX(A$239:A508)+1</f>
        <v>76</v>
      </c>
      <c r="B510" s="240" t="s">
        <v>487</v>
      </c>
      <c r="C510" s="240"/>
      <c r="D510" s="188">
        <f t="shared" ref="D510:I510" si="446">D511+D513</f>
        <v>97034</v>
      </c>
      <c r="E510" s="188">
        <f t="shared" si="446"/>
        <v>94000</v>
      </c>
      <c r="F510" s="188">
        <f t="shared" si="446"/>
        <v>3034</v>
      </c>
      <c r="G510" s="188">
        <f t="shared" si="446"/>
        <v>3000</v>
      </c>
      <c r="H510" s="188">
        <f t="shared" si="446"/>
        <v>34</v>
      </c>
      <c r="I510" s="188">
        <f t="shared" si="446"/>
        <v>0</v>
      </c>
      <c r="J510" s="188"/>
      <c r="K510" s="188">
        <f>K511+K513</f>
        <v>0</v>
      </c>
      <c r="L510" s="188">
        <f>L511+L513</f>
        <v>0</v>
      </c>
      <c r="M510" s="188">
        <f>M511+M513</f>
        <v>0</v>
      </c>
      <c r="N510" s="188">
        <f>N511+N513</f>
        <v>0</v>
      </c>
      <c r="O510" s="188">
        <f>O511+O513</f>
        <v>3000</v>
      </c>
      <c r="P510" s="188">
        <v>311.01900000000001</v>
      </c>
      <c r="Q510" s="186">
        <f t="shared" si="417"/>
        <v>3.2052579508213617E-3</v>
      </c>
      <c r="R510" s="189">
        <v>311.01900000000001</v>
      </c>
      <c r="S510" s="185">
        <v>3.2052579508213617E-3</v>
      </c>
      <c r="T510" s="185">
        <v>3.2102767997869578E-3</v>
      </c>
      <c r="U510" s="189">
        <v>5849.2040260000003</v>
      </c>
      <c r="V510" s="185">
        <v>6.0279943380670699E-2</v>
      </c>
      <c r="W510" s="185">
        <v>6.0374330770429689E-2</v>
      </c>
      <c r="X510" s="189">
        <v>5849.2040260000003</v>
      </c>
      <c r="Y510" s="185">
        <v>6.0279943380670699E-2</v>
      </c>
      <c r="Z510" s="185">
        <v>6.0374330770429689E-2</v>
      </c>
      <c r="AA510" s="189">
        <v>5849.2040260000003</v>
      </c>
      <c r="AB510" s="185">
        <v>6.0279943380670699E-2</v>
      </c>
      <c r="AC510" s="185">
        <v>6.0374330770429689E-2</v>
      </c>
      <c r="AD510" s="189">
        <v>6156.2858109999997</v>
      </c>
      <c r="AE510" s="185">
        <v>6.3444625708514543E-2</v>
      </c>
      <c r="AF510" s="185">
        <v>6.3543968413218924E-2</v>
      </c>
      <c r="AG510" s="189">
        <v>6156.2858109999997</v>
      </c>
      <c r="AH510" s="185">
        <v>6.3444625708514543E-2</v>
      </c>
      <c r="AI510" s="185">
        <v>6.3543968413218924E-2</v>
      </c>
      <c r="AJ510" s="188">
        <v>6156.2858109999997</v>
      </c>
      <c r="AK510" s="185">
        <v>6.3444625708514543E-2</v>
      </c>
      <c r="AL510" s="185">
        <v>6.3543968413218924E-2</v>
      </c>
      <c r="AM510" s="189">
        <v>6156.2858109999997</v>
      </c>
      <c r="AN510" s="185">
        <v>6.3444625708514543E-2</v>
      </c>
      <c r="AO510" s="185">
        <v>6.3543968413218924E-2</v>
      </c>
      <c r="AP510" s="185"/>
      <c r="AQ510" s="189">
        <v>7421.4766479999998</v>
      </c>
      <c r="AR510" s="185">
        <v>7.6483259970731909E-2</v>
      </c>
      <c r="AS510" s="185">
        <v>7.6603018797035155E-2</v>
      </c>
      <c r="AT510" s="189">
        <v>7421.4766479999998</v>
      </c>
      <c r="AU510" s="185">
        <v>7.6483259970731909E-2</v>
      </c>
      <c r="AV510" s="185">
        <v>7.6603018797035155E-2</v>
      </c>
      <c r="AW510" s="185"/>
      <c r="AX510" s="185"/>
      <c r="AY510" s="185"/>
      <c r="AZ510" s="185"/>
      <c r="BA510" s="185"/>
      <c r="BB510" s="185"/>
      <c r="BC510" s="189">
        <v>7421.4766479999998</v>
      </c>
      <c r="BD510" s="185">
        <v>7.6483259970731909E-2</v>
      </c>
      <c r="BE510" s="185">
        <v>7.6603018797035155E-2</v>
      </c>
      <c r="BF510" s="352"/>
      <c r="BG510" s="352">
        <v>14336.176648000001</v>
      </c>
      <c r="BH510" s="185">
        <v>0.14774384904260363</v>
      </c>
      <c r="BI510" s="185">
        <v>0.14797518894576203</v>
      </c>
      <c r="BJ510" s="374">
        <f t="shared" si="406"/>
        <v>96882.3</v>
      </c>
      <c r="BK510" s="374">
        <v>14336.176648000001</v>
      </c>
      <c r="BL510" s="185">
        <f t="shared" si="407"/>
        <v>0.14774384904260363</v>
      </c>
      <c r="BM510" s="185">
        <f t="shared" si="421"/>
        <v>0.14797518894576203</v>
      </c>
      <c r="BN510" s="205">
        <f t="shared" si="403"/>
        <v>8179.8908370000008</v>
      </c>
      <c r="BO510" s="205"/>
      <c r="BP510" s="189">
        <f>BP511+BP513</f>
        <v>0</v>
      </c>
      <c r="BQ510" s="186">
        <f t="shared" si="408"/>
        <v>0</v>
      </c>
      <c r="BR510" s="189">
        <f>BR511+BR513</f>
        <v>2182.3000000000002</v>
      </c>
      <c r="BS510" s="186">
        <f t="shared" si="409"/>
        <v>2.2490055032256737E-2</v>
      </c>
      <c r="BT510" s="189">
        <f>BT511+BT513</f>
        <v>3932.3</v>
      </c>
      <c r="BU510" s="186">
        <f t="shared" si="410"/>
        <v>4.0524970628851742E-2</v>
      </c>
      <c r="BV510" s="189">
        <f>BV511+BV513</f>
        <v>5997.3</v>
      </c>
      <c r="BW510" s="186">
        <f t="shared" si="411"/>
        <v>6.1806171032833854E-2</v>
      </c>
      <c r="BX510" s="189">
        <f>BX511+BX513</f>
        <v>31047.3</v>
      </c>
      <c r="BY510" s="186">
        <f t="shared" si="412"/>
        <v>0.31996310571552239</v>
      </c>
      <c r="BZ510" s="189">
        <f>BZ511+BZ513</f>
        <v>41547.300000000003</v>
      </c>
      <c r="CA510" s="186">
        <f t="shared" si="413"/>
        <v>0.42817259929509249</v>
      </c>
      <c r="CB510" s="189">
        <f>CB511+CB513</f>
        <v>57897.3</v>
      </c>
      <c r="CC510" s="186">
        <f t="shared" si="427"/>
        <v>0.5966702392975658</v>
      </c>
      <c r="CD510" s="189">
        <f>CD511+CD513</f>
        <v>62397.3</v>
      </c>
      <c r="CE510" s="186">
        <f t="shared" si="428"/>
        <v>0.64304573654595298</v>
      </c>
      <c r="CF510" s="189">
        <f>CF511+CF513</f>
        <v>67882.3</v>
      </c>
      <c r="CG510" s="186">
        <f t="shared" si="429"/>
        <v>0.6995723148587093</v>
      </c>
      <c r="CH510" s="189">
        <f>CH511+CH513</f>
        <v>77882.3</v>
      </c>
      <c r="CI510" s="186">
        <f t="shared" si="430"/>
        <v>0.80262897541068079</v>
      </c>
      <c r="CJ510" s="189">
        <f>CJ511+CJ513</f>
        <v>82882.3</v>
      </c>
      <c r="CK510" s="186">
        <f t="shared" si="414"/>
        <v>0.85415730568666659</v>
      </c>
      <c r="CL510" s="189">
        <f>CL511+CL513</f>
        <v>87882.3</v>
      </c>
      <c r="CM510" s="186">
        <f t="shared" si="415"/>
        <v>0.90568563596265228</v>
      </c>
      <c r="CN510" s="189">
        <f>CN511+CN513</f>
        <v>96882.3</v>
      </c>
      <c r="CO510" s="186">
        <f t="shared" si="416"/>
        <v>0.99843663045942666</v>
      </c>
      <c r="CP510" s="213" t="str">
        <f t="shared" si="418"/>
        <v>Không đạt</v>
      </c>
      <c r="CQ510" s="213" t="str">
        <f t="shared" si="419"/>
        <v>Không đạt</v>
      </c>
      <c r="CR510" s="213"/>
      <c r="CS510" s="213"/>
      <c r="CT510" s="231"/>
      <c r="CU510" s="163"/>
      <c r="CW510" s="195"/>
      <c r="CX510" s="196"/>
      <c r="CY510" s="196"/>
      <c r="CZ510" s="197"/>
      <c r="DA510" s="196"/>
      <c r="DB510" s="196"/>
      <c r="DC510" s="196"/>
      <c r="DE510" s="199"/>
      <c r="DF510" s="200"/>
      <c r="DG510" s="181"/>
    </row>
    <row r="511" spans="1:111" s="160" customFormat="1" ht="15" hidden="1" customHeight="1" outlineLevel="1" x14ac:dyDescent="0.25">
      <c r="A511" s="191" t="s">
        <v>29</v>
      </c>
      <c r="B511" s="210" t="s">
        <v>155</v>
      </c>
      <c r="C511" s="210"/>
      <c r="D511" s="188">
        <f t="shared" ref="D511:I511" si="447">D512</f>
        <v>94000</v>
      </c>
      <c r="E511" s="188">
        <f t="shared" si="447"/>
        <v>94000</v>
      </c>
      <c r="F511" s="188">
        <f t="shared" si="447"/>
        <v>0</v>
      </c>
      <c r="G511" s="188">
        <f t="shared" si="447"/>
        <v>0</v>
      </c>
      <c r="H511" s="188">
        <f t="shared" si="447"/>
        <v>0</v>
      </c>
      <c r="I511" s="188">
        <f t="shared" si="447"/>
        <v>0</v>
      </c>
      <c r="J511" s="188"/>
      <c r="K511" s="188">
        <f t="shared" ref="K511:P511" si="448">K512</f>
        <v>0</v>
      </c>
      <c r="L511" s="188">
        <f t="shared" si="448"/>
        <v>0</v>
      </c>
      <c r="M511" s="188">
        <f t="shared" si="448"/>
        <v>0</v>
      </c>
      <c r="N511" s="188">
        <f t="shared" si="448"/>
        <v>0</v>
      </c>
      <c r="O511" s="188">
        <f t="shared" si="448"/>
        <v>0</v>
      </c>
      <c r="P511" s="188">
        <f t="shared" si="448"/>
        <v>311.01900000000001</v>
      </c>
      <c r="Q511" s="186">
        <f t="shared" si="417"/>
        <v>3.3087127659574469E-3</v>
      </c>
      <c r="R511" s="188">
        <v>311.01900000000001</v>
      </c>
      <c r="S511" s="185">
        <v>3.3087127659574469E-3</v>
      </c>
      <c r="T511" s="185">
        <v>3.3087127659574469E-3</v>
      </c>
      <c r="U511" s="188">
        <v>5849.2040260000003</v>
      </c>
      <c r="V511" s="185">
        <v>6.2225574744680857E-2</v>
      </c>
      <c r="W511" s="185">
        <v>6.2225574744680857E-2</v>
      </c>
      <c r="X511" s="188">
        <v>5849.2040260000003</v>
      </c>
      <c r="Y511" s="185">
        <v>6.2225574744680857E-2</v>
      </c>
      <c r="Z511" s="185">
        <v>6.2225574744680857E-2</v>
      </c>
      <c r="AA511" s="188">
        <v>5849.2040260000003</v>
      </c>
      <c r="AB511" s="185">
        <v>6.2225574744680857E-2</v>
      </c>
      <c r="AC511" s="185">
        <v>6.2225574744680857E-2</v>
      </c>
      <c r="AD511" s="188">
        <v>6156.2858109999997</v>
      </c>
      <c r="AE511" s="185">
        <v>6.549240224468085E-2</v>
      </c>
      <c r="AF511" s="185">
        <v>6.549240224468085E-2</v>
      </c>
      <c r="AG511" s="188">
        <v>6156.2858109999997</v>
      </c>
      <c r="AH511" s="185">
        <v>6.549240224468085E-2</v>
      </c>
      <c r="AI511" s="185">
        <v>6.549240224468085E-2</v>
      </c>
      <c r="AJ511" s="214">
        <v>6156.2858109999997</v>
      </c>
      <c r="AK511" s="185">
        <v>6.549240224468085E-2</v>
      </c>
      <c r="AL511" s="185">
        <v>6.549240224468085E-2</v>
      </c>
      <c r="AM511" s="188">
        <v>6156.2858109999997</v>
      </c>
      <c r="AN511" s="185">
        <v>6.549240224468085E-2</v>
      </c>
      <c r="AO511" s="185">
        <v>6.549240224468085E-2</v>
      </c>
      <c r="AP511" s="185"/>
      <c r="AQ511" s="188">
        <v>6558</v>
      </c>
      <c r="AR511" s="185">
        <v>6.976595744680851E-2</v>
      </c>
      <c r="AS511" s="185">
        <v>6.976595744680851E-2</v>
      </c>
      <c r="AT511" s="188">
        <v>6558</v>
      </c>
      <c r="AU511" s="185">
        <v>6.976595744680851E-2</v>
      </c>
      <c r="AV511" s="185">
        <v>6.976595744680851E-2</v>
      </c>
      <c r="AW511" s="185"/>
      <c r="AX511" s="185"/>
      <c r="AY511" s="185"/>
      <c r="AZ511" s="185"/>
      <c r="BA511" s="185"/>
      <c r="BB511" s="185"/>
      <c r="BC511" s="188">
        <v>6558</v>
      </c>
      <c r="BD511" s="185">
        <v>6.976595744680851E-2</v>
      </c>
      <c r="BE511" s="185">
        <v>6.976595744680851E-2</v>
      </c>
      <c r="BF511" s="374"/>
      <c r="BG511" s="374">
        <v>13472.7</v>
      </c>
      <c r="BH511" s="185">
        <v>0.14332659574468085</v>
      </c>
      <c r="BI511" s="185">
        <v>0.14332659574468085</v>
      </c>
      <c r="BJ511" s="374">
        <f t="shared" si="406"/>
        <v>94000</v>
      </c>
      <c r="BK511" s="374">
        <v>13472.7</v>
      </c>
      <c r="BL511" s="185">
        <f t="shared" si="407"/>
        <v>0.14332659574468085</v>
      </c>
      <c r="BM511" s="185">
        <f t="shared" si="421"/>
        <v>0.14332659574468085</v>
      </c>
      <c r="BN511" s="205">
        <f t="shared" si="403"/>
        <v>7316.414189000001</v>
      </c>
      <c r="BO511" s="205"/>
      <c r="BP511" s="189">
        <f>BP512</f>
        <v>0</v>
      </c>
      <c r="BQ511" s="186">
        <f t="shared" si="408"/>
        <v>0</v>
      </c>
      <c r="BR511" s="189">
        <f>BR512</f>
        <v>2000</v>
      </c>
      <c r="BS511" s="186">
        <f t="shared" si="409"/>
        <v>2.1276595744680851E-2</v>
      </c>
      <c r="BT511" s="189">
        <f>BT512</f>
        <v>3000</v>
      </c>
      <c r="BU511" s="186">
        <f t="shared" si="410"/>
        <v>3.1914893617021274E-2</v>
      </c>
      <c r="BV511" s="189">
        <f>BV512</f>
        <v>5000</v>
      </c>
      <c r="BW511" s="186">
        <f t="shared" si="411"/>
        <v>5.3191489361702128E-2</v>
      </c>
      <c r="BX511" s="189">
        <f>BX512</f>
        <v>30000</v>
      </c>
      <c r="BY511" s="186">
        <f t="shared" si="412"/>
        <v>0.31914893617021278</v>
      </c>
      <c r="BZ511" s="189">
        <f>BZ512</f>
        <v>40000</v>
      </c>
      <c r="CA511" s="186">
        <f t="shared" si="413"/>
        <v>0.42553191489361702</v>
      </c>
      <c r="CB511" s="189">
        <f>CB512</f>
        <v>56000</v>
      </c>
      <c r="CC511" s="186">
        <f t="shared" si="427"/>
        <v>0.5957446808510638</v>
      </c>
      <c r="CD511" s="189">
        <f>CD512</f>
        <v>60000</v>
      </c>
      <c r="CE511" s="186">
        <f t="shared" si="428"/>
        <v>0.63829787234042556</v>
      </c>
      <c r="CF511" s="189">
        <f>CF512</f>
        <v>65000</v>
      </c>
      <c r="CG511" s="186">
        <f t="shared" si="429"/>
        <v>0.69148936170212771</v>
      </c>
      <c r="CH511" s="189">
        <f>CH512</f>
        <v>75000</v>
      </c>
      <c r="CI511" s="186">
        <f t="shared" si="430"/>
        <v>0.7978723404255319</v>
      </c>
      <c r="CJ511" s="189">
        <f>CJ512</f>
        <v>80000</v>
      </c>
      <c r="CK511" s="186">
        <f t="shared" si="414"/>
        <v>0.85106382978723405</v>
      </c>
      <c r="CL511" s="189">
        <f>CL512</f>
        <v>85000</v>
      </c>
      <c r="CM511" s="186">
        <f t="shared" si="415"/>
        <v>0.9042553191489362</v>
      </c>
      <c r="CN511" s="189">
        <f>CN512</f>
        <v>94000</v>
      </c>
      <c r="CO511" s="186">
        <f t="shared" si="416"/>
        <v>1</v>
      </c>
      <c r="CP511" s="213" t="str">
        <f t="shared" si="418"/>
        <v>Không đạt</v>
      </c>
      <c r="CQ511" s="213" t="str">
        <f t="shared" si="419"/>
        <v>Không đạt</v>
      </c>
      <c r="CR511" s="213"/>
      <c r="CS511" s="213"/>
      <c r="CT511" s="231"/>
      <c r="CU511" s="163"/>
      <c r="CV511" s="291"/>
      <c r="CW511" s="218"/>
      <c r="CX511" s="196"/>
      <c r="CY511" s="196"/>
      <c r="CZ511" s="197"/>
      <c r="DA511" s="196"/>
      <c r="DB511" s="196"/>
      <c r="DC511" s="196"/>
      <c r="DE511" s="199"/>
      <c r="DF511" s="200"/>
      <c r="DG511" s="181"/>
    </row>
    <row r="512" spans="1:111" ht="38.25" hidden="1" outlineLevel="1" x14ac:dyDescent="0.25">
      <c r="A512" s="213"/>
      <c r="B512" s="269" t="s">
        <v>488</v>
      </c>
      <c r="C512" s="269">
        <v>7930651</v>
      </c>
      <c r="D512" s="214">
        <f>E512+F512</f>
        <v>94000</v>
      </c>
      <c r="E512" s="214">
        <v>94000</v>
      </c>
      <c r="F512" s="188"/>
      <c r="G512" s="188"/>
      <c r="H512" s="188"/>
      <c r="I512" s="188"/>
      <c r="J512" s="188"/>
      <c r="K512" s="188"/>
      <c r="L512" s="188"/>
      <c r="M512" s="231"/>
      <c r="N512" s="231"/>
      <c r="O512" s="188"/>
      <c r="P512" s="188">
        <v>311.01900000000001</v>
      </c>
      <c r="Q512" s="224">
        <f t="shared" si="417"/>
        <v>3.3087127659574469E-3</v>
      </c>
      <c r="R512" s="188">
        <v>311.01900000000001</v>
      </c>
      <c r="S512" s="185">
        <v>3.3087127659574469E-3</v>
      </c>
      <c r="T512" s="185">
        <v>3.3087127659574469E-3</v>
      </c>
      <c r="U512" s="188">
        <v>5849.2040260000003</v>
      </c>
      <c r="V512" s="185">
        <v>6.2225574744680857E-2</v>
      </c>
      <c r="W512" s="185">
        <v>6.2225574744680857E-2</v>
      </c>
      <c r="X512" s="188">
        <v>5849.2040260000003</v>
      </c>
      <c r="Y512" s="185">
        <v>6.2225574744680857E-2</v>
      </c>
      <c r="Z512" s="185">
        <v>6.2225574744680857E-2</v>
      </c>
      <c r="AA512" s="188">
        <v>5849.2040260000003</v>
      </c>
      <c r="AB512" s="185">
        <v>6.2225574744680857E-2</v>
      </c>
      <c r="AC512" s="185">
        <v>6.2225574744680857E-2</v>
      </c>
      <c r="AD512" s="188">
        <v>6156.2858109999997</v>
      </c>
      <c r="AE512" s="185">
        <v>6.549240224468085E-2</v>
      </c>
      <c r="AF512" s="185">
        <v>6.549240224468085E-2</v>
      </c>
      <c r="AG512" s="214">
        <v>6156.2858109999997</v>
      </c>
      <c r="AH512" s="185">
        <v>6.549240224468085E-2</v>
      </c>
      <c r="AI512" s="185">
        <v>6.549240224468085E-2</v>
      </c>
      <c r="AJ512" s="188">
        <v>6156.2858109999997</v>
      </c>
      <c r="AK512" s="185">
        <v>6.549240224468085E-2</v>
      </c>
      <c r="AL512" s="185">
        <v>6.549240224468085E-2</v>
      </c>
      <c r="AM512" s="214">
        <v>6156.2858109999997</v>
      </c>
      <c r="AN512" s="185">
        <v>6.549240224468085E-2</v>
      </c>
      <c r="AO512" s="185">
        <v>6.549240224468085E-2</v>
      </c>
      <c r="AP512" s="185"/>
      <c r="AQ512" s="214">
        <v>6558</v>
      </c>
      <c r="AR512" s="185">
        <v>6.976595744680851E-2</v>
      </c>
      <c r="AS512" s="185">
        <v>6.976595744680851E-2</v>
      </c>
      <c r="AT512" s="214">
        <v>6558</v>
      </c>
      <c r="AU512" s="185">
        <v>6.976595744680851E-2</v>
      </c>
      <c r="AV512" s="185">
        <v>6.976595744680851E-2</v>
      </c>
      <c r="AW512" s="185"/>
      <c r="AX512" s="185"/>
      <c r="AY512" s="185"/>
      <c r="AZ512" s="185"/>
      <c r="BA512" s="185"/>
      <c r="BB512" s="185"/>
      <c r="BC512" s="214">
        <v>6558</v>
      </c>
      <c r="BD512" s="185">
        <v>6.976595744680851E-2</v>
      </c>
      <c r="BE512" s="185">
        <v>6.976595744680851E-2</v>
      </c>
      <c r="BF512" s="350"/>
      <c r="BG512" s="350">
        <v>13472.7</v>
      </c>
      <c r="BH512" s="185">
        <v>0.14332659574468085</v>
      </c>
      <c r="BI512" s="185">
        <v>0.14332659574468085</v>
      </c>
      <c r="BJ512" s="402">
        <f t="shared" si="406"/>
        <v>94000</v>
      </c>
      <c r="BK512" s="402">
        <v>13472.7</v>
      </c>
      <c r="BL512" s="185">
        <f t="shared" si="407"/>
        <v>0.14332659574468085</v>
      </c>
      <c r="BM512" s="185">
        <f t="shared" si="421"/>
        <v>0.14332659574468085</v>
      </c>
      <c r="BN512" s="205">
        <f t="shared" si="403"/>
        <v>7316.414189000001</v>
      </c>
      <c r="BO512" s="205"/>
      <c r="BP512" s="227"/>
      <c r="BQ512" s="186">
        <f t="shared" si="408"/>
        <v>0</v>
      </c>
      <c r="BR512" s="227">
        <v>2000</v>
      </c>
      <c r="BS512" s="311">
        <f t="shared" si="409"/>
        <v>2.1276595744680851E-2</v>
      </c>
      <c r="BT512" s="227">
        <v>3000</v>
      </c>
      <c r="BU512" s="224">
        <f t="shared" si="410"/>
        <v>3.1914893617021274E-2</v>
      </c>
      <c r="BV512" s="227">
        <v>5000</v>
      </c>
      <c r="BW512" s="311">
        <f>BV512/$D512</f>
        <v>5.3191489361702128E-2</v>
      </c>
      <c r="BX512" s="227">
        <v>30000</v>
      </c>
      <c r="BY512" s="311">
        <f>BX512/$D512</f>
        <v>0.31914893617021278</v>
      </c>
      <c r="BZ512" s="227">
        <v>40000</v>
      </c>
      <c r="CA512" s="311">
        <f>BZ512/$D512</f>
        <v>0.42553191489361702</v>
      </c>
      <c r="CB512" s="227">
        <v>56000</v>
      </c>
      <c r="CC512" s="311">
        <f t="shared" si="427"/>
        <v>0.5957446808510638</v>
      </c>
      <c r="CD512" s="227">
        <v>60000</v>
      </c>
      <c r="CE512" s="311">
        <f>CD512/$D512</f>
        <v>0.63829787234042556</v>
      </c>
      <c r="CF512" s="227">
        <v>65000</v>
      </c>
      <c r="CG512" s="311">
        <f>CF512/$D512</f>
        <v>0.69148936170212771</v>
      </c>
      <c r="CH512" s="227">
        <v>75000</v>
      </c>
      <c r="CI512" s="311">
        <f>CH512/$D512</f>
        <v>0.7978723404255319</v>
      </c>
      <c r="CJ512" s="227">
        <v>80000</v>
      </c>
      <c r="CK512" s="311">
        <f>CJ512/$D512</f>
        <v>0.85106382978723405</v>
      </c>
      <c r="CL512" s="227">
        <v>85000</v>
      </c>
      <c r="CM512" s="311">
        <f>CL512/$D512</f>
        <v>0.9042553191489362</v>
      </c>
      <c r="CN512" s="227">
        <v>94000</v>
      </c>
      <c r="CO512" s="311">
        <f>CN512/$D512</f>
        <v>1</v>
      </c>
      <c r="CP512" s="213" t="str">
        <f t="shared" si="418"/>
        <v>Không đạt</v>
      </c>
      <c r="CQ512" s="213" t="str">
        <f t="shared" si="419"/>
        <v>Không đạt</v>
      </c>
      <c r="CR512" s="213"/>
      <c r="CS512" s="213"/>
      <c r="CT512" s="231"/>
      <c r="CU512" s="163"/>
      <c r="CW512" s="195"/>
      <c r="CX512" s="196"/>
      <c r="CY512" s="196"/>
      <c r="CZ512" s="197"/>
      <c r="DA512" s="196"/>
      <c r="DB512" s="196"/>
      <c r="DC512" s="196"/>
      <c r="DE512" s="199"/>
      <c r="DF512" s="200"/>
      <c r="DG512" s="181"/>
    </row>
    <row r="513" spans="1:111" s="160" customFormat="1" ht="12.75" hidden="1" outlineLevel="1" x14ac:dyDescent="0.25">
      <c r="A513" s="191" t="s">
        <v>29</v>
      </c>
      <c r="B513" s="210" t="s">
        <v>485</v>
      </c>
      <c r="C513" s="210"/>
      <c r="D513" s="188">
        <f t="shared" ref="D513:I513" si="449">SUM(D514:D515)</f>
        <v>3034</v>
      </c>
      <c r="E513" s="188">
        <f t="shared" si="449"/>
        <v>0</v>
      </c>
      <c r="F513" s="188">
        <f t="shared" si="449"/>
        <v>3034</v>
      </c>
      <c r="G513" s="188">
        <f t="shared" si="449"/>
        <v>3000</v>
      </c>
      <c r="H513" s="188">
        <f t="shared" si="449"/>
        <v>34</v>
      </c>
      <c r="I513" s="188">
        <f t="shared" si="449"/>
        <v>0</v>
      </c>
      <c r="J513" s="188"/>
      <c r="K513" s="188">
        <f>SUM(K514:K515)</f>
        <v>0</v>
      </c>
      <c r="L513" s="188">
        <f>SUM(L514:L515)</f>
        <v>0</v>
      </c>
      <c r="M513" s="188">
        <f>SUM(M514:M515)</f>
        <v>0</v>
      </c>
      <c r="N513" s="188">
        <f>SUM(N514:N515)</f>
        <v>0</v>
      </c>
      <c r="O513" s="188">
        <f>SUM(O514:O515)</f>
        <v>3000</v>
      </c>
      <c r="P513" s="188">
        <v>151</v>
      </c>
      <c r="Q513" s="186">
        <f t="shared" si="417"/>
        <v>4.9769281476598551E-2</v>
      </c>
      <c r="R513" s="188">
        <v>0</v>
      </c>
      <c r="S513" s="185">
        <v>0</v>
      </c>
      <c r="T513" s="185">
        <v>0</v>
      </c>
      <c r="U513" s="188">
        <v>0</v>
      </c>
      <c r="V513" s="185">
        <v>0</v>
      </c>
      <c r="W513" s="185">
        <v>0</v>
      </c>
      <c r="X513" s="188">
        <v>0</v>
      </c>
      <c r="Y513" s="185">
        <v>0</v>
      </c>
      <c r="Z513" s="185">
        <v>0</v>
      </c>
      <c r="AA513" s="188">
        <v>0</v>
      </c>
      <c r="AB513" s="185">
        <v>0</v>
      </c>
      <c r="AC513" s="185">
        <v>0</v>
      </c>
      <c r="AD513" s="188">
        <v>0</v>
      </c>
      <c r="AE513" s="185">
        <v>0</v>
      </c>
      <c r="AF513" s="185">
        <v>0</v>
      </c>
      <c r="AG513" s="188">
        <v>0</v>
      </c>
      <c r="AH513" s="185">
        <v>0</v>
      </c>
      <c r="AI513" s="185">
        <v>0</v>
      </c>
      <c r="AJ513" s="303">
        <v>0</v>
      </c>
      <c r="AK513" s="185">
        <v>0</v>
      </c>
      <c r="AL513" s="185">
        <v>0</v>
      </c>
      <c r="AM513" s="188">
        <v>0</v>
      </c>
      <c r="AN513" s="185">
        <v>0</v>
      </c>
      <c r="AO513" s="185">
        <v>0</v>
      </c>
      <c r="AP513" s="185"/>
      <c r="AQ513" s="188">
        <v>863.47664799999995</v>
      </c>
      <c r="AR513" s="185">
        <v>0.28460008174027684</v>
      </c>
      <c r="AS513" s="185">
        <v>0.29957903341081776</v>
      </c>
      <c r="AT513" s="188">
        <v>863.47664799999995</v>
      </c>
      <c r="AU513" s="185">
        <v>0.28460008174027684</v>
      </c>
      <c r="AV513" s="185">
        <v>0.29957903341081776</v>
      </c>
      <c r="AW513" s="185"/>
      <c r="AX513" s="185"/>
      <c r="AY513" s="185"/>
      <c r="AZ513" s="185"/>
      <c r="BA513" s="185"/>
      <c r="BB513" s="185"/>
      <c r="BC513" s="188">
        <v>863.47664799999995</v>
      </c>
      <c r="BD513" s="185">
        <v>0.28460008174027684</v>
      </c>
      <c r="BE513" s="185">
        <v>0.29957903341081776</v>
      </c>
      <c r="BF513" s="374"/>
      <c r="BG513" s="374">
        <v>863.47664800000007</v>
      </c>
      <c r="BH513" s="185">
        <v>0.2846000817402769</v>
      </c>
      <c r="BI513" s="185">
        <v>0.29957903341081782</v>
      </c>
      <c r="BJ513" s="374">
        <f t="shared" si="406"/>
        <v>2882.2999999999997</v>
      </c>
      <c r="BK513" s="374">
        <v>863.47664800000007</v>
      </c>
      <c r="BL513" s="185">
        <f t="shared" si="407"/>
        <v>0.2846000817402769</v>
      </c>
      <c r="BM513" s="185">
        <f t="shared" si="421"/>
        <v>0.29957903341081782</v>
      </c>
      <c r="BN513" s="205">
        <f t="shared" si="403"/>
        <v>863.47664800000007</v>
      </c>
      <c r="BO513" s="205"/>
      <c r="BP513" s="189">
        <f>SUM(BP514:BP515)</f>
        <v>0</v>
      </c>
      <c r="BQ513" s="186">
        <f t="shared" si="408"/>
        <v>0</v>
      </c>
      <c r="BR513" s="189">
        <f>SUM(BR514:BR515)</f>
        <v>182.3</v>
      </c>
      <c r="BS513" s="186">
        <f t="shared" si="409"/>
        <v>6.0085695451549112E-2</v>
      </c>
      <c r="BT513" s="189">
        <f>SUM(BT514:BT515)</f>
        <v>932.3</v>
      </c>
      <c r="BU513" s="186">
        <f t="shared" si="410"/>
        <v>0.30728411338167433</v>
      </c>
      <c r="BV513" s="189">
        <f>SUM(BV514:BV515)</f>
        <v>997.3</v>
      </c>
      <c r="BW513" s="186">
        <f t="shared" ref="BW513:BW576" si="450">BV513/$D513</f>
        <v>0.32870797626895187</v>
      </c>
      <c r="BX513" s="189">
        <f>SUM(BX514:BX515)</f>
        <v>1047.3</v>
      </c>
      <c r="BY513" s="186">
        <f t="shared" ref="BY513:BY576" si="451">BX513/$D513</f>
        <v>0.34518787079762686</v>
      </c>
      <c r="BZ513" s="189">
        <f>SUM(BZ514:BZ515)</f>
        <v>1547.3</v>
      </c>
      <c r="CA513" s="186">
        <f t="shared" ref="CA513:CA576" si="452">BZ513/$D513</f>
        <v>0.50998681608437701</v>
      </c>
      <c r="CB513" s="189">
        <f>SUM(CB514:CB515)</f>
        <v>1897.3</v>
      </c>
      <c r="CC513" s="186">
        <f t="shared" si="427"/>
        <v>0.62534607778510221</v>
      </c>
      <c r="CD513" s="189">
        <f>SUM(CD514:CD515)</f>
        <v>2397.3000000000002</v>
      </c>
      <c r="CE513" s="186">
        <f t="shared" ref="CE513:CE576" si="453">CD513/$D513</f>
        <v>0.79014502307185241</v>
      </c>
      <c r="CF513" s="189">
        <f>SUM(CF514:CF515)</f>
        <v>2882.3</v>
      </c>
      <c r="CG513" s="186">
        <f t="shared" ref="CG513:CG576" si="454">CF513/$D513</f>
        <v>0.95000000000000007</v>
      </c>
      <c r="CH513" s="189">
        <f>SUM(CH514:CH515)</f>
        <v>2882.3</v>
      </c>
      <c r="CI513" s="186">
        <f t="shared" ref="CI513:CI576" si="455">CH513/$D513</f>
        <v>0.95000000000000007</v>
      </c>
      <c r="CJ513" s="189">
        <f>SUM(CJ514:CJ515)</f>
        <v>2882.3</v>
      </c>
      <c r="CK513" s="186">
        <f t="shared" ref="CK513:CK576" si="456">CJ513/$D513</f>
        <v>0.95000000000000007</v>
      </c>
      <c r="CL513" s="189">
        <f>SUM(CL514:CL515)</f>
        <v>2882.3</v>
      </c>
      <c r="CM513" s="186">
        <f t="shared" ref="CM513:CM576" si="457">CL513/$D513</f>
        <v>0.95000000000000007</v>
      </c>
      <c r="CN513" s="189">
        <f>SUM(CN514:CN515)</f>
        <v>2882.3</v>
      </c>
      <c r="CO513" s="186">
        <f t="shared" ref="CO513:CO576" si="458">CN513/$D513</f>
        <v>0.95000000000000007</v>
      </c>
      <c r="CP513" s="213" t="str">
        <f t="shared" si="418"/>
        <v>Không đạt</v>
      </c>
      <c r="CQ513" s="213" t="str">
        <f t="shared" si="419"/>
        <v>Không đạt</v>
      </c>
      <c r="CR513" s="213"/>
      <c r="CS513" s="213"/>
      <c r="CT513" s="231"/>
      <c r="CU513" s="163"/>
      <c r="CV513" s="291"/>
      <c r="CW513" s="218"/>
      <c r="CX513" s="196"/>
      <c r="CY513" s="196"/>
      <c r="CZ513" s="197"/>
      <c r="DA513" s="196"/>
      <c r="DB513" s="196"/>
      <c r="DC513" s="196"/>
      <c r="DE513" s="199"/>
      <c r="DF513" s="200"/>
      <c r="DG513" s="181"/>
    </row>
    <row r="514" spans="1:111" s="324" customFormat="1" hidden="1" outlineLevel="1" x14ac:dyDescent="0.25">
      <c r="A514" s="305" t="s">
        <v>34</v>
      </c>
      <c r="B514" s="306" t="s">
        <v>376</v>
      </c>
      <c r="C514" s="306"/>
      <c r="D514" s="307">
        <f>E514+F514</f>
        <v>3000</v>
      </c>
      <c r="E514" s="307"/>
      <c r="F514" s="307">
        <f>G514+H514+K514+M514</f>
        <v>3000</v>
      </c>
      <c r="G514" s="303">
        <v>3000</v>
      </c>
      <c r="H514" s="303"/>
      <c r="I514" s="235"/>
      <c r="J514" s="235"/>
      <c r="K514" s="303"/>
      <c r="L514" s="235"/>
      <c r="M514" s="223"/>
      <c r="N514" s="223"/>
      <c r="O514" s="303">
        <f>G514+I514+L514+N514</f>
        <v>3000</v>
      </c>
      <c r="P514" s="303">
        <v>0</v>
      </c>
      <c r="Q514" s="308">
        <f t="shared" si="417"/>
        <v>0</v>
      </c>
      <c r="R514" s="303"/>
      <c r="S514" s="313">
        <v>0</v>
      </c>
      <c r="T514" s="313">
        <v>0</v>
      </c>
      <c r="U514" s="303"/>
      <c r="V514" s="313">
        <v>0</v>
      </c>
      <c r="W514" s="313">
        <v>0</v>
      </c>
      <c r="X514" s="303"/>
      <c r="Y514" s="313">
        <v>0</v>
      </c>
      <c r="Z514" s="313">
        <v>0</v>
      </c>
      <c r="AA514" s="303"/>
      <c r="AB514" s="313">
        <v>0</v>
      </c>
      <c r="AC514" s="313">
        <v>0</v>
      </c>
      <c r="AD514" s="303"/>
      <c r="AE514" s="313">
        <v>0</v>
      </c>
      <c r="AF514" s="313">
        <v>0</v>
      </c>
      <c r="AG514" s="303"/>
      <c r="AH514" s="313">
        <v>0</v>
      </c>
      <c r="AI514" s="313">
        <v>0</v>
      </c>
      <c r="AJ514" s="303"/>
      <c r="AK514" s="313">
        <v>0</v>
      </c>
      <c r="AL514" s="313">
        <v>0</v>
      </c>
      <c r="AM514" s="303"/>
      <c r="AN514" s="313">
        <v>0</v>
      </c>
      <c r="AO514" s="313">
        <v>0</v>
      </c>
      <c r="AP514" s="313"/>
      <c r="AQ514" s="303">
        <v>863.47664799999995</v>
      </c>
      <c r="AR514" s="313">
        <v>0.28782554933333332</v>
      </c>
      <c r="AS514" s="313">
        <v>0.30297426245614034</v>
      </c>
      <c r="AT514" s="303">
        <v>863.47664799999995</v>
      </c>
      <c r="AU514" s="313">
        <v>0.28782554933333332</v>
      </c>
      <c r="AV514" s="313">
        <v>0.30297426245614034</v>
      </c>
      <c r="AW514" s="313"/>
      <c r="AX514" s="313"/>
      <c r="AY514" s="313"/>
      <c r="AZ514" s="313"/>
      <c r="BA514" s="313"/>
      <c r="BB514" s="313"/>
      <c r="BC514" s="303">
        <v>863.47664799999995</v>
      </c>
      <c r="BD514" s="313">
        <v>0.28782554933333332</v>
      </c>
      <c r="BE514" s="313">
        <v>0.30297426245614034</v>
      </c>
      <c r="BF514" s="351"/>
      <c r="BG514" s="351">
        <v>863.47664800000007</v>
      </c>
      <c r="BH514" s="313">
        <v>0.28782554933333337</v>
      </c>
      <c r="BI514" s="313">
        <v>0.3029742624561404</v>
      </c>
      <c r="BJ514" s="349">
        <f t="shared" si="406"/>
        <v>2850</v>
      </c>
      <c r="BK514" s="349">
        <v>863.47664800000007</v>
      </c>
      <c r="BL514" s="313">
        <f t="shared" si="407"/>
        <v>0.28782554933333337</v>
      </c>
      <c r="BM514" s="313">
        <f t="shared" si="421"/>
        <v>0.3029742624561404</v>
      </c>
      <c r="BN514" s="205">
        <f t="shared" si="403"/>
        <v>863.47664800000007</v>
      </c>
      <c r="BO514" s="205"/>
      <c r="BP514" s="310"/>
      <c r="BQ514" s="311">
        <f t="shared" si="408"/>
        <v>0</v>
      </c>
      <c r="BR514" s="310">
        <v>150</v>
      </c>
      <c r="BS514" s="311">
        <f t="shared" si="409"/>
        <v>0.05</v>
      </c>
      <c r="BT514" s="310">
        <v>900</v>
      </c>
      <c r="BU514" s="308">
        <f t="shared" si="410"/>
        <v>0.3</v>
      </c>
      <c r="BV514" s="310">
        <v>965</v>
      </c>
      <c r="BW514" s="311">
        <f t="shared" si="450"/>
        <v>0.32166666666666666</v>
      </c>
      <c r="BX514" s="310">
        <v>1015</v>
      </c>
      <c r="BY514" s="311">
        <f t="shared" si="451"/>
        <v>0.33833333333333332</v>
      </c>
      <c r="BZ514" s="310">
        <v>1515</v>
      </c>
      <c r="CA514" s="311">
        <f t="shared" si="452"/>
        <v>0.505</v>
      </c>
      <c r="CB514" s="310">
        <v>1865</v>
      </c>
      <c r="CC514" s="311">
        <f t="shared" si="427"/>
        <v>0.6216666666666667</v>
      </c>
      <c r="CD514" s="310">
        <v>2365</v>
      </c>
      <c r="CE514" s="311">
        <f t="shared" si="453"/>
        <v>0.78833333333333333</v>
      </c>
      <c r="CF514" s="310">
        <v>2850</v>
      </c>
      <c r="CG514" s="311">
        <f t="shared" si="454"/>
        <v>0.95</v>
      </c>
      <c r="CH514" s="310">
        <v>2850</v>
      </c>
      <c r="CI514" s="311">
        <f t="shared" si="455"/>
        <v>0.95</v>
      </c>
      <c r="CJ514" s="310">
        <v>2850</v>
      </c>
      <c r="CK514" s="311">
        <f t="shared" si="456"/>
        <v>0.95</v>
      </c>
      <c r="CL514" s="310">
        <v>2850</v>
      </c>
      <c r="CM514" s="311">
        <f t="shared" si="457"/>
        <v>0.95</v>
      </c>
      <c r="CN514" s="310">
        <v>2850</v>
      </c>
      <c r="CO514" s="311">
        <f t="shared" si="458"/>
        <v>0.95</v>
      </c>
      <c r="CP514" s="213" t="str">
        <f t="shared" si="418"/>
        <v>Không đạt</v>
      </c>
      <c r="CQ514" s="213" t="str">
        <f t="shared" si="419"/>
        <v>Không đạt</v>
      </c>
      <c r="CR514" s="312"/>
      <c r="CS514" s="312"/>
      <c r="CT514" s="235"/>
      <c r="CU514" s="163"/>
      <c r="CV514" s="323"/>
      <c r="CW514" s="195"/>
      <c r="CX514" s="196"/>
      <c r="CY514" s="196"/>
      <c r="CZ514" s="197"/>
      <c r="DA514" s="196"/>
      <c r="DB514" s="196"/>
      <c r="DC514" s="196"/>
      <c r="DE514" s="199"/>
      <c r="DF514" s="200"/>
      <c r="DG514" s="181"/>
    </row>
    <row r="515" spans="1:111" ht="25.5" hidden="1" outlineLevel="1" x14ac:dyDescent="0.25">
      <c r="A515" s="305" t="s">
        <v>34</v>
      </c>
      <c r="B515" s="306" t="s">
        <v>377</v>
      </c>
      <c r="C515" s="306"/>
      <c r="D515" s="307">
        <f>E515+F515</f>
        <v>34</v>
      </c>
      <c r="E515" s="307"/>
      <c r="F515" s="307">
        <f>G515+H515+K515+M515</f>
        <v>34</v>
      </c>
      <c r="G515" s="307"/>
      <c r="H515" s="307">
        <v>34</v>
      </c>
      <c r="I515" s="235"/>
      <c r="J515" s="235"/>
      <c r="K515" s="303"/>
      <c r="L515" s="235"/>
      <c r="M515" s="223"/>
      <c r="N515" s="223"/>
      <c r="O515" s="303"/>
      <c r="P515" s="303">
        <v>0</v>
      </c>
      <c r="Q515" s="224">
        <f t="shared" si="417"/>
        <v>0</v>
      </c>
      <c r="R515" s="303"/>
      <c r="S515" s="268">
        <v>0</v>
      </c>
      <c r="T515" s="268">
        <v>0</v>
      </c>
      <c r="U515" s="303"/>
      <c r="V515" s="268">
        <v>0</v>
      </c>
      <c r="W515" s="268">
        <v>0</v>
      </c>
      <c r="X515" s="303"/>
      <c r="Y515" s="268">
        <v>0</v>
      </c>
      <c r="Z515" s="268">
        <v>0</v>
      </c>
      <c r="AA515" s="303"/>
      <c r="AB515" s="268">
        <v>0</v>
      </c>
      <c r="AC515" s="268">
        <v>0</v>
      </c>
      <c r="AD515" s="303"/>
      <c r="AE515" s="268">
        <v>0</v>
      </c>
      <c r="AF515" s="268">
        <v>0</v>
      </c>
      <c r="AG515" s="303"/>
      <c r="AH515" s="268">
        <v>0</v>
      </c>
      <c r="AI515" s="268">
        <v>0</v>
      </c>
      <c r="AJ515" s="188"/>
      <c r="AK515" s="268">
        <v>0</v>
      </c>
      <c r="AL515" s="268">
        <v>0</v>
      </c>
      <c r="AM515" s="303"/>
      <c r="AN515" s="268">
        <v>0</v>
      </c>
      <c r="AO515" s="268">
        <v>0</v>
      </c>
      <c r="AP515" s="268"/>
      <c r="AQ515" s="303"/>
      <c r="AR515" s="268">
        <v>0</v>
      </c>
      <c r="AS515" s="268">
        <v>0</v>
      </c>
      <c r="AT515" s="303"/>
      <c r="AU515" s="268">
        <v>0</v>
      </c>
      <c r="AV515" s="268">
        <v>0</v>
      </c>
      <c r="AW515" s="268"/>
      <c r="AX515" s="268"/>
      <c r="AY515" s="268"/>
      <c r="AZ515" s="268"/>
      <c r="BA515" s="268"/>
      <c r="BB515" s="268"/>
      <c r="BC515" s="303"/>
      <c r="BD515" s="268">
        <v>0</v>
      </c>
      <c r="BE515" s="268">
        <v>0</v>
      </c>
      <c r="BF515" s="351"/>
      <c r="BG515" s="351">
        <v>0</v>
      </c>
      <c r="BH515" s="268">
        <v>0</v>
      </c>
      <c r="BI515" s="268">
        <v>0</v>
      </c>
      <c r="BJ515" s="349">
        <f t="shared" si="406"/>
        <v>32.299999999999997</v>
      </c>
      <c r="BK515" s="349">
        <v>0</v>
      </c>
      <c r="BL515" s="268">
        <f t="shared" si="407"/>
        <v>0</v>
      </c>
      <c r="BM515" s="268">
        <f t="shared" si="421"/>
        <v>0</v>
      </c>
      <c r="BN515" s="205">
        <f t="shared" si="403"/>
        <v>0</v>
      </c>
      <c r="BO515" s="205"/>
      <c r="BP515" s="227"/>
      <c r="BQ515" s="258">
        <f t="shared" si="408"/>
        <v>0</v>
      </c>
      <c r="BR515" s="227">
        <f>34*0.95</f>
        <v>32.299999999999997</v>
      </c>
      <c r="BS515" s="311">
        <f t="shared" si="409"/>
        <v>0.95</v>
      </c>
      <c r="BT515" s="227">
        <f>34*0.95</f>
        <v>32.299999999999997</v>
      </c>
      <c r="BU515" s="224">
        <f t="shared" si="410"/>
        <v>0.95</v>
      </c>
      <c r="BV515" s="227">
        <f>34*0.95</f>
        <v>32.299999999999997</v>
      </c>
      <c r="BW515" s="311">
        <f t="shared" si="450"/>
        <v>0.95</v>
      </c>
      <c r="BX515" s="227">
        <f>34*0.95</f>
        <v>32.299999999999997</v>
      </c>
      <c r="BY515" s="311">
        <f t="shared" si="451"/>
        <v>0.95</v>
      </c>
      <c r="BZ515" s="227">
        <f>34*0.95</f>
        <v>32.299999999999997</v>
      </c>
      <c r="CA515" s="311">
        <f t="shared" si="452"/>
        <v>0.95</v>
      </c>
      <c r="CB515" s="227">
        <f>34*0.95</f>
        <v>32.299999999999997</v>
      </c>
      <c r="CC515" s="311">
        <f t="shared" si="427"/>
        <v>0.95</v>
      </c>
      <c r="CD515" s="227">
        <f>34*0.95</f>
        <v>32.299999999999997</v>
      </c>
      <c r="CE515" s="311">
        <f t="shared" si="453"/>
        <v>0.95</v>
      </c>
      <c r="CF515" s="227">
        <f>34*0.95</f>
        <v>32.299999999999997</v>
      </c>
      <c r="CG515" s="311">
        <f t="shared" si="454"/>
        <v>0.95</v>
      </c>
      <c r="CH515" s="227">
        <f>34*0.95</f>
        <v>32.299999999999997</v>
      </c>
      <c r="CI515" s="311">
        <f t="shared" si="455"/>
        <v>0.95</v>
      </c>
      <c r="CJ515" s="227">
        <f>34*0.95</f>
        <v>32.299999999999997</v>
      </c>
      <c r="CK515" s="311">
        <f t="shared" si="456"/>
        <v>0.95</v>
      </c>
      <c r="CL515" s="227">
        <f>34*0.95</f>
        <v>32.299999999999997</v>
      </c>
      <c r="CM515" s="311">
        <f t="shared" si="457"/>
        <v>0.95</v>
      </c>
      <c r="CN515" s="227">
        <f>34*0.95</f>
        <v>32.299999999999997</v>
      </c>
      <c r="CO515" s="311">
        <f t="shared" si="458"/>
        <v>0.95</v>
      </c>
      <c r="CP515" s="213" t="str">
        <f t="shared" si="418"/>
        <v>Không đạt</v>
      </c>
      <c r="CQ515" s="213" t="str">
        <f t="shared" si="419"/>
        <v>Không đạt</v>
      </c>
      <c r="CR515" s="312"/>
      <c r="CS515" s="312"/>
      <c r="CT515" s="235"/>
      <c r="CU515" s="163"/>
      <c r="CW515" s="195"/>
      <c r="CX515" s="196"/>
      <c r="CY515" s="196"/>
      <c r="CZ515" s="197"/>
      <c r="DA515" s="196"/>
      <c r="DB515" s="196"/>
      <c r="DC515" s="196"/>
      <c r="DE515" s="199"/>
      <c r="DF515" s="200"/>
      <c r="DG515" s="181"/>
    </row>
    <row r="516" spans="1:111" ht="18" customHeight="1" collapsed="1" x14ac:dyDescent="0.25">
      <c r="A516" s="213">
        <f>MAX(A$239:A510)+1</f>
        <v>77</v>
      </c>
      <c r="B516" s="240" t="s">
        <v>489</v>
      </c>
      <c r="C516" s="240"/>
      <c r="D516" s="188">
        <f t="shared" ref="D516:I516" si="459">D517+D518</f>
        <v>7250</v>
      </c>
      <c r="E516" s="188">
        <f t="shared" si="459"/>
        <v>0</v>
      </c>
      <c r="F516" s="188">
        <f t="shared" si="459"/>
        <v>7250</v>
      </c>
      <c r="G516" s="188">
        <f t="shared" si="459"/>
        <v>3000</v>
      </c>
      <c r="H516" s="188">
        <f t="shared" si="459"/>
        <v>4250</v>
      </c>
      <c r="I516" s="188">
        <f t="shared" si="459"/>
        <v>0</v>
      </c>
      <c r="J516" s="188"/>
      <c r="K516" s="188">
        <f>K517+K518</f>
        <v>0</v>
      </c>
      <c r="L516" s="188">
        <f>L517+L518</f>
        <v>0</v>
      </c>
      <c r="M516" s="188">
        <f>M517+M518</f>
        <v>0</v>
      </c>
      <c r="N516" s="188">
        <f>N517+N518</f>
        <v>0</v>
      </c>
      <c r="O516" s="188">
        <f>O517+O518</f>
        <v>3000</v>
      </c>
      <c r="P516" s="188">
        <v>0</v>
      </c>
      <c r="Q516" s="186">
        <f t="shared" si="417"/>
        <v>0</v>
      </c>
      <c r="R516" s="188">
        <v>0</v>
      </c>
      <c r="S516" s="185">
        <v>0</v>
      </c>
      <c r="T516" s="185">
        <v>0</v>
      </c>
      <c r="U516" s="188">
        <v>0</v>
      </c>
      <c r="V516" s="185">
        <v>0</v>
      </c>
      <c r="W516" s="185">
        <v>0</v>
      </c>
      <c r="X516" s="188">
        <v>0</v>
      </c>
      <c r="Y516" s="185">
        <v>0</v>
      </c>
      <c r="Z516" s="185">
        <v>0</v>
      </c>
      <c r="AA516" s="188">
        <v>0</v>
      </c>
      <c r="AB516" s="185">
        <v>0</v>
      </c>
      <c r="AC516" s="185">
        <v>0</v>
      </c>
      <c r="AD516" s="188">
        <v>0</v>
      </c>
      <c r="AE516" s="185">
        <v>0</v>
      </c>
      <c r="AF516" s="185">
        <v>0</v>
      </c>
      <c r="AG516" s="188">
        <v>0</v>
      </c>
      <c r="AH516" s="185">
        <v>0</v>
      </c>
      <c r="AI516" s="185">
        <v>0</v>
      </c>
      <c r="AJ516" s="303">
        <v>0</v>
      </c>
      <c r="AK516" s="185">
        <v>0</v>
      </c>
      <c r="AL516" s="185">
        <v>0</v>
      </c>
      <c r="AM516" s="188">
        <v>0</v>
      </c>
      <c r="AN516" s="185">
        <v>0</v>
      </c>
      <c r="AO516" s="185">
        <v>0</v>
      </c>
      <c r="AP516" s="185"/>
      <c r="AQ516" s="188">
        <v>384.464</v>
      </c>
      <c r="AR516" s="185">
        <v>5.3029517241379311E-2</v>
      </c>
      <c r="AS516" s="185">
        <v>5.5820544464609802E-2</v>
      </c>
      <c r="AT516" s="188">
        <v>384.464</v>
      </c>
      <c r="AU516" s="185">
        <v>5.3029517241379311E-2</v>
      </c>
      <c r="AV516" s="185">
        <v>5.5820544464609802E-2</v>
      </c>
      <c r="AW516" s="185"/>
      <c r="AX516" s="185"/>
      <c r="AY516" s="185"/>
      <c r="AZ516" s="185"/>
      <c r="BA516" s="185"/>
      <c r="BB516" s="185"/>
      <c r="BC516" s="188">
        <v>384.464</v>
      </c>
      <c r="BD516" s="185">
        <v>5.3029517241379311E-2</v>
      </c>
      <c r="BE516" s="185">
        <v>5.5820544464609802E-2</v>
      </c>
      <c r="BF516" s="352"/>
      <c r="BG516" s="352">
        <v>664</v>
      </c>
      <c r="BH516" s="185">
        <v>9.1586206896551725E-2</v>
      </c>
      <c r="BI516" s="185">
        <v>9.6406533575317602E-2</v>
      </c>
      <c r="BJ516" s="374">
        <f t="shared" si="406"/>
        <v>6887.5</v>
      </c>
      <c r="BK516" s="374">
        <v>2394.5</v>
      </c>
      <c r="BL516" s="185">
        <f t="shared" si="407"/>
        <v>0.33027586206896553</v>
      </c>
      <c r="BM516" s="185">
        <f t="shared" si="421"/>
        <v>0.34765880217785844</v>
      </c>
      <c r="BN516" s="205">
        <f t="shared" si="403"/>
        <v>2394.5</v>
      </c>
      <c r="BO516" s="205"/>
      <c r="BP516" s="189">
        <f>BP517+BP518</f>
        <v>0</v>
      </c>
      <c r="BQ516" s="186">
        <f t="shared" si="408"/>
        <v>0</v>
      </c>
      <c r="BR516" s="189">
        <f>BR517+BR518</f>
        <v>0</v>
      </c>
      <c r="BS516" s="186">
        <f t="shared" si="409"/>
        <v>0</v>
      </c>
      <c r="BT516" s="189">
        <f>BT517+BT518</f>
        <v>0</v>
      </c>
      <c r="BU516" s="186">
        <f t="shared" si="410"/>
        <v>0</v>
      </c>
      <c r="BV516" s="189">
        <f>BV517+BV518</f>
        <v>1000</v>
      </c>
      <c r="BW516" s="186">
        <f t="shared" si="450"/>
        <v>0.13793103448275862</v>
      </c>
      <c r="BX516" s="189">
        <f>BX517+BX518</f>
        <v>1200</v>
      </c>
      <c r="BY516" s="186">
        <f t="shared" si="451"/>
        <v>0.16551724137931034</v>
      </c>
      <c r="BZ516" s="189">
        <f>BZ517+BZ518</f>
        <v>2287</v>
      </c>
      <c r="CA516" s="186">
        <f t="shared" si="452"/>
        <v>0.31544827586206897</v>
      </c>
      <c r="CB516" s="189">
        <f>CB517+CB518</f>
        <v>2856</v>
      </c>
      <c r="CC516" s="186">
        <f t="shared" si="427"/>
        <v>0.39393103448275862</v>
      </c>
      <c r="CD516" s="189">
        <f>CD517+CD518</f>
        <v>3000</v>
      </c>
      <c r="CE516" s="186">
        <f t="shared" si="453"/>
        <v>0.41379310344827586</v>
      </c>
      <c r="CF516" s="189">
        <f>CF517+CF518</f>
        <v>4500</v>
      </c>
      <c r="CG516" s="186">
        <f t="shared" si="454"/>
        <v>0.62068965517241381</v>
      </c>
      <c r="CH516" s="189">
        <f>CH517+CH518</f>
        <v>5850</v>
      </c>
      <c r="CI516" s="186">
        <f t="shared" si="455"/>
        <v>0.80689655172413788</v>
      </c>
      <c r="CJ516" s="189">
        <f>CJ517+CJ518</f>
        <v>6050</v>
      </c>
      <c r="CK516" s="186">
        <f t="shared" si="456"/>
        <v>0.83448275862068966</v>
      </c>
      <c r="CL516" s="189">
        <f>CL517+CL518</f>
        <v>6887.5</v>
      </c>
      <c r="CM516" s="186">
        <f t="shared" si="457"/>
        <v>0.95</v>
      </c>
      <c r="CN516" s="189">
        <f>CN517+CN518</f>
        <v>6887.5</v>
      </c>
      <c r="CO516" s="186">
        <f t="shared" si="458"/>
        <v>0.95</v>
      </c>
      <c r="CP516" s="213" t="str">
        <f t="shared" si="418"/>
        <v>Đạt</v>
      </c>
      <c r="CQ516" s="213" t="str">
        <f t="shared" si="419"/>
        <v>Không đạt</v>
      </c>
      <c r="CR516" s="213"/>
      <c r="CS516" s="213"/>
      <c r="CT516" s="231"/>
      <c r="CU516" s="163"/>
      <c r="CW516" s="195"/>
      <c r="CX516" s="196"/>
      <c r="CY516" s="196"/>
      <c r="CZ516" s="197"/>
      <c r="DA516" s="196"/>
      <c r="DB516" s="196"/>
      <c r="DC516" s="196"/>
      <c r="DE516" s="199"/>
      <c r="DF516" s="200"/>
      <c r="DG516" s="181"/>
    </row>
    <row r="517" spans="1:111" s="324" customFormat="1" hidden="1" outlineLevel="1" x14ac:dyDescent="0.25">
      <c r="A517" s="305" t="s">
        <v>34</v>
      </c>
      <c r="B517" s="306" t="s">
        <v>376</v>
      </c>
      <c r="C517" s="306"/>
      <c r="D517" s="307">
        <f>E517+F517</f>
        <v>3000</v>
      </c>
      <c r="E517" s="307"/>
      <c r="F517" s="307">
        <f>G517+H517+K517+M517</f>
        <v>3000</v>
      </c>
      <c r="G517" s="303">
        <v>3000</v>
      </c>
      <c r="H517" s="303"/>
      <c r="I517" s="235"/>
      <c r="J517" s="235"/>
      <c r="K517" s="303"/>
      <c r="L517" s="235"/>
      <c r="M517" s="223"/>
      <c r="N517" s="223"/>
      <c r="O517" s="303">
        <f>G517+I517+L517+N517</f>
        <v>3000</v>
      </c>
      <c r="P517" s="303">
        <v>0</v>
      </c>
      <c r="Q517" s="308">
        <f t="shared" si="417"/>
        <v>0</v>
      </c>
      <c r="R517" s="303"/>
      <c r="S517" s="313">
        <v>0</v>
      </c>
      <c r="T517" s="313">
        <v>0</v>
      </c>
      <c r="U517" s="303"/>
      <c r="V517" s="313">
        <v>0</v>
      </c>
      <c r="W517" s="313">
        <v>0</v>
      </c>
      <c r="X517" s="303"/>
      <c r="Y517" s="313">
        <v>0</v>
      </c>
      <c r="Z517" s="313">
        <v>0</v>
      </c>
      <c r="AA517" s="303"/>
      <c r="AB517" s="313">
        <v>0</v>
      </c>
      <c r="AC517" s="313">
        <v>0</v>
      </c>
      <c r="AD517" s="303"/>
      <c r="AE517" s="313">
        <v>0</v>
      </c>
      <c r="AF517" s="313">
        <v>0</v>
      </c>
      <c r="AG517" s="303"/>
      <c r="AH517" s="313">
        <v>0</v>
      </c>
      <c r="AI517" s="313">
        <v>0</v>
      </c>
      <c r="AJ517" s="303"/>
      <c r="AK517" s="313">
        <v>0</v>
      </c>
      <c r="AL517" s="313">
        <v>0</v>
      </c>
      <c r="AM517" s="303"/>
      <c r="AN517" s="313">
        <v>0</v>
      </c>
      <c r="AO517" s="313">
        <v>0</v>
      </c>
      <c r="AP517" s="313"/>
      <c r="AQ517" s="303">
        <v>384.464</v>
      </c>
      <c r="AR517" s="313">
        <v>0.12815466666666667</v>
      </c>
      <c r="AS517" s="313">
        <v>0.13489964912280702</v>
      </c>
      <c r="AT517" s="303">
        <v>384.464</v>
      </c>
      <c r="AU517" s="313">
        <v>0.12815466666666667</v>
      </c>
      <c r="AV517" s="313">
        <v>0.13489964912280702</v>
      </c>
      <c r="AW517" s="313"/>
      <c r="AX517" s="313"/>
      <c r="AY517" s="313"/>
      <c r="AZ517" s="313"/>
      <c r="BA517" s="313"/>
      <c r="BB517" s="313"/>
      <c r="BC517" s="303">
        <v>384.464</v>
      </c>
      <c r="BD517" s="313">
        <v>0.12815466666666667</v>
      </c>
      <c r="BE517" s="313">
        <v>0.13489964912280702</v>
      </c>
      <c r="BF517" s="351"/>
      <c r="BG517" s="351">
        <v>664</v>
      </c>
      <c r="BH517" s="313">
        <v>0.22133333333333333</v>
      </c>
      <c r="BI517" s="313">
        <v>0.23298245614035087</v>
      </c>
      <c r="BJ517" s="349">
        <f t="shared" si="406"/>
        <v>2850</v>
      </c>
      <c r="BK517" s="349">
        <v>2226</v>
      </c>
      <c r="BL517" s="313">
        <f t="shared" si="407"/>
        <v>0.74199999999999999</v>
      </c>
      <c r="BM517" s="313">
        <f t="shared" si="421"/>
        <v>0.78105263157894733</v>
      </c>
      <c r="BN517" s="205">
        <f t="shared" si="403"/>
        <v>2226</v>
      </c>
      <c r="BO517" s="205"/>
      <c r="BP517" s="310"/>
      <c r="BQ517" s="311">
        <f t="shared" si="408"/>
        <v>0</v>
      </c>
      <c r="BR517" s="310"/>
      <c r="BS517" s="311">
        <f t="shared" si="409"/>
        <v>0</v>
      </c>
      <c r="BT517" s="310">
        <v>0</v>
      </c>
      <c r="BU517" s="308">
        <f t="shared" si="410"/>
        <v>0</v>
      </c>
      <c r="BV517" s="310">
        <v>1000</v>
      </c>
      <c r="BW517" s="311">
        <f t="shared" si="450"/>
        <v>0.33333333333333331</v>
      </c>
      <c r="BX517" s="310">
        <v>1200</v>
      </c>
      <c r="BY517" s="311">
        <f t="shared" si="451"/>
        <v>0.4</v>
      </c>
      <c r="BZ517" s="310">
        <v>1787</v>
      </c>
      <c r="CA517" s="311">
        <f t="shared" si="452"/>
        <v>0.59566666666666668</v>
      </c>
      <c r="CB517" s="310">
        <v>1856</v>
      </c>
      <c r="CC517" s="311">
        <f t="shared" si="427"/>
        <v>0.6186666666666667</v>
      </c>
      <c r="CD517" s="310">
        <v>2000</v>
      </c>
      <c r="CE517" s="311">
        <f t="shared" si="453"/>
        <v>0.66666666666666663</v>
      </c>
      <c r="CF517" s="310">
        <v>2500</v>
      </c>
      <c r="CG517" s="311">
        <f t="shared" si="454"/>
        <v>0.83333333333333337</v>
      </c>
      <c r="CH517" s="310">
        <v>2850</v>
      </c>
      <c r="CI517" s="311">
        <f t="shared" si="455"/>
        <v>0.95</v>
      </c>
      <c r="CJ517" s="310">
        <v>2850</v>
      </c>
      <c r="CK517" s="311">
        <f t="shared" si="456"/>
        <v>0.95</v>
      </c>
      <c r="CL517" s="310">
        <v>2850</v>
      </c>
      <c r="CM517" s="311">
        <f t="shared" si="457"/>
        <v>0.95</v>
      </c>
      <c r="CN517" s="310">
        <v>2850</v>
      </c>
      <c r="CO517" s="311">
        <f t="shared" si="458"/>
        <v>0.95</v>
      </c>
      <c r="CP517" s="213" t="str">
        <f t="shared" si="418"/>
        <v>Đạt</v>
      </c>
      <c r="CQ517" s="213" t="str">
        <f t="shared" si="419"/>
        <v>Đạt</v>
      </c>
      <c r="CR517" s="312"/>
      <c r="CS517" s="312"/>
      <c r="CT517" s="235"/>
      <c r="CU517" s="163"/>
      <c r="CV517" s="323"/>
      <c r="CW517" s="195"/>
      <c r="CX517" s="196"/>
      <c r="CY517" s="196"/>
      <c r="CZ517" s="197"/>
      <c r="DA517" s="196"/>
      <c r="DB517" s="196"/>
      <c r="DC517" s="196"/>
      <c r="DE517" s="199"/>
      <c r="DF517" s="200"/>
      <c r="DG517" s="181"/>
    </row>
    <row r="518" spans="1:111" ht="25.5" hidden="1" outlineLevel="1" x14ac:dyDescent="0.25">
      <c r="A518" s="305" t="s">
        <v>34</v>
      </c>
      <c r="B518" s="306" t="s">
        <v>377</v>
      </c>
      <c r="C518" s="306"/>
      <c r="D518" s="307">
        <f>E518+F518</f>
        <v>4250</v>
      </c>
      <c r="E518" s="307"/>
      <c r="F518" s="307">
        <f>G518+H518+K518+M518</f>
        <v>4250</v>
      </c>
      <c r="G518" s="307"/>
      <c r="H518" s="307">
        <v>4250</v>
      </c>
      <c r="I518" s="235"/>
      <c r="J518" s="235"/>
      <c r="K518" s="303"/>
      <c r="L518" s="235"/>
      <c r="M518" s="223"/>
      <c r="N518" s="223"/>
      <c r="O518" s="303"/>
      <c r="P518" s="303">
        <v>0</v>
      </c>
      <c r="Q518" s="308">
        <f t="shared" si="417"/>
        <v>0</v>
      </c>
      <c r="R518" s="303"/>
      <c r="S518" s="313">
        <v>0</v>
      </c>
      <c r="T518" s="313">
        <v>0</v>
      </c>
      <c r="U518" s="303"/>
      <c r="V518" s="313">
        <v>0</v>
      </c>
      <c r="W518" s="313">
        <v>0</v>
      </c>
      <c r="X518" s="303"/>
      <c r="Y518" s="313">
        <v>0</v>
      </c>
      <c r="Z518" s="313">
        <v>0</v>
      </c>
      <c r="AA518" s="303"/>
      <c r="AB518" s="313">
        <v>0</v>
      </c>
      <c r="AC518" s="313">
        <v>0</v>
      </c>
      <c r="AD518" s="303"/>
      <c r="AE518" s="313">
        <v>0</v>
      </c>
      <c r="AF518" s="313">
        <v>0</v>
      </c>
      <c r="AG518" s="303"/>
      <c r="AH518" s="313">
        <v>0</v>
      </c>
      <c r="AI518" s="313">
        <v>0</v>
      </c>
      <c r="AJ518" s="188"/>
      <c r="AK518" s="313">
        <v>0</v>
      </c>
      <c r="AL518" s="313">
        <v>0</v>
      </c>
      <c r="AM518" s="303"/>
      <c r="AN518" s="313">
        <v>0</v>
      </c>
      <c r="AO518" s="313">
        <v>0</v>
      </c>
      <c r="AP518" s="313"/>
      <c r="AQ518" s="303"/>
      <c r="AR518" s="313">
        <v>0</v>
      </c>
      <c r="AS518" s="313">
        <v>0</v>
      </c>
      <c r="AT518" s="303"/>
      <c r="AU518" s="313">
        <v>0</v>
      </c>
      <c r="AV518" s="313">
        <v>0</v>
      </c>
      <c r="AW518" s="313"/>
      <c r="AX518" s="313"/>
      <c r="AY518" s="313"/>
      <c r="AZ518" s="313"/>
      <c r="BA518" s="313"/>
      <c r="BB518" s="313"/>
      <c r="BC518" s="303"/>
      <c r="BD518" s="313">
        <v>0</v>
      </c>
      <c r="BE518" s="313">
        <v>0</v>
      </c>
      <c r="BF518" s="351"/>
      <c r="BG518" s="351">
        <v>0</v>
      </c>
      <c r="BH518" s="313">
        <v>0</v>
      </c>
      <c r="BI518" s="313">
        <v>0</v>
      </c>
      <c r="BJ518" s="349">
        <f t="shared" si="406"/>
        <v>4037.5</v>
      </c>
      <c r="BK518" s="349">
        <v>168.5</v>
      </c>
      <c r="BL518" s="313">
        <f t="shared" si="407"/>
        <v>3.964705882352941E-2</v>
      </c>
      <c r="BM518" s="313">
        <f t="shared" si="421"/>
        <v>4.173374613003096E-2</v>
      </c>
      <c r="BN518" s="205">
        <f t="shared" si="403"/>
        <v>168.5</v>
      </c>
      <c r="BO518" s="205"/>
      <c r="BP518" s="310"/>
      <c r="BQ518" s="311">
        <f t="shared" si="408"/>
        <v>0</v>
      </c>
      <c r="BR518" s="310"/>
      <c r="BS518" s="311">
        <f t="shared" si="409"/>
        <v>0</v>
      </c>
      <c r="BT518" s="310"/>
      <c r="BU518" s="308">
        <f t="shared" si="410"/>
        <v>0</v>
      </c>
      <c r="BV518" s="310"/>
      <c r="BW518" s="311">
        <f t="shared" si="450"/>
        <v>0</v>
      </c>
      <c r="BX518" s="310"/>
      <c r="BY518" s="311">
        <f t="shared" si="451"/>
        <v>0</v>
      </c>
      <c r="BZ518" s="310">
        <v>500</v>
      </c>
      <c r="CA518" s="311">
        <f t="shared" si="452"/>
        <v>0.11764705882352941</v>
      </c>
      <c r="CB518" s="310">
        <v>1000</v>
      </c>
      <c r="CC518" s="311">
        <f t="shared" si="427"/>
        <v>0.23529411764705882</v>
      </c>
      <c r="CD518" s="310">
        <v>1000</v>
      </c>
      <c r="CE518" s="311">
        <f t="shared" si="453"/>
        <v>0.23529411764705882</v>
      </c>
      <c r="CF518" s="310">
        <v>2000</v>
      </c>
      <c r="CG518" s="311">
        <f t="shared" si="454"/>
        <v>0.47058823529411764</v>
      </c>
      <c r="CH518" s="310">
        <v>3000</v>
      </c>
      <c r="CI518" s="311">
        <f t="shared" si="455"/>
        <v>0.70588235294117652</v>
      </c>
      <c r="CJ518" s="310">
        <v>3200</v>
      </c>
      <c r="CK518" s="311">
        <f t="shared" si="456"/>
        <v>0.75294117647058822</v>
      </c>
      <c r="CL518" s="310">
        <v>4037.5</v>
      </c>
      <c r="CM518" s="311">
        <f t="shared" si="457"/>
        <v>0.95</v>
      </c>
      <c r="CN518" s="310">
        <v>4037.5</v>
      </c>
      <c r="CO518" s="311">
        <f t="shared" si="458"/>
        <v>0.95</v>
      </c>
      <c r="CP518" s="213" t="str">
        <f t="shared" si="418"/>
        <v>Không đạt</v>
      </c>
      <c r="CQ518" s="213" t="str">
        <f t="shared" si="419"/>
        <v>Không đạt</v>
      </c>
      <c r="CR518" s="312"/>
      <c r="CS518" s="312"/>
      <c r="CT518" s="235"/>
      <c r="CU518" s="163"/>
      <c r="CW518" s="195"/>
      <c r="CX518" s="196"/>
      <c r="CY518" s="196"/>
      <c r="CZ518" s="197"/>
      <c r="DA518" s="196"/>
      <c r="DB518" s="196"/>
      <c r="DC518" s="196"/>
      <c r="DE518" s="199"/>
      <c r="DF518" s="200"/>
      <c r="DG518" s="181"/>
    </row>
    <row r="519" spans="1:111" ht="18" customHeight="1" collapsed="1" x14ac:dyDescent="0.25">
      <c r="A519" s="213">
        <f>MAX(A$239:A516)+1</f>
        <v>78</v>
      </c>
      <c r="B519" s="240" t="s">
        <v>490</v>
      </c>
      <c r="C519" s="240"/>
      <c r="D519" s="188">
        <f t="shared" ref="D519:I519" si="460">D520+D521</f>
        <v>3170</v>
      </c>
      <c r="E519" s="188">
        <f t="shared" si="460"/>
        <v>0</v>
      </c>
      <c r="F519" s="188">
        <f t="shared" si="460"/>
        <v>3170</v>
      </c>
      <c r="G519" s="188">
        <f t="shared" si="460"/>
        <v>3000</v>
      </c>
      <c r="H519" s="188">
        <f t="shared" si="460"/>
        <v>170</v>
      </c>
      <c r="I519" s="188">
        <f t="shared" si="460"/>
        <v>0</v>
      </c>
      <c r="J519" s="188"/>
      <c r="K519" s="188">
        <f>K520+K521</f>
        <v>0</v>
      </c>
      <c r="L519" s="188">
        <f>L520+L521</f>
        <v>0</v>
      </c>
      <c r="M519" s="188">
        <f>M520+M521</f>
        <v>0</v>
      </c>
      <c r="N519" s="188">
        <f>N520+N521</f>
        <v>0</v>
      </c>
      <c r="O519" s="188">
        <f>O520+O521</f>
        <v>3000</v>
      </c>
      <c r="P519" s="188">
        <v>0</v>
      </c>
      <c r="Q519" s="186">
        <f t="shared" si="417"/>
        <v>0</v>
      </c>
      <c r="R519" s="188">
        <v>0</v>
      </c>
      <c r="S519" s="185">
        <v>0</v>
      </c>
      <c r="T519" s="185">
        <v>0</v>
      </c>
      <c r="U519" s="188">
        <v>0</v>
      </c>
      <c r="V519" s="185">
        <v>0</v>
      </c>
      <c r="W519" s="185">
        <v>0</v>
      </c>
      <c r="X519" s="188">
        <v>0</v>
      </c>
      <c r="Y519" s="185">
        <v>0</v>
      </c>
      <c r="Z519" s="185">
        <v>0</v>
      </c>
      <c r="AA519" s="188">
        <v>0</v>
      </c>
      <c r="AB519" s="185">
        <v>0</v>
      </c>
      <c r="AC519" s="185">
        <v>0</v>
      </c>
      <c r="AD519" s="188">
        <v>0</v>
      </c>
      <c r="AE519" s="185">
        <v>0</v>
      </c>
      <c r="AF519" s="185">
        <v>0</v>
      </c>
      <c r="AG519" s="188">
        <v>0</v>
      </c>
      <c r="AH519" s="185">
        <v>0</v>
      </c>
      <c r="AI519" s="185">
        <v>0</v>
      </c>
      <c r="AJ519" s="303">
        <v>0</v>
      </c>
      <c r="AK519" s="185">
        <v>0</v>
      </c>
      <c r="AL519" s="185">
        <v>0</v>
      </c>
      <c r="AM519" s="188">
        <v>0</v>
      </c>
      <c r="AN519" s="185">
        <v>0</v>
      </c>
      <c r="AO519" s="185">
        <v>0</v>
      </c>
      <c r="AP519" s="185"/>
      <c r="AQ519" s="188">
        <v>946.72699999999998</v>
      </c>
      <c r="AR519" s="185">
        <v>0.2986520504731861</v>
      </c>
      <c r="AS519" s="185">
        <v>0.31437057944545904</v>
      </c>
      <c r="AT519" s="188">
        <v>946.72699999999998</v>
      </c>
      <c r="AU519" s="185">
        <v>0.2986520504731861</v>
      </c>
      <c r="AV519" s="185">
        <v>0.31437057944545904</v>
      </c>
      <c r="AW519" s="185"/>
      <c r="AX519" s="185"/>
      <c r="AY519" s="185"/>
      <c r="AZ519" s="185"/>
      <c r="BA519" s="185"/>
      <c r="BB519" s="185"/>
      <c r="BC519" s="188">
        <v>946.72699999999998</v>
      </c>
      <c r="BD519" s="185">
        <v>0.2986520504731861</v>
      </c>
      <c r="BE519" s="185">
        <v>0.31437057944545904</v>
      </c>
      <c r="BF519" s="352"/>
      <c r="BG519" s="352">
        <v>946.72699999999998</v>
      </c>
      <c r="BH519" s="185">
        <v>0.2986520504731861</v>
      </c>
      <c r="BI519" s="185">
        <v>0.31437057944545904</v>
      </c>
      <c r="BJ519" s="374">
        <f t="shared" si="406"/>
        <v>3011.5</v>
      </c>
      <c r="BK519" s="374">
        <v>2822.491</v>
      </c>
      <c r="BL519" s="185">
        <f t="shared" si="407"/>
        <v>0.89037570977917979</v>
      </c>
      <c r="BM519" s="185">
        <f t="shared" si="421"/>
        <v>0.9372375892412419</v>
      </c>
      <c r="BN519" s="205">
        <f t="shared" si="403"/>
        <v>2822.491</v>
      </c>
      <c r="BO519" s="205"/>
      <c r="BP519" s="189">
        <f>BP520+BP521</f>
        <v>0</v>
      </c>
      <c r="BQ519" s="186">
        <f t="shared" si="408"/>
        <v>0</v>
      </c>
      <c r="BR519" s="189">
        <f>BR520+BR521</f>
        <v>0</v>
      </c>
      <c r="BS519" s="186">
        <f t="shared" si="409"/>
        <v>0</v>
      </c>
      <c r="BT519" s="189">
        <f>BT520+BT521</f>
        <v>317</v>
      </c>
      <c r="BU519" s="186">
        <f t="shared" si="410"/>
        <v>0.1</v>
      </c>
      <c r="BV519" s="189">
        <f>BV520+BV521</f>
        <v>634</v>
      </c>
      <c r="BW519" s="186">
        <f t="shared" si="450"/>
        <v>0.2</v>
      </c>
      <c r="BX519" s="189">
        <f>BX520+BX521</f>
        <v>951</v>
      </c>
      <c r="BY519" s="186">
        <f t="shared" si="451"/>
        <v>0.3</v>
      </c>
      <c r="BZ519" s="189">
        <f>BZ520+BZ521</f>
        <v>1268</v>
      </c>
      <c r="CA519" s="186">
        <f t="shared" si="452"/>
        <v>0.4</v>
      </c>
      <c r="CB519" s="189">
        <f>CB520+CB521</f>
        <v>1585</v>
      </c>
      <c r="CC519" s="186">
        <f t="shared" si="427"/>
        <v>0.5</v>
      </c>
      <c r="CD519" s="189">
        <f>CD520+CD521</f>
        <v>1743.5000000000002</v>
      </c>
      <c r="CE519" s="186">
        <f t="shared" si="453"/>
        <v>0.55000000000000004</v>
      </c>
      <c r="CF519" s="189">
        <f>CF520+CF521</f>
        <v>1919</v>
      </c>
      <c r="CG519" s="186">
        <f t="shared" si="454"/>
        <v>0.60536277602523658</v>
      </c>
      <c r="CH519" s="189">
        <f>CH520+CH521</f>
        <v>2219</v>
      </c>
      <c r="CI519" s="186">
        <f t="shared" si="455"/>
        <v>0.7</v>
      </c>
      <c r="CJ519" s="189">
        <f>CJ520+CJ521</f>
        <v>2377.5</v>
      </c>
      <c r="CK519" s="186">
        <f t="shared" si="456"/>
        <v>0.75</v>
      </c>
      <c r="CL519" s="189">
        <f>CL520+CL521</f>
        <v>2536</v>
      </c>
      <c r="CM519" s="186">
        <f t="shared" si="457"/>
        <v>0.8</v>
      </c>
      <c r="CN519" s="189">
        <f>CN520+CN521</f>
        <v>3011.5</v>
      </c>
      <c r="CO519" s="186">
        <f t="shared" si="458"/>
        <v>0.95</v>
      </c>
      <c r="CP519" s="213" t="str">
        <f t="shared" si="418"/>
        <v>Đạt</v>
      </c>
      <c r="CQ519" s="213" t="str">
        <f t="shared" si="419"/>
        <v>Đạt</v>
      </c>
      <c r="CR519" s="213"/>
      <c r="CS519" s="213"/>
      <c r="CT519" s="231"/>
      <c r="CU519" s="163"/>
      <c r="CW519" s="195"/>
      <c r="CX519" s="196"/>
      <c r="CY519" s="196"/>
      <c r="CZ519" s="197"/>
      <c r="DA519" s="196"/>
      <c r="DB519" s="196"/>
      <c r="DC519" s="196"/>
      <c r="DE519" s="199"/>
      <c r="DF519" s="200"/>
      <c r="DG519" s="181"/>
    </row>
    <row r="520" spans="1:111" s="324" customFormat="1" hidden="1" outlineLevel="1" x14ac:dyDescent="0.25">
      <c r="A520" s="305" t="s">
        <v>34</v>
      </c>
      <c r="B520" s="306" t="s">
        <v>376</v>
      </c>
      <c r="C520" s="306"/>
      <c r="D520" s="307">
        <f>E520+F520</f>
        <v>3000</v>
      </c>
      <c r="E520" s="307"/>
      <c r="F520" s="307">
        <f>G520+H520+K520+M520</f>
        <v>3000</v>
      </c>
      <c r="G520" s="303">
        <v>3000</v>
      </c>
      <c r="H520" s="303"/>
      <c r="I520" s="235"/>
      <c r="J520" s="235"/>
      <c r="K520" s="303"/>
      <c r="L520" s="235"/>
      <c r="M520" s="223"/>
      <c r="N520" s="223"/>
      <c r="O520" s="303">
        <f>G520+I520+L520+N520</f>
        <v>3000</v>
      </c>
      <c r="P520" s="303">
        <v>0</v>
      </c>
      <c r="Q520" s="308">
        <f t="shared" si="417"/>
        <v>0</v>
      </c>
      <c r="R520" s="303"/>
      <c r="S520" s="309">
        <v>0</v>
      </c>
      <c r="T520" s="309">
        <v>0</v>
      </c>
      <c r="U520" s="303"/>
      <c r="V520" s="309">
        <v>0</v>
      </c>
      <c r="W520" s="309">
        <v>0</v>
      </c>
      <c r="X520" s="303"/>
      <c r="Y520" s="309">
        <v>0</v>
      </c>
      <c r="Z520" s="309">
        <v>0</v>
      </c>
      <c r="AA520" s="303"/>
      <c r="AB520" s="309">
        <v>0</v>
      </c>
      <c r="AC520" s="309">
        <v>0</v>
      </c>
      <c r="AD520" s="303"/>
      <c r="AE520" s="309">
        <v>0</v>
      </c>
      <c r="AF520" s="309">
        <v>0</v>
      </c>
      <c r="AG520" s="303"/>
      <c r="AH520" s="309">
        <v>0</v>
      </c>
      <c r="AI520" s="309">
        <v>0</v>
      </c>
      <c r="AJ520" s="303"/>
      <c r="AK520" s="309">
        <v>0</v>
      </c>
      <c r="AL520" s="309">
        <v>0</v>
      </c>
      <c r="AM520" s="303"/>
      <c r="AN520" s="309">
        <v>0</v>
      </c>
      <c r="AO520" s="309">
        <v>0</v>
      </c>
      <c r="AP520" s="309"/>
      <c r="AQ520" s="303">
        <v>946.72699999999998</v>
      </c>
      <c r="AR520" s="309">
        <v>0.31557566666666664</v>
      </c>
      <c r="AS520" s="309">
        <v>0.33218491228070174</v>
      </c>
      <c r="AT520" s="303">
        <v>946.72699999999998</v>
      </c>
      <c r="AU520" s="309">
        <v>0.31557566666666664</v>
      </c>
      <c r="AV520" s="309">
        <v>0.33218491228070174</v>
      </c>
      <c r="AW520" s="309"/>
      <c r="AX520" s="309"/>
      <c r="AY520" s="309"/>
      <c r="AZ520" s="309"/>
      <c r="BA520" s="309"/>
      <c r="BB520" s="309"/>
      <c r="BC520" s="303">
        <v>946.72699999999998</v>
      </c>
      <c r="BD520" s="309">
        <v>0.31557566666666664</v>
      </c>
      <c r="BE520" s="309">
        <v>0.33218491228070174</v>
      </c>
      <c r="BF520" s="351"/>
      <c r="BG520" s="351">
        <v>946.72699999999998</v>
      </c>
      <c r="BH520" s="309">
        <v>0.31557566666666664</v>
      </c>
      <c r="BI520" s="309">
        <v>0.33218491228070174</v>
      </c>
      <c r="BJ520" s="349">
        <f t="shared" si="406"/>
        <v>2850</v>
      </c>
      <c r="BK520" s="349">
        <v>2822.491</v>
      </c>
      <c r="BL520" s="309">
        <f t="shared" si="407"/>
        <v>0.94083033333333332</v>
      </c>
      <c r="BM520" s="309">
        <f t="shared" si="421"/>
        <v>0.99034771929824561</v>
      </c>
      <c r="BN520" s="205">
        <f t="shared" si="403"/>
        <v>2822.491</v>
      </c>
      <c r="BO520" s="205"/>
      <c r="BP520" s="310"/>
      <c r="BQ520" s="308">
        <f t="shared" si="408"/>
        <v>0</v>
      </c>
      <c r="BR520" s="310"/>
      <c r="BS520" s="308">
        <f t="shared" si="409"/>
        <v>0</v>
      </c>
      <c r="BT520" s="310">
        <f>$F520*0.1</f>
        <v>300</v>
      </c>
      <c r="BU520" s="308">
        <f t="shared" si="410"/>
        <v>0.1</v>
      </c>
      <c r="BV520" s="310">
        <f>$F520*0.2</f>
        <v>600</v>
      </c>
      <c r="BW520" s="308">
        <f t="shared" si="450"/>
        <v>0.2</v>
      </c>
      <c r="BX520" s="310">
        <f>$F520*0.3</f>
        <v>900</v>
      </c>
      <c r="BY520" s="308">
        <f t="shared" si="451"/>
        <v>0.3</v>
      </c>
      <c r="BZ520" s="310">
        <f>$F520*0.4</f>
        <v>1200</v>
      </c>
      <c r="CA520" s="308">
        <f t="shared" si="452"/>
        <v>0.4</v>
      </c>
      <c r="CB520" s="310">
        <f>$F520*0.5</f>
        <v>1500</v>
      </c>
      <c r="CC520" s="308">
        <f t="shared" si="427"/>
        <v>0.5</v>
      </c>
      <c r="CD520" s="310">
        <f>$F520*0.55</f>
        <v>1650.0000000000002</v>
      </c>
      <c r="CE520" s="308">
        <f t="shared" si="453"/>
        <v>0.55000000000000004</v>
      </c>
      <c r="CF520" s="310">
        <f>$F520*0.6</f>
        <v>1800</v>
      </c>
      <c r="CG520" s="308">
        <f t="shared" si="454"/>
        <v>0.6</v>
      </c>
      <c r="CH520" s="310">
        <f>$F520*0.7</f>
        <v>2100</v>
      </c>
      <c r="CI520" s="308">
        <f t="shared" si="455"/>
        <v>0.7</v>
      </c>
      <c r="CJ520" s="310">
        <f>$F520*0.75</f>
        <v>2250</v>
      </c>
      <c r="CK520" s="308">
        <f t="shared" si="456"/>
        <v>0.75</v>
      </c>
      <c r="CL520" s="310">
        <f>$F520*0.8</f>
        <v>2400</v>
      </c>
      <c r="CM520" s="308">
        <f t="shared" si="457"/>
        <v>0.8</v>
      </c>
      <c r="CN520" s="310">
        <f>$F520*0.95</f>
        <v>2850</v>
      </c>
      <c r="CO520" s="308">
        <f t="shared" si="458"/>
        <v>0.95</v>
      </c>
      <c r="CP520" s="213" t="str">
        <f t="shared" si="418"/>
        <v>Đạt</v>
      </c>
      <c r="CQ520" s="213" t="str">
        <f t="shared" si="419"/>
        <v>Đạt</v>
      </c>
      <c r="CR520" s="312"/>
      <c r="CS520" s="312"/>
      <c r="CT520" s="235"/>
      <c r="CU520" s="163"/>
      <c r="CV520" s="323"/>
      <c r="CW520" s="195"/>
      <c r="CX520" s="196"/>
      <c r="CY520" s="196"/>
      <c r="CZ520" s="197"/>
      <c r="DA520" s="196"/>
      <c r="DB520" s="196"/>
      <c r="DC520" s="196"/>
      <c r="DE520" s="199"/>
      <c r="DF520" s="200"/>
      <c r="DG520" s="181"/>
    </row>
    <row r="521" spans="1:111" ht="25.5" hidden="1" outlineLevel="1" x14ac:dyDescent="0.25">
      <c r="A521" s="305" t="s">
        <v>34</v>
      </c>
      <c r="B521" s="306" t="s">
        <v>377</v>
      </c>
      <c r="C521" s="306"/>
      <c r="D521" s="307">
        <f>E521+F521</f>
        <v>170</v>
      </c>
      <c r="E521" s="307"/>
      <c r="F521" s="307">
        <f>G521+H521+K521+M521</f>
        <v>170</v>
      </c>
      <c r="G521" s="307"/>
      <c r="H521" s="307">
        <v>170</v>
      </c>
      <c r="I521" s="235"/>
      <c r="J521" s="235"/>
      <c r="K521" s="303"/>
      <c r="L521" s="235"/>
      <c r="M521" s="223"/>
      <c r="N521" s="223"/>
      <c r="O521" s="303"/>
      <c r="P521" s="303">
        <v>0</v>
      </c>
      <c r="Q521" s="308">
        <f t="shared" si="417"/>
        <v>0</v>
      </c>
      <c r="R521" s="303"/>
      <c r="S521" s="309">
        <v>0</v>
      </c>
      <c r="T521" s="309">
        <v>0</v>
      </c>
      <c r="U521" s="303"/>
      <c r="V521" s="309">
        <v>0</v>
      </c>
      <c r="W521" s="309">
        <v>0</v>
      </c>
      <c r="X521" s="303"/>
      <c r="Y521" s="309">
        <v>0</v>
      </c>
      <c r="Z521" s="309">
        <v>0</v>
      </c>
      <c r="AA521" s="303"/>
      <c r="AB521" s="309">
        <v>0</v>
      </c>
      <c r="AC521" s="309">
        <v>0</v>
      </c>
      <c r="AD521" s="303"/>
      <c r="AE521" s="309">
        <v>0</v>
      </c>
      <c r="AF521" s="309">
        <v>0</v>
      </c>
      <c r="AG521" s="303"/>
      <c r="AH521" s="309">
        <v>0</v>
      </c>
      <c r="AI521" s="309">
        <v>0</v>
      </c>
      <c r="AJ521" s="304"/>
      <c r="AK521" s="309">
        <v>0</v>
      </c>
      <c r="AL521" s="309">
        <v>0</v>
      </c>
      <c r="AM521" s="303"/>
      <c r="AN521" s="309">
        <v>0</v>
      </c>
      <c r="AO521" s="309">
        <v>0</v>
      </c>
      <c r="AP521" s="309"/>
      <c r="AQ521" s="303"/>
      <c r="AR521" s="309">
        <v>0</v>
      </c>
      <c r="AS521" s="309">
        <v>0</v>
      </c>
      <c r="AT521" s="303"/>
      <c r="AU521" s="309">
        <v>0</v>
      </c>
      <c r="AV521" s="309">
        <v>0</v>
      </c>
      <c r="AW521" s="309"/>
      <c r="AX521" s="309"/>
      <c r="AY521" s="309"/>
      <c r="AZ521" s="309"/>
      <c r="BA521" s="309"/>
      <c r="BB521" s="309"/>
      <c r="BC521" s="303"/>
      <c r="BD521" s="309">
        <v>0</v>
      </c>
      <c r="BE521" s="309">
        <v>0</v>
      </c>
      <c r="BF521" s="351"/>
      <c r="BG521" s="351">
        <v>0</v>
      </c>
      <c r="BH521" s="309">
        <v>0</v>
      </c>
      <c r="BI521" s="309">
        <v>0</v>
      </c>
      <c r="BJ521" s="349">
        <f t="shared" si="406"/>
        <v>161.5</v>
      </c>
      <c r="BK521" s="349">
        <v>0</v>
      </c>
      <c r="BL521" s="309">
        <f t="shared" si="407"/>
        <v>0</v>
      </c>
      <c r="BM521" s="309">
        <f t="shared" si="421"/>
        <v>0</v>
      </c>
      <c r="BN521" s="205">
        <f t="shared" ref="BN521:BN583" si="461">BK521-AD521</f>
        <v>0</v>
      </c>
      <c r="BO521" s="205"/>
      <c r="BP521" s="310"/>
      <c r="BQ521" s="308">
        <f t="shared" si="408"/>
        <v>0</v>
      </c>
      <c r="BR521" s="310"/>
      <c r="BS521" s="308">
        <f t="shared" si="409"/>
        <v>0</v>
      </c>
      <c r="BT521" s="310">
        <f>$F521*0.1</f>
        <v>17</v>
      </c>
      <c r="BU521" s="308">
        <f t="shared" si="410"/>
        <v>0.1</v>
      </c>
      <c r="BV521" s="310">
        <f>$F521*0.2</f>
        <v>34</v>
      </c>
      <c r="BW521" s="308">
        <f t="shared" si="450"/>
        <v>0.2</v>
      </c>
      <c r="BX521" s="310">
        <f>$F521*0.3</f>
        <v>51</v>
      </c>
      <c r="BY521" s="308">
        <f t="shared" si="451"/>
        <v>0.3</v>
      </c>
      <c r="BZ521" s="310">
        <f>$F521*0.4</f>
        <v>68</v>
      </c>
      <c r="CA521" s="308">
        <f t="shared" si="452"/>
        <v>0.4</v>
      </c>
      <c r="CB521" s="310">
        <f>$F521*0.5</f>
        <v>85</v>
      </c>
      <c r="CC521" s="308">
        <f t="shared" si="427"/>
        <v>0.5</v>
      </c>
      <c r="CD521" s="310">
        <f>$F521*0.55</f>
        <v>93.500000000000014</v>
      </c>
      <c r="CE521" s="308">
        <f t="shared" si="453"/>
        <v>0.55000000000000004</v>
      </c>
      <c r="CF521" s="310">
        <v>118.99999999999999</v>
      </c>
      <c r="CG521" s="308">
        <f t="shared" si="454"/>
        <v>0.7</v>
      </c>
      <c r="CH521" s="310">
        <f>$F521*0.7</f>
        <v>118.99999999999999</v>
      </c>
      <c r="CI521" s="308">
        <f t="shared" si="455"/>
        <v>0.7</v>
      </c>
      <c r="CJ521" s="310">
        <f>$F521*0.75</f>
        <v>127.5</v>
      </c>
      <c r="CK521" s="308">
        <f t="shared" si="456"/>
        <v>0.75</v>
      </c>
      <c r="CL521" s="310">
        <f>$F521*0.8</f>
        <v>136</v>
      </c>
      <c r="CM521" s="308">
        <f t="shared" si="457"/>
        <v>0.8</v>
      </c>
      <c r="CN521" s="310">
        <f>$F521*0.95</f>
        <v>161.5</v>
      </c>
      <c r="CO521" s="308">
        <f t="shared" si="458"/>
        <v>0.95</v>
      </c>
      <c r="CP521" s="213" t="str">
        <f t="shared" si="418"/>
        <v>Không đạt</v>
      </c>
      <c r="CQ521" s="213" t="str">
        <f t="shared" si="419"/>
        <v>Không đạt</v>
      </c>
      <c r="CR521" s="312"/>
      <c r="CS521" s="312"/>
      <c r="CT521" s="235"/>
      <c r="CU521" s="163"/>
      <c r="CW521" s="195"/>
      <c r="CX521" s="196"/>
      <c r="CY521" s="196"/>
      <c r="CZ521" s="197"/>
      <c r="DA521" s="196"/>
      <c r="DB521" s="196"/>
      <c r="DC521" s="196"/>
      <c r="DE521" s="199"/>
      <c r="DF521" s="200"/>
      <c r="DG521" s="181"/>
    </row>
    <row r="522" spans="1:111" ht="18" customHeight="1" collapsed="1" x14ac:dyDescent="0.25">
      <c r="A522" s="213">
        <f>MAX(A$239:A519)+1</f>
        <v>79</v>
      </c>
      <c r="B522" s="240" t="s">
        <v>491</v>
      </c>
      <c r="C522" s="240"/>
      <c r="D522" s="188">
        <f t="shared" ref="D522:I522" si="462">D523+D524</f>
        <v>3043</v>
      </c>
      <c r="E522" s="188">
        <f t="shared" si="462"/>
        <v>0</v>
      </c>
      <c r="F522" s="188">
        <f t="shared" si="462"/>
        <v>3043</v>
      </c>
      <c r="G522" s="188">
        <f t="shared" si="462"/>
        <v>3000</v>
      </c>
      <c r="H522" s="188">
        <f t="shared" si="462"/>
        <v>43</v>
      </c>
      <c r="I522" s="188">
        <f t="shared" si="462"/>
        <v>0</v>
      </c>
      <c r="J522" s="188"/>
      <c r="K522" s="188">
        <f>K523+K524</f>
        <v>0</v>
      </c>
      <c r="L522" s="188">
        <f>L523+L524</f>
        <v>0</v>
      </c>
      <c r="M522" s="188">
        <f>M523+M524</f>
        <v>0</v>
      </c>
      <c r="N522" s="188">
        <f>N523+N524</f>
        <v>0</v>
      </c>
      <c r="O522" s="188">
        <f>O523+O524</f>
        <v>3000</v>
      </c>
      <c r="P522" s="188">
        <v>0</v>
      </c>
      <c r="Q522" s="186">
        <f t="shared" si="417"/>
        <v>0</v>
      </c>
      <c r="R522" s="189">
        <v>589.83000000000004</v>
      </c>
      <c r="S522" s="185">
        <v>0.1938317449884982</v>
      </c>
      <c r="T522" s="185">
        <v>0.20403341577736653</v>
      </c>
      <c r="U522" s="304">
        <v>589.83000000000004</v>
      </c>
      <c r="V522" s="185">
        <v>0.1938317449884982</v>
      </c>
      <c r="W522" s="185">
        <v>0.20403341577736653</v>
      </c>
      <c r="X522" s="304">
        <v>589.83000000000004</v>
      </c>
      <c r="Y522" s="185">
        <v>0.1938317449884982</v>
      </c>
      <c r="Z522" s="185">
        <v>0.20403341577736653</v>
      </c>
      <c r="AA522" s="304">
        <v>589.83000000000004</v>
      </c>
      <c r="AB522" s="185">
        <v>0.1938317449884982</v>
      </c>
      <c r="AC522" s="185">
        <v>0.20403341577736653</v>
      </c>
      <c r="AD522" s="304">
        <v>1840.24</v>
      </c>
      <c r="AE522" s="185">
        <v>0.60474531712126189</v>
      </c>
      <c r="AF522" s="185">
        <v>0.63657401802238101</v>
      </c>
      <c r="AG522" s="304">
        <v>1840.24</v>
      </c>
      <c r="AH522" s="185">
        <v>0.60474531712126189</v>
      </c>
      <c r="AI522" s="185">
        <v>0.63657401802238101</v>
      </c>
      <c r="AJ522" s="307">
        <v>1840.24</v>
      </c>
      <c r="AK522" s="185">
        <v>0.60474531712126189</v>
      </c>
      <c r="AL522" s="185">
        <v>0.63657401802238101</v>
      </c>
      <c r="AM522" s="304">
        <v>1840.24</v>
      </c>
      <c r="AN522" s="185">
        <v>0.60474531712126189</v>
      </c>
      <c r="AO522" s="185">
        <v>0.63657401802238101</v>
      </c>
      <c r="AP522" s="185"/>
      <c r="AQ522" s="189">
        <v>2793</v>
      </c>
      <c r="AR522" s="185">
        <v>0.91784423266513304</v>
      </c>
      <c r="AS522" s="185">
        <v>0.96615182385803489</v>
      </c>
      <c r="AT522" s="189">
        <v>2793</v>
      </c>
      <c r="AU522" s="185">
        <v>0.91784423266513304</v>
      </c>
      <c r="AV522" s="185">
        <v>0.96615182385803489</v>
      </c>
      <c r="AW522" s="185"/>
      <c r="AX522" s="185"/>
      <c r="AY522" s="185"/>
      <c r="AZ522" s="185"/>
      <c r="BA522" s="185"/>
      <c r="BB522" s="185"/>
      <c r="BC522" s="189">
        <v>2793</v>
      </c>
      <c r="BD522" s="185">
        <v>0.91784423266513304</v>
      </c>
      <c r="BE522" s="185">
        <v>0.96615182385803489</v>
      </c>
      <c r="BF522" s="352"/>
      <c r="BG522" s="352">
        <v>2793</v>
      </c>
      <c r="BH522" s="185">
        <v>0.91784423266513304</v>
      </c>
      <c r="BI522" s="185">
        <v>0.96615182385803489</v>
      </c>
      <c r="BJ522" s="374">
        <f t="shared" si="406"/>
        <v>2890.85</v>
      </c>
      <c r="BK522" s="374">
        <v>2833.85</v>
      </c>
      <c r="BL522" s="185">
        <f t="shared" si="407"/>
        <v>0.93126848504765036</v>
      </c>
      <c r="BM522" s="185">
        <f t="shared" si="421"/>
        <v>0.98028261583963194</v>
      </c>
      <c r="BN522" s="205">
        <f t="shared" si="461"/>
        <v>993.6099999999999</v>
      </c>
      <c r="BO522" s="205"/>
      <c r="BP522" s="189">
        <f>BP523+BP524</f>
        <v>0</v>
      </c>
      <c r="BQ522" s="186">
        <f t="shared" si="408"/>
        <v>0</v>
      </c>
      <c r="BR522" s="189">
        <f>BR523+BR524</f>
        <v>0</v>
      </c>
      <c r="BS522" s="186">
        <f t="shared" si="409"/>
        <v>0</v>
      </c>
      <c r="BT522" s="189">
        <f>BT523+BT524</f>
        <v>304.3</v>
      </c>
      <c r="BU522" s="186">
        <f t="shared" si="410"/>
        <v>0.1</v>
      </c>
      <c r="BV522" s="189">
        <f>BV523+BV524</f>
        <v>608.6</v>
      </c>
      <c r="BW522" s="186">
        <f t="shared" si="450"/>
        <v>0.2</v>
      </c>
      <c r="BX522" s="189">
        <f>BX523+BX524</f>
        <v>912.9</v>
      </c>
      <c r="BY522" s="186">
        <f t="shared" si="451"/>
        <v>0.3</v>
      </c>
      <c r="BZ522" s="189">
        <f>BZ523+BZ524</f>
        <v>1217.2</v>
      </c>
      <c r="CA522" s="186">
        <f t="shared" si="452"/>
        <v>0.4</v>
      </c>
      <c r="CB522" s="189">
        <f>CB523+CB524</f>
        <v>1521.5</v>
      </c>
      <c r="CC522" s="186">
        <f t="shared" si="427"/>
        <v>0.5</v>
      </c>
      <c r="CD522" s="189">
        <f>CD523+CD524</f>
        <v>1673.6500000000003</v>
      </c>
      <c r="CE522" s="186">
        <f t="shared" si="453"/>
        <v>0.55000000000000016</v>
      </c>
      <c r="CF522" s="189">
        <f>CF523+CF524</f>
        <v>2130.1</v>
      </c>
      <c r="CG522" s="186">
        <f t="shared" si="454"/>
        <v>0.7</v>
      </c>
      <c r="CH522" s="189">
        <f>CH523+CH524</f>
        <v>2130.1</v>
      </c>
      <c r="CI522" s="186">
        <f t="shared" si="455"/>
        <v>0.7</v>
      </c>
      <c r="CJ522" s="189">
        <f>CJ523+CJ524</f>
        <v>2282.25</v>
      </c>
      <c r="CK522" s="186">
        <f t="shared" si="456"/>
        <v>0.75</v>
      </c>
      <c r="CL522" s="189">
        <f>CL523+CL524</f>
        <v>2434.4</v>
      </c>
      <c r="CM522" s="186">
        <f t="shared" si="457"/>
        <v>0.8</v>
      </c>
      <c r="CN522" s="189">
        <f>CN523+CN524</f>
        <v>2890.85</v>
      </c>
      <c r="CO522" s="186">
        <f t="shared" si="458"/>
        <v>0.95</v>
      </c>
      <c r="CP522" s="213" t="str">
        <f t="shared" si="418"/>
        <v>Đạt</v>
      </c>
      <c r="CQ522" s="213" t="str">
        <f t="shared" si="419"/>
        <v>Đạt</v>
      </c>
      <c r="CR522" s="213"/>
      <c r="CS522" s="213"/>
      <c r="CT522" s="231"/>
      <c r="CU522" s="163"/>
      <c r="CW522" s="195"/>
      <c r="CX522" s="196"/>
      <c r="CY522" s="196"/>
      <c r="CZ522" s="197"/>
      <c r="DA522" s="196"/>
      <c r="DB522" s="196"/>
      <c r="DC522" s="196"/>
      <c r="DE522" s="199"/>
      <c r="DF522" s="200"/>
      <c r="DG522" s="181"/>
    </row>
    <row r="523" spans="1:111" s="324" customFormat="1" hidden="1" outlineLevel="1" x14ac:dyDescent="0.25">
      <c r="A523" s="305" t="s">
        <v>34</v>
      </c>
      <c r="B523" s="306" t="s">
        <v>376</v>
      </c>
      <c r="C523" s="306"/>
      <c r="D523" s="307">
        <f>E523+F523</f>
        <v>3000</v>
      </c>
      <c r="E523" s="307"/>
      <c r="F523" s="307">
        <f>G523+H523+K523+M523</f>
        <v>3000</v>
      </c>
      <c r="G523" s="303">
        <v>3000</v>
      </c>
      <c r="H523" s="303"/>
      <c r="I523" s="235"/>
      <c r="J523" s="235"/>
      <c r="K523" s="303"/>
      <c r="L523" s="235"/>
      <c r="M523" s="223"/>
      <c r="N523" s="223"/>
      <c r="O523" s="303">
        <f>G523+I523+L523+N523</f>
        <v>3000</v>
      </c>
      <c r="P523" s="303">
        <v>0</v>
      </c>
      <c r="Q523" s="308">
        <f t="shared" si="417"/>
        <v>0</v>
      </c>
      <c r="R523" s="303">
        <v>589.83000000000004</v>
      </c>
      <c r="S523" s="309">
        <v>0.19661000000000001</v>
      </c>
      <c r="T523" s="309">
        <v>0.20695789473684212</v>
      </c>
      <c r="U523" s="303">
        <v>589.83000000000004</v>
      </c>
      <c r="V523" s="309">
        <v>0.19661000000000001</v>
      </c>
      <c r="W523" s="309">
        <v>0.20695789473684212</v>
      </c>
      <c r="X523" s="303">
        <v>589.83000000000004</v>
      </c>
      <c r="Y523" s="309">
        <v>0.19661000000000001</v>
      </c>
      <c r="Z523" s="309">
        <v>0.20695789473684212</v>
      </c>
      <c r="AA523" s="303">
        <v>589.83000000000004</v>
      </c>
      <c r="AB523" s="309">
        <v>0.19661000000000001</v>
      </c>
      <c r="AC523" s="309">
        <v>0.20695789473684212</v>
      </c>
      <c r="AD523" s="303">
        <v>1840.24</v>
      </c>
      <c r="AE523" s="309">
        <v>0.61341333333333337</v>
      </c>
      <c r="AF523" s="309">
        <v>0.6456982456140351</v>
      </c>
      <c r="AG523" s="307">
        <v>1840.24</v>
      </c>
      <c r="AH523" s="309">
        <v>0.61341333333333337</v>
      </c>
      <c r="AI523" s="309">
        <v>0.6456982456140351</v>
      </c>
      <c r="AJ523" s="303">
        <v>1840.24</v>
      </c>
      <c r="AK523" s="309">
        <v>0.61341333333333337</v>
      </c>
      <c r="AL523" s="309">
        <v>0.6456982456140351</v>
      </c>
      <c r="AM523" s="307">
        <v>1840.24</v>
      </c>
      <c r="AN523" s="309">
        <v>0.61341333333333337</v>
      </c>
      <c r="AO523" s="309">
        <v>0.6456982456140351</v>
      </c>
      <c r="AP523" s="309"/>
      <c r="AQ523" s="307">
        <v>2793</v>
      </c>
      <c r="AR523" s="309">
        <v>0.93100000000000005</v>
      </c>
      <c r="AS523" s="309">
        <v>0.98</v>
      </c>
      <c r="AT523" s="307">
        <v>2793</v>
      </c>
      <c r="AU523" s="309">
        <v>0.93100000000000005</v>
      </c>
      <c r="AV523" s="309">
        <v>0.98</v>
      </c>
      <c r="AW523" s="309"/>
      <c r="AX523" s="309"/>
      <c r="AY523" s="309"/>
      <c r="AZ523" s="309"/>
      <c r="BA523" s="309"/>
      <c r="BB523" s="309"/>
      <c r="BC523" s="307">
        <v>2793</v>
      </c>
      <c r="BD523" s="309">
        <v>0.93100000000000005</v>
      </c>
      <c r="BE523" s="309">
        <v>0.98</v>
      </c>
      <c r="BF523" s="351"/>
      <c r="BG523" s="351">
        <v>2793</v>
      </c>
      <c r="BH523" s="309">
        <v>0.93100000000000005</v>
      </c>
      <c r="BI523" s="309">
        <v>0.98</v>
      </c>
      <c r="BJ523" s="349">
        <f t="shared" si="406"/>
        <v>2850</v>
      </c>
      <c r="BK523" s="349">
        <v>2793</v>
      </c>
      <c r="BL523" s="309">
        <f t="shared" si="407"/>
        <v>0.93100000000000005</v>
      </c>
      <c r="BM523" s="309">
        <f t="shared" si="421"/>
        <v>0.98</v>
      </c>
      <c r="BN523" s="205">
        <f t="shared" si="461"/>
        <v>952.76</v>
      </c>
      <c r="BO523" s="205"/>
      <c r="BP523" s="310"/>
      <c r="BQ523" s="308">
        <f t="shared" si="408"/>
        <v>0</v>
      </c>
      <c r="BR523" s="310"/>
      <c r="BS523" s="308">
        <f t="shared" si="409"/>
        <v>0</v>
      </c>
      <c r="BT523" s="310">
        <f>$F523*0.1</f>
        <v>300</v>
      </c>
      <c r="BU523" s="308">
        <f t="shared" si="410"/>
        <v>0.1</v>
      </c>
      <c r="BV523" s="310">
        <f>$F523*0.2</f>
        <v>600</v>
      </c>
      <c r="BW523" s="308">
        <f t="shared" si="450"/>
        <v>0.2</v>
      </c>
      <c r="BX523" s="310">
        <f>$F523*0.3</f>
        <v>900</v>
      </c>
      <c r="BY523" s="308">
        <f t="shared" si="451"/>
        <v>0.3</v>
      </c>
      <c r="BZ523" s="310">
        <f>$F523*0.4</f>
        <v>1200</v>
      </c>
      <c r="CA523" s="308">
        <f t="shared" si="452"/>
        <v>0.4</v>
      </c>
      <c r="CB523" s="310">
        <f>$F523*0.5</f>
        <v>1500</v>
      </c>
      <c r="CC523" s="308">
        <f t="shared" si="427"/>
        <v>0.5</v>
      </c>
      <c r="CD523" s="310">
        <f>$F523*0.55</f>
        <v>1650.0000000000002</v>
      </c>
      <c r="CE523" s="308">
        <f t="shared" si="453"/>
        <v>0.55000000000000004</v>
      </c>
      <c r="CF523" s="310">
        <v>2100</v>
      </c>
      <c r="CG523" s="308">
        <f t="shared" si="454"/>
        <v>0.7</v>
      </c>
      <c r="CH523" s="310">
        <f>$F523*0.7</f>
        <v>2100</v>
      </c>
      <c r="CI523" s="308">
        <f t="shared" si="455"/>
        <v>0.7</v>
      </c>
      <c r="CJ523" s="310">
        <f>$F523*0.75</f>
        <v>2250</v>
      </c>
      <c r="CK523" s="308">
        <f t="shared" si="456"/>
        <v>0.75</v>
      </c>
      <c r="CL523" s="310">
        <f>$F523*0.8</f>
        <v>2400</v>
      </c>
      <c r="CM523" s="308">
        <f t="shared" si="457"/>
        <v>0.8</v>
      </c>
      <c r="CN523" s="310">
        <f>$F523*0.95</f>
        <v>2850</v>
      </c>
      <c r="CO523" s="308">
        <f t="shared" si="458"/>
        <v>0.95</v>
      </c>
      <c r="CP523" s="213" t="str">
        <f t="shared" si="418"/>
        <v>Đạt</v>
      </c>
      <c r="CQ523" s="213" t="str">
        <f t="shared" si="419"/>
        <v>Đạt</v>
      </c>
      <c r="CR523" s="312"/>
      <c r="CS523" s="312"/>
      <c r="CT523" s="235"/>
      <c r="CU523" s="163"/>
      <c r="CV523" s="323"/>
      <c r="CW523" s="195"/>
      <c r="CX523" s="196"/>
      <c r="CY523" s="196"/>
      <c r="CZ523" s="197"/>
      <c r="DA523" s="196"/>
      <c r="DB523" s="196"/>
      <c r="DC523" s="196"/>
      <c r="DE523" s="199"/>
      <c r="DF523" s="200"/>
      <c r="DG523" s="181"/>
    </row>
    <row r="524" spans="1:111" ht="25.5" hidden="1" outlineLevel="1" x14ac:dyDescent="0.25">
      <c r="A524" s="305" t="s">
        <v>34</v>
      </c>
      <c r="B524" s="306" t="s">
        <v>377</v>
      </c>
      <c r="C524" s="306"/>
      <c r="D524" s="307">
        <f>E524+F524</f>
        <v>43</v>
      </c>
      <c r="E524" s="307"/>
      <c r="F524" s="307">
        <f>G524+H524+K524+M524</f>
        <v>43</v>
      </c>
      <c r="G524" s="307"/>
      <c r="H524" s="307">
        <v>43</v>
      </c>
      <c r="I524" s="235"/>
      <c r="J524" s="235"/>
      <c r="K524" s="303"/>
      <c r="L524" s="235"/>
      <c r="M524" s="223"/>
      <c r="N524" s="223"/>
      <c r="O524" s="303"/>
      <c r="P524" s="303">
        <v>0</v>
      </c>
      <c r="Q524" s="308">
        <f t="shared" si="417"/>
        <v>0</v>
      </c>
      <c r="R524" s="303"/>
      <c r="S524" s="309">
        <v>0</v>
      </c>
      <c r="T524" s="309">
        <v>0</v>
      </c>
      <c r="U524" s="303"/>
      <c r="V524" s="309">
        <v>0</v>
      </c>
      <c r="W524" s="309">
        <v>0</v>
      </c>
      <c r="X524" s="303"/>
      <c r="Y524" s="309">
        <v>0</v>
      </c>
      <c r="Z524" s="309">
        <v>0</v>
      </c>
      <c r="AA524" s="303"/>
      <c r="AB524" s="309">
        <v>0</v>
      </c>
      <c r="AC524" s="309">
        <v>0</v>
      </c>
      <c r="AD524" s="303"/>
      <c r="AE524" s="309">
        <v>0</v>
      </c>
      <c r="AF524" s="309">
        <v>0</v>
      </c>
      <c r="AG524" s="303"/>
      <c r="AH524" s="309">
        <v>0</v>
      </c>
      <c r="AI524" s="309">
        <v>0</v>
      </c>
      <c r="AJ524" s="189"/>
      <c r="AK524" s="309">
        <v>0</v>
      </c>
      <c r="AL524" s="309">
        <v>0</v>
      </c>
      <c r="AM524" s="303"/>
      <c r="AN524" s="309">
        <v>0</v>
      </c>
      <c r="AO524" s="309">
        <v>0</v>
      </c>
      <c r="AP524" s="309"/>
      <c r="AQ524" s="303"/>
      <c r="AR524" s="309">
        <v>0</v>
      </c>
      <c r="AS524" s="309">
        <v>0</v>
      </c>
      <c r="AT524" s="303"/>
      <c r="AU524" s="309">
        <v>0</v>
      </c>
      <c r="AV524" s="309">
        <v>0</v>
      </c>
      <c r="AW524" s="309"/>
      <c r="AX524" s="309"/>
      <c r="AY524" s="309"/>
      <c r="AZ524" s="309"/>
      <c r="BA524" s="309"/>
      <c r="BB524" s="309"/>
      <c r="BC524" s="303"/>
      <c r="BD524" s="309">
        <v>0</v>
      </c>
      <c r="BE524" s="309">
        <v>0</v>
      </c>
      <c r="BF524" s="351"/>
      <c r="BG524" s="351">
        <v>0</v>
      </c>
      <c r="BH524" s="309">
        <v>0</v>
      </c>
      <c r="BI524" s="309">
        <v>0</v>
      </c>
      <c r="BJ524" s="349">
        <f t="shared" ref="BJ524:BJ586" si="463">E524+(F524*0.95)</f>
        <v>40.85</v>
      </c>
      <c r="BK524" s="349">
        <v>40.85</v>
      </c>
      <c r="BL524" s="309">
        <f t="shared" si="407"/>
        <v>0.95000000000000007</v>
      </c>
      <c r="BM524" s="309">
        <f t="shared" si="421"/>
        <v>1</v>
      </c>
      <c r="BN524" s="205">
        <f t="shared" si="461"/>
        <v>40.85</v>
      </c>
      <c r="BO524" s="205"/>
      <c r="BP524" s="310"/>
      <c r="BQ524" s="308">
        <f t="shared" si="408"/>
        <v>0</v>
      </c>
      <c r="BR524" s="310"/>
      <c r="BS524" s="308">
        <f t="shared" si="409"/>
        <v>0</v>
      </c>
      <c r="BT524" s="310">
        <f>$F524*0.1</f>
        <v>4.3</v>
      </c>
      <c r="BU524" s="308">
        <f t="shared" si="410"/>
        <v>9.9999999999999992E-2</v>
      </c>
      <c r="BV524" s="310">
        <f>$F524*0.2</f>
        <v>8.6</v>
      </c>
      <c r="BW524" s="308">
        <f t="shared" si="450"/>
        <v>0.19999999999999998</v>
      </c>
      <c r="BX524" s="310">
        <f>$F524*0.3</f>
        <v>12.9</v>
      </c>
      <c r="BY524" s="308">
        <f t="shared" si="451"/>
        <v>0.3</v>
      </c>
      <c r="BZ524" s="310">
        <f>$F524*0.4</f>
        <v>17.2</v>
      </c>
      <c r="CA524" s="308">
        <f t="shared" si="452"/>
        <v>0.39999999999999997</v>
      </c>
      <c r="CB524" s="310">
        <f>$F524*0.5</f>
        <v>21.5</v>
      </c>
      <c r="CC524" s="308">
        <f t="shared" si="427"/>
        <v>0.5</v>
      </c>
      <c r="CD524" s="310">
        <f>$F524*0.55</f>
        <v>23.650000000000002</v>
      </c>
      <c r="CE524" s="308">
        <f t="shared" si="453"/>
        <v>0.55000000000000004</v>
      </c>
      <c r="CF524" s="310">
        <v>30.099999999999998</v>
      </c>
      <c r="CG524" s="308">
        <f t="shared" si="454"/>
        <v>0.7</v>
      </c>
      <c r="CH524" s="310">
        <f>$F524*0.7</f>
        <v>30.099999999999998</v>
      </c>
      <c r="CI524" s="308">
        <f t="shared" si="455"/>
        <v>0.7</v>
      </c>
      <c r="CJ524" s="310">
        <f>$F524*0.75</f>
        <v>32.25</v>
      </c>
      <c r="CK524" s="308">
        <f t="shared" si="456"/>
        <v>0.75</v>
      </c>
      <c r="CL524" s="310">
        <f>$F524*0.8</f>
        <v>34.4</v>
      </c>
      <c r="CM524" s="308">
        <f t="shared" si="457"/>
        <v>0.79999999999999993</v>
      </c>
      <c r="CN524" s="310">
        <f>$F524*0.95</f>
        <v>40.85</v>
      </c>
      <c r="CO524" s="308">
        <f t="shared" si="458"/>
        <v>0.95000000000000007</v>
      </c>
      <c r="CP524" s="213" t="str">
        <f t="shared" si="418"/>
        <v>Đạt</v>
      </c>
      <c r="CQ524" s="213" t="str">
        <f t="shared" si="419"/>
        <v>Đạt</v>
      </c>
      <c r="CR524" s="312"/>
      <c r="CS524" s="312"/>
      <c r="CT524" s="235"/>
      <c r="CU524" s="163"/>
      <c r="CW524" s="195"/>
      <c r="CX524" s="196"/>
      <c r="CY524" s="196"/>
      <c r="CZ524" s="197"/>
      <c r="DA524" s="196"/>
      <c r="DB524" s="196"/>
      <c r="DC524" s="196"/>
      <c r="DE524" s="199"/>
      <c r="DF524" s="200"/>
      <c r="DG524" s="181"/>
    </row>
    <row r="525" spans="1:111" ht="18" customHeight="1" collapsed="1" x14ac:dyDescent="0.25">
      <c r="A525" s="213">
        <f>MAX(A$239:A522)+1</f>
        <v>80</v>
      </c>
      <c r="B525" s="240" t="s">
        <v>492</v>
      </c>
      <c r="C525" s="240"/>
      <c r="D525" s="188">
        <f t="shared" ref="D525:I525" si="464">D526+D528+D529</f>
        <v>9400</v>
      </c>
      <c r="E525" s="188">
        <f t="shared" si="464"/>
        <v>0</v>
      </c>
      <c r="F525" s="188">
        <f t="shared" si="464"/>
        <v>9400</v>
      </c>
      <c r="G525" s="188">
        <f t="shared" si="464"/>
        <v>3000</v>
      </c>
      <c r="H525" s="188">
        <f t="shared" si="464"/>
        <v>6400</v>
      </c>
      <c r="I525" s="188">
        <f t="shared" si="464"/>
        <v>2850</v>
      </c>
      <c r="J525" s="188"/>
      <c r="K525" s="188">
        <f>K526+K528+K529</f>
        <v>0</v>
      </c>
      <c r="L525" s="188">
        <f>L526+L528+L529</f>
        <v>0</v>
      </c>
      <c r="M525" s="188">
        <f>M526+M528+M529</f>
        <v>0</v>
      </c>
      <c r="N525" s="188">
        <f>N526+N528+N529</f>
        <v>0</v>
      </c>
      <c r="O525" s="188">
        <f>O526+O528+O529</f>
        <v>5850</v>
      </c>
      <c r="P525" s="188">
        <v>0</v>
      </c>
      <c r="Q525" s="186">
        <f t="shared" si="417"/>
        <v>0</v>
      </c>
      <c r="R525" s="189">
        <v>0</v>
      </c>
      <c r="S525" s="185">
        <v>0</v>
      </c>
      <c r="T525" s="185">
        <v>0</v>
      </c>
      <c r="U525" s="189">
        <v>1735.1679999999999</v>
      </c>
      <c r="V525" s="185">
        <v>0.18459234042553191</v>
      </c>
      <c r="W525" s="185">
        <v>0.1943077267637178</v>
      </c>
      <c r="X525" s="189">
        <v>1735.1679999999999</v>
      </c>
      <c r="Y525" s="185">
        <v>0.18459234042553191</v>
      </c>
      <c r="Z525" s="185">
        <v>0.1943077267637178</v>
      </c>
      <c r="AA525" s="189">
        <v>1735.1679999999999</v>
      </c>
      <c r="AB525" s="185">
        <v>0.18459234042553191</v>
      </c>
      <c r="AC525" s="185">
        <v>0.1943077267637178</v>
      </c>
      <c r="AD525" s="189">
        <v>1995.5416319999999</v>
      </c>
      <c r="AE525" s="185">
        <v>0.2122916629787234</v>
      </c>
      <c r="AF525" s="185">
        <v>0.22346490839865621</v>
      </c>
      <c r="AG525" s="189">
        <v>1995.5416319999999</v>
      </c>
      <c r="AH525" s="185">
        <v>0.2122916629787234</v>
      </c>
      <c r="AI525" s="185">
        <v>0.22346490839865621</v>
      </c>
      <c r="AJ525" s="317">
        <v>1995.5416319999999</v>
      </c>
      <c r="AK525" s="185">
        <v>0.2122916629787234</v>
      </c>
      <c r="AL525" s="185">
        <v>0.22346490839865621</v>
      </c>
      <c r="AM525" s="189">
        <v>1995.5416319999999</v>
      </c>
      <c r="AN525" s="185">
        <v>0.2122916629787234</v>
      </c>
      <c r="AO525" s="185">
        <v>0.22346490839865621</v>
      </c>
      <c r="AP525" s="185"/>
      <c r="AQ525" s="189">
        <v>5147.5380409999998</v>
      </c>
      <c r="AR525" s="185">
        <v>0.54761042989361697</v>
      </c>
      <c r="AS525" s="185">
        <v>0.57643203146696531</v>
      </c>
      <c r="AT525" s="189">
        <v>5147.5380409999998</v>
      </c>
      <c r="AU525" s="185">
        <v>0.54761042989361697</v>
      </c>
      <c r="AV525" s="185">
        <v>0.57643203146696531</v>
      </c>
      <c r="AW525" s="185"/>
      <c r="AX525" s="185"/>
      <c r="AY525" s="185"/>
      <c r="AZ525" s="185"/>
      <c r="BA525" s="185"/>
      <c r="BB525" s="185"/>
      <c r="BC525" s="189">
        <v>5147.5380409999998</v>
      </c>
      <c r="BD525" s="185">
        <v>0.54761042989361697</v>
      </c>
      <c r="BE525" s="185">
        <v>0.57643203146696531</v>
      </c>
      <c r="BF525" s="352"/>
      <c r="BG525" s="352">
        <v>8208</v>
      </c>
      <c r="BH525" s="185">
        <v>0.8731914893617021</v>
      </c>
      <c r="BI525" s="185">
        <v>0.91914893617021276</v>
      </c>
      <c r="BJ525" s="374">
        <f t="shared" si="463"/>
        <v>8930</v>
      </c>
      <c r="BK525" s="374">
        <v>8588</v>
      </c>
      <c r="BL525" s="185">
        <f t="shared" ref="BL525:BL585" si="465">BK525/$D525</f>
        <v>0.91361702127659572</v>
      </c>
      <c r="BM525" s="185">
        <f t="shared" si="421"/>
        <v>0.96170212765957441</v>
      </c>
      <c r="BN525" s="205">
        <f t="shared" si="461"/>
        <v>6592.4583679999996</v>
      </c>
      <c r="BO525" s="205"/>
      <c r="BP525" s="189">
        <f>BP526+BP528+BP529</f>
        <v>0</v>
      </c>
      <c r="BQ525" s="186">
        <f t="shared" ref="BQ525:BQ585" si="466">BP525/$D525</f>
        <v>0</v>
      </c>
      <c r="BR525" s="189">
        <f>BR526+BR528+BR529</f>
        <v>1578</v>
      </c>
      <c r="BS525" s="186">
        <f t="shared" ref="BS525:BS585" si="467">BR525/$D525</f>
        <v>0.16787234042553192</v>
      </c>
      <c r="BT525" s="189">
        <f>BT526+BT528+BT529</f>
        <v>2578</v>
      </c>
      <c r="BU525" s="186">
        <f t="shared" ref="BU525:BU585" si="468">BT525/$D525</f>
        <v>0.27425531914893619</v>
      </c>
      <c r="BV525" s="189">
        <f>BV526+BV528+BV529</f>
        <v>4972</v>
      </c>
      <c r="BW525" s="186">
        <f t="shared" si="450"/>
        <v>0.52893617021276595</v>
      </c>
      <c r="BX525" s="189">
        <f>BX526+BX528+BX529</f>
        <v>6050</v>
      </c>
      <c r="BY525" s="186">
        <f t="shared" si="451"/>
        <v>0.6436170212765957</v>
      </c>
      <c r="BZ525" s="189">
        <f>BZ526+BZ528+BZ529</f>
        <v>7060</v>
      </c>
      <c r="CA525" s="186">
        <f t="shared" si="452"/>
        <v>0.75106382978723407</v>
      </c>
      <c r="CB525" s="189">
        <f>CB526+CB528+CB529</f>
        <v>8172</v>
      </c>
      <c r="CC525" s="186">
        <f t="shared" si="427"/>
        <v>0.86936170212765962</v>
      </c>
      <c r="CD525" s="189">
        <f>CD526+CD528+CD529</f>
        <v>8930</v>
      </c>
      <c r="CE525" s="186">
        <f t="shared" si="453"/>
        <v>0.95</v>
      </c>
      <c r="CF525" s="189">
        <f>CF526+CF528+CF529</f>
        <v>8930</v>
      </c>
      <c r="CG525" s="186">
        <f t="shared" si="454"/>
        <v>0.95</v>
      </c>
      <c r="CH525" s="189">
        <f>CH526+CH528+CH529</f>
        <v>8930</v>
      </c>
      <c r="CI525" s="186">
        <f t="shared" si="455"/>
        <v>0.95</v>
      </c>
      <c r="CJ525" s="189">
        <f>CJ526+CJ528+CJ529</f>
        <v>8930</v>
      </c>
      <c r="CK525" s="186">
        <f t="shared" si="456"/>
        <v>0.95</v>
      </c>
      <c r="CL525" s="189">
        <f>CL526+CL528+CL529</f>
        <v>8930</v>
      </c>
      <c r="CM525" s="186">
        <f t="shared" si="457"/>
        <v>0.95</v>
      </c>
      <c r="CN525" s="189">
        <f>CN526+CN528+CN529</f>
        <v>8930</v>
      </c>
      <c r="CO525" s="186">
        <f t="shared" si="458"/>
        <v>0.95</v>
      </c>
      <c r="CP525" s="213" t="str">
        <f t="shared" si="418"/>
        <v>Đạt</v>
      </c>
      <c r="CQ525" s="213" t="str">
        <f t="shared" si="419"/>
        <v>Đạt</v>
      </c>
      <c r="CR525" s="213"/>
      <c r="CS525" s="213"/>
      <c r="CT525" s="231"/>
      <c r="CU525" s="163"/>
      <c r="CW525" s="195"/>
      <c r="CX525" s="196"/>
      <c r="CY525" s="196"/>
      <c r="CZ525" s="197"/>
      <c r="DA525" s="196"/>
      <c r="DB525" s="196"/>
      <c r="DC525" s="196"/>
      <c r="DE525" s="199"/>
      <c r="DF525" s="200"/>
      <c r="DG525" s="181"/>
    </row>
    <row r="526" spans="1:111" s="324" customFormat="1" hidden="1" outlineLevel="1" x14ac:dyDescent="0.25">
      <c r="A526" s="305" t="s">
        <v>34</v>
      </c>
      <c r="B526" s="318" t="s">
        <v>381</v>
      </c>
      <c r="C526" s="306"/>
      <c r="D526" s="317">
        <f>D527</f>
        <v>3000</v>
      </c>
      <c r="E526" s="317">
        <f t="shared" ref="E526:L526" si="469">E527</f>
        <v>0</v>
      </c>
      <c r="F526" s="317">
        <f t="shared" si="469"/>
        <v>3000</v>
      </c>
      <c r="G526" s="317">
        <f t="shared" si="469"/>
        <v>0</v>
      </c>
      <c r="H526" s="317">
        <f t="shared" si="469"/>
        <v>3000</v>
      </c>
      <c r="I526" s="214">
        <f t="shared" si="469"/>
        <v>2850</v>
      </c>
      <c r="J526" s="214"/>
      <c r="K526" s="317">
        <f t="shared" si="469"/>
        <v>0</v>
      </c>
      <c r="L526" s="214">
        <f t="shared" si="469"/>
        <v>0</v>
      </c>
      <c r="M526" s="223"/>
      <c r="N526" s="223"/>
      <c r="O526" s="317">
        <f>G526+I526+L526+N526</f>
        <v>2850</v>
      </c>
      <c r="P526" s="317">
        <v>0</v>
      </c>
      <c r="Q526" s="319">
        <f t="shared" ref="Q526:Q585" si="470">P526/$D526</f>
        <v>0</v>
      </c>
      <c r="R526" s="317">
        <v>0</v>
      </c>
      <c r="S526" s="320">
        <v>0</v>
      </c>
      <c r="T526" s="320">
        <v>0</v>
      </c>
      <c r="U526" s="317">
        <v>0</v>
      </c>
      <c r="V526" s="320">
        <v>0</v>
      </c>
      <c r="W526" s="320">
        <v>0</v>
      </c>
      <c r="X526" s="317">
        <v>0</v>
      </c>
      <c r="Y526" s="320">
        <v>0</v>
      </c>
      <c r="Z526" s="320">
        <v>0</v>
      </c>
      <c r="AA526" s="317">
        <v>0</v>
      </c>
      <c r="AB526" s="320">
        <v>0</v>
      </c>
      <c r="AC526" s="320">
        <v>0</v>
      </c>
      <c r="AD526" s="317">
        <v>0</v>
      </c>
      <c r="AE526" s="320">
        <v>0</v>
      </c>
      <c r="AF526" s="320">
        <v>0</v>
      </c>
      <c r="AG526" s="317">
        <v>0</v>
      </c>
      <c r="AH526" s="320">
        <v>0</v>
      </c>
      <c r="AI526" s="320">
        <v>0</v>
      </c>
      <c r="AJ526" s="257">
        <v>0</v>
      </c>
      <c r="AK526" s="320">
        <v>0</v>
      </c>
      <c r="AL526" s="320">
        <v>0</v>
      </c>
      <c r="AM526" s="317">
        <v>0</v>
      </c>
      <c r="AN526" s="320">
        <v>0</v>
      </c>
      <c r="AO526" s="320">
        <v>0</v>
      </c>
      <c r="AP526" s="320"/>
      <c r="AQ526" s="317">
        <v>1677.538041</v>
      </c>
      <c r="AR526" s="320">
        <v>0.55917934700000005</v>
      </c>
      <c r="AS526" s="320">
        <v>0.5886098389473684</v>
      </c>
      <c r="AT526" s="317">
        <v>1677.538041</v>
      </c>
      <c r="AU526" s="320">
        <v>0.55917934700000005</v>
      </c>
      <c r="AV526" s="320">
        <v>0.5886098389473684</v>
      </c>
      <c r="AW526" s="320"/>
      <c r="AX526" s="320"/>
      <c r="AY526" s="320"/>
      <c r="AZ526" s="320"/>
      <c r="BA526" s="320"/>
      <c r="BB526" s="320"/>
      <c r="BC526" s="317">
        <v>1677.538041</v>
      </c>
      <c r="BD526" s="320">
        <v>0.55917934700000005</v>
      </c>
      <c r="BE526" s="320">
        <v>0.5886098389473684</v>
      </c>
      <c r="BF526" s="349"/>
      <c r="BG526" s="349">
        <v>2850</v>
      </c>
      <c r="BH526" s="320">
        <v>0.95</v>
      </c>
      <c r="BI526" s="320">
        <v>1</v>
      </c>
      <c r="BJ526" s="349">
        <f t="shared" si="463"/>
        <v>2850</v>
      </c>
      <c r="BK526" s="349">
        <v>2850</v>
      </c>
      <c r="BL526" s="320">
        <f t="shared" si="465"/>
        <v>0.95</v>
      </c>
      <c r="BM526" s="320">
        <f t="shared" si="421"/>
        <v>1</v>
      </c>
      <c r="BN526" s="205">
        <f t="shared" si="461"/>
        <v>2850</v>
      </c>
      <c r="BO526" s="205"/>
      <c r="BP526" s="307">
        <f>BP527</f>
        <v>0</v>
      </c>
      <c r="BQ526" s="322">
        <f t="shared" si="466"/>
        <v>0</v>
      </c>
      <c r="BR526" s="307">
        <f>BR527</f>
        <v>500</v>
      </c>
      <c r="BS526" s="322">
        <f t="shared" si="467"/>
        <v>0.16666666666666666</v>
      </c>
      <c r="BT526" s="307">
        <f>BT527</f>
        <v>1500</v>
      </c>
      <c r="BU526" s="319">
        <f t="shared" si="468"/>
        <v>0.5</v>
      </c>
      <c r="BV526" s="307">
        <f>BV527</f>
        <v>2850</v>
      </c>
      <c r="BW526" s="322">
        <f t="shared" si="450"/>
        <v>0.95</v>
      </c>
      <c r="BX526" s="307">
        <f>BX527</f>
        <v>2850</v>
      </c>
      <c r="BY526" s="322">
        <f t="shared" si="451"/>
        <v>0.95</v>
      </c>
      <c r="BZ526" s="307">
        <f>BZ527</f>
        <v>2850</v>
      </c>
      <c r="CA526" s="322">
        <f t="shared" si="452"/>
        <v>0.95</v>
      </c>
      <c r="CB526" s="307">
        <f>CB527</f>
        <v>2850</v>
      </c>
      <c r="CC526" s="322">
        <f t="shared" si="427"/>
        <v>0.95</v>
      </c>
      <c r="CD526" s="307">
        <f>CD527</f>
        <v>2850</v>
      </c>
      <c r="CE526" s="322">
        <f t="shared" si="453"/>
        <v>0.95</v>
      </c>
      <c r="CF526" s="307">
        <f>CF527</f>
        <v>2850</v>
      </c>
      <c r="CG526" s="322">
        <f t="shared" si="454"/>
        <v>0.95</v>
      </c>
      <c r="CH526" s="307">
        <f>CH527</f>
        <v>2850</v>
      </c>
      <c r="CI526" s="322">
        <f t="shared" si="455"/>
        <v>0.95</v>
      </c>
      <c r="CJ526" s="307">
        <f>CJ527</f>
        <v>2850</v>
      </c>
      <c r="CK526" s="322">
        <f t="shared" si="456"/>
        <v>0.95</v>
      </c>
      <c r="CL526" s="307">
        <f>CL527</f>
        <v>2850</v>
      </c>
      <c r="CM526" s="322">
        <f t="shared" si="457"/>
        <v>0.95</v>
      </c>
      <c r="CN526" s="307">
        <f>CN527</f>
        <v>2850</v>
      </c>
      <c r="CO526" s="322">
        <f t="shared" si="458"/>
        <v>0.95</v>
      </c>
      <c r="CP526" s="213" t="str">
        <f t="shared" ref="CP526:CP585" si="471">IF(BM526&gt;34.7%,"Đạt","Không đạt")</f>
        <v>Đạt</v>
      </c>
      <c r="CQ526" s="213" t="str">
        <f t="shared" ref="CQ526:CQ585" si="472">IF(BM526&gt;43.8%,"Đạt","Không đạt")</f>
        <v>Đạt</v>
      </c>
      <c r="CR526" s="312"/>
      <c r="CS526" s="312"/>
      <c r="CT526" s="235"/>
      <c r="CU526" s="163"/>
      <c r="CV526" s="323"/>
      <c r="CW526" s="195"/>
      <c r="CX526" s="196"/>
      <c r="CY526" s="196"/>
      <c r="CZ526" s="197"/>
      <c r="DA526" s="196"/>
      <c r="DB526" s="196"/>
      <c r="DC526" s="196"/>
      <c r="DE526" s="199"/>
      <c r="DF526" s="200"/>
      <c r="DG526" s="181"/>
    </row>
    <row r="527" spans="1:111" hidden="1" outlineLevel="1" x14ac:dyDescent="0.25">
      <c r="A527" s="192"/>
      <c r="B527" s="325" t="s">
        <v>493</v>
      </c>
      <c r="C527" s="325"/>
      <c r="D527" s="214">
        <f>E527+F527</f>
        <v>3000</v>
      </c>
      <c r="E527" s="215"/>
      <c r="F527" s="214">
        <f>G527+H527+K527+M527</f>
        <v>3000</v>
      </c>
      <c r="G527" s="223"/>
      <c r="H527" s="257">
        <v>3000</v>
      </c>
      <c r="I527" s="235">
        <v>2850</v>
      </c>
      <c r="J527" s="257">
        <v>1677.538041</v>
      </c>
      <c r="K527" s="223"/>
      <c r="L527" s="235"/>
      <c r="M527" s="223"/>
      <c r="N527" s="223"/>
      <c r="O527" s="257">
        <f>G527+I527+L527+N527</f>
        <v>2850</v>
      </c>
      <c r="P527" s="257">
        <v>0</v>
      </c>
      <c r="Q527" s="224">
        <f t="shared" si="470"/>
        <v>0</v>
      </c>
      <c r="R527" s="257"/>
      <c r="S527" s="326">
        <v>0</v>
      </c>
      <c r="T527" s="326">
        <v>0</v>
      </c>
      <c r="U527" s="257"/>
      <c r="V527" s="326">
        <v>0</v>
      </c>
      <c r="W527" s="326">
        <v>0</v>
      </c>
      <c r="X527" s="257"/>
      <c r="Y527" s="326">
        <v>0</v>
      </c>
      <c r="Z527" s="326">
        <v>0</v>
      </c>
      <c r="AA527" s="257"/>
      <c r="AB527" s="326">
        <v>0</v>
      </c>
      <c r="AC527" s="326">
        <v>0</v>
      </c>
      <c r="AD527" s="257"/>
      <c r="AE527" s="326">
        <v>0</v>
      </c>
      <c r="AF527" s="326">
        <v>0</v>
      </c>
      <c r="AG527" s="257"/>
      <c r="AH527" s="326">
        <v>0</v>
      </c>
      <c r="AI527" s="326">
        <v>0</v>
      </c>
      <c r="AJ527" s="307"/>
      <c r="AK527" s="326">
        <v>0</v>
      </c>
      <c r="AL527" s="326">
        <v>0</v>
      </c>
      <c r="AM527" s="257"/>
      <c r="AN527" s="326">
        <v>0</v>
      </c>
      <c r="AO527" s="326">
        <v>0</v>
      </c>
      <c r="AP527" s="326"/>
      <c r="AQ527" s="257">
        <v>1677.538041</v>
      </c>
      <c r="AR527" s="326">
        <v>0.55917934700000005</v>
      </c>
      <c r="AS527" s="326">
        <v>0.5886098389473684</v>
      </c>
      <c r="AT527" s="257">
        <v>1677.538041</v>
      </c>
      <c r="AU527" s="326">
        <v>0.55917934700000005</v>
      </c>
      <c r="AV527" s="326">
        <v>0.5886098389473684</v>
      </c>
      <c r="AW527" s="326"/>
      <c r="AX527" s="326"/>
      <c r="AY527" s="326"/>
      <c r="AZ527" s="326"/>
      <c r="BA527" s="326"/>
      <c r="BB527" s="326"/>
      <c r="BC527" s="257">
        <v>1677.538041</v>
      </c>
      <c r="BD527" s="326">
        <v>0.55917934700000005</v>
      </c>
      <c r="BE527" s="326">
        <v>0.5886098389473684</v>
      </c>
      <c r="BF527" s="350">
        <v>2850</v>
      </c>
      <c r="BG527" s="350">
        <v>2850</v>
      </c>
      <c r="BH527" s="326">
        <v>0.95</v>
      </c>
      <c r="BI527" s="326">
        <v>1</v>
      </c>
      <c r="BJ527" s="402">
        <f t="shared" si="463"/>
        <v>2850</v>
      </c>
      <c r="BK527" s="402">
        <v>2850</v>
      </c>
      <c r="BL527" s="326">
        <f t="shared" si="465"/>
        <v>0.95</v>
      </c>
      <c r="BM527" s="326">
        <f t="shared" si="421"/>
        <v>1</v>
      </c>
      <c r="BN527" s="205">
        <f t="shared" si="461"/>
        <v>2850</v>
      </c>
      <c r="BO527" s="205"/>
      <c r="BP527" s="227"/>
      <c r="BQ527" s="327">
        <f t="shared" si="466"/>
        <v>0</v>
      </c>
      <c r="BR527" s="227">
        <v>500</v>
      </c>
      <c r="BS527" s="327">
        <f t="shared" si="467"/>
        <v>0.16666666666666666</v>
      </c>
      <c r="BT527" s="227">
        <v>1500</v>
      </c>
      <c r="BU527" s="224">
        <f t="shared" si="468"/>
        <v>0.5</v>
      </c>
      <c r="BV527" s="227">
        <v>2850</v>
      </c>
      <c r="BW527" s="327">
        <f t="shared" si="450"/>
        <v>0.95</v>
      </c>
      <c r="BX527" s="227">
        <v>2850</v>
      </c>
      <c r="BY527" s="327">
        <f t="shared" si="451"/>
        <v>0.95</v>
      </c>
      <c r="BZ527" s="227">
        <v>2850</v>
      </c>
      <c r="CA527" s="327">
        <f t="shared" si="452"/>
        <v>0.95</v>
      </c>
      <c r="CB527" s="227">
        <v>2850</v>
      </c>
      <c r="CC527" s="327">
        <f t="shared" si="427"/>
        <v>0.95</v>
      </c>
      <c r="CD527" s="227">
        <v>2850</v>
      </c>
      <c r="CE527" s="327">
        <f t="shared" si="453"/>
        <v>0.95</v>
      </c>
      <c r="CF527" s="227">
        <v>2850</v>
      </c>
      <c r="CG527" s="327">
        <f t="shared" si="454"/>
        <v>0.95</v>
      </c>
      <c r="CH527" s="227">
        <v>2850</v>
      </c>
      <c r="CI527" s="327">
        <f t="shared" si="455"/>
        <v>0.95</v>
      </c>
      <c r="CJ527" s="227">
        <v>2850</v>
      </c>
      <c r="CK527" s="327">
        <f t="shared" si="456"/>
        <v>0.95</v>
      </c>
      <c r="CL527" s="227">
        <v>2850</v>
      </c>
      <c r="CM527" s="327">
        <f t="shared" si="457"/>
        <v>0.95</v>
      </c>
      <c r="CN527" s="227">
        <v>2850</v>
      </c>
      <c r="CO527" s="327">
        <f t="shared" si="458"/>
        <v>0.95</v>
      </c>
      <c r="CP527" s="213" t="str">
        <f t="shared" si="471"/>
        <v>Đạt</v>
      </c>
      <c r="CQ527" s="213" t="str">
        <f t="shared" si="472"/>
        <v>Đạt</v>
      </c>
      <c r="CR527" s="192"/>
      <c r="CS527" s="192"/>
      <c r="CT527" s="223"/>
      <c r="CU527" s="163"/>
      <c r="CW527" s="195"/>
      <c r="CX527" s="196"/>
      <c r="CY527" s="196"/>
      <c r="CZ527" s="197"/>
      <c r="DA527" s="196"/>
      <c r="DB527" s="196"/>
      <c r="DC527" s="196"/>
      <c r="DE527" s="199"/>
      <c r="DF527" s="200"/>
      <c r="DG527" s="181"/>
    </row>
    <row r="528" spans="1:111" s="324" customFormat="1" hidden="1" outlineLevel="1" x14ac:dyDescent="0.25">
      <c r="A528" s="305" t="s">
        <v>34</v>
      </c>
      <c r="B528" s="318" t="s">
        <v>376</v>
      </c>
      <c r="C528" s="306"/>
      <c r="D528" s="307">
        <f>E528+F528</f>
        <v>3000</v>
      </c>
      <c r="E528" s="307"/>
      <c r="F528" s="307">
        <f>G528+H528+K528+M528</f>
        <v>3000</v>
      </c>
      <c r="G528" s="303">
        <v>3000</v>
      </c>
      <c r="H528" s="303"/>
      <c r="I528" s="235"/>
      <c r="J528" s="235"/>
      <c r="K528" s="303"/>
      <c r="L528" s="235"/>
      <c r="M528" s="223"/>
      <c r="N528" s="223"/>
      <c r="O528" s="303">
        <f>G528+I528+L528+N528</f>
        <v>3000</v>
      </c>
      <c r="P528" s="303">
        <v>0</v>
      </c>
      <c r="Q528" s="308">
        <f t="shared" si="470"/>
        <v>0</v>
      </c>
      <c r="R528" s="303"/>
      <c r="S528" s="313">
        <v>0</v>
      </c>
      <c r="T528" s="313">
        <v>0</v>
      </c>
      <c r="U528" s="303">
        <v>1735.1679999999999</v>
      </c>
      <c r="V528" s="313">
        <v>0.57838933333333331</v>
      </c>
      <c r="W528" s="313">
        <v>0.60883087719298246</v>
      </c>
      <c r="X528" s="303">
        <v>1735.1679999999999</v>
      </c>
      <c r="Y528" s="313">
        <v>0.57838933333333331</v>
      </c>
      <c r="Z528" s="313">
        <v>0.60883087719298246</v>
      </c>
      <c r="AA528" s="303">
        <v>1735.1679999999999</v>
      </c>
      <c r="AB528" s="313">
        <v>0.57838933333333331</v>
      </c>
      <c r="AC528" s="313">
        <v>0.60883087719298246</v>
      </c>
      <c r="AD528" s="303">
        <v>1995.5416319999999</v>
      </c>
      <c r="AE528" s="313">
        <v>0.66518054399999993</v>
      </c>
      <c r="AF528" s="313">
        <v>0.70019004631578941</v>
      </c>
      <c r="AG528" s="307">
        <v>1995.5416319999999</v>
      </c>
      <c r="AH528" s="313">
        <v>0.66518054399999993</v>
      </c>
      <c r="AI528" s="313">
        <v>0.70019004631578941</v>
      </c>
      <c r="AJ528" s="303">
        <v>1995.5416319999999</v>
      </c>
      <c r="AK528" s="313">
        <v>0.66518054399999993</v>
      </c>
      <c r="AL528" s="313">
        <v>0.70019004631578941</v>
      </c>
      <c r="AM528" s="307">
        <v>1995.5416319999999</v>
      </c>
      <c r="AN528" s="313">
        <v>0.66518054399999993</v>
      </c>
      <c r="AO528" s="313">
        <v>0.70019004631578941</v>
      </c>
      <c r="AP528" s="313"/>
      <c r="AQ528" s="307">
        <v>2470</v>
      </c>
      <c r="AR528" s="313">
        <v>0.82333333333333336</v>
      </c>
      <c r="AS528" s="313">
        <v>0.8666666666666667</v>
      </c>
      <c r="AT528" s="307">
        <v>2470</v>
      </c>
      <c r="AU528" s="313">
        <v>0.82333333333333336</v>
      </c>
      <c r="AV528" s="313">
        <v>0.8666666666666667</v>
      </c>
      <c r="AW528" s="313"/>
      <c r="AX528" s="313"/>
      <c r="AY528" s="313"/>
      <c r="AZ528" s="313"/>
      <c r="BA528" s="313"/>
      <c r="BB528" s="313"/>
      <c r="BC528" s="307">
        <v>2470</v>
      </c>
      <c r="BD528" s="313">
        <v>0.82333333333333336</v>
      </c>
      <c r="BE528" s="313">
        <v>0.8666666666666667</v>
      </c>
      <c r="BF528" s="351"/>
      <c r="BG528" s="351">
        <v>2470</v>
      </c>
      <c r="BH528" s="313">
        <v>0.82333333333333336</v>
      </c>
      <c r="BI528" s="313">
        <v>0.8666666666666667</v>
      </c>
      <c r="BJ528" s="349">
        <f t="shared" si="463"/>
        <v>2850</v>
      </c>
      <c r="BK528" s="349">
        <v>2850</v>
      </c>
      <c r="BL528" s="313">
        <f t="shared" si="465"/>
        <v>0.95</v>
      </c>
      <c r="BM528" s="313">
        <f t="shared" ref="BM528:BM585" si="473">BK528/(E528+0.95*F528)</f>
        <v>1</v>
      </c>
      <c r="BN528" s="205">
        <f t="shared" si="461"/>
        <v>854.45836800000006</v>
      </c>
      <c r="BO528" s="205"/>
      <c r="BP528" s="310"/>
      <c r="BQ528" s="311">
        <f t="shared" si="466"/>
        <v>0</v>
      </c>
      <c r="BR528" s="310">
        <v>500</v>
      </c>
      <c r="BS528" s="311">
        <f t="shared" si="467"/>
        <v>0.16666666666666666</v>
      </c>
      <c r="BT528" s="310">
        <v>500</v>
      </c>
      <c r="BU528" s="308">
        <f t="shared" si="468"/>
        <v>0.16666666666666666</v>
      </c>
      <c r="BV528" s="310">
        <v>1000</v>
      </c>
      <c r="BW528" s="311">
        <f t="shared" si="450"/>
        <v>0.33333333333333331</v>
      </c>
      <c r="BX528" s="310">
        <v>1500</v>
      </c>
      <c r="BY528" s="311">
        <f t="shared" si="451"/>
        <v>0.5</v>
      </c>
      <c r="BZ528" s="310">
        <v>2000</v>
      </c>
      <c r="CA528" s="311">
        <f t="shared" si="452"/>
        <v>0.66666666666666663</v>
      </c>
      <c r="CB528" s="310">
        <v>2500</v>
      </c>
      <c r="CC528" s="311">
        <f t="shared" si="427"/>
        <v>0.83333333333333337</v>
      </c>
      <c r="CD528" s="310">
        <v>2850</v>
      </c>
      <c r="CE528" s="311">
        <f t="shared" si="453"/>
        <v>0.95</v>
      </c>
      <c r="CF528" s="310">
        <v>2850</v>
      </c>
      <c r="CG528" s="311">
        <f t="shared" si="454"/>
        <v>0.95</v>
      </c>
      <c r="CH528" s="310">
        <v>2850</v>
      </c>
      <c r="CI528" s="311">
        <f t="shared" si="455"/>
        <v>0.95</v>
      </c>
      <c r="CJ528" s="310">
        <v>2850</v>
      </c>
      <c r="CK528" s="311">
        <f t="shared" si="456"/>
        <v>0.95</v>
      </c>
      <c r="CL528" s="310">
        <v>2850</v>
      </c>
      <c r="CM528" s="311">
        <f t="shared" si="457"/>
        <v>0.95</v>
      </c>
      <c r="CN528" s="310">
        <v>2850</v>
      </c>
      <c r="CO528" s="311">
        <f t="shared" si="458"/>
        <v>0.95</v>
      </c>
      <c r="CP528" s="213" t="str">
        <f t="shared" si="471"/>
        <v>Đạt</v>
      </c>
      <c r="CQ528" s="213" t="str">
        <f t="shared" si="472"/>
        <v>Đạt</v>
      </c>
      <c r="CR528" s="312"/>
      <c r="CS528" s="312"/>
      <c r="CT528" s="235"/>
      <c r="CU528" s="163"/>
      <c r="CV528" s="323"/>
      <c r="CW528" s="195"/>
      <c r="CX528" s="196"/>
      <c r="CY528" s="196"/>
      <c r="CZ528" s="197"/>
      <c r="DA528" s="196"/>
      <c r="DB528" s="196"/>
      <c r="DC528" s="196"/>
      <c r="DE528" s="199"/>
      <c r="DF528" s="200"/>
      <c r="DG528" s="181"/>
    </row>
    <row r="529" spans="1:111" ht="25.5" hidden="1" outlineLevel="1" x14ac:dyDescent="0.25">
      <c r="A529" s="305" t="s">
        <v>34</v>
      </c>
      <c r="B529" s="306" t="s">
        <v>377</v>
      </c>
      <c r="C529" s="306"/>
      <c r="D529" s="307">
        <f>E529+F529</f>
        <v>3400</v>
      </c>
      <c r="E529" s="307"/>
      <c r="F529" s="307">
        <f>G529+H529+K529+M529</f>
        <v>3400</v>
      </c>
      <c r="G529" s="307"/>
      <c r="H529" s="307">
        <v>3400</v>
      </c>
      <c r="I529" s="235"/>
      <c r="J529" s="235"/>
      <c r="K529" s="303"/>
      <c r="L529" s="235"/>
      <c r="M529" s="223"/>
      <c r="N529" s="223"/>
      <c r="O529" s="303"/>
      <c r="P529" s="303">
        <v>0</v>
      </c>
      <c r="Q529" s="308">
        <f t="shared" si="470"/>
        <v>0</v>
      </c>
      <c r="R529" s="303"/>
      <c r="S529" s="313">
        <v>0</v>
      </c>
      <c r="T529" s="313">
        <v>0</v>
      </c>
      <c r="U529" s="303"/>
      <c r="V529" s="313">
        <v>0</v>
      </c>
      <c r="W529" s="313">
        <v>0</v>
      </c>
      <c r="X529" s="303"/>
      <c r="Y529" s="313">
        <v>0</v>
      </c>
      <c r="Z529" s="313">
        <v>0</v>
      </c>
      <c r="AA529" s="303"/>
      <c r="AB529" s="313">
        <v>0</v>
      </c>
      <c r="AC529" s="313">
        <v>0</v>
      </c>
      <c r="AD529" s="303"/>
      <c r="AE529" s="313">
        <v>0</v>
      </c>
      <c r="AF529" s="313">
        <v>0</v>
      </c>
      <c r="AG529" s="303"/>
      <c r="AH529" s="313">
        <v>0</v>
      </c>
      <c r="AI529" s="313">
        <v>0</v>
      </c>
      <c r="AJ529" s="189"/>
      <c r="AK529" s="313">
        <v>0</v>
      </c>
      <c r="AL529" s="313">
        <v>0</v>
      </c>
      <c r="AM529" s="303"/>
      <c r="AN529" s="313">
        <v>0</v>
      </c>
      <c r="AO529" s="313">
        <v>0</v>
      </c>
      <c r="AP529" s="313"/>
      <c r="AQ529" s="303">
        <v>1000</v>
      </c>
      <c r="AR529" s="313">
        <v>0.29411764705882354</v>
      </c>
      <c r="AS529" s="313">
        <v>0.30959752321981426</v>
      </c>
      <c r="AT529" s="303">
        <v>1000</v>
      </c>
      <c r="AU529" s="313">
        <v>0.29411764705882354</v>
      </c>
      <c r="AV529" s="313">
        <v>0.30959752321981426</v>
      </c>
      <c r="AW529" s="313"/>
      <c r="AX529" s="313"/>
      <c r="AY529" s="313"/>
      <c r="AZ529" s="313"/>
      <c r="BA529" s="313"/>
      <c r="BB529" s="313"/>
      <c r="BC529" s="303">
        <v>1000</v>
      </c>
      <c r="BD529" s="313">
        <v>0.29411764705882354</v>
      </c>
      <c r="BE529" s="313">
        <v>0.30959752321981426</v>
      </c>
      <c r="BF529" s="351"/>
      <c r="BG529" s="351">
        <v>2888</v>
      </c>
      <c r="BH529" s="313">
        <v>0.84941176470588231</v>
      </c>
      <c r="BI529" s="313">
        <v>0.89411764705882357</v>
      </c>
      <c r="BJ529" s="349">
        <f t="shared" si="463"/>
        <v>3230</v>
      </c>
      <c r="BK529" s="349">
        <v>2888</v>
      </c>
      <c r="BL529" s="313">
        <f t="shared" si="465"/>
        <v>0.84941176470588231</v>
      </c>
      <c r="BM529" s="313">
        <f t="shared" si="473"/>
        <v>0.89411764705882357</v>
      </c>
      <c r="BN529" s="205">
        <f t="shared" si="461"/>
        <v>2888</v>
      </c>
      <c r="BO529" s="205"/>
      <c r="BP529" s="310"/>
      <c r="BQ529" s="311">
        <f t="shared" si="466"/>
        <v>0</v>
      </c>
      <c r="BR529" s="310">
        <f>H529*0.17</f>
        <v>578</v>
      </c>
      <c r="BS529" s="311">
        <f t="shared" si="467"/>
        <v>0.17</v>
      </c>
      <c r="BT529" s="310">
        <v>578</v>
      </c>
      <c r="BU529" s="308">
        <f t="shared" si="468"/>
        <v>0.17</v>
      </c>
      <c r="BV529" s="310">
        <f>H529*0.33</f>
        <v>1122</v>
      </c>
      <c r="BW529" s="311">
        <f t="shared" si="450"/>
        <v>0.33</v>
      </c>
      <c r="BX529" s="310">
        <f>H529*0.5</f>
        <v>1700</v>
      </c>
      <c r="BY529" s="311">
        <f t="shared" si="451"/>
        <v>0.5</v>
      </c>
      <c r="BZ529" s="310">
        <f>H529*0.65</f>
        <v>2210</v>
      </c>
      <c r="CA529" s="311">
        <f t="shared" si="452"/>
        <v>0.65</v>
      </c>
      <c r="CB529" s="310">
        <f>H529*0.83</f>
        <v>2822</v>
      </c>
      <c r="CC529" s="311">
        <f t="shared" si="427"/>
        <v>0.83</v>
      </c>
      <c r="CD529" s="310">
        <f>H529*0.95</f>
        <v>3230</v>
      </c>
      <c r="CE529" s="311">
        <f t="shared" si="453"/>
        <v>0.95</v>
      </c>
      <c r="CF529" s="310">
        <v>3230</v>
      </c>
      <c r="CG529" s="311">
        <f t="shared" si="454"/>
        <v>0.95</v>
      </c>
      <c r="CH529" s="310">
        <v>3230</v>
      </c>
      <c r="CI529" s="311">
        <f t="shared" si="455"/>
        <v>0.95</v>
      </c>
      <c r="CJ529" s="310">
        <v>3230</v>
      </c>
      <c r="CK529" s="311">
        <f t="shared" si="456"/>
        <v>0.95</v>
      </c>
      <c r="CL529" s="310">
        <v>3230</v>
      </c>
      <c r="CM529" s="311">
        <f t="shared" si="457"/>
        <v>0.95</v>
      </c>
      <c r="CN529" s="310">
        <v>3230</v>
      </c>
      <c r="CO529" s="311">
        <f t="shared" si="458"/>
        <v>0.95</v>
      </c>
      <c r="CP529" s="213" t="str">
        <f t="shared" si="471"/>
        <v>Đạt</v>
      </c>
      <c r="CQ529" s="213" t="str">
        <f t="shared" si="472"/>
        <v>Đạt</v>
      </c>
      <c r="CR529" s="312"/>
      <c r="CS529" s="312"/>
      <c r="CT529" s="235"/>
      <c r="CU529" s="163"/>
      <c r="CW529" s="195"/>
      <c r="CX529" s="196"/>
      <c r="CY529" s="196"/>
      <c r="CZ529" s="197"/>
      <c r="DA529" s="196"/>
      <c r="DB529" s="196"/>
      <c r="DC529" s="196"/>
      <c r="DE529" s="199"/>
      <c r="DF529" s="200"/>
      <c r="DG529" s="181"/>
    </row>
    <row r="530" spans="1:111" ht="18" customHeight="1" collapsed="1" x14ac:dyDescent="0.25">
      <c r="A530" s="213">
        <f>MAX(A$239:A527)+1</f>
        <v>81</v>
      </c>
      <c r="B530" s="240" t="s">
        <v>494</v>
      </c>
      <c r="C530" s="240"/>
      <c r="D530" s="188">
        <f t="shared" ref="D530:I530" si="474">D531+D532</f>
        <v>3212</v>
      </c>
      <c r="E530" s="188">
        <f t="shared" si="474"/>
        <v>0</v>
      </c>
      <c r="F530" s="188">
        <f t="shared" si="474"/>
        <v>3212</v>
      </c>
      <c r="G530" s="188">
        <f t="shared" si="474"/>
        <v>3000</v>
      </c>
      <c r="H530" s="188">
        <f t="shared" si="474"/>
        <v>212</v>
      </c>
      <c r="I530" s="188">
        <f t="shared" si="474"/>
        <v>0</v>
      </c>
      <c r="J530" s="188"/>
      <c r="K530" s="188">
        <f>K531+K532</f>
        <v>0</v>
      </c>
      <c r="L530" s="188">
        <f>L531+L532</f>
        <v>0</v>
      </c>
      <c r="M530" s="188">
        <f>M531+M532</f>
        <v>0</v>
      </c>
      <c r="N530" s="188">
        <f>N531+N532</f>
        <v>0</v>
      </c>
      <c r="O530" s="188">
        <f>O531+O532</f>
        <v>3000</v>
      </c>
      <c r="P530" s="188">
        <v>268</v>
      </c>
      <c r="Q530" s="186">
        <f t="shared" si="470"/>
        <v>8.3437110834371109E-2</v>
      </c>
      <c r="R530" s="189">
        <v>383.27215000000001</v>
      </c>
      <c r="S530" s="185">
        <v>0.11932507783312578</v>
      </c>
      <c r="T530" s="185">
        <v>0.12560534508750085</v>
      </c>
      <c r="U530" s="189">
        <v>383.27215000000001</v>
      </c>
      <c r="V530" s="185">
        <v>0.11932507783312578</v>
      </c>
      <c r="W530" s="185">
        <v>0.12560534508750085</v>
      </c>
      <c r="X530" s="189">
        <v>383.27215000000001</v>
      </c>
      <c r="Y530" s="185">
        <v>0.11932507783312578</v>
      </c>
      <c r="Z530" s="185">
        <v>0.12560534508750085</v>
      </c>
      <c r="AA530" s="189">
        <v>383.27215000000001</v>
      </c>
      <c r="AB530" s="185">
        <v>0.11932507783312578</v>
      </c>
      <c r="AC530" s="185">
        <v>0.12560534508750085</v>
      </c>
      <c r="AD530" s="189">
        <v>593</v>
      </c>
      <c r="AE530" s="185">
        <v>0.18462017434620173</v>
      </c>
      <c r="AF530" s="185">
        <v>0.19433702562758082</v>
      </c>
      <c r="AG530" s="189">
        <v>593</v>
      </c>
      <c r="AH530" s="185">
        <v>0.18462017434620173</v>
      </c>
      <c r="AI530" s="185">
        <v>0.19433702562758082</v>
      </c>
      <c r="AJ530" s="307">
        <v>593</v>
      </c>
      <c r="AK530" s="185">
        <v>0.18462017434620173</v>
      </c>
      <c r="AL530" s="185">
        <v>0.19433702562758082</v>
      </c>
      <c r="AM530" s="189">
        <v>593</v>
      </c>
      <c r="AN530" s="185">
        <v>0.18462017434620173</v>
      </c>
      <c r="AO530" s="185">
        <v>0.19433702562758082</v>
      </c>
      <c r="AP530" s="185"/>
      <c r="AQ530" s="189">
        <v>1406</v>
      </c>
      <c r="AR530" s="185">
        <v>0.43773349937733497</v>
      </c>
      <c r="AS530" s="185">
        <v>0.46077210460772111</v>
      </c>
      <c r="AT530" s="189">
        <v>1406</v>
      </c>
      <c r="AU530" s="185">
        <v>0.43773349937733497</v>
      </c>
      <c r="AV530" s="185">
        <v>0.46077210460772111</v>
      </c>
      <c r="AW530" s="185"/>
      <c r="AX530" s="185"/>
      <c r="AY530" s="185"/>
      <c r="AZ530" s="185"/>
      <c r="BA530" s="185"/>
      <c r="BB530" s="185"/>
      <c r="BC530" s="189">
        <v>1406</v>
      </c>
      <c r="BD530" s="185">
        <v>0.43773349937733497</v>
      </c>
      <c r="BE530" s="185">
        <v>0.46077210460772111</v>
      </c>
      <c r="BF530" s="352"/>
      <c r="BG530" s="352">
        <v>1937.8</v>
      </c>
      <c r="BH530" s="185">
        <v>0.60330012453300119</v>
      </c>
      <c r="BI530" s="185">
        <v>0.63505276266631716</v>
      </c>
      <c r="BJ530" s="374">
        <f t="shared" si="463"/>
        <v>3051.3999999999996</v>
      </c>
      <c r="BK530" s="374">
        <v>1937.8</v>
      </c>
      <c r="BL530" s="185">
        <f t="shared" si="465"/>
        <v>0.60330012453300119</v>
      </c>
      <c r="BM530" s="185">
        <f t="shared" si="473"/>
        <v>0.63505276266631716</v>
      </c>
      <c r="BN530" s="205">
        <f t="shared" si="461"/>
        <v>1344.8</v>
      </c>
      <c r="BO530" s="205"/>
      <c r="BP530" s="189">
        <f>BP531+BP532</f>
        <v>0</v>
      </c>
      <c r="BQ530" s="186">
        <f t="shared" si="466"/>
        <v>0</v>
      </c>
      <c r="BR530" s="189">
        <f>BR531+BR532</f>
        <v>400</v>
      </c>
      <c r="BS530" s="186">
        <f t="shared" si="467"/>
        <v>0.12453300124533001</v>
      </c>
      <c r="BT530" s="189">
        <f>BT531+BT532</f>
        <v>1200</v>
      </c>
      <c r="BU530" s="186">
        <f t="shared" si="468"/>
        <v>0.37359900373599003</v>
      </c>
      <c r="BV530" s="189">
        <f>BV531+BV532</f>
        <v>1200</v>
      </c>
      <c r="BW530" s="186">
        <f t="shared" si="450"/>
        <v>0.37359900373599003</v>
      </c>
      <c r="BX530" s="189">
        <f>BX531+BX532</f>
        <v>1800</v>
      </c>
      <c r="BY530" s="186">
        <f t="shared" si="451"/>
        <v>0.56039850560398508</v>
      </c>
      <c r="BZ530" s="189">
        <f>BZ531+BZ532</f>
        <v>1800</v>
      </c>
      <c r="CA530" s="186">
        <f t="shared" si="452"/>
        <v>0.56039850560398508</v>
      </c>
      <c r="CB530" s="189">
        <f>CB531+CB532</f>
        <v>2100</v>
      </c>
      <c r="CC530" s="186">
        <f t="shared" si="427"/>
        <v>0.65379825653798251</v>
      </c>
      <c r="CD530" s="189">
        <f>CD531+CD532</f>
        <v>2500</v>
      </c>
      <c r="CE530" s="186">
        <f t="shared" si="453"/>
        <v>0.77833125778331258</v>
      </c>
      <c r="CF530" s="189">
        <f>CF531+CF532</f>
        <v>2950</v>
      </c>
      <c r="CG530" s="186">
        <f t="shared" si="454"/>
        <v>0.91843088418430885</v>
      </c>
      <c r="CH530" s="189">
        <f>CH531+CH532</f>
        <v>2950</v>
      </c>
      <c r="CI530" s="186">
        <f t="shared" si="455"/>
        <v>0.91843088418430885</v>
      </c>
      <c r="CJ530" s="189">
        <f>CJ531+CJ532</f>
        <v>2950</v>
      </c>
      <c r="CK530" s="186">
        <f t="shared" si="456"/>
        <v>0.91843088418430885</v>
      </c>
      <c r="CL530" s="189">
        <f>CL531+CL532</f>
        <v>3051</v>
      </c>
      <c r="CM530" s="186">
        <f t="shared" si="457"/>
        <v>0.94987546699875469</v>
      </c>
      <c r="CN530" s="189">
        <f>CN531+CN532</f>
        <v>3051</v>
      </c>
      <c r="CO530" s="186">
        <f t="shared" si="458"/>
        <v>0.94987546699875469</v>
      </c>
      <c r="CP530" s="213" t="str">
        <f t="shared" si="471"/>
        <v>Đạt</v>
      </c>
      <c r="CQ530" s="213" t="str">
        <f t="shared" si="472"/>
        <v>Đạt</v>
      </c>
      <c r="CR530" s="213"/>
      <c r="CS530" s="213"/>
      <c r="CT530" s="231"/>
      <c r="CU530" s="163"/>
      <c r="CW530" s="195"/>
      <c r="CX530" s="196"/>
      <c r="CY530" s="196"/>
      <c r="CZ530" s="197"/>
      <c r="DA530" s="196"/>
      <c r="DB530" s="196"/>
      <c r="DC530" s="196"/>
      <c r="DE530" s="199"/>
      <c r="DF530" s="200"/>
      <c r="DG530" s="181"/>
    </row>
    <row r="531" spans="1:111" s="324" customFormat="1" hidden="1" outlineLevel="1" x14ac:dyDescent="0.25">
      <c r="A531" s="305" t="s">
        <v>34</v>
      </c>
      <c r="B531" s="306" t="s">
        <v>376</v>
      </c>
      <c r="C531" s="306"/>
      <c r="D531" s="307">
        <f>E531+F531</f>
        <v>3000</v>
      </c>
      <c r="E531" s="307"/>
      <c r="F531" s="307">
        <f>G531+H531+K531+M531</f>
        <v>3000</v>
      </c>
      <c r="G531" s="303">
        <v>3000</v>
      </c>
      <c r="H531" s="303"/>
      <c r="I531" s="235"/>
      <c r="J531" s="235"/>
      <c r="K531" s="303"/>
      <c r="L531" s="235"/>
      <c r="M531" s="223"/>
      <c r="N531" s="223"/>
      <c r="O531" s="303">
        <f>G531+I531+L531+N531</f>
        <v>3000</v>
      </c>
      <c r="P531" s="303">
        <v>0</v>
      </c>
      <c r="Q531" s="308">
        <f t="shared" si="470"/>
        <v>0</v>
      </c>
      <c r="R531" s="303">
        <v>383.27215000000001</v>
      </c>
      <c r="S531" s="313">
        <v>0.12775738333333334</v>
      </c>
      <c r="T531" s="313">
        <v>0.13448145614035087</v>
      </c>
      <c r="U531" s="303">
        <v>383.27215000000001</v>
      </c>
      <c r="V531" s="313">
        <v>0.12775738333333334</v>
      </c>
      <c r="W531" s="313">
        <v>0.13448145614035087</v>
      </c>
      <c r="X531" s="303">
        <v>383.27215000000001</v>
      </c>
      <c r="Y531" s="313">
        <v>0.12775738333333334</v>
      </c>
      <c r="Z531" s="313">
        <v>0.13448145614035087</v>
      </c>
      <c r="AA531" s="303">
        <v>383.27215000000001</v>
      </c>
      <c r="AB531" s="313">
        <v>0.12775738333333334</v>
      </c>
      <c r="AC531" s="313">
        <v>0.13448145614035087</v>
      </c>
      <c r="AD531" s="303">
        <v>593</v>
      </c>
      <c r="AE531" s="313">
        <v>0.19766666666666666</v>
      </c>
      <c r="AF531" s="313">
        <v>0.20807017543859649</v>
      </c>
      <c r="AG531" s="307">
        <v>593</v>
      </c>
      <c r="AH531" s="313">
        <v>0.19766666666666666</v>
      </c>
      <c r="AI531" s="313">
        <v>0.20807017543859649</v>
      </c>
      <c r="AJ531" s="303">
        <v>593</v>
      </c>
      <c r="AK531" s="313">
        <v>0.19766666666666666</v>
      </c>
      <c r="AL531" s="313">
        <v>0.20807017543859649</v>
      </c>
      <c r="AM531" s="307">
        <v>593</v>
      </c>
      <c r="AN531" s="313">
        <v>0.19766666666666666</v>
      </c>
      <c r="AO531" s="313">
        <v>0.20807017543859649</v>
      </c>
      <c r="AP531" s="313"/>
      <c r="AQ531" s="307">
        <v>1406</v>
      </c>
      <c r="AR531" s="313">
        <v>0.46866666666666668</v>
      </c>
      <c r="AS531" s="313">
        <v>0.49333333333333335</v>
      </c>
      <c r="AT531" s="307">
        <v>1406</v>
      </c>
      <c r="AU531" s="313">
        <v>0.46866666666666668</v>
      </c>
      <c r="AV531" s="313">
        <v>0.49333333333333335</v>
      </c>
      <c r="AW531" s="313"/>
      <c r="AX531" s="313"/>
      <c r="AY531" s="313"/>
      <c r="AZ531" s="313"/>
      <c r="BA531" s="313"/>
      <c r="BB531" s="313"/>
      <c r="BC531" s="307">
        <v>1406</v>
      </c>
      <c r="BD531" s="313">
        <v>0.46866666666666668</v>
      </c>
      <c r="BE531" s="313">
        <v>0.49333333333333335</v>
      </c>
      <c r="BF531" s="351"/>
      <c r="BG531" s="351">
        <v>1937.8</v>
      </c>
      <c r="BH531" s="313">
        <v>0.64593333333333336</v>
      </c>
      <c r="BI531" s="313">
        <v>0.6799298245614035</v>
      </c>
      <c r="BJ531" s="349">
        <f t="shared" si="463"/>
        <v>2850</v>
      </c>
      <c r="BK531" s="349">
        <v>1937.8</v>
      </c>
      <c r="BL531" s="313">
        <f t="shared" si="465"/>
        <v>0.64593333333333336</v>
      </c>
      <c r="BM531" s="313">
        <f t="shared" si="473"/>
        <v>0.6799298245614035</v>
      </c>
      <c r="BN531" s="205">
        <f t="shared" si="461"/>
        <v>1344.8</v>
      </c>
      <c r="BO531" s="205"/>
      <c r="BP531" s="310"/>
      <c r="BQ531" s="311">
        <f t="shared" si="466"/>
        <v>0</v>
      </c>
      <c r="BR531" s="310">
        <v>400</v>
      </c>
      <c r="BS531" s="311">
        <f t="shared" si="467"/>
        <v>0.13333333333333333</v>
      </c>
      <c r="BT531" s="310">
        <v>1200</v>
      </c>
      <c r="BU531" s="308">
        <f t="shared" si="468"/>
        <v>0.4</v>
      </c>
      <c r="BV531" s="310">
        <v>1200</v>
      </c>
      <c r="BW531" s="311">
        <f t="shared" si="450"/>
        <v>0.4</v>
      </c>
      <c r="BX531" s="310">
        <v>1800</v>
      </c>
      <c r="BY531" s="311">
        <f t="shared" si="451"/>
        <v>0.6</v>
      </c>
      <c r="BZ531" s="310">
        <v>1800</v>
      </c>
      <c r="CA531" s="311">
        <f t="shared" si="452"/>
        <v>0.6</v>
      </c>
      <c r="CB531" s="310">
        <v>2100</v>
      </c>
      <c r="CC531" s="311">
        <f t="shared" si="427"/>
        <v>0.7</v>
      </c>
      <c r="CD531" s="310">
        <v>2500</v>
      </c>
      <c r="CE531" s="311">
        <f t="shared" si="453"/>
        <v>0.83333333333333337</v>
      </c>
      <c r="CF531" s="310">
        <v>2850</v>
      </c>
      <c r="CG531" s="311">
        <f t="shared" si="454"/>
        <v>0.95</v>
      </c>
      <c r="CH531" s="310">
        <v>2850</v>
      </c>
      <c r="CI531" s="311">
        <f t="shared" si="455"/>
        <v>0.95</v>
      </c>
      <c r="CJ531" s="310">
        <v>2850</v>
      </c>
      <c r="CK531" s="311">
        <f t="shared" si="456"/>
        <v>0.95</v>
      </c>
      <c r="CL531" s="310">
        <v>2850</v>
      </c>
      <c r="CM531" s="311">
        <f t="shared" si="457"/>
        <v>0.95</v>
      </c>
      <c r="CN531" s="310">
        <v>2850</v>
      </c>
      <c r="CO531" s="311">
        <f t="shared" si="458"/>
        <v>0.95</v>
      </c>
      <c r="CP531" s="213" t="str">
        <f t="shared" si="471"/>
        <v>Đạt</v>
      </c>
      <c r="CQ531" s="213" t="str">
        <f t="shared" si="472"/>
        <v>Đạt</v>
      </c>
      <c r="CR531" s="312"/>
      <c r="CS531" s="312"/>
      <c r="CT531" s="235"/>
      <c r="CU531" s="163"/>
      <c r="CV531" s="323"/>
      <c r="CW531" s="195"/>
      <c r="CX531" s="196"/>
      <c r="CY531" s="196"/>
      <c r="CZ531" s="197"/>
      <c r="DA531" s="196"/>
      <c r="DB531" s="196"/>
      <c r="DC531" s="196"/>
      <c r="DE531" s="199"/>
      <c r="DF531" s="200"/>
      <c r="DG531" s="181"/>
    </row>
    <row r="532" spans="1:111" ht="25.5" hidden="1" outlineLevel="1" x14ac:dyDescent="0.25">
      <c r="A532" s="305" t="s">
        <v>34</v>
      </c>
      <c r="B532" s="306" t="s">
        <v>377</v>
      </c>
      <c r="C532" s="306"/>
      <c r="D532" s="307">
        <f>E532+F532</f>
        <v>212</v>
      </c>
      <c r="E532" s="307"/>
      <c r="F532" s="307">
        <f>G532+H532+K532+M532</f>
        <v>212</v>
      </c>
      <c r="G532" s="307"/>
      <c r="H532" s="307">
        <v>212</v>
      </c>
      <c r="I532" s="235"/>
      <c r="J532" s="235"/>
      <c r="K532" s="303"/>
      <c r="L532" s="235"/>
      <c r="M532" s="223"/>
      <c r="N532" s="223"/>
      <c r="O532" s="303"/>
      <c r="P532" s="303">
        <v>0</v>
      </c>
      <c r="Q532" s="308">
        <f t="shared" si="470"/>
        <v>0</v>
      </c>
      <c r="R532" s="303"/>
      <c r="S532" s="313">
        <v>0</v>
      </c>
      <c r="T532" s="313">
        <v>0</v>
      </c>
      <c r="U532" s="303"/>
      <c r="V532" s="313">
        <v>0</v>
      </c>
      <c r="W532" s="313">
        <v>0</v>
      </c>
      <c r="X532" s="303"/>
      <c r="Y532" s="313">
        <v>0</v>
      </c>
      <c r="Z532" s="313">
        <v>0</v>
      </c>
      <c r="AA532" s="303"/>
      <c r="AB532" s="313">
        <v>0</v>
      </c>
      <c r="AC532" s="313">
        <v>0</v>
      </c>
      <c r="AD532" s="303"/>
      <c r="AE532" s="313">
        <v>0</v>
      </c>
      <c r="AF532" s="313">
        <v>0</v>
      </c>
      <c r="AG532" s="303"/>
      <c r="AH532" s="313">
        <v>0</v>
      </c>
      <c r="AI532" s="313">
        <v>0</v>
      </c>
      <c r="AJ532" s="304"/>
      <c r="AK532" s="313">
        <v>0</v>
      </c>
      <c r="AL532" s="313">
        <v>0</v>
      </c>
      <c r="AM532" s="303"/>
      <c r="AN532" s="313">
        <v>0</v>
      </c>
      <c r="AO532" s="313">
        <v>0</v>
      </c>
      <c r="AP532" s="313"/>
      <c r="AQ532" s="303"/>
      <c r="AR532" s="313">
        <v>0</v>
      </c>
      <c r="AS532" s="313">
        <v>0</v>
      </c>
      <c r="AT532" s="303"/>
      <c r="AU532" s="313">
        <v>0</v>
      </c>
      <c r="AV532" s="313">
        <v>0</v>
      </c>
      <c r="AW532" s="313"/>
      <c r="AX532" s="313"/>
      <c r="AY532" s="313"/>
      <c r="AZ532" s="313"/>
      <c r="BA532" s="313"/>
      <c r="BB532" s="313"/>
      <c r="BC532" s="303"/>
      <c r="BD532" s="313">
        <v>0</v>
      </c>
      <c r="BE532" s="313">
        <v>0</v>
      </c>
      <c r="BF532" s="351"/>
      <c r="BG532" s="351">
        <v>0</v>
      </c>
      <c r="BH532" s="313">
        <v>0</v>
      </c>
      <c r="BI532" s="313">
        <v>0</v>
      </c>
      <c r="BJ532" s="349">
        <f t="shared" si="463"/>
        <v>201.39999999999998</v>
      </c>
      <c r="BK532" s="349">
        <v>0</v>
      </c>
      <c r="BL532" s="313">
        <f t="shared" si="465"/>
        <v>0</v>
      </c>
      <c r="BM532" s="313">
        <f t="shared" si="473"/>
        <v>0</v>
      </c>
      <c r="BN532" s="205">
        <f t="shared" si="461"/>
        <v>0</v>
      </c>
      <c r="BO532" s="205"/>
      <c r="BP532" s="310"/>
      <c r="BQ532" s="311">
        <f t="shared" si="466"/>
        <v>0</v>
      </c>
      <c r="BR532" s="310"/>
      <c r="BS532" s="311">
        <f t="shared" si="467"/>
        <v>0</v>
      </c>
      <c r="BT532" s="310"/>
      <c r="BU532" s="308">
        <f t="shared" si="468"/>
        <v>0</v>
      </c>
      <c r="BV532" s="310"/>
      <c r="BW532" s="311">
        <f t="shared" si="450"/>
        <v>0</v>
      </c>
      <c r="BX532" s="310"/>
      <c r="BY532" s="311">
        <f t="shared" si="451"/>
        <v>0</v>
      </c>
      <c r="BZ532" s="310"/>
      <c r="CA532" s="311">
        <f t="shared" si="452"/>
        <v>0</v>
      </c>
      <c r="CB532" s="310"/>
      <c r="CC532" s="311">
        <f t="shared" si="427"/>
        <v>0</v>
      </c>
      <c r="CD532" s="310"/>
      <c r="CE532" s="311">
        <f t="shared" si="453"/>
        <v>0</v>
      </c>
      <c r="CF532" s="310">
        <v>100</v>
      </c>
      <c r="CG532" s="311">
        <f t="shared" si="454"/>
        <v>0.47169811320754718</v>
      </c>
      <c r="CH532" s="310">
        <v>100</v>
      </c>
      <c r="CI532" s="311">
        <f t="shared" si="455"/>
        <v>0.47169811320754718</v>
      </c>
      <c r="CJ532" s="310">
        <v>100</v>
      </c>
      <c r="CK532" s="311">
        <f t="shared" si="456"/>
        <v>0.47169811320754718</v>
      </c>
      <c r="CL532" s="310">
        <v>201</v>
      </c>
      <c r="CM532" s="311">
        <f t="shared" si="457"/>
        <v>0.94811320754716977</v>
      </c>
      <c r="CN532" s="310">
        <v>201</v>
      </c>
      <c r="CO532" s="311">
        <f t="shared" si="458"/>
        <v>0.94811320754716977</v>
      </c>
      <c r="CP532" s="213" t="str">
        <f t="shared" si="471"/>
        <v>Không đạt</v>
      </c>
      <c r="CQ532" s="213" t="str">
        <f t="shared" si="472"/>
        <v>Không đạt</v>
      </c>
      <c r="CR532" s="312"/>
      <c r="CS532" s="312"/>
      <c r="CT532" s="235"/>
      <c r="CU532" s="163"/>
      <c r="CW532" s="195"/>
      <c r="CX532" s="196"/>
      <c r="CY532" s="196"/>
      <c r="CZ532" s="197"/>
      <c r="DA532" s="196"/>
      <c r="DB532" s="196"/>
      <c r="DC532" s="196"/>
      <c r="DE532" s="199"/>
      <c r="DF532" s="200"/>
      <c r="DG532" s="181"/>
    </row>
    <row r="533" spans="1:111" ht="18" customHeight="1" collapsed="1" x14ac:dyDescent="0.25">
      <c r="A533" s="213">
        <f>MAX(A$239:A530)+1</f>
        <v>82</v>
      </c>
      <c r="B533" s="240" t="s">
        <v>495</v>
      </c>
      <c r="C533" s="240"/>
      <c r="D533" s="188">
        <f t="shared" ref="D533:I533" si="475">D534+D536</f>
        <v>62459.608999999997</v>
      </c>
      <c r="E533" s="188">
        <f t="shared" si="475"/>
        <v>50000</v>
      </c>
      <c r="F533" s="188">
        <f t="shared" si="475"/>
        <v>12459.609</v>
      </c>
      <c r="G533" s="188">
        <f t="shared" si="475"/>
        <v>3000</v>
      </c>
      <c r="H533" s="188">
        <f t="shared" si="475"/>
        <v>9459.6090000000004</v>
      </c>
      <c r="I533" s="188">
        <f t="shared" si="475"/>
        <v>912</v>
      </c>
      <c r="J533" s="188"/>
      <c r="K533" s="188">
        <f>K534+K536</f>
        <v>0</v>
      </c>
      <c r="L533" s="188">
        <f>L534+L536</f>
        <v>0</v>
      </c>
      <c r="M533" s="231">
        <f>M534+M536</f>
        <v>0</v>
      </c>
      <c r="N533" s="231">
        <f>N534+N536</f>
        <v>0</v>
      </c>
      <c r="O533" s="188">
        <f>O534+O536</f>
        <v>3912</v>
      </c>
      <c r="P533" s="188">
        <v>1255</v>
      </c>
      <c r="Q533" s="186">
        <f t="shared" si="470"/>
        <v>2.0092985212251328E-2</v>
      </c>
      <c r="R533" s="189">
        <v>1675.37</v>
      </c>
      <c r="S533" s="185">
        <v>2.6823254689282476E-2</v>
      </c>
      <c r="T533" s="185">
        <v>2.7093488750689655E-2</v>
      </c>
      <c r="U533" s="304">
        <v>2049.7483080000002</v>
      </c>
      <c r="V533" s="185">
        <v>3.2817181228271861E-2</v>
      </c>
      <c r="W533" s="185">
        <v>3.3147801813654995E-2</v>
      </c>
      <c r="X533" s="304">
        <v>2049.7483080000002</v>
      </c>
      <c r="Y533" s="185">
        <v>3.2817181228271861E-2</v>
      </c>
      <c r="Z533" s="185">
        <v>3.3147801813654995E-2</v>
      </c>
      <c r="AA533" s="304">
        <v>2049.7483080000002</v>
      </c>
      <c r="AB533" s="185">
        <v>3.2817181228271861E-2</v>
      </c>
      <c r="AC533" s="185">
        <v>3.3147801813654995E-2</v>
      </c>
      <c r="AD533" s="304">
        <v>5368.8553080000002</v>
      </c>
      <c r="AE533" s="185">
        <v>8.5957235307060606E-2</v>
      </c>
      <c r="AF533" s="185">
        <v>8.6823221671259762E-2</v>
      </c>
      <c r="AG533" s="304">
        <v>5368.8553080000002</v>
      </c>
      <c r="AH533" s="185">
        <v>8.5957235307060606E-2</v>
      </c>
      <c r="AI533" s="185">
        <v>8.6823221671259762E-2</v>
      </c>
      <c r="AJ533" s="189">
        <v>5368.8553080000002</v>
      </c>
      <c r="AK533" s="185">
        <v>8.5957235307060606E-2</v>
      </c>
      <c r="AL533" s="185">
        <v>8.6823221671259762E-2</v>
      </c>
      <c r="AM533" s="304">
        <v>5368.8553080000002</v>
      </c>
      <c r="AN533" s="185">
        <v>8.5957235307060606E-2</v>
      </c>
      <c r="AO533" s="185">
        <v>8.6823221671259762E-2</v>
      </c>
      <c r="AP533" s="185"/>
      <c r="AQ533" s="189">
        <v>6422.8553080000002</v>
      </c>
      <c r="AR533" s="185">
        <v>0.10283214081599519</v>
      </c>
      <c r="AS533" s="185">
        <v>0.10386813541761244</v>
      </c>
      <c r="AT533" s="189">
        <v>6422.8553080000002</v>
      </c>
      <c r="AU533" s="185">
        <v>0.10283214081599519</v>
      </c>
      <c r="AV533" s="185">
        <v>0.10386813541761244</v>
      </c>
      <c r="AW533" s="185"/>
      <c r="AX533" s="185"/>
      <c r="AY533" s="185"/>
      <c r="AZ533" s="185"/>
      <c r="BA533" s="185"/>
      <c r="BB533" s="185"/>
      <c r="BC533" s="189">
        <v>6422.8553080000002</v>
      </c>
      <c r="BD533" s="185">
        <v>0.10283214081599519</v>
      </c>
      <c r="BE533" s="185">
        <v>0.10386813541761244</v>
      </c>
      <c r="BF533" s="352"/>
      <c r="BG533" s="352">
        <v>33262.727057999997</v>
      </c>
      <c r="BH533" s="185">
        <v>0.53254779513589334</v>
      </c>
      <c r="BI533" s="185">
        <v>0.53791301107408118</v>
      </c>
      <c r="BJ533" s="374">
        <f t="shared" si="463"/>
        <v>61836.628550000001</v>
      </c>
      <c r="BK533" s="374">
        <v>34692.044057999999</v>
      </c>
      <c r="BL533" s="185">
        <f t="shared" si="465"/>
        <v>0.5554316559682595</v>
      </c>
      <c r="BM533" s="185">
        <f t="shared" si="473"/>
        <v>0.56102741807711309</v>
      </c>
      <c r="BN533" s="205">
        <f t="shared" si="461"/>
        <v>29323.188750000001</v>
      </c>
      <c r="BO533" s="205"/>
      <c r="BP533" s="189">
        <f>BP534+BP536</f>
        <v>1100</v>
      </c>
      <c r="BQ533" s="186">
        <f t="shared" si="466"/>
        <v>1.7611381460937419E-2</v>
      </c>
      <c r="BR533" s="189">
        <f>BR534+BR536</f>
        <v>16100</v>
      </c>
      <c r="BS533" s="186">
        <f t="shared" si="467"/>
        <v>0.25776658320099316</v>
      </c>
      <c r="BT533" s="189">
        <f>BT534+BT536</f>
        <v>23861.628550000001</v>
      </c>
      <c r="BU533" s="186">
        <f t="shared" si="468"/>
        <v>0.38203294788476827</v>
      </c>
      <c r="BV533" s="189">
        <f>BV534+BV536</f>
        <v>23861.628550000001</v>
      </c>
      <c r="BW533" s="186">
        <f t="shared" si="450"/>
        <v>0.38203294788476827</v>
      </c>
      <c r="BX533" s="189">
        <f>BX534+BX536</f>
        <v>33861.628550000001</v>
      </c>
      <c r="BY533" s="186">
        <f t="shared" si="451"/>
        <v>0.54213641571147209</v>
      </c>
      <c r="BZ533" s="189">
        <f>BZ534+BZ536</f>
        <v>33861.628550000001</v>
      </c>
      <c r="CA533" s="186">
        <f t="shared" si="452"/>
        <v>0.54213641571147209</v>
      </c>
      <c r="CB533" s="189">
        <f>CB534+CB536</f>
        <v>38861.628550000001</v>
      </c>
      <c r="CC533" s="186">
        <f t="shared" si="427"/>
        <v>0.62218814962482394</v>
      </c>
      <c r="CD533" s="189">
        <f>CD534+CD536</f>
        <v>38861.628550000001</v>
      </c>
      <c r="CE533" s="186">
        <f t="shared" si="453"/>
        <v>0.62218814962482394</v>
      </c>
      <c r="CF533" s="189">
        <f>CF534+CF536</f>
        <v>45861.628550000001</v>
      </c>
      <c r="CG533" s="186">
        <f t="shared" si="454"/>
        <v>0.73426057710351667</v>
      </c>
      <c r="CH533" s="189">
        <f>CH534+CH536</f>
        <v>45861.628550000001</v>
      </c>
      <c r="CI533" s="186">
        <f t="shared" si="455"/>
        <v>0.73426057710351667</v>
      </c>
      <c r="CJ533" s="189">
        <f>CJ534+CJ536</f>
        <v>51361.628550000001</v>
      </c>
      <c r="CK533" s="186">
        <f t="shared" si="456"/>
        <v>0.82231748440820374</v>
      </c>
      <c r="CL533" s="189">
        <f>CL534+CL536</f>
        <v>61836.628550000001</v>
      </c>
      <c r="CM533" s="186">
        <f t="shared" si="457"/>
        <v>0.99002586695667605</v>
      </c>
      <c r="CN533" s="189">
        <f>CN534+CN536</f>
        <v>61836.628550000001</v>
      </c>
      <c r="CO533" s="186">
        <f t="shared" si="458"/>
        <v>0.99002586695667605</v>
      </c>
      <c r="CP533" s="213" t="str">
        <f t="shared" si="471"/>
        <v>Đạt</v>
      </c>
      <c r="CQ533" s="213" t="str">
        <f t="shared" si="472"/>
        <v>Đạt</v>
      </c>
      <c r="CR533" s="213"/>
      <c r="CS533" s="213"/>
      <c r="CT533" s="231"/>
      <c r="CU533" s="163"/>
      <c r="CW533" s="195"/>
      <c r="CX533" s="196"/>
      <c r="CY533" s="196"/>
      <c r="CZ533" s="197"/>
      <c r="DA533" s="196"/>
      <c r="DB533" s="196"/>
      <c r="DC533" s="196"/>
      <c r="DE533" s="199"/>
      <c r="DF533" s="200"/>
      <c r="DG533" s="181"/>
    </row>
    <row r="534" spans="1:111" s="160" customFormat="1" ht="12.75" hidden="1" outlineLevel="1" x14ac:dyDescent="0.25">
      <c r="A534" s="191" t="s">
        <v>29</v>
      </c>
      <c r="B534" s="210" t="s">
        <v>155</v>
      </c>
      <c r="C534" s="210"/>
      <c r="D534" s="188">
        <f t="shared" ref="D534:I534" si="476">D535</f>
        <v>50000</v>
      </c>
      <c r="E534" s="188">
        <f t="shared" si="476"/>
        <v>50000</v>
      </c>
      <c r="F534" s="188">
        <f t="shared" si="476"/>
        <v>0</v>
      </c>
      <c r="G534" s="188">
        <f t="shared" si="476"/>
        <v>0</v>
      </c>
      <c r="H534" s="188">
        <f t="shared" si="476"/>
        <v>0</v>
      </c>
      <c r="I534" s="188">
        <f t="shared" si="476"/>
        <v>0</v>
      </c>
      <c r="J534" s="188"/>
      <c r="K534" s="188">
        <f>K535</f>
        <v>0</v>
      </c>
      <c r="L534" s="188">
        <f>L535</f>
        <v>0</v>
      </c>
      <c r="M534" s="188">
        <f>M535</f>
        <v>0</v>
      </c>
      <c r="N534" s="188">
        <f>N535</f>
        <v>0</v>
      </c>
      <c r="O534" s="188">
        <f>O535</f>
        <v>0</v>
      </c>
      <c r="P534" s="188">
        <v>638.42499999999995</v>
      </c>
      <c r="Q534" s="186">
        <f t="shared" si="470"/>
        <v>1.2768499999999999E-2</v>
      </c>
      <c r="R534" s="189">
        <v>1103</v>
      </c>
      <c r="S534" s="328">
        <v>2.206E-2</v>
      </c>
      <c r="T534" s="328">
        <v>2.206E-2</v>
      </c>
      <c r="U534" s="189">
        <v>1103.485308</v>
      </c>
      <c r="V534" s="328">
        <v>2.2069706160000001E-2</v>
      </c>
      <c r="W534" s="328">
        <v>2.2069706160000001E-2</v>
      </c>
      <c r="X534" s="189">
        <v>1103.485308</v>
      </c>
      <c r="Y534" s="328">
        <v>2.2069706160000001E-2</v>
      </c>
      <c r="Z534" s="328">
        <v>2.2069706160000001E-2</v>
      </c>
      <c r="AA534" s="189">
        <v>1103.485308</v>
      </c>
      <c r="AB534" s="328">
        <v>2.2069706160000001E-2</v>
      </c>
      <c r="AC534" s="328">
        <v>2.2069706160000001E-2</v>
      </c>
      <c r="AD534" s="189">
        <v>3510.5923079999998</v>
      </c>
      <c r="AE534" s="328">
        <v>7.0211846159999994E-2</v>
      </c>
      <c r="AF534" s="328">
        <v>7.0211846159999994E-2</v>
      </c>
      <c r="AG534" s="189">
        <v>3510.5923079999998</v>
      </c>
      <c r="AH534" s="328">
        <v>7.0211846159999994E-2</v>
      </c>
      <c r="AI534" s="328">
        <v>7.0211846159999994E-2</v>
      </c>
      <c r="AJ534" s="214">
        <v>3510.5923079999998</v>
      </c>
      <c r="AK534" s="328">
        <v>7.0211846159999994E-2</v>
      </c>
      <c r="AL534" s="328">
        <v>7.0211846159999994E-2</v>
      </c>
      <c r="AM534" s="189">
        <v>3510.5923079999998</v>
      </c>
      <c r="AN534" s="328">
        <v>7.0211846159999994E-2</v>
      </c>
      <c r="AO534" s="328">
        <v>7.0211846159999994E-2</v>
      </c>
      <c r="AP534" s="328"/>
      <c r="AQ534" s="189">
        <v>3652.5923079999998</v>
      </c>
      <c r="AR534" s="328">
        <v>7.3051846159999989E-2</v>
      </c>
      <c r="AS534" s="328">
        <v>7.3051846159999989E-2</v>
      </c>
      <c r="AT534" s="189">
        <v>3652.5923079999998</v>
      </c>
      <c r="AU534" s="328">
        <v>7.3051846159999989E-2</v>
      </c>
      <c r="AV534" s="328">
        <v>7.3051846159999989E-2</v>
      </c>
      <c r="AW534" s="328"/>
      <c r="AX534" s="328"/>
      <c r="AY534" s="328"/>
      <c r="AZ534" s="328"/>
      <c r="BA534" s="328"/>
      <c r="BB534" s="328"/>
      <c r="BC534" s="189">
        <v>3652.5923079999998</v>
      </c>
      <c r="BD534" s="328">
        <v>7.3051846159999989E-2</v>
      </c>
      <c r="BE534" s="328">
        <v>7.3051846159999989E-2</v>
      </c>
      <c r="BF534" s="374"/>
      <c r="BG534" s="374">
        <v>29638.988057999999</v>
      </c>
      <c r="BH534" s="328">
        <v>0.59277976115999997</v>
      </c>
      <c r="BI534" s="328">
        <v>0.59277976115999997</v>
      </c>
      <c r="BJ534" s="374">
        <f t="shared" si="463"/>
        <v>50000</v>
      </c>
      <c r="BK534" s="374">
        <v>29638.988057999999</v>
      </c>
      <c r="BL534" s="328">
        <f t="shared" si="465"/>
        <v>0.59277976115999997</v>
      </c>
      <c r="BM534" s="328">
        <f t="shared" si="473"/>
        <v>0.59277976115999997</v>
      </c>
      <c r="BN534" s="205">
        <f t="shared" si="461"/>
        <v>26128.39575</v>
      </c>
      <c r="BO534" s="205"/>
      <c r="BP534" s="189">
        <f>BP535</f>
        <v>1100</v>
      </c>
      <c r="BQ534" s="329">
        <f t="shared" si="466"/>
        <v>2.1999999999999999E-2</v>
      </c>
      <c r="BR534" s="189">
        <f>BR535</f>
        <v>16100</v>
      </c>
      <c r="BS534" s="329">
        <f t="shared" si="467"/>
        <v>0.32200000000000001</v>
      </c>
      <c r="BT534" s="189">
        <f>BT535</f>
        <v>20100</v>
      </c>
      <c r="BU534" s="186">
        <f t="shared" si="468"/>
        <v>0.40200000000000002</v>
      </c>
      <c r="BV534" s="189">
        <f>BV535</f>
        <v>20100</v>
      </c>
      <c r="BW534" s="329">
        <f t="shared" si="450"/>
        <v>0.40200000000000002</v>
      </c>
      <c r="BX534" s="189">
        <f>BX535</f>
        <v>30100</v>
      </c>
      <c r="BY534" s="329">
        <f t="shared" si="451"/>
        <v>0.60199999999999998</v>
      </c>
      <c r="BZ534" s="189">
        <f>BZ535</f>
        <v>30100</v>
      </c>
      <c r="CA534" s="329">
        <f t="shared" si="452"/>
        <v>0.60199999999999998</v>
      </c>
      <c r="CB534" s="189">
        <f>CB535</f>
        <v>35100</v>
      </c>
      <c r="CC534" s="329">
        <f t="shared" si="427"/>
        <v>0.70199999999999996</v>
      </c>
      <c r="CD534" s="189">
        <f>CD535</f>
        <v>35100</v>
      </c>
      <c r="CE534" s="329">
        <f t="shared" si="453"/>
        <v>0.70199999999999996</v>
      </c>
      <c r="CF534" s="189">
        <f>CF535</f>
        <v>42100</v>
      </c>
      <c r="CG534" s="329">
        <f t="shared" si="454"/>
        <v>0.84199999999999997</v>
      </c>
      <c r="CH534" s="189">
        <f>CH535</f>
        <v>42100</v>
      </c>
      <c r="CI534" s="329">
        <f t="shared" si="455"/>
        <v>0.84199999999999997</v>
      </c>
      <c r="CJ534" s="189">
        <f>CJ535</f>
        <v>47600</v>
      </c>
      <c r="CK534" s="329">
        <f t="shared" si="456"/>
        <v>0.95199999999999996</v>
      </c>
      <c r="CL534" s="189">
        <f>CL535</f>
        <v>50000</v>
      </c>
      <c r="CM534" s="329">
        <f t="shared" si="457"/>
        <v>1</v>
      </c>
      <c r="CN534" s="189">
        <f>CN535</f>
        <v>50000</v>
      </c>
      <c r="CO534" s="329">
        <f t="shared" si="458"/>
        <v>1</v>
      </c>
      <c r="CP534" s="213" t="str">
        <f t="shared" si="471"/>
        <v>Đạt</v>
      </c>
      <c r="CQ534" s="213" t="str">
        <f t="shared" si="472"/>
        <v>Đạt</v>
      </c>
      <c r="CR534" s="213"/>
      <c r="CS534" s="213"/>
      <c r="CT534" s="231"/>
      <c r="CU534" s="163"/>
      <c r="CV534" s="291"/>
      <c r="CW534" s="218"/>
      <c r="CX534" s="196"/>
      <c r="CY534" s="196"/>
      <c r="CZ534" s="197"/>
      <c r="DA534" s="196"/>
      <c r="DB534" s="196"/>
      <c r="DC534" s="196"/>
      <c r="DE534" s="199"/>
      <c r="DF534" s="200"/>
      <c r="DG534" s="181"/>
    </row>
    <row r="535" spans="1:111" ht="25.5" hidden="1" outlineLevel="1" x14ac:dyDescent="0.25">
      <c r="A535" s="213"/>
      <c r="B535" s="269" t="s">
        <v>496</v>
      </c>
      <c r="C535" s="269">
        <v>7921684</v>
      </c>
      <c r="D535" s="214">
        <f>E535+F535</f>
        <v>50000</v>
      </c>
      <c r="E535" s="214">
        <v>50000</v>
      </c>
      <c r="F535" s="188"/>
      <c r="G535" s="188"/>
      <c r="H535" s="188"/>
      <c r="I535" s="188"/>
      <c r="J535" s="188"/>
      <c r="K535" s="188"/>
      <c r="L535" s="188"/>
      <c r="M535" s="231"/>
      <c r="N535" s="231"/>
      <c r="O535" s="188"/>
      <c r="P535" s="188">
        <v>1103</v>
      </c>
      <c r="Q535" s="258">
        <f t="shared" si="470"/>
        <v>2.206E-2</v>
      </c>
      <c r="R535" s="188">
        <v>1103</v>
      </c>
      <c r="S535" s="373">
        <v>2.206E-2</v>
      </c>
      <c r="T535" s="373">
        <v>2.206E-2</v>
      </c>
      <c r="U535" s="188">
        <v>1103.485308</v>
      </c>
      <c r="V535" s="373">
        <v>2.2069706160000001E-2</v>
      </c>
      <c r="W535" s="373">
        <v>2.2069706160000001E-2</v>
      </c>
      <c r="X535" s="188">
        <v>1103.485308</v>
      </c>
      <c r="Y535" s="373">
        <v>2.2069706160000001E-2</v>
      </c>
      <c r="Z535" s="373">
        <v>2.2069706160000001E-2</v>
      </c>
      <c r="AA535" s="188">
        <v>1103.485308</v>
      </c>
      <c r="AB535" s="373">
        <v>2.2069706160000001E-2</v>
      </c>
      <c r="AC535" s="373">
        <v>2.2069706160000001E-2</v>
      </c>
      <c r="AD535" s="188">
        <v>3510.5923079999998</v>
      </c>
      <c r="AE535" s="373">
        <v>7.0211846159999994E-2</v>
      </c>
      <c r="AF535" s="373">
        <v>7.0211846159999994E-2</v>
      </c>
      <c r="AG535" s="214">
        <v>3510.5923079999998</v>
      </c>
      <c r="AH535" s="373">
        <v>7.0211846159999994E-2</v>
      </c>
      <c r="AI535" s="373">
        <v>7.0211846159999994E-2</v>
      </c>
      <c r="AJ535" s="189">
        <v>3510.5923079999998</v>
      </c>
      <c r="AK535" s="373">
        <v>7.0211846159999994E-2</v>
      </c>
      <c r="AL535" s="373">
        <v>7.0211846159999994E-2</v>
      </c>
      <c r="AM535" s="214">
        <v>3510.5923079999998</v>
      </c>
      <c r="AN535" s="373">
        <v>7.0211846159999994E-2</v>
      </c>
      <c r="AO535" s="373">
        <v>7.0211846159999994E-2</v>
      </c>
      <c r="AP535" s="373"/>
      <c r="AQ535" s="214">
        <v>3652.5923079999998</v>
      </c>
      <c r="AR535" s="373">
        <v>7.3051846159999989E-2</v>
      </c>
      <c r="AS535" s="373">
        <v>7.3051846159999989E-2</v>
      </c>
      <c r="AT535" s="214">
        <v>3652.5923079999998</v>
      </c>
      <c r="AU535" s="373">
        <v>7.3051846159999989E-2</v>
      </c>
      <c r="AV535" s="373">
        <v>7.3051846159999989E-2</v>
      </c>
      <c r="AW535" s="373"/>
      <c r="AX535" s="373"/>
      <c r="AY535" s="373"/>
      <c r="AZ535" s="373"/>
      <c r="BA535" s="373"/>
      <c r="BB535" s="373"/>
      <c r="BC535" s="214">
        <v>3652.5923079999998</v>
      </c>
      <c r="BD535" s="373">
        <v>7.3051846159999989E-2</v>
      </c>
      <c r="BE535" s="373">
        <v>7.3051846159999989E-2</v>
      </c>
      <c r="BF535" s="350"/>
      <c r="BG535" s="350">
        <v>29638.988057999999</v>
      </c>
      <c r="BH535" s="373">
        <v>0.59277976115999997</v>
      </c>
      <c r="BI535" s="373">
        <v>0.59277976115999997</v>
      </c>
      <c r="BJ535" s="402">
        <f t="shared" si="463"/>
        <v>50000</v>
      </c>
      <c r="BK535" s="402">
        <v>29638.988057999999</v>
      </c>
      <c r="BL535" s="373">
        <f t="shared" si="465"/>
        <v>0.59277976115999997</v>
      </c>
      <c r="BM535" s="373">
        <f t="shared" si="473"/>
        <v>0.59277976115999997</v>
      </c>
      <c r="BN535" s="205">
        <f t="shared" si="461"/>
        <v>26128.39575</v>
      </c>
      <c r="BO535" s="205"/>
      <c r="BP535" s="245">
        <v>1100</v>
      </c>
      <c r="BQ535" s="375">
        <f t="shared" si="466"/>
        <v>2.1999999999999999E-2</v>
      </c>
      <c r="BR535" s="245">
        <f>BP535+15000</f>
        <v>16100</v>
      </c>
      <c r="BS535" s="375">
        <f t="shared" si="467"/>
        <v>0.32200000000000001</v>
      </c>
      <c r="BT535" s="245">
        <f>BR535+4000</f>
        <v>20100</v>
      </c>
      <c r="BU535" s="258">
        <f t="shared" si="468"/>
        <v>0.40200000000000002</v>
      </c>
      <c r="BV535" s="245">
        <f>BT535</f>
        <v>20100</v>
      </c>
      <c r="BW535" s="375">
        <f t="shared" si="450"/>
        <v>0.40200000000000002</v>
      </c>
      <c r="BX535" s="245">
        <f>BV535+10000</f>
        <v>30100</v>
      </c>
      <c r="BY535" s="375">
        <f t="shared" si="451"/>
        <v>0.60199999999999998</v>
      </c>
      <c r="BZ535" s="245">
        <v>30100</v>
      </c>
      <c r="CA535" s="375">
        <f t="shared" si="452"/>
        <v>0.60199999999999998</v>
      </c>
      <c r="CB535" s="245">
        <f>BZ535+5000</f>
        <v>35100</v>
      </c>
      <c r="CC535" s="375">
        <f t="shared" si="427"/>
        <v>0.70199999999999996</v>
      </c>
      <c r="CD535" s="245">
        <f>CB535</f>
        <v>35100</v>
      </c>
      <c r="CE535" s="375">
        <f t="shared" si="453"/>
        <v>0.70199999999999996</v>
      </c>
      <c r="CF535" s="245">
        <f>CD535+7000</f>
        <v>42100</v>
      </c>
      <c r="CG535" s="375">
        <f t="shared" si="454"/>
        <v>0.84199999999999997</v>
      </c>
      <c r="CH535" s="245">
        <v>42100</v>
      </c>
      <c r="CI535" s="375">
        <f t="shared" si="455"/>
        <v>0.84199999999999997</v>
      </c>
      <c r="CJ535" s="245">
        <f>CH535+5500</f>
        <v>47600</v>
      </c>
      <c r="CK535" s="375">
        <f t="shared" si="456"/>
        <v>0.95199999999999996</v>
      </c>
      <c r="CL535" s="245">
        <v>50000</v>
      </c>
      <c r="CM535" s="375">
        <f t="shared" si="457"/>
        <v>1</v>
      </c>
      <c r="CN535" s="245">
        <v>50000</v>
      </c>
      <c r="CO535" s="375">
        <f t="shared" si="458"/>
        <v>1</v>
      </c>
      <c r="CP535" s="213" t="str">
        <f t="shared" si="471"/>
        <v>Đạt</v>
      </c>
      <c r="CQ535" s="213" t="str">
        <f t="shared" si="472"/>
        <v>Đạt</v>
      </c>
      <c r="CR535" s="192"/>
      <c r="CS535" s="192"/>
      <c r="CT535" s="223"/>
      <c r="CU535" s="163"/>
      <c r="CW535" s="195"/>
      <c r="CX535" s="196"/>
      <c r="CY535" s="196"/>
      <c r="CZ535" s="197"/>
      <c r="DA535" s="196"/>
      <c r="DB535" s="196"/>
      <c r="DC535" s="196"/>
      <c r="DE535" s="199"/>
      <c r="DF535" s="200"/>
      <c r="DG535" s="181"/>
    </row>
    <row r="536" spans="1:111" s="160" customFormat="1" ht="12.75" hidden="1" outlineLevel="1" x14ac:dyDescent="0.25">
      <c r="A536" s="191" t="s">
        <v>29</v>
      </c>
      <c r="B536" s="210" t="s">
        <v>485</v>
      </c>
      <c r="C536" s="210"/>
      <c r="D536" s="188">
        <f t="shared" ref="D536:I536" si="477">D537+D539+D540</f>
        <v>12459.609</v>
      </c>
      <c r="E536" s="188">
        <f t="shared" si="477"/>
        <v>0</v>
      </c>
      <c r="F536" s="188">
        <f t="shared" si="477"/>
        <v>12459.609</v>
      </c>
      <c r="G536" s="188">
        <f t="shared" si="477"/>
        <v>3000</v>
      </c>
      <c r="H536" s="188">
        <f t="shared" si="477"/>
        <v>9459.6090000000004</v>
      </c>
      <c r="I536" s="188">
        <f t="shared" si="477"/>
        <v>912</v>
      </c>
      <c r="J536" s="188"/>
      <c r="K536" s="188">
        <f>K537+K539+K540</f>
        <v>0</v>
      </c>
      <c r="L536" s="188">
        <f>L537+L539+L540</f>
        <v>0</v>
      </c>
      <c r="M536" s="188">
        <f>M537+M539+M540</f>
        <v>0</v>
      </c>
      <c r="N536" s="188">
        <f>N537+N539+N540</f>
        <v>0</v>
      </c>
      <c r="O536" s="188">
        <f>O537+O539+O540</f>
        <v>3912</v>
      </c>
      <c r="P536" s="188">
        <v>151</v>
      </c>
      <c r="Q536" s="186">
        <f t="shared" si="470"/>
        <v>1.2119160400619312E-2</v>
      </c>
      <c r="R536" s="189">
        <v>572.37</v>
      </c>
      <c r="S536" s="328">
        <v>4.5938038665579314E-2</v>
      </c>
      <c r="T536" s="328">
        <v>4.8355830174294019E-2</v>
      </c>
      <c r="U536" s="189">
        <v>946.26300000000003</v>
      </c>
      <c r="V536" s="328">
        <v>7.5946444226299564E-2</v>
      </c>
      <c r="W536" s="328">
        <v>7.9943625501367965E-2</v>
      </c>
      <c r="X536" s="189">
        <v>946.26300000000003</v>
      </c>
      <c r="Y536" s="328">
        <v>7.5946444226299564E-2</v>
      </c>
      <c r="Z536" s="328">
        <v>7.9943625501367965E-2</v>
      </c>
      <c r="AA536" s="189">
        <v>946.26300000000003</v>
      </c>
      <c r="AB536" s="328">
        <v>7.5946444226299564E-2</v>
      </c>
      <c r="AC536" s="328">
        <v>7.9943625501367965E-2</v>
      </c>
      <c r="AD536" s="189">
        <v>1858.2629999999999</v>
      </c>
      <c r="AE536" s="328">
        <v>0.14914296267242413</v>
      </c>
      <c r="AF536" s="328">
        <v>0.15699259228676227</v>
      </c>
      <c r="AG536" s="189">
        <v>1858.2629999999999</v>
      </c>
      <c r="AH536" s="328">
        <v>0.14914296267242413</v>
      </c>
      <c r="AI536" s="328">
        <v>0.15699259228676227</v>
      </c>
      <c r="AJ536" s="317">
        <v>1858.2629999999999</v>
      </c>
      <c r="AK536" s="328">
        <v>0.14914296267242413</v>
      </c>
      <c r="AL536" s="328">
        <v>0.15699259228676227</v>
      </c>
      <c r="AM536" s="189">
        <v>1858.2629999999999</v>
      </c>
      <c r="AN536" s="328">
        <v>0.14914296267242413</v>
      </c>
      <c r="AO536" s="328">
        <v>0.15699259228676227</v>
      </c>
      <c r="AP536" s="328"/>
      <c r="AQ536" s="189">
        <v>2770.2629999999999</v>
      </c>
      <c r="AR536" s="328">
        <v>0.22233948111854873</v>
      </c>
      <c r="AS536" s="328">
        <v>0.23404155907215657</v>
      </c>
      <c r="AT536" s="189">
        <v>2770.2629999999999</v>
      </c>
      <c r="AU536" s="328">
        <v>0.22233948111854873</v>
      </c>
      <c r="AV536" s="328">
        <v>0.23404155907215657</v>
      </c>
      <c r="AW536" s="328"/>
      <c r="AX536" s="328"/>
      <c r="AY536" s="328"/>
      <c r="AZ536" s="328"/>
      <c r="BA536" s="328"/>
      <c r="BB536" s="328"/>
      <c r="BC536" s="189">
        <v>2770.2629999999999</v>
      </c>
      <c r="BD536" s="328">
        <v>0.22233948111854873</v>
      </c>
      <c r="BE536" s="328">
        <v>0.23404155907215657</v>
      </c>
      <c r="BF536" s="374"/>
      <c r="BG536" s="374">
        <v>3623.739</v>
      </c>
      <c r="BH536" s="328">
        <v>0.29083890192701872</v>
      </c>
      <c r="BI536" s="328">
        <v>0.3061462125547566</v>
      </c>
      <c r="BJ536" s="374">
        <f t="shared" si="463"/>
        <v>11836.628549999999</v>
      </c>
      <c r="BK536" s="374">
        <v>4555.0560000000005</v>
      </c>
      <c r="BL536" s="328">
        <f t="shared" si="465"/>
        <v>0.36558579005167824</v>
      </c>
      <c r="BM536" s="328">
        <f t="shared" si="473"/>
        <v>0.3848271474228192</v>
      </c>
      <c r="BN536" s="205">
        <f t="shared" si="461"/>
        <v>2696.7930000000006</v>
      </c>
      <c r="BO536" s="205"/>
      <c r="BP536" s="189">
        <f>BP537+BP539+BP540</f>
        <v>0</v>
      </c>
      <c r="BQ536" s="329">
        <f t="shared" si="466"/>
        <v>0</v>
      </c>
      <c r="BR536" s="189">
        <f>BR537+BR539+BR540</f>
        <v>0</v>
      </c>
      <c r="BS536" s="329">
        <f t="shared" si="467"/>
        <v>0</v>
      </c>
      <c r="BT536" s="189">
        <f>BT537+BT539+BT540</f>
        <v>3761.6285499999999</v>
      </c>
      <c r="BU536" s="186">
        <f t="shared" si="468"/>
        <v>0.30190582625827184</v>
      </c>
      <c r="BV536" s="189">
        <f>BV537+BV539+BV540</f>
        <v>3761.6285499999999</v>
      </c>
      <c r="BW536" s="329">
        <f t="shared" si="450"/>
        <v>0.30190582625827184</v>
      </c>
      <c r="BX536" s="189">
        <f>BX537+BX539+BX540</f>
        <v>3761.6285499999999</v>
      </c>
      <c r="BY536" s="329">
        <f t="shared" si="451"/>
        <v>0.30190582625827184</v>
      </c>
      <c r="BZ536" s="189">
        <f>BZ537+BZ539+BZ540</f>
        <v>3761.6285499999999</v>
      </c>
      <c r="CA536" s="329">
        <f t="shared" si="452"/>
        <v>0.30190582625827184</v>
      </c>
      <c r="CB536" s="189">
        <f>CB537+CB539+CB540</f>
        <v>3761.6285499999999</v>
      </c>
      <c r="CC536" s="329">
        <f t="shared" si="427"/>
        <v>0.30190582625827184</v>
      </c>
      <c r="CD536" s="189">
        <f>CD537+CD539+CD540</f>
        <v>3761.6285499999999</v>
      </c>
      <c r="CE536" s="329">
        <f t="shared" si="453"/>
        <v>0.30190582625827184</v>
      </c>
      <c r="CF536" s="189">
        <f>CF537+CF539+CF540</f>
        <v>3761.6285499999999</v>
      </c>
      <c r="CG536" s="329">
        <f t="shared" si="454"/>
        <v>0.30190582625827184</v>
      </c>
      <c r="CH536" s="189">
        <f>CH537+CH539+CH540</f>
        <v>3761.6285499999999</v>
      </c>
      <c r="CI536" s="329">
        <f t="shared" si="455"/>
        <v>0.30190582625827184</v>
      </c>
      <c r="CJ536" s="189">
        <f>CJ537+CJ539+CJ540</f>
        <v>3761.6285499999999</v>
      </c>
      <c r="CK536" s="329">
        <f t="shared" si="456"/>
        <v>0.30190582625827184</v>
      </c>
      <c r="CL536" s="189">
        <f>CL537+CL539+CL540</f>
        <v>11836.628549999999</v>
      </c>
      <c r="CM536" s="329">
        <f t="shared" si="457"/>
        <v>0.95</v>
      </c>
      <c r="CN536" s="189">
        <f>CN537+CN539+CN540</f>
        <v>11836.628549999999</v>
      </c>
      <c r="CO536" s="329">
        <f t="shared" si="458"/>
        <v>0.95</v>
      </c>
      <c r="CP536" s="213" t="str">
        <f t="shared" si="471"/>
        <v>Đạt</v>
      </c>
      <c r="CQ536" s="213" t="str">
        <f t="shared" si="472"/>
        <v>Không đạt</v>
      </c>
      <c r="CR536" s="213"/>
      <c r="CS536" s="213"/>
      <c r="CT536" s="231"/>
      <c r="CU536" s="163"/>
      <c r="CV536" s="291"/>
      <c r="CW536" s="218"/>
      <c r="CX536" s="196"/>
      <c r="CY536" s="196"/>
      <c r="CZ536" s="197"/>
      <c r="DA536" s="196"/>
      <c r="DB536" s="196"/>
      <c r="DC536" s="196"/>
      <c r="DE536" s="199"/>
      <c r="DF536" s="200"/>
      <c r="DG536" s="181"/>
    </row>
    <row r="537" spans="1:111" s="324" customFormat="1" hidden="1" outlineLevel="1" x14ac:dyDescent="0.25">
      <c r="A537" s="305" t="s">
        <v>34</v>
      </c>
      <c r="B537" s="318" t="s">
        <v>381</v>
      </c>
      <c r="C537" s="306"/>
      <c r="D537" s="317">
        <f>D538</f>
        <v>959.60900000000004</v>
      </c>
      <c r="E537" s="317">
        <f t="shared" ref="E537:L537" si="478">E538</f>
        <v>0</v>
      </c>
      <c r="F537" s="317">
        <f t="shared" si="478"/>
        <v>959.60900000000004</v>
      </c>
      <c r="G537" s="317">
        <f t="shared" si="478"/>
        <v>0</v>
      </c>
      <c r="H537" s="317">
        <f t="shared" si="478"/>
        <v>959.60900000000004</v>
      </c>
      <c r="I537" s="214">
        <f t="shared" si="478"/>
        <v>912</v>
      </c>
      <c r="J537" s="214"/>
      <c r="K537" s="317">
        <f t="shared" si="478"/>
        <v>0</v>
      </c>
      <c r="L537" s="214">
        <f t="shared" si="478"/>
        <v>0</v>
      </c>
      <c r="M537" s="223"/>
      <c r="N537" s="223"/>
      <c r="O537" s="317">
        <f>G537+I537+L537+N537</f>
        <v>912</v>
      </c>
      <c r="P537" s="317">
        <v>0</v>
      </c>
      <c r="Q537" s="319">
        <f t="shared" si="470"/>
        <v>0</v>
      </c>
      <c r="R537" s="317">
        <v>0</v>
      </c>
      <c r="S537" s="320">
        <v>0</v>
      </c>
      <c r="T537" s="320">
        <v>0</v>
      </c>
      <c r="U537" s="317">
        <v>0</v>
      </c>
      <c r="V537" s="320">
        <v>0</v>
      </c>
      <c r="W537" s="320">
        <v>0</v>
      </c>
      <c r="X537" s="317">
        <v>0</v>
      </c>
      <c r="Y537" s="320">
        <v>0</v>
      </c>
      <c r="Z537" s="320">
        <v>0</v>
      </c>
      <c r="AA537" s="317">
        <v>0</v>
      </c>
      <c r="AB537" s="320">
        <v>0</v>
      </c>
      <c r="AC537" s="320">
        <v>0</v>
      </c>
      <c r="AD537" s="317">
        <v>0</v>
      </c>
      <c r="AE537" s="320">
        <v>0</v>
      </c>
      <c r="AF537" s="320">
        <v>0</v>
      </c>
      <c r="AG537" s="317">
        <v>0</v>
      </c>
      <c r="AH537" s="320">
        <v>0</v>
      </c>
      <c r="AI537" s="320">
        <v>0</v>
      </c>
      <c r="AJ537" s="257">
        <v>0</v>
      </c>
      <c r="AK537" s="320">
        <v>0</v>
      </c>
      <c r="AL537" s="320">
        <v>0</v>
      </c>
      <c r="AM537" s="317">
        <v>0</v>
      </c>
      <c r="AN537" s="320">
        <v>0</v>
      </c>
      <c r="AO537" s="320">
        <v>0</v>
      </c>
      <c r="AP537" s="320"/>
      <c r="AQ537" s="317">
        <v>912</v>
      </c>
      <c r="AR537" s="320">
        <v>0.95038708473972211</v>
      </c>
      <c r="AS537" s="320">
        <v>1.00040745762076</v>
      </c>
      <c r="AT537" s="317">
        <v>912</v>
      </c>
      <c r="AU537" s="320">
        <v>0.95038708473972211</v>
      </c>
      <c r="AV537" s="320">
        <v>1.00040745762076</v>
      </c>
      <c r="AW537" s="320"/>
      <c r="AX537" s="320"/>
      <c r="AY537" s="320"/>
      <c r="AZ537" s="320"/>
      <c r="BA537" s="320"/>
      <c r="BB537" s="320"/>
      <c r="BC537" s="317">
        <v>912</v>
      </c>
      <c r="BD537" s="320">
        <v>0.95038708473972211</v>
      </c>
      <c r="BE537" s="320">
        <v>1.00040745762076</v>
      </c>
      <c r="BF537" s="349"/>
      <c r="BG537" s="349">
        <v>912</v>
      </c>
      <c r="BH537" s="320">
        <v>0.95038708473972211</v>
      </c>
      <c r="BI537" s="320">
        <v>1.00040745762076</v>
      </c>
      <c r="BJ537" s="349">
        <f t="shared" si="463"/>
        <v>911.62855000000002</v>
      </c>
      <c r="BK537" s="349">
        <v>912</v>
      </c>
      <c r="BL537" s="320">
        <f t="shared" si="465"/>
        <v>0.95038708473972211</v>
      </c>
      <c r="BM537" s="320">
        <f t="shared" si="473"/>
        <v>1.00040745762076</v>
      </c>
      <c r="BN537" s="205">
        <f t="shared" si="461"/>
        <v>912</v>
      </c>
      <c r="BO537" s="205"/>
      <c r="BP537" s="307">
        <f>BP538</f>
        <v>0</v>
      </c>
      <c r="BQ537" s="322">
        <f t="shared" si="466"/>
        <v>0</v>
      </c>
      <c r="BR537" s="307">
        <f>BR538</f>
        <v>0</v>
      </c>
      <c r="BS537" s="322">
        <f t="shared" si="467"/>
        <v>0</v>
      </c>
      <c r="BT537" s="307">
        <f>BT538</f>
        <v>911.62855000000002</v>
      </c>
      <c r="BU537" s="319">
        <f t="shared" si="468"/>
        <v>0.95</v>
      </c>
      <c r="BV537" s="307">
        <f>BV538</f>
        <v>911.62855000000002</v>
      </c>
      <c r="BW537" s="322">
        <f t="shared" si="450"/>
        <v>0.95</v>
      </c>
      <c r="BX537" s="307">
        <f>BX538</f>
        <v>911.62855000000002</v>
      </c>
      <c r="BY537" s="322">
        <f t="shared" si="451"/>
        <v>0.95</v>
      </c>
      <c r="BZ537" s="307">
        <f>BZ538</f>
        <v>911.62855000000002</v>
      </c>
      <c r="CA537" s="322">
        <f t="shared" si="452"/>
        <v>0.95</v>
      </c>
      <c r="CB537" s="307">
        <f>CB538</f>
        <v>911.62855000000002</v>
      </c>
      <c r="CC537" s="322">
        <f t="shared" si="427"/>
        <v>0.95</v>
      </c>
      <c r="CD537" s="307">
        <f>CD538</f>
        <v>911.62855000000002</v>
      </c>
      <c r="CE537" s="322">
        <f t="shared" si="453"/>
        <v>0.95</v>
      </c>
      <c r="CF537" s="307">
        <f>CF538</f>
        <v>911.62855000000002</v>
      </c>
      <c r="CG537" s="322">
        <f t="shared" si="454"/>
        <v>0.95</v>
      </c>
      <c r="CH537" s="307">
        <f>CH538</f>
        <v>911.62855000000002</v>
      </c>
      <c r="CI537" s="322">
        <f t="shared" si="455"/>
        <v>0.95</v>
      </c>
      <c r="CJ537" s="307">
        <f>CJ538</f>
        <v>911.62855000000002</v>
      </c>
      <c r="CK537" s="322">
        <f t="shared" si="456"/>
        <v>0.95</v>
      </c>
      <c r="CL537" s="307">
        <f>CL538</f>
        <v>911.62855000000002</v>
      </c>
      <c r="CM537" s="322">
        <f t="shared" si="457"/>
        <v>0.95</v>
      </c>
      <c r="CN537" s="307">
        <f>CN538</f>
        <v>911.62855000000002</v>
      </c>
      <c r="CO537" s="322">
        <f t="shared" si="458"/>
        <v>0.95</v>
      </c>
      <c r="CP537" s="213" t="str">
        <f t="shared" si="471"/>
        <v>Đạt</v>
      </c>
      <c r="CQ537" s="213" t="str">
        <f t="shared" si="472"/>
        <v>Đạt</v>
      </c>
      <c r="CR537" s="312"/>
      <c r="CS537" s="312"/>
      <c r="CT537" s="235"/>
      <c r="CU537" s="163"/>
      <c r="CV537" s="323"/>
      <c r="CW537" s="195"/>
      <c r="CX537" s="196"/>
      <c r="CY537" s="196"/>
      <c r="CZ537" s="197"/>
      <c r="DA537" s="196"/>
      <c r="DB537" s="196"/>
      <c r="DC537" s="196"/>
      <c r="DE537" s="199"/>
      <c r="DF537" s="200"/>
      <c r="DG537" s="181"/>
    </row>
    <row r="538" spans="1:111" ht="38.25" hidden="1" outlineLevel="1" x14ac:dyDescent="0.25">
      <c r="A538" s="192"/>
      <c r="B538" s="325" t="s">
        <v>497</v>
      </c>
      <c r="C538" s="325"/>
      <c r="D538" s="214">
        <f>E538+F538</f>
        <v>959.60900000000004</v>
      </c>
      <c r="E538" s="215"/>
      <c r="F538" s="214">
        <f>G538+H538+K538+M538</f>
        <v>959.60900000000004</v>
      </c>
      <c r="G538" s="223"/>
      <c r="H538" s="257">
        <v>959.60900000000004</v>
      </c>
      <c r="I538" s="235">
        <v>912</v>
      </c>
      <c r="J538" s="257">
        <v>912</v>
      </c>
      <c r="K538" s="223"/>
      <c r="L538" s="235"/>
      <c r="M538" s="223"/>
      <c r="N538" s="223"/>
      <c r="O538" s="257">
        <f>G538+I538+L538+N538</f>
        <v>912</v>
      </c>
      <c r="P538" s="257">
        <v>0</v>
      </c>
      <c r="Q538" s="224">
        <f t="shared" si="470"/>
        <v>0</v>
      </c>
      <c r="R538" s="257"/>
      <c r="S538" s="326">
        <v>0</v>
      </c>
      <c r="T538" s="326">
        <v>0</v>
      </c>
      <c r="U538" s="257"/>
      <c r="V538" s="326">
        <v>0</v>
      </c>
      <c r="W538" s="326">
        <v>0</v>
      </c>
      <c r="X538" s="257"/>
      <c r="Y538" s="326">
        <v>0</v>
      </c>
      <c r="Z538" s="326">
        <v>0</v>
      </c>
      <c r="AA538" s="257"/>
      <c r="AB538" s="326">
        <v>0</v>
      </c>
      <c r="AC538" s="326">
        <v>0</v>
      </c>
      <c r="AD538" s="257"/>
      <c r="AE538" s="326">
        <v>0</v>
      </c>
      <c r="AF538" s="326">
        <v>0</v>
      </c>
      <c r="AG538" s="257"/>
      <c r="AH538" s="326">
        <v>0</v>
      </c>
      <c r="AI538" s="326">
        <v>0</v>
      </c>
      <c r="AJ538" s="307"/>
      <c r="AK538" s="326">
        <v>0</v>
      </c>
      <c r="AL538" s="326">
        <v>0</v>
      </c>
      <c r="AM538" s="257"/>
      <c r="AN538" s="326">
        <v>0</v>
      </c>
      <c r="AO538" s="326">
        <v>0</v>
      </c>
      <c r="AP538" s="326"/>
      <c r="AQ538" s="257">
        <v>912</v>
      </c>
      <c r="AR538" s="326">
        <v>0.95038708473972211</v>
      </c>
      <c r="AS538" s="326">
        <v>1.00040745762076</v>
      </c>
      <c r="AT538" s="257">
        <v>912</v>
      </c>
      <c r="AU538" s="326">
        <v>0.95038708473972211</v>
      </c>
      <c r="AV538" s="326">
        <v>1.00040745762076</v>
      </c>
      <c r="AW538" s="326"/>
      <c r="AX538" s="326"/>
      <c r="AY538" s="326"/>
      <c r="AZ538" s="326"/>
      <c r="BA538" s="326"/>
      <c r="BB538" s="326"/>
      <c r="BC538" s="257">
        <v>912</v>
      </c>
      <c r="BD538" s="326">
        <v>0.95038708473972211</v>
      </c>
      <c r="BE538" s="326">
        <v>1.00040745762076</v>
      </c>
      <c r="BF538" s="350">
        <v>912</v>
      </c>
      <c r="BG538" s="350">
        <v>912</v>
      </c>
      <c r="BH538" s="326">
        <v>0.95038708473972211</v>
      </c>
      <c r="BI538" s="326">
        <v>1.00040745762076</v>
      </c>
      <c r="BJ538" s="402">
        <f t="shared" si="463"/>
        <v>911.62855000000002</v>
      </c>
      <c r="BK538" s="402">
        <v>912</v>
      </c>
      <c r="BL538" s="326">
        <f t="shared" si="465"/>
        <v>0.95038708473972211</v>
      </c>
      <c r="BM538" s="326">
        <f t="shared" si="473"/>
        <v>1.00040745762076</v>
      </c>
      <c r="BN538" s="205">
        <f t="shared" si="461"/>
        <v>912</v>
      </c>
      <c r="BO538" s="205"/>
      <c r="BP538" s="227"/>
      <c r="BQ538" s="327">
        <f t="shared" si="466"/>
        <v>0</v>
      </c>
      <c r="BR538" s="227"/>
      <c r="BS538" s="327">
        <f t="shared" si="467"/>
        <v>0</v>
      </c>
      <c r="BT538" s="227">
        <f>H538*0.95</f>
        <v>911.62855000000002</v>
      </c>
      <c r="BU538" s="224">
        <f t="shared" si="468"/>
        <v>0.95</v>
      </c>
      <c r="BV538" s="227">
        <v>911.62855000000002</v>
      </c>
      <c r="BW538" s="327">
        <f t="shared" si="450"/>
        <v>0.95</v>
      </c>
      <c r="BX538" s="227">
        <v>911.62855000000002</v>
      </c>
      <c r="BY538" s="327">
        <f t="shared" si="451"/>
        <v>0.95</v>
      </c>
      <c r="BZ538" s="227">
        <v>911.62855000000002</v>
      </c>
      <c r="CA538" s="327">
        <f t="shared" si="452"/>
        <v>0.95</v>
      </c>
      <c r="CB538" s="227">
        <v>911.62855000000002</v>
      </c>
      <c r="CC538" s="327">
        <f t="shared" si="427"/>
        <v>0.95</v>
      </c>
      <c r="CD538" s="227">
        <v>911.62855000000002</v>
      </c>
      <c r="CE538" s="327">
        <f t="shared" si="453"/>
        <v>0.95</v>
      </c>
      <c r="CF538" s="227">
        <v>911.62855000000002</v>
      </c>
      <c r="CG538" s="327">
        <f t="shared" si="454"/>
        <v>0.95</v>
      </c>
      <c r="CH538" s="227">
        <v>911.62855000000002</v>
      </c>
      <c r="CI538" s="327">
        <f t="shared" si="455"/>
        <v>0.95</v>
      </c>
      <c r="CJ538" s="227">
        <v>911.62855000000002</v>
      </c>
      <c r="CK538" s="327">
        <f t="shared" si="456"/>
        <v>0.95</v>
      </c>
      <c r="CL538" s="227">
        <v>911.62855000000002</v>
      </c>
      <c r="CM538" s="327">
        <f t="shared" si="457"/>
        <v>0.95</v>
      </c>
      <c r="CN538" s="227">
        <v>911.62855000000002</v>
      </c>
      <c r="CO538" s="327">
        <f t="shared" si="458"/>
        <v>0.95</v>
      </c>
      <c r="CP538" s="213" t="str">
        <f t="shared" si="471"/>
        <v>Đạt</v>
      </c>
      <c r="CQ538" s="213" t="str">
        <f t="shared" si="472"/>
        <v>Đạt</v>
      </c>
      <c r="CR538" s="192"/>
      <c r="CS538" s="192"/>
      <c r="CT538" s="223"/>
      <c r="CU538" s="163"/>
      <c r="CW538" s="195"/>
      <c r="CX538" s="196"/>
      <c r="CY538" s="196"/>
      <c r="CZ538" s="197"/>
      <c r="DA538" s="196"/>
      <c r="DB538" s="196"/>
      <c r="DC538" s="196"/>
      <c r="DE538" s="199"/>
      <c r="DF538" s="200"/>
      <c r="DG538" s="181"/>
    </row>
    <row r="539" spans="1:111" s="324" customFormat="1" hidden="1" outlineLevel="1" x14ac:dyDescent="0.25">
      <c r="A539" s="305" t="s">
        <v>34</v>
      </c>
      <c r="B539" s="318" t="s">
        <v>376</v>
      </c>
      <c r="C539" s="306"/>
      <c r="D539" s="307">
        <f>E539+F539</f>
        <v>3000</v>
      </c>
      <c r="E539" s="307"/>
      <c r="F539" s="307">
        <f>G539+H539+K539+M539</f>
        <v>3000</v>
      </c>
      <c r="G539" s="303">
        <v>3000</v>
      </c>
      <c r="H539" s="303"/>
      <c r="I539" s="235"/>
      <c r="J539" s="235"/>
      <c r="K539" s="303"/>
      <c r="L539" s="235"/>
      <c r="M539" s="223"/>
      <c r="N539" s="223"/>
      <c r="O539" s="303">
        <f>G539+I539+L539+N539</f>
        <v>3000</v>
      </c>
      <c r="P539" s="303">
        <v>0</v>
      </c>
      <c r="Q539" s="308">
        <f t="shared" si="470"/>
        <v>0</v>
      </c>
      <c r="R539" s="303">
        <v>572.37</v>
      </c>
      <c r="S539" s="313">
        <v>0.19079000000000002</v>
      </c>
      <c r="T539" s="313">
        <v>0.20083157894736842</v>
      </c>
      <c r="U539" s="303">
        <v>946.26300000000003</v>
      </c>
      <c r="V539" s="313">
        <v>0.31542100000000001</v>
      </c>
      <c r="W539" s="313">
        <v>0.3320221052631579</v>
      </c>
      <c r="X539" s="303">
        <v>946.26300000000003</v>
      </c>
      <c r="Y539" s="313">
        <v>0.31542100000000001</v>
      </c>
      <c r="Z539" s="313">
        <v>0.3320221052631579</v>
      </c>
      <c r="AA539" s="303">
        <v>946.26300000000003</v>
      </c>
      <c r="AB539" s="313">
        <v>0.31542100000000001</v>
      </c>
      <c r="AC539" s="313">
        <v>0.3320221052631579</v>
      </c>
      <c r="AD539" s="303">
        <v>1858.2629999999999</v>
      </c>
      <c r="AE539" s="313">
        <v>0.619421</v>
      </c>
      <c r="AF539" s="313">
        <v>0.65202210526315785</v>
      </c>
      <c r="AG539" s="307">
        <v>1858.2629999999999</v>
      </c>
      <c r="AH539" s="313">
        <v>0.619421</v>
      </c>
      <c r="AI539" s="313">
        <v>0.65202210526315785</v>
      </c>
      <c r="AJ539" s="303">
        <v>1858.2629999999999</v>
      </c>
      <c r="AK539" s="313">
        <v>0.619421</v>
      </c>
      <c r="AL539" s="313">
        <v>0.65202210526315785</v>
      </c>
      <c r="AM539" s="307">
        <v>1858.2629999999999</v>
      </c>
      <c r="AN539" s="313">
        <v>0.619421</v>
      </c>
      <c r="AO539" s="313">
        <v>0.65202210526315785</v>
      </c>
      <c r="AP539" s="313"/>
      <c r="AQ539" s="307">
        <v>1858.2629999999999</v>
      </c>
      <c r="AR539" s="313">
        <v>0.619421</v>
      </c>
      <c r="AS539" s="313">
        <v>0.65202210526315785</v>
      </c>
      <c r="AT539" s="307">
        <v>1858.2629999999999</v>
      </c>
      <c r="AU539" s="313">
        <v>0.619421</v>
      </c>
      <c r="AV539" s="313">
        <v>0.65202210526315785</v>
      </c>
      <c r="AW539" s="313"/>
      <c r="AX539" s="313"/>
      <c r="AY539" s="313"/>
      <c r="AZ539" s="313"/>
      <c r="BA539" s="313"/>
      <c r="BB539" s="313"/>
      <c r="BC539" s="307">
        <v>1858.2629999999999</v>
      </c>
      <c r="BD539" s="313">
        <v>0.619421</v>
      </c>
      <c r="BE539" s="313">
        <v>0.65202210526315785</v>
      </c>
      <c r="BF539" s="351"/>
      <c r="BG539" s="351">
        <v>2711.739</v>
      </c>
      <c r="BH539" s="313">
        <v>0.90391299999999997</v>
      </c>
      <c r="BI539" s="313">
        <v>0.95148736842105264</v>
      </c>
      <c r="BJ539" s="349">
        <f t="shared" si="463"/>
        <v>2850</v>
      </c>
      <c r="BK539" s="349">
        <v>2849.8220000000001</v>
      </c>
      <c r="BL539" s="313">
        <f t="shared" si="465"/>
        <v>0.94994066666666666</v>
      </c>
      <c r="BM539" s="313">
        <f t="shared" si="473"/>
        <v>0.99993754385964917</v>
      </c>
      <c r="BN539" s="205">
        <f t="shared" si="461"/>
        <v>991.5590000000002</v>
      </c>
      <c r="BO539" s="205"/>
      <c r="BP539" s="310"/>
      <c r="BQ539" s="311">
        <f t="shared" si="466"/>
        <v>0</v>
      </c>
      <c r="BR539" s="310"/>
      <c r="BS539" s="311">
        <f t="shared" si="467"/>
        <v>0</v>
      </c>
      <c r="BT539" s="310">
        <v>2850</v>
      </c>
      <c r="BU539" s="308">
        <f t="shared" si="468"/>
        <v>0.95</v>
      </c>
      <c r="BV539" s="310">
        <v>2850</v>
      </c>
      <c r="BW539" s="311">
        <f t="shared" si="450"/>
        <v>0.95</v>
      </c>
      <c r="BX539" s="310">
        <v>2850</v>
      </c>
      <c r="BY539" s="311">
        <f t="shared" si="451"/>
        <v>0.95</v>
      </c>
      <c r="BZ539" s="310">
        <v>2850</v>
      </c>
      <c r="CA539" s="311">
        <f t="shared" si="452"/>
        <v>0.95</v>
      </c>
      <c r="CB539" s="310">
        <v>2850</v>
      </c>
      <c r="CC539" s="311">
        <f t="shared" ref="CC539:CC585" si="479">CB539/$D539</f>
        <v>0.95</v>
      </c>
      <c r="CD539" s="310">
        <v>2850</v>
      </c>
      <c r="CE539" s="311">
        <f t="shared" si="453"/>
        <v>0.95</v>
      </c>
      <c r="CF539" s="310">
        <v>2850</v>
      </c>
      <c r="CG539" s="311">
        <f t="shared" si="454"/>
        <v>0.95</v>
      </c>
      <c r="CH539" s="310">
        <v>2850</v>
      </c>
      <c r="CI539" s="311">
        <f t="shared" si="455"/>
        <v>0.95</v>
      </c>
      <c r="CJ539" s="310">
        <v>2850</v>
      </c>
      <c r="CK539" s="311">
        <f t="shared" si="456"/>
        <v>0.95</v>
      </c>
      <c r="CL539" s="310">
        <v>2850</v>
      </c>
      <c r="CM539" s="311">
        <f t="shared" si="457"/>
        <v>0.95</v>
      </c>
      <c r="CN539" s="310">
        <v>2850</v>
      </c>
      <c r="CO539" s="311">
        <f t="shared" si="458"/>
        <v>0.95</v>
      </c>
      <c r="CP539" s="213" t="str">
        <f t="shared" si="471"/>
        <v>Đạt</v>
      </c>
      <c r="CQ539" s="213" t="str">
        <f t="shared" si="472"/>
        <v>Đạt</v>
      </c>
      <c r="CR539" s="312"/>
      <c r="CS539" s="312"/>
      <c r="CT539" s="235"/>
      <c r="CU539" s="163"/>
      <c r="CV539" s="323"/>
      <c r="CW539" s="195"/>
      <c r="CX539" s="196"/>
      <c r="CY539" s="196"/>
      <c r="CZ539" s="197"/>
      <c r="DA539" s="196"/>
      <c r="DB539" s="196"/>
      <c r="DC539" s="196"/>
      <c r="DE539" s="199"/>
      <c r="DF539" s="200"/>
      <c r="DG539" s="181"/>
    </row>
    <row r="540" spans="1:111" ht="25.5" hidden="1" outlineLevel="1" x14ac:dyDescent="0.25">
      <c r="A540" s="305" t="s">
        <v>34</v>
      </c>
      <c r="B540" s="306" t="s">
        <v>377</v>
      </c>
      <c r="C540" s="306"/>
      <c r="D540" s="307">
        <f>E540+F540</f>
        <v>8500</v>
      </c>
      <c r="E540" s="307"/>
      <c r="F540" s="307">
        <f>G540+H540+K540+M540</f>
        <v>8500</v>
      </c>
      <c r="G540" s="307"/>
      <c r="H540" s="307">
        <v>8500</v>
      </c>
      <c r="I540" s="235"/>
      <c r="J540" s="235"/>
      <c r="K540" s="303"/>
      <c r="L540" s="235"/>
      <c r="M540" s="223"/>
      <c r="N540" s="223"/>
      <c r="O540" s="303"/>
      <c r="P540" s="303">
        <v>0</v>
      </c>
      <c r="Q540" s="308">
        <f t="shared" si="470"/>
        <v>0</v>
      </c>
      <c r="R540" s="303"/>
      <c r="S540" s="313">
        <v>0</v>
      </c>
      <c r="T540" s="313">
        <v>0</v>
      </c>
      <c r="U540" s="303"/>
      <c r="V540" s="313">
        <v>0</v>
      </c>
      <c r="W540" s="313">
        <v>0</v>
      </c>
      <c r="X540" s="303"/>
      <c r="Y540" s="313">
        <v>0</v>
      </c>
      <c r="Z540" s="313">
        <v>0</v>
      </c>
      <c r="AA540" s="303"/>
      <c r="AB540" s="313">
        <v>0</v>
      </c>
      <c r="AC540" s="313">
        <v>0</v>
      </c>
      <c r="AD540" s="303"/>
      <c r="AE540" s="313">
        <v>0</v>
      </c>
      <c r="AF540" s="313">
        <v>0</v>
      </c>
      <c r="AG540" s="303"/>
      <c r="AH540" s="313">
        <v>0</v>
      </c>
      <c r="AI540" s="313">
        <v>0</v>
      </c>
      <c r="AJ540" s="314"/>
      <c r="AK540" s="313">
        <v>0</v>
      </c>
      <c r="AL540" s="313">
        <v>0</v>
      </c>
      <c r="AM540" s="303"/>
      <c r="AN540" s="313">
        <v>0</v>
      </c>
      <c r="AO540" s="313">
        <v>0</v>
      </c>
      <c r="AP540" s="313"/>
      <c r="AQ540" s="303"/>
      <c r="AR540" s="313">
        <v>0</v>
      </c>
      <c r="AS540" s="313">
        <v>0</v>
      </c>
      <c r="AT540" s="303"/>
      <c r="AU540" s="313">
        <v>0</v>
      </c>
      <c r="AV540" s="313">
        <v>0</v>
      </c>
      <c r="AW540" s="313"/>
      <c r="AX540" s="313"/>
      <c r="AY540" s="313"/>
      <c r="AZ540" s="313"/>
      <c r="BA540" s="313"/>
      <c r="BB540" s="313"/>
      <c r="BC540" s="303"/>
      <c r="BD540" s="313">
        <v>0</v>
      </c>
      <c r="BE540" s="313">
        <v>0</v>
      </c>
      <c r="BF540" s="351"/>
      <c r="BG540" s="351">
        <v>0</v>
      </c>
      <c r="BH540" s="313">
        <v>0</v>
      </c>
      <c r="BI540" s="313">
        <v>0</v>
      </c>
      <c r="BJ540" s="349">
        <f t="shared" si="463"/>
        <v>8075</v>
      </c>
      <c r="BK540" s="349">
        <v>793.23400000000004</v>
      </c>
      <c r="BL540" s="313">
        <f t="shared" si="465"/>
        <v>9.3321647058823537E-2</v>
      </c>
      <c r="BM540" s="313">
        <f t="shared" si="473"/>
        <v>9.8233312693498456E-2</v>
      </c>
      <c r="BN540" s="205">
        <f t="shared" si="461"/>
        <v>793.23400000000004</v>
      </c>
      <c r="BO540" s="205"/>
      <c r="BP540" s="310"/>
      <c r="BQ540" s="311">
        <f t="shared" si="466"/>
        <v>0</v>
      </c>
      <c r="BR540" s="310"/>
      <c r="BS540" s="311">
        <f t="shared" si="467"/>
        <v>0</v>
      </c>
      <c r="BT540" s="310"/>
      <c r="BU540" s="308">
        <f t="shared" si="468"/>
        <v>0</v>
      </c>
      <c r="BV540" s="310"/>
      <c r="BW540" s="311">
        <f t="shared" si="450"/>
        <v>0</v>
      </c>
      <c r="BX540" s="310"/>
      <c r="BY540" s="311">
        <f t="shared" si="451"/>
        <v>0</v>
      </c>
      <c r="BZ540" s="310"/>
      <c r="CA540" s="311">
        <f t="shared" si="452"/>
        <v>0</v>
      </c>
      <c r="CB540" s="310"/>
      <c r="CC540" s="311">
        <f t="shared" si="479"/>
        <v>0</v>
      </c>
      <c r="CD540" s="310"/>
      <c r="CE540" s="311">
        <f t="shared" si="453"/>
        <v>0</v>
      </c>
      <c r="CF540" s="310"/>
      <c r="CG540" s="311">
        <f t="shared" si="454"/>
        <v>0</v>
      </c>
      <c r="CH540" s="310"/>
      <c r="CI540" s="311">
        <f t="shared" si="455"/>
        <v>0</v>
      </c>
      <c r="CJ540" s="310"/>
      <c r="CK540" s="311">
        <f t="shared" si="456"/>
        <v>0</v>
      </c>
      <c r="CL540" s="310">
        <f>8500*0.95</f>
        <v>8075</v>
      </c>
      <c r="CM540" s="311">
        <f t="shared" si="457"/>
        <v>0.95</v>
      </c>
      <c r="CN540" s="310">
        <f>8500*0.95</f>
        <v>8075</v>
      </c>
      <c r="CO540" s="311">
        <f t="shared" si="458"/>
        <v>0.95</v>
      </c>
      <c r="CP540" s="213" t="str">
        <f t="shared" si="471"/>
        <v>Không đạt</v>
      </c>
      <c r="CQ540" s="213" t="str">
        <f t="shared" si="472"/>
        <v>Không đạt</v>
      </c>
      <c r="CR540" s="312"/>
      <c r="CS540" s="312"/>
      <c r="CT540" s="235"/>
      <c r="CU540" s="163"/>
      <c r="CW540" s="195"/>
      <c r="CX540" s="196"/>
      <c r="CY540" s="196"/>
      <c r="CZ540" s="197"/>
      <c r="DA540" s="196"/>
      <c r="DB540" s="196"/>
      <c r="DC540" s="196"/>
      <c r="DE540" s="199"/>
      <c r="DF540" s="200"/>
      <c r="DG540" s="181"/>
    </row>
    <row r="541" spans="1:111" ht="18" customHeight="1" collapsed="1" x14ac:dyDescent="0.25">
      <c r="A541" s="213">
        <f>MAX(A$239:A538)+1</f>
        <v>83</v>
      </c>
      <c r="B541" s="240" t="s">
        <v>498</v>
      </c>
      <c r="C541" s="240"/>
      <c r="D541" s="188">
        <f t="shared" ref="D541:I541" si="480">D542+D544+D545</f>
        <v>33255</v>
      </c>
      <c r="E541" s="188">
        <f t="shared" si="480"/>
        <v>0</v>
      </c>
      <c r="F541" s="188">
        <f t="shared" si="480"/>
        <v>33255</v>
      </c>
      <c r="G541" s="188">
        <f t="shared" si="480"/>
        <v>33000</v>
      </c>
      <c r="H541" s="188">
        <f t="shared" si="480"/>
        <v>255</v>
      </c>
      <c r="I541" s="188">
        <f t="shared" si="480"/>
        <v>0</v>
      </c>
      <c r="J541" s="188"/>
      <c r="K541" s="188">
        <f>K542+K544+K545</f>
        <v>0</v>
      </c>
      <c r="L541" s="188">
        <f>L542+L544+L545</f>
        <v>0</v>
      </c>
      <c r="M541" s="188">
        <f>M542+M544+M545</f>
        <v>0</v>
      </c>
      <c r="N541" s="188">
        <f>N542+N544+N545</f>
        <v>0</v>
      </c>
      <c r="O541" s="188">
        <f>O542+O544+O545</f>
        <v>33000</v>
      </c>
      <c r="P541" s="188">
        <v>465</v>
      </c>
      <c r="Q541" s="186">
        <f t="shared" si="470"/>
        <v>1.3982859720342805E-2</v>
      </c>
      <c r="R541" s="188">
        <f>R542+R544+R545</f>
        <v>465</v>
      </c>
      <c r="S541" s="185">
        <v>1.3982859720342805E-2</v>
      </c>
      <c r="T541" s="185">
        <v>1.4718799705624007E-2</v>
      </c>
      <c r="U541" s="314">
        <v>1722.4680000000001</v>
      </c>
      <c r="V541" s="185">
        <v>5.1795760036084798E-2</v>
      </c>
      <c r="W541" s="185">
        <v>5.4521852669562949E-2</v>
      </c>
      <c r="X541" s="314">
        <v>1722.4680000000001</v>
      </c>
      <c r="Y541" s="185">
        <v>5.1795760036084798E-2</v>
      </c>
      <c r="Z541" s="185">
        <v>5.4521852669562949E-2</v>
      </c>
      <c r="AA541" s="314">
        <v>1722.4680000000001</v>
      </c>
      <c r="AB541" s="185">
        <v>5.1795760036084798E-2</v>
      </c>
      <c r="AC541" s="185">
        <v>5.4521852669562949E-2</v>
      </c>
      <c r="AD541" s="314">
        <v>2783.596</v>
      </c>
      <c r="AE541" s="185">
        <v>8.3704585776574955E-2</v>
      </c>
      <c r="AF541" s="185">
        <v>8.8110090291131524E-2</v>
      </c>
      <c r="AG541" s="314">
        <v>2783.596</v>
      </c>
      <c r="AH541" s="185">
        <v>8.3704585776574955E-2</v>
      </c>
      <c r="AI541" s="185">
        <v>8.8110090291131524E-2</v>
      </c>
      <c r="AJ541" s="317">
        <v>2783.596</v>
      </c>
      <c r="AK541" s="185">
        <v>8.3704585776574955E-2</v>
      </c>
      <c r="AL541" s="185">
        <v>8.8110090291131524E-2</v>
      </c>
      <c r="AM541" s="314">
        <v>2783.596</v>
      </c>
      <c r="AN541" s="185">
        <v>8.3704585776574955E-2</v>
      </c>
      <c r="AO541" s="185">
        <v>8.8110090291131524E-2</v>
      </c>
      <c r="AP541" s="185"/>
      <c r="AQ541" s="188">
        <v>5189.0480000000007</v>
      </c>
      <c r="AR541" s="185">
        <v>0.15603812960457075</v>
      </c>
      <c r="AS541" s="185">
        <v>0.16425066274165342</v>
      </c>
      <c r="AT541" s="188">
        <v>5189.0480000000007</v>
      </c>
      <c r="AU541" s="185">
        <v>0.15603812960457075</v>
      </c>
      <c r="AV541" s="185">
        <v>0.16425066274165342</v>
      </c>
      <c r="AW541" s="185"/>
      <c r="AX541" s="185"/>
      <c r="AY541" s="185"/>
      <c r="AZ541" s="185"/>
      <c r="BA541" s="185"/>
      <c r="BB541" s="185"/>
      <c r="BC541" s="188">
        <v>5189.0480000000007</v>
      </c>
      <c r="BD541" s="185">
        <v>0.15603812960457075</v>
      </c>
      <c r="BE541" s="185">
        <v>0.16425066274165342</v>
      </c>
      <c r="BF541" s="352"/>
      <c r="BG541" s="352">
        <v>28182.587</v>
      </c>
      <c r="BH541" s="185">
        <v>0.84746916253195004</v>
      </c>
      <c r="BI541" s="185">
        <v>0.89207280266521061</v>
      </c>
      <c r="BJ541" s="374">
        <f t="shared" si="463"/>
        <v>31592.25</v>
      </c>
      <c r="BK541" s="374">
        <v>28280.459000000003</v>
      </c>
      <c r="BL541" s="185">
        <f t="shared" si="465"/>
        <v>0.85041223876108862</v>
      </c>
      <c r="BM541" s="185">
        <f t="shared" si="473"/>
        <v>0.89517077764325115</v>
      </c>
      <c r="BN541" s="205">
        <f t="shared" si="461"/>
        <v>25496.863000000001</v>
      </c>
      <c r="BO541" s="205"/>
      <c r="BP541" s="189">
        <f>BP542+BP544+BP545</f>
        <v>4350</v>
      </c>
      <c r="BQ541" s="186">
        <f t="shared" si="466"/>
        <v>0.13080739738385205</v>
      </c>
      <c r="BR541" s="189">
        <f>BR542+BR544+BR545</f>
        <v>4350</v>
      </c>
      <c r="BS541" s="186">
        <f t="shared" si="467"/>
        <v>0.13080739738385205</v>
      </c>
      <c r="BT541" s="189">
        <f>BT542+BT544+BT545</f>
        <v>17926.5</v>
      </c>
      <c r="BU541" s="186">
        <f t="shared" si="468"/>
        <v>0.53906179521876407</v>
      </c>
      <c r="BV541" s="189">
        <f>BV542+BV544+BV545</f>
        <v>17952</v>
      </c>
      <c r="BW541" s="186">
        <f t="shared" si="450"/>
        <v>0.53982859720342802</v>
      </c>
      <c r="BX541" s="189">
        <f>BX542+BX544+BX545</f>
        <v>17977.5</v>
      </c>
      <c r="BY541" s="186">
        <f t="shared" si="451"/>
        <v>0.54059539918809196</v>
      </c>
      <c r="BZ541" s="189">
        <f>BZ542+BZ544+BZ545</f>
        <v>18028.5</v>
      </c>
      <c r="CA541" s="186">
        <f t="shared" si="452"/>
        <v>0.54212900315741996</v>
      </c>
      <c r="CB541" s="189">
        <f>CB542+CB544+CB545</f>
        <v>18092.25</v>
      </c>
      <c r="CC541" s="186">
        <f t="shared" si="479"/>
        <v>0.54404600811907988</v>
      </c>
      <c r="CD541" s="189">
        <f>CD542+CD544+CD545</f>
        <v>31592.25</v>
      </c>
      <c r="CE541" s="186">
        <f t="shared" si="453"/>
        <v>0.95</v>
      </c>
      <c r="CF541" s="189">
        <f>CF542+CF544+CF545</f>
        <v>31592.25</v>
      </c>
      <c r="CG541" s="186">
        <f t="shared" si="454"/>
        <v>0.95</v>
      </c>
      <c r="CH541" s="189">
        <f>CH542+CH544+CH545</f>
        <v>31592.25</v>
      </c>
      <c r="CI541" s="186">
        <f t="shared" si="455"/>
        <v>0.95</v>
      </c>
      <c r="CJ541" s="189">
        <f>CJ542+CJ544+CJ545</f>
        <v>31592.25</v>
      </c>
      <c r="CK541" s="186">
        <f t="shared" si="456"/>
        <v>0.95</v>
      </c>
      <c r="CL541" s="189">
        <f>CL542+CL544+CL545</f>
        <v>31592.25</v>
      </c>
      <c r="CM541" s="186">
        <f t="shared" si="457"/>
        <v>0.95</v>
      </c>
      <c r="CN541" s="189">
        <f>CN542+CN544+CN545</f>
        <v>31592.25</v>
      </c>
      <c r="CO541" s="186">
        <f t="shared" si="458"/>
        <v>0.95</v>
      </c>
      <c r="CP541" s="213" t="str">
        <f t="shared" si="471"/>
        <v>Đạt</v>
      </c>
      <c r="CQ541" s="213" t="str">
        <f t="shared" si="472"/>
        <v>Đạt</v>
      </c>
      <c r="CR541" s="213"/>
      <c r="CS541" s="213"/>
      <c r="CT541" s="231"/>
      <c r="CU541" s="163"/>
      <c r="CW541" s="195"/>
      <c r="CX541" s="196"/>
      <c r="CY541" s="196"/>
      <c r="CZ541" s="197"/>
      <c r="DA541" s="196"/>
      <c r="DB541" s="196"/>
      <c r="DC541" s="196"/>
      <c r="DE541" s="199"/>
      <c r="DF541" s="200"/>
      <c r="DG541" s="181"/>
    </row>
    <row r="542" spans="1:111" s="324" customFormat="1" hidden="1" outlineLevel="1" x14ac:dyDescent="0.25">
      <c r="A542" s="305" t="s">
        <v>34</v>
      </c>
      <c r="B542" s="318" t="s">
        <v>381</v>
      </c>
      <c r="C542" s="306"/>
      <c r="D542" s="317">
        <f t="shared" ref="D542:I542" si="481">D543</f>
        <v>30000</v>
      </c>
      <c r="E542" s="317">
        <f t="shared" si="481"/>
        <v>0</v>
      </c>
      <c r="F542" s="317">
        <f t="shared" si="481"/>
        <v>30000</v>
      </c>
      <c r="G542" s="317">
        <f t="shared" si="481"/>
        <v>30000</v>
      </c>
      <c r="H542" s="317">
        <f t="shared" si="481"/>
        <v>0</v>
      </c>
      <c r="I542" s="214">
        <f t="shared" si="481"/>
        <v>0</v>
      </c>
      <c r="J542" s="214"/>
      <c r="K542" s="317">
        <f>K543</f>
        <v>0</v>
      </c>
      <c r="L542" s="214">
        <f>L543</f>
        <v>0</v>
      </c>
      <c r="M542" s="223"/>
      <c r="N542" s="223"/>
      <c r="O542" s="317">
        <f>G542+I542+L542+N542</f>
        <v>30000</v>
      </c>
      <c r="P542" s="317">
        <v>0</v>
      </c>
      <c r="Q542" s="319">
        <f t="shared" si="470"/>
        <v>0</v>
      </c>
      <c r="R542" s="317">
        <v>465</v>
      </c>
      <c r="S542" s="187">
        <v>1.55E-2</v>
      </c>
      <c r="T542" s="187">
        <v>1.6315789473684211E-2</v>
      </c>
      <c r="U542" s="317">
        <v>465</v>
      </c>
      <c r="V542" s="187">
        <v>1.55E-2</v>
      </c>
      <c r="W542" s="187">
        <v>1.6315789473684211E-2</v>
      </c>
      <c r="X542" s="317">
        <v>465</v>
      </c>
      <c r="Y542" s="187">
        <v>1.55E-2</v>
      </c>
      <c r="Z542" s="187">
        <v>1.6315789473684211E-2</v>
      </c>
      <c r="AA542" s="317">
        <v>465</v>
      </c>
      <c r="AB542" s="187">
        <v>1.55E-2</v>
      </c>
      <c r="AC542" s="187">
        <v>1.6315789473684211E-2</v>
      </c>
      <c r="AD542" s="317">
        <v>1317.58</v>
      </c>
      <c r="AE542" s="187">
        <v>4.3919333333333331E-2</v>
      </c>
      <c r="AF542" s="187">
        <v>4.6230877192982453E-2</v>
      </c>
      <c r="AG542" s="317">
        <v>1317.58</v>
      </c>
      <c r="AH542" s="187">
        <v>4.3919333333333331E-2</v>
      </c>
      <c r="AI542" s="187">
        <v>4.6230877192982453E-2</v>
      </c>
      <c r="AJ542" s="223">
        <v>1317.58</v>
      </c>
      <c r="AK542" s="187">
        <v>4.3919333333333331E-2</v>
      </c>
      <c r="AL542" s="187">
        <v>4.6230877192982453E-2</v>
      </c>
      <c r="AM542" s="317">
        <v>1317.58</v>
      </c>
      <c r="AN542" s="187">
        <v>4.3919333333333331E-2</v>
      </c>
      <c r="AO542" s="187">
        <v>4.6230877192982453E-2</v>
      </c>
      <c r="AP542" s="187"/>
      <c r="AQ542" s="317">
        <v>2339.0480000000002</v>
      </c>
      <c r="AR542" s="187">
        <v>7.7968266666666675E-2</v>
      </c>
      <c r="AS542" s="187">
        <v>8.2071859649122822E-2</v>
      </c>
      <c r="AT542" s="317">
        <v>2339.0480000000002</v>
      </c>
      <c r="AU542" s="187">
        <v>7.7968266666666675E-2</v>
      </c>
      <c r="AV542" s="187">
        <v>8.2071859649122822E-2</v>
      </c>
      <c r="AW542" s="187"/>
      <c r="AX542" s="187"/>
      <c r="AY542" s="187"/>
      <c r="AZ542" s="187"/>
      <c r="BA542" s="187"/>
      <c r="BB542" s="187"/>
      <c r="BC542" s="317">
        <v>2339.0480000000002</v>
      </c>
      <c r="BD542" s="187">
        <v>7.7968266666666675E-2</v>
      </c>
      <c r="BE542" s="187">
        <v>8.2071859649122822E-2</v>
      </c>
      <c r="BF542" s="349"/>
      <c r="BG542" s="349">
        <v>25332.587</v>
      </c>
      <c r="BH542" s="187">
        <v>0.84441956666666662</v>
      </c>
      <c r="BI542" s="187">
        <v>0.88886270175438598</v>
      </c>
      <c r="BJ542" s="349">
        <f t="shared" si="463"/>
        <v>28500</v>
      </c>
      <c r="BK542" s="349">
        <v>25381.523000000001</v>
      </c>
      <c r="BL542" s="187">
        <f t="shared" si="465"/>
        <v>0.84605076666666668</v>
      </c>
      <c r="BM542" s="187">
        <f t="shared" si="473"/>
        <v>0.89057975438596493</v>
      </c>
      <c r="BN542" s="205">
        <f t="shared" si="461"/>
        <v>24063.942999999999</v>
      </c>
      <c r="BO542" s="205"/>
      <c r="BP542" s="307">
        <f>BP543</f>
        <v>1500</v>
      </c>
      <c r="BQ542" s="319">
        <f t="shared" si="466"/>
        <v>0.05</v>
      </c>
      <c r="BR542" s="307">
        <f>BR543</f>
        <v>1500</v>
      </c>
      <c r="BS542" s="319">
        <f t="shared" si="467"/>
        <v>0.05</v>
      </c>
      <c r="BT542" s="307">
        <f>BT543</f>
        <v>15000</v>
      </c>
      <c r="BU542" s="319">
        <f t="shared" si="468"/>
        <v>0.5</v>
      </c>
      <c r="BV542" s="307">
        <f>BV543</f>
        <v>15000</v>
      </c>
      <c r="BW542" s="319">
        <f t="shared" si="450"/>
        <v>0.5</v>
      </c>
      <c r="BX542" s="307">
        <f>BX543</f>
        <v>15000</v>
      </c>
      <c r="BY542" s="319">
        <f t="shared" si="451"/>
        <v>0.5</v>
      </c>
      <c r="BZ542" s="307">
        <f>BZ543</f>
        <v>15000</v>
      </c>
      <c r="CA542" s="319">
        <f t="shared" si="452"/>
        <v>0.5</v>
      </c>
      <c r="CB542" s="307">
        <f>CB543</f>
        <v>15000</v>
      </c>
      <c r="CC542" s="319">
        <f t="shared" si="479"/>
        <v>0.5</v>
      </c>
      <c r="CD542" s="307">
        <f>CD543</f>
        <v>28500</v>
      </c>
      <c r="CE542" s="319">
        <f t="shared" si="453"/>
        <v>0.95</v>
      </c>
      <c r="CF542" s="307">
        <f>CF543</f>
        <v>28500</v>
      </c>
      <c r="CG542" s="319">
        <f t="shared" si="454"/>
        <v>0.95</v>
      </c>
      <c r="CH542" s="307">
        <f>CH543</f>
        <v>28500</v>
      </c>
      <c r="CI542" s="319">
        <f t="shared" si="455"/>
        <v>0.95</v>
      </c>
      <c r="CJ542" s="307">
        <f>CJ543</f>
        <v>28500</v>
      </c>
      <c r="CK542" s="319">
        <f t="shared" si="456"/>
        <v>0.95</v>
      </c>
      <c r="CL542" s="307">
        <f>CL543</f>
        <v>28500</v>
      </c>
      <c r="CM542" s="319">
        <f t="shared" si="457"/>
        <v>0.95</v>
      </c>
      <c r="CN542" s="307">
        <f>CN543</f>
        <v>28500</v>
      </c>
      <c r="CO542" s="319">
        <f t="shared" si="458"/>
        <v>0.95</v>
      </c>
      <c r="CP542" s="213" t="str">
        <f t="shared" si="471"/>
        <v>Đạt</v>
      </c>
      <c r="CQ542" s="213" t="str">
        <f t="shared" si="472"/>
        <v>Đạt</v>
      </c>
      <c r="CR542" s="312"/>
      <c r="CS542" s="312"/>
      <c r="CT542" s="235"/>
      <c r="CU542" s="163"/>
      <c r="CV542" s="323"/>
      <c r="CW542" s="195"/>
      <c r="CX542" s="196"/>
      <c r="CY542" s="196"/>
      <c r="CZ542" s="197"/>
      <c r="DA542" s="196"/>
      <c r="DB542" s="196"/>
      <c r="DC542" s="196"/>
      <c r="DE542" s="199"/>
      <c r="DF542" s="200"/>
      <c r="DG542" s="181"/>
    </row>
    <row r="543" spans="1:111" ht="25.5" hidden="1" outlineLevel="1" x14ac:dyDescent="0.25">
      <c r="A543" s="192"/>
      <c r="B543" s="325" t="s">
        <v>499</v>
      </c>
      <c r="C543" s="325">
        <v>8064614</v>
      </c>
      <c r="D543" s="214">
        <f>E543+F543</f>
        <v>30000</v>
      </c>
      <c r="E543" s="215"/>
      <c r="F543" s="214">
        <f>G543+H543+K543+M543</f>
        <v>30000</v>
      </c>
      <c r="G543" s="257">
        <v>30000</v>
      </c>
      <c r="H543" s="223"/>
      <c r="I543" s="235"/>
      <c r="J543" s="235"/>
      <c r="K543" s="223"/>
      <c r="L543" s="235"/>
      <c r="M543" s="223"/>
      <c r="N543" s="223"/>
      <c r="O543" s="223">
        <f>G543+I543+L543+N543</f>
        <v>30000</v>
      </c>
      <c r="P543" s="223">
        <v>465</v>
      </c>
      <c r="Q543" s="224">
        <f t="shared" si="470"/>
        <v>1.55E-2</v>
      </c>
      <c r="R543" s="223">
        <v>465</v>
      </c>
      <c r="S543" s="225">
        <v>1.55E-2</v>
      </c>
      <c r="T543" s="225">
        <v>1.6315789473684211E-2</v>
      </c>
      <c r="U543" s="223">
        <v>465</v>
      </c>
      <c r="V543" s="225">
        <v>1.55E-2</v>
      </c>
      <c r="W543" s="225">
        <v>1.6315789473684211E-2</v>
      </c>
      <c r="X543" s="223">
        <v>465</v>
      </c>
      <c r="Y543" s="225">
        <v>1.55E-2</v>
      </c>
      <c r="Z543" s="225">
        <v>1.6315789473684211E-2</v>
      </c>
      <c r="AA543" s="223">
        <v>465</v>
      </c>
      <c r="AB543" s="225">
        <v>1.55E-2</v>
      </c>
      <c r="AC543" s="225">
        <v>1.6315789473684211E-2</v>
      </c>
      <c r="AD543" s="223">
        <v>1317.58</v>
      </c>
      <c r="AE543" s="225">
        <v>4.3919333333333331E-2</v>
      </c>
      <c r="AF543" s="225">
        <v>4.6230877192982453E-2</v>
      </c>
      <c r="AG543" s="223">
        <v>1317.58</v>
      </c>
      <c r="AH543" s="225">
        <v>4.3919333333333331E-2</v>
      </c>
      <c r="AI543" s="225">
        <v>4.6230877192982453E-2</v>
      </c>
      <c r="AJ543" s="307">
        <v>1317.58</v>
      </c>
      <c r="AK543" s="225">
        <v>4.3919333333333331E-2</v>
      </c>
      <c r="AL543" s="225">
        <v>4.6230877192982453E-2</v>
      </c>
      <c r="AM543" s="223">
        <v>1317.58</v>
      </c>
      <c r="AN543" s="225">
        <v>4.3919333333333331E-2</v>
      </c>
      <c r="AO543" s="225">
        <v>4.6230877192982453E-2</v>
      </c>
      <c r="AP543" s="225"/>
      <c r="AQ543" s="245">
        <v>2339.0480000000002</v>
      </c>
      <c r="AR543" s="225">
        <v>7.7968266666666675E-2</v>
      </c>
      <c r="AS543" s="225">
        <v>8.2071859649122822E-2</v>
      </c>
      <c r="AT543" s="245">
        <v>2339.0480000000002</v>
      </c>
      <c r="AU543" s="225">
        <v>7.7968266666666675E-2</v>
      </c>
      <c r="AV543" s="225">
        <v>8.2071859649122822E-2</v>
      </c>
      <c r="AW543" s="225"/>
      <c r="AX543" s="225"/>
      <c r="AY543" s="225"/>
      <c r="AZ543" s="225"/>
      <c r="BA543" s="225"/>
      <c r="BB543" s="225"/>
      <c r="BC543" s="245">
        <v>2339.0480000000002</v>
      </c>
      <c r="BD543" s="225">
        <v>7.7968266666666675E-2</v>
      </c>
      <c r="BE543" s="225">
        <v>8.2071859649122822E-2</v>
      </c>
      <c r="BF543" s="350"/>
      <c r="BG543" s="350">
        <v>25332.587</v>
      </c>
      <c r="BH543" s="225">
        <v>0.84441956666666662</v>
      </c>
      <c r="BI543" s="225">
        <v>0.88886270175438598</v>
      </c>
      <c r="BJ543" s="402">
        <f t="shared" si="463"/>
        <v>28500</v>
      </c>
      <c r="BK543" s="402">
        <v>25381.523000000001</v>
      </c>
      <c r="BL543" s="225">
        <f t="shared" si="465"/>
        <v>0.84605076666666668</v>
      </c>
      <c r="BM543" s="225">
        <f t="shared" si="473"/>
        <v>0.89057975438596493</v>
      </c>
      <c r="BN543" s="205">
        <f t="shared" si="461"/>
        <v>24063.942999999999</v>
      </c>
      <c r="BO543" s="205"/>
      <c r="BP543" s="227">
        <v>1500</v>
      </c>
      <c r="BQ543" s="224">
        <f t="shared" si="466"/>
        <v>0.05</v>
      </c>
      <c r="BR543" s="227">
        <v>1500</v>
      </c>
      <c r="BS543" s="224">
        <f t="shared" si="467"/>
        <v>0.05</v>
      </c>
      <c r="BT543" s="227">
        <v>15000</v>
      </c>
      <c r="BU543" s="224">
        <f t="shared" si="468"/>
        <v>0.5</v>
      </c>
      <c r="BV543" s="227">
        <v>15000</v>
      </c>
      <c r="BW543" s="224">
        <f t="shared" si="450"/>
        <v>0.5</v>
      </c>
      <c r="BX543" s="227">
        <v>15000</v>
      </c>
      <c r="BY543" s="224">
        <f t="shared" si="451"/>
        <v>0.5</v>
      </c>
      <c r="BZ543" s="227">
        <v>15000</v>
      </c>
      <c r="CA543" s="224">
        <f t="shared" si="452"/>
        <v>0.5</v>
      </c>
      <c r="CB543" s="227">
        <v>15000</v>
      </c>
      <c r="CC543" s="224">
        <f t="shared" si="479"/>
        <v>0.5</v>
      </c>
      <c r="CD543" s="227">
        <v>28500</v>
      </c>
      <c r="CE543" s="224">
        <f t="shared" si="453"/>
        <v>0.95</v>
      </c>
      <c r="CF543" s="227">
        <v>28500</v>
      </c>
      <c r="CG543" s="224">
        <f t="shared" si="454"/>
        <v>0.95</v>
      </c>
      <c r="CH543" s="227">
        <v>28500</v>
      </c>
      <c r="CI543" s="224">
        <f t="shared" si="455"/>
        <v>0.95</v>
      </c>
      <c r="CJ543" s="227">
        <v>28500</v>
      </c>
      <c r="CK543" s="224">
        <f t="shared" si="456"/>
        <v>0.95</v>
      </c>
      <c r="CL543" s="227">
        <v>28500</v>
      </c>
      <c r="CM543" s="224">
        <f t="shared" si="457"/>
        <v>0.95</v>
      </c>
      <c r="CN543" s="227">
        <v>28500</v>
      </c>
      <c r="CO543" s="224">
        <f t="shared" si="458"/>
        <v>0.95</v>
      </c>
      <c r="CP543" s="213" t="str">
        <f t="shared" si="471"/>
        <v>Đạt</v>
      </c>
      <c r="CQ543" s="213" t="str">
        <f t="shared" si="472"/>
        <v>Đạt</v>
      </c>
      <c r="CR543" s="192"/>
      <c r="CS543" s="192"/>
      <c r="CT543" s="223"/>
      <c r="CU543" s="163"/>
      <c r="CW543" s="195"/>
      <c r="CX543" s="196"/>
      <c r="CY543" s="196"/>
      <c r="CZ543" s="197"/>
      <c r="DA543" s="196"/>
      <c r="DB543" s="196"/>
      <c r="DC543" s="196"/>
      <c r="DE543" s="199"/>
      <c r="DF543" s="200"/>
      <c r="DG543" s="181"/>
    </row>
    <row r="544" spans="1:111" s="324" customFormat="1" hidden="1" outlineLevel="1" x14ac:dyDescent="0.25">
      <c r="A544" s="305" t="s">
        <v>34</v>
      </c>
      <c r="B544" s="318" t="s">
        <v>376</v>
      </c>
      <c r="C544" s="306"/>
      <c r="D544" s="307">
        <f>E544+F544</f>
        <v>3000</v>
      </c>
      <c r="E544" s="307"/>
      <c r="F544" s="307">
        <f>G544+H544+K544+M544</f>
        <v>3000</v>
      </c>
      <c r="G544" s="307">
        <v>3000</v>
      </c>
      <c r="H544" s="303"/>
      <c r="I544" s="235"/>
      <c r="J544" s="235"/>
      <c r="K544" s="303"/>
      <c r="L544" s="235"/>
      <c r="M544" s="223"/>
      <c r="N544" s="223"/>
      <c r="O544" s="303">
        <f>G544+I544+L544+N544</f>
        <v>3000</v>
      </c>
      <c r="P544" s="303">
        <v>0</v>
      </c>
      <c r="Q544" s="308">
        <f t="shared" si="470"/>
        <v>0</v>
      </c>
      <c r="R544" s="303"/>
      <c r="S544" s="309">
        <v>0</v>
      </c>
      <c r="T544" s="309">
        <v>0</v>
      </c>
      <c r="U544" s="303">
        <v>1257.4680000000001</v>
      </c>
      <c r="V544" s="309">
        <v>0.41915600000000003</v>
      </c>
      <c r="W544" s="309">
        <v>0.44121684210526319</v>
      </c>
      <c r="X544" s="303">
        <v>1257.4680000000001</v>
      </c>
      <c r="Y544" s="309">
        <v>0.41915600000000003</v>
      </c>
      <c r="Z544" s="309">
        <v>0.44121684210526319</v>
      </c>
      <c r="AA544" s="303">
        <v>1257.4680000000001</v>
      </c>
      <c r="AB544" s="309">
        <v>0.41915600000000003</v>
      </c>
      <c r="AC544" s="309">
        <v>0.44121684210526319</v>
      </c>
      <c r="AD544" s="303">
        <v>1466.0160000000001</v>
      </c>
      <c r="AE544" s="309">
        <v>0.48867200000000005</v>
      </c>
      <c r="AF544" s="309">
        <v>0.51439157894736842</v>
      </c>
      <c r="AG544" s="307">
        <v>1466.0160000000001</v>
      </c>
      <c r="AH544" s="309">
        <v>0.48867200000000005</v>
      </c>
      <c r="AI544" s="309">
        <v>0.51439157894736842</v>
      </c>
      <c r="AJ544" s="303">
        <v>1466.0160000000001</v>
      </c>
      <c r="AK544" s="309">
        <v>0.48867200000000005</v>
      </c>
      <c r="AL544" s="309">
        <v>0.51439157894736842</v>
      </c>
      <c r="AM544" s="307">
        <v>1466.0160000000001</v>
      </c>
      <c r="AN544" s="309">
        <v>0.48867200000000005</v>
      </c>
      <c r="AO544" s="309">
        <v>0.51439157894736842</v>
      </c>
      <c r="AP544" s="309"/>
      <c r="AQ544" s="307">
        <v>2850</v>
      </c>
      <c r="AR544" s="309">
        <v>0.95</v>
      </c>
      <c r="AS544" s="309">
        <v>1</v>
      </c>
      <c r="AT544" s="307">
        <v>2850</v>
      </c>
      <c r="AU544" s="309">
        <v>0.95</v>
      </c>
      <c r="AV544" s="309">
        <v>1</v>
      </c>
      <c r="AW544" s="309"/>
      <c r="AX544" s="309"/>
      <c r="AY544" s="309"/>
      <c r="AZ544" s="309"/>
      <c r="BA544" s="309"/>
      <c r="BB544" s="309"/>
      <c r="BC544" s="307">
        <v>2850</v>
      </c>
      <c r="BD544" s="309">
        <v>0.95</v>
      </c>
      <c r="BE544" s="309">
        <v>1</v>
      </c>
      <c r="BF544" s="351"/>
      <c r="BG544" s="351">
        <v>2850</v>
      </c>
      <c r="BH544" s="309">
        <v>0.95</v>
      </c>
      <c r="BI544" s="309">
        <v>1</v>
      </c>
      <c r="BJ544" s="349">
        <f t="shared" si="463"/>
        <v>2850</v>
      </c>
      <c r="BK544" s="349">
        <v>2850</v>
      </c>
      <c r="BL544" s="309">
        <f t="shared" si="465"/>
        <v>0.95</v>
      </c>
      <c r="BM544" s="309">
        <f t="shared" si="473"/>
        <v>1</v>
      </c>
      <c r="BN544" s="205">
        <f t="shared" si="461"/>
        <v>1383.9839999999999</v>
      </c>
      <c r="BO544" s="205"/>
      <c r="BP544" s="310">
        <v>2850</v>
      </c>
      <c r="BQ544" s="308">
        <f t="shared" si="466"/>
        <v>0.95</v>
      </c>
      <c r="BR544" s="310">
        <v>2850</v>
      </c>
      <c r="BS544" s="308">
        <f t="shared" si="467"/>
        <v>0.95</v>
      </c>
      <c r="BT544" s="310">
        <v>2850</v>
      </c>
      <c r="BU544" s="308">
        <f t="shared" si="468"/>
        <v>0.95</v>
      </c>
      <c r="BV544" s="310">
        <v>2850</v>
      </c>
      <c r="BW544" s="308">
        <f t="shared" si="450"/>
        <v>0.95</v>
      </c>
      <c r="BX544" s="310">
        <v>2850</v>
      </c>
      <c r="BY544" s="308">
        <f t="shared" si="451"/>
        <v>0.95</v>
      </c>
      <c r="BZ544" s="310">
        <v>2850</v>
      </c>
      <c r="CA544" s="308">
        <f t="shared" si="452"/>
        <v>0.95</v>
      </c>
      <c r="CB544" s="310">
        <v>2850</v>
      </c>
      <c r="CC544" s="308">
        <f t="shared" si="479"/>
        <v>0.95</v>
      </c>
      <c r="CD544" s="310">
        <v>2850</v>
      </c>
      <c r="CE544" s="308">
        <f t="shared" si="453"/>
        <v>0.95</v>
      </c>
      <c r="CF544" s="310">
        <v>2850</v>
      </c>
      <c r="CG544" s="308">
        <f t="shared" si="454"/>
        <v>0.95</v>
      </c>
      <c r="CH544" s="310">
        <v>2850</v>
      </c>
      <c r="CI544" s="308">
        <f t="shared" si="455"/>
        <v>0.95</v>
      </c>
      <c r="CJ544" s="310">
        <v>2850</v>
      </c>
      <c r="CK544" s="308">
        <f t="shared" si="456"/>
        <v>0.95</v>
      </c>
      <c r="CL544" s="310">
        <v>2850</v>
      </c>
      <c r="CM544" s="308">
        <f t="shared" si="457"/>
        <v>0.95</v>
      </c>
      <c r="CN544" s="310">
        <v>2850</v>
      </c>
      <c r="CO544" s="308">
        <f t="shared" si="458"/>
        <v>0.95</v>
      </c>
      <c r="CP544" s="213" t="str">
        <f t="shared" si="471"/>
        <v>Đạt</v>
      </c>
      <c r="CQ544" s="213" t="str">
        <f t="shared" si="472"/>
        <v>Đạt</v>
      </c>
      <c r="CR544" s="312"/>
      <c r="CS544" s="312"/>
      <c r="CT544" s="235"/>
      <c r="CU544" s="163"/>
      <c r="CV544" s="323"/>
      <c r="CW544" s="195"/>
      <c r="CX544" s="196"/>
      <c r="CY544" s="196"/>
      <c r="CZ544" s="197"/>
      <c r="DA544" s="196"/>
      <c r="DB544" s="196"/>
      <c r="DC544" s="196"/>
      <c r="DE544" s="199"/>
      <c r="DF544" s="200"/>
      <c r="DG544" s="181"/>
    </row>
    <row r="545" spans="1:111" ht="25.5" hidden="1" outlineLevel="1" x14ac:dyDescent="0.25">
      <c r="A545" s="305" t="s">
        <v>34</v>
      </c>
      <c r="B545" s="306" t="s">
        <v>377</v>
      </c>
      <c r="C545" s="306"/>
      <c r="D545" s="307">
        <f>E545+F545</f>
        <v>255</v>
      </c>
      <c r="E545" s="307"/>
      <c r="F545" s="307">
        <f>G545+H545+K545+M545</f>
        <v>255</v>
      </c>
      <c r="G545" s="307"/>
      <c r="H545" s="307">
        <v>255</v>
      </c>
      <c r="I545" s="235"/>
      <c r="J545" s="235"/>
      <c r="K545" s="303"/>
      <c r="L545" s="235"/>
      <c r="M545" s="223"/>
      <c r="N545" s="223"/>
      <c r="O545" s="303"/>
      <c r="P545" s="303">
        <v>0</v>
      </c>
      <c r="Q545" s="308">
        <f t="shared" si="470"/>
        <v>0</v>
      </c>
      <c r="R545" s="303"/>
      <c r="S545" s="309">
        <v>0</v>
      </c>
      <c r="T545" s="309">
        <v>0</v>
      </c>
      <c r="U545" s="303"/>
      <c r="V545" s="309">
        <v>0</v>
      </c>
      <c r="W545" s="309">
        <v>0</v>
      </c>
      <c r="X545" s="303"/>
      <c r="Y545" s="309">
        <v>0</v>
      </c>
      <c r="Z545" s="309">
        <v>0</v>
      </c>
      <c r="AA545" s="303"/>
      <c r="AB545" s="309">
        <v>0</v>
      </c>
      <c r="AC545" s="309">
        <v>0</v>
      </c>
      <c r="AD545" s="303"/>
      <c r="AE545" s="309">
        <v>0</v>
      </c>
      <c r="AF545" s="309">
        <v>0</v>
      </c>
      <c r="AG545" s="303"/>
      <c r="AH545" s="309">
        <v>0</v>
      </c>
      <c r="AI545" s="309">
        <v>0</v>
      </c>
      <c r="AJ545" s="188"/>
      <c r="AK545" s="309">
        <v>0</v>
      </c>
      <c r="AL545" s="309">
        <v>0</v>
      </c>
      <c r="AM545" s="303"/>
      <c r="AN545" s="309">
        <v>0</v>
      </c>
      <c r="AO545" s="309">
        <v>0</v>
      </c>
      <c r="AP545" s="309"/>
      <c r="AQ545" s="303"/>
      <c r="AR545" s="309">
        <v>0</v>
      </c>
      <c r="AS545" s="309">
        <v>0</v>
      </c>
      <c r="AT545" s="303"/>
      <c r="AU545" s="309">
        <v>0</v>
      </c>
      <c r="AV545" s="309">
        <v>0</v>
      </c>
      <c r="AW545" s="309"/>
      <c r="AX545" s="309"/>
      <c r="AY545" s="309"/>
      <c r="AZ545" s="309"/>
      <c r="BA545" s="309"/>
      <c r="BB545" s="309"/>
      <c r="BC545" s="303"/>
      <c r="BD545" s="309">
        <v>0</v>
      </c>
      <c r="BE545" s="309">
        <v>0</v>
      </c>
      <c r="BF545" s="351"/>
      <c r="BG545" s="351">
        <v>0</v>
      </c>
      <c r="BH545" s="309">
        <v>0</v>
      </c>
      <c r="BI545" s="309">
        <v>0</v>
      </c>
      <c r="BJ545" s="349">
        <f t="shared" si="463"/>
        <v>242.25</v>
      </c>
      <c r="BK545" s="349">
        <v>48.936</v>
      </c>
      <c r="BL545" s="309">
        <f t="shared" si="465"/>
        <v>0.19190588235294118</v>
      </c>
      <c r="BM545" s="309">
        <f t="shared" si="473"/>
        <v>0.2020061919504644</v>
      </c>
      <c r="BN545" s="205">
        <f t="shared" si="461"/>
        <v>48.936</v>
      </c>
      <c r="BO545" s="205"/>
      <c r="BP545" s="310"/>
      <c r="BQ545" s="308">
        <f t="shared" si="466"/>
        <v>0</v>
      </c>
      <c r="BR545" s="310"/>
      <c r="BS545" s="308">
        <f t="shared" si="467"/>
        <v>0</v>
      </c>
      <c r="BT545" s="310">
        <f>255*0.3</f>
        <v>76.5</v>
      </c>
      <c r="BU545" s="308">
        <f t="shared" si="468"/>
        <v>0.3</v>
      </c>
      <c r="BV545" s="310">
        <f>255*0.4</f>
        <v>102</v>
      </c>
      <c r="BW545" s="308">
        <f t="shared" si="450"/>
        <v>0.4</v>
      </c>
      <c r="BX545" s="310">
        <f>255*0.5</f>
        <v>127.5</v>
      </c>
      <c r="BY545" s="308">
        <f t="shared" si="451"/>
        <v>0.5</v>
      </c>
      <c r="BZ545" s="310">
        <f>255*0.7</f>
        <v>178.5</v>
      </c>
      <c r="CA545" s="308">
        <f t="shared" si="452"/>
        <v>0.7</v>
      </c>
      <c r="CB545" s="310">
        <f>255*0.95</f>
        <v>242.25</v>
      </c>
      <c r="CC545" s="308">
        <f t="shared" si="479"/>
        <v>0.95</v>
      </c>
      <c r="CD545" s="310">
        <v>242.25</v>
      </c>
      <c r="CE545" s="308">
        <f t="shared" si="453"/>
        <v>0.95</v>
      </c>
      <c r="CF545" s="310">
        <v>242.25</v>
      </c>
      <c r="CG545" s="308">
        <f t="shared" si="454"/>
        <v>0.95</v>
      </c>
      <c r="CH545" s="310">
        <v>242.25</v>
      </c>
      <c r="CI545" s="308">
        <f t="shared" si="455"/>
        <v>0.95</v>
      </c>
      <c r="CJ545" s="310">
        <v>242.25</v>
      </c>
      <c r="CK545" s="308">
        <f t="shared" si="456"/>
        <v>0.95</v>
      </c>
      <c r="CL545" s="310">
        <v>242.25</v>
      </c>
      <c r="CM545" s="308">
        <f t="shared" si="457"/>
        <v>0.95</v>
      </c>
      <c r="CN545" s="310">
        <v>242.25</v>
      </c>
      <c r="CO545" s="308">
        <f t="shared" si="458"/>
        <v>0.95</v>
      </c>
      <c r="CP545" s="213" t="str">
        <f t="shared" si="471"/>
        <v>Không đạt</v>
      </c>
      <c r="CQ545" s="213" t="str">
        <f t="shared" si="472"/>
        <v>Không đạt</v>
      </c>
      <c r="CR545" s="312"/>
      <c r="CS545" s="312"/>
      <c r="CT545" s="235"/>
      <c r="CU545" s="163"/>
      <c r="CW545" s="195"/>
      <c r="CX545" s="196"/>
      <c r="CY545" s="196"/>
      <c r="CZ545" s="197"/>
      <c r="DA545" s="196"/>
      <c r="DB545" s="196"/>
      <c r="DC545" s="196"/>
      <c r="DE545" s="199"/>
      <c r="DF545" s="200"/>
      <c r="DG545" s="181"/>
    </row>
    <row r="546" spans="1:111" ht="18" customHeight="1" collapsed="1" x14ac:dyDescent="0.25">
      <c r="A546" s="213">
        <f>MAX(A$239:A543)+1</f>
        <v>84</v>
      </c>
      <c r="B546" s="240" t="s">
        <v>500</v>
      </c>
      <c r="C546" s="240"/>
      <c r="D546" s="188">
        <f t="shared" ref="D546:I546" si="482">D547</f>
        <v>3000</v>
      </c>
      <c r="E546" s="188">
        <f t="shared" si="482"/>
        <v>0</v>
      </c>
      <c r="F546" s="188">
        <f t="shared" si="482"/>
        <v>3000</v>
      </c>
      <c r="G546" s="188">
        <f t="shared" si="482"/>
        <v>3000</v>
      </c>
      <c r="H546" s="188">
        <f t="shared" si="482"/>
        <v>0</v>
      </c>
      <c r="I546" s="188">
        <f t="shared" si="482"/>
        <v>0</v>
      </c>
      <c r="J546" s="188"/>
      <c r="K546" s="188">
        <f>K547</f>
        <v>0</v>
      </c>
      <c r="L546" s="188">
        <f>L547</f>
        <v>0</v>
      </c>
      <c r="M546" s="231"/>
      <c r="N546" s="231"/>
      <c r="O546" s="188">
        <f>G546+I546+L546+N546</f>
        <v>3000</v>
      </c>
      <c r="P546" s="188">
        <v>0</v>
      </c>
      <c r="Q546" s="186">
        <f t="shared" si="470"/>
        <v>0</v>
      </c>
      <c r="R546" s="188">
        <v>0</v>
      </c>
      <c r="S546" s="185">
        <v>0</v>
      </c>
      <c r="T546" s="185">
        <v>0</v>
      </c>
      <c r="U546" s="188">
        <v>0</v>
      </c>
      <c r="V546" s="185">
        <v>0</v>
      </c>
      <c r="W546" s="185">
        <v>0</v>
      </c>
      <c r="X546" s="188">
        <v>0</v>
      </c>
      <c r="Y546" s="185">
        <v>0</v>
      </c>
      <c r="Z546" s="185">
        <v>0</v>
      </c>
      <c r="AA546" s="188">
        <v>0</v>
      </c>
      <c r="AB546" s="185">
        <v>0</v>
      </c>
      <c r="AC546" s="185">
        <v>0</v>
      </c>
      <c r="AD546" s="188">
        <v>0</v>
      </c>
      <c r="AE546" s="185">
        <v>0</v>
      </c>
      <c r="AF546" s="185">
        <v>0</v>
      </c>
      <c r="AG546" s="188">
        <v>0</v>
      </c>
      <c r="AH546" s="185">
        <v>0</v>
      </c>
      <c r="AI546" s="185">
        <v>0</v>
      </c>
      <c r="AJ546" s="303">
        <v>0</v>
      </c>
      <c r="AK546" s="185">
        <v>0</v>
      </c>
      <c r="AL546" s="185">
        <v>0</v>
      </c>
      <c r="AM546" s="188">
        <v>0</v>
      </c>
      <c r="AN546" s="185">
        <v>0</v>
      </c>
      <c r="AO546" s="185">
        <v>0</v>
      </c>
      <c r="AP546" s="185"/>
      <c r="AQ546" s="188">
        <v>281.41300000000001</v>
      </c>
      <c r="AR546" s="185">
        <v>9.3804333333333337E-2</v>
      </c>
      <c r="AS546" s="185">
        <v>9.8741403508771933E-2</v>
      </c>
      <c r="AT546" s="188">
        <v>281.41300000000001</v>
      </c>
      <c r="AU546" s="185">
        <v>9.3804333333333337E-2</v>
      </c>
      <c r="AV546" s="185">
        <v>9.8741403508771933E-2</v>
      </c>
      <c r="AW546" s="185"/>
      <c r="AX546" s="185"/>
      <c r="AY546" s="185"/>
      <c r="AZ546" s="185"/>
      <c r="BA546" s="185"/>
      <c r="BB546" s="185"/>
      <c r="BC546" s="188">
        <v>281.41300000000001</v>
      </c>
      <c r="BD546" s="185">
        <v>9.3804333333333337E-2</v>
      </c>
      <c r="BE546" s="185">
        <v>9.8741403508771933E-2</v>
      </c>
      <c r="BF546" s="352"/>
      <c r="BG546" s="352">
        <v>1369</v>
      </c>
      <c r="BH546" s="185">
        <v>0.45633333333333331</v>
      </c>
      <c r="BI546" s="185">
        <v>0.48035087719298247</v>
      </c>
      <c r="BJ546" s="374">
        <f t="shared" si="463"/>
        <v>2850</v>
      </c>
      <c r="BK546" s="374">
        <v>1369</v>
      </c>
      <c r="BL546" s="185">
        <f t="shared" si="465"/>
        <v>0.45633333333333331</v>
      </c>
      <c r="BM546" s="185">
        <f t="shared" si="473"/>
        <v>0.48035087719298247</v>
      </c>
      <c r="BN546" s="205">
        <f t="shared" si="461"/>
        <v>1369</v>
      </c>
      <c r="BO546" s="205"/>
      <c r="BP546" s="189">
        <f>BP547</f>
        <v>0</v>
      </c>
      <c r="BQ546" s="186">
        <f t="shared" si="466"/>
        <v>0</v>
      </c>
      <c r="BR546" s="189">
        <f>BR547</f>
        <v>0</v>
      </c>
      <c r="BS546" s="186">
        <f t="shared" si="467"/>
        <v>0</v>
      </c>
      <c r="BT546" s="189">
        <f>BT547</f>
        <v>300</v>
      </c>
      <c r="BU546" s="186">
        <f t="shared" si="468"/>
        <v>0.1</v>
      </c>
      <c r="BV546" s="189">
        <f>BV547</f>
        <v>600</v>
      </c>
      <c r="BW546" s="186">
        <f t="shared" si="450"/>
        <v>0.2</v>
      </c>
      <c r="BX546" s="189">
        <f>BX547</f>
        <v>900</v>
      </c>
      <c r="BY546" s="186">
        <f t="shared" si="451"/>
        <v>0.3</v>
      </c>
      <c r="BZ546" s="189">
        <f>BZ547</f>
        <v>1200</v>
      </c>
      <c r="CA546" s="186">
        <f t="shared" si="452"/>
        <v>0.4</v>
      </c>
      <c r="CB546" s="189">
        <f>CB547</f>
        <v>1500</v>
      </c>
      <c r="CC546" s="186">
        <f t="shared" si="479"/>
        <v>0.5</v>
      </c>
      <c r="CD546" s="189">
        <f>CD547</f>
        <v>1650.0000000000002</v>
      </c>
      <c r="CE546" s="186">
        <f t="shared" si="453"/>
        <v>0.55000000000000004</v>
      </c>
      <c r="CF546" s="189">
        <f>CF547</f>
        <v>2100</v>
      </c>
      <c r="CG546" s="186">
        <f t="shared" si="454"/>
        <v>0.7</v>
      </c>
      <c r="CH546" s="189">
        <f>CH547</f>
        <v>2100</v>
      </c>
      <c r="CI546" s="186">
        <f t="shared" si="455"/>
        <v>0.7</v>
      </c>
      <c r="CJ546" s="189">
        <f>CJ547</f>
        <v>2250</v>
      </c>
      <c r="CK546" s="186">
        <f t="shared" si="456"/>
        <v>0.75</v>
      </c>
      <c r="CL546" s="189">
        <f>CL547</f>
        <v>2400</v>
      </c>
      <c r="CM546" s="186">
        <f t="shared" si="457"/>
        <v>0.8</v>
      </c>
      <c r="CN546" s="189">
        <f>CN547</f>
        <v>2850</v>
      </c>
      <c r="CO546" s="186">
        <f t="shared" si="458"/>
        <v>0.95</v>
      </c>
      <c r="CP546" s="213" t="str">
        <f t="shared" si="471"/>
        <v>Đạt</v>
      </c>
      <c r="CQ546" s="213" t="str">
        <f t="shared" si="472"/>
        <v>Đạt</v>
      </c>
      <c r="CR546" s="213"/>
      <c r="CS546" s="213"/>
      <c r="CT546" s="231"/>
      <c r="CU546" s="163"/>
      <c r="CW546" s="195"/>
      <c r="CX546" s="196"/>
      <c r="CY546" s="196"/>
      <c r="CZ546" s="197"/>
      <c r="DA546" s="196"/>
      <c r="DB546" s="196"/>
      <c r="DC546" s="196"/>
      <c r="DE546" s="199"/>
      <c r="DF546" s="200"/>
      <c r="DG546" s="181"/>
    </row>
    <row r="547" spans="1:111" s="324" customFormat="1" hidden="1" outlineLevel="1" x14ac:dyDescent="0.25">
      <c r="A547" s="305" t="s">
        <v>34</v>
      </c>
      <c r="B547" s="306" t="s">
        <v>376</v>
      </c>
      <c r="C547" s="306"/>
      <c r="D547" s="307">
        <f>E547+F547</f>
        <v>3000</v>
      </c>
      <c r="E547" s="307"/>
      <c r="F547" s="307">
        <f>G547+H547+K547+M547</f>
        <v>3000</v>
      </c>
      <c r="G547" s="303">
        <v>3000</v>
      </c>
      <c r="H547" s="303"/>
      <c r="I547" s="235"/>
      <c r="J547" s="235"/>
      <c r="K547" s="303"/>
      <c r="L547" s="235"/>
      <c r="M547" s="223"/>
      <c r="N547" s="223"/>
      <c r="O547" s="303">
        <f>G547+I547+L547+N547</f>
        <v>3000</v>
      </c>
      <c r="P547" s="303">
        <v>0</v>
      </c>
      <c r="Q547" s="308">
        <f t="shared" si="470"/>
        <v>0</v>
      </c>
      <c r="R547" s="303"/>
      <c r="S547" s="309">
        <v>0</v>
      </c>
      <c r="T547" s="309">
        <v>0</v>
      </c>
      <c r="U547" s="303"/>
      <c r="V547" s="309">
        <v>0</v>
      </c>
      <c r="W547" s="309">
        <v>0</v>
      </c>
      <c r="X547" s="303"/>
      <c r="Y547" s="309">
        <v>0</v>
      </c>
      <c r="Z547" s="309">
        <v>0</v>
      </c>
      <c r="AA547" s="303"/>
      <c r="AB547" s="309">
        <v>0</v>
      </c>
      <c r="AC547" s="309">
        <v>0</v>
      </c>
      <c r="AD547" s="303"/>
      <c r="AE547" s="309">
        <v>0</v>
      </c>
      <c r="AF547" s="309">
        <v>0</v>
      </c>
      <c r="AG547" s="303"/>
      <c r="AH547" s="309">
        <v>0</v>
      </c>
      <c r="AI547" s="309">
        <v>0</v>
      </c>
      <c r="AJ547" s="188"/>
      <c r="AK547" s="309">
        <v>0</v>
      </c>
      <c r="AL547" s="309">
        <v>0</v>
      </c>
      <c r="AM547" s="303"/>
      <c r="AN547" s="309">
        <v>0</v>
      </c>
      <c r="AO547" s="309">
        <v>0</v>
      </c>
      <c r="AP547" s="309"/>
      <c r="AQ547" s="303">
        <v>281.41300000000001</v>
      </c>
      <c r="AR547" s="309">
        <v>9.3804333333333337E-2</v>
      </c>
      <c r="AS547" s="309">
        <v>9.8741403508771933E-2</v>
      </c>
      <c r="AT547" s="303">
        <v>281.41300000000001</v>
      </c>
      <c r="AU547" s="309">
        <v>9.3804333333333337E-2</v>
      </c>
      <c r="AV547" s="309">
        <v>9.8741403508771933E-2</v>
      </c>
      <c r="AW547" s="309"/>
      <c r="AX547" s="309"/>
      <c r="AY547" s="309"/>
      <c r="AZ547" s="309"/>
      <c r="BA547" s="309"/>
      <c r="BB547" s="309"/>
      <c r="BC547" s="303">
        <v>281.41300000000001</v>
      </c>
      <c r="BD547" s="309">
        <v>9.3804333333333337E-2</v>
      </c>
      <c r="BE547" s="309">
        <v>9.8741403508771933E-2</v>
      </c>
      <c r="BF547" s="351"/>
      <c r="BG547" s="351">
        <v>1369</v>
      </c>
      <c r="BH547" s="309">
        <v>0.45633333333333331</v>
      </c>
      <c r="BI547" s="309">
        <v>0.48035087719298247</v>
      </c>
      <c r="BJ547" s="349">
        <f t="shared" si="463"/>
        <v>2850</v>
      </c>
      <c r="BK547" s="349">
        <v>1369</v>
      </c>
      <c r="BL547" s="309">
        <f t="shared" si="465"/>
        <v>0.45633333333333331</v>
      </c>
      <c r="BM547" s="309">
        <f t="shared" si="473"/>
        <v>0.48035087719298247</v>
      </c>
      <c r="BN547" s="205">
        <f t="shared" si="461"/>
        <v>1369</v>
      </c>
      <c r="BO547" s="205"/>
      <c r="BP547" s="310"/>
      <c r="BQ547" s="308">
        <f t="shared" si="466"/>
        <v>0</v>
      </c>
      <c r="BR547" s="310"/>
      <c r="BS547" s="308">
        <f t="shared" si="467"/>
        <v>0</v>
      </c>
      <c r="BT547" s="310">
        <f>$F547*0.1</f>
        <v>300</v>
      </c>
      <c r="BU547" s="308">
        <f t="shared" si="468"/>
        <v>0.1</v>
      </c>
      <c r="BV547" s="310">
        <f>$F547*0.2</f>
        <v>600</v>
      </c>
      <c r="BW547" s="308">
        <f t="shared" si="450"/>
        <v>0.2</v>
      </c>
      <c r="BX547" s="310">
        <f>$F547*0.3</f>
        <v>900</v>
      </c>
      <c r="BY547" s="308">
        <f t="shared" si="451"/>
        <v>0.3</v>
      </c>
      <c r="BZ547" s="310">
        <f>$F547*0.4</f>
        <v>1200</v>
      </c>
      <c r="CA547" s="308">
        <f t="shared" si="452"/>
        <v>0.4</v>
      </c>
      <c r="CB547" s="310">
        <f>$F547*0.5</f>
        <v>1500</v>
      </c>
      <c r="CC547" s="308">
        <f t="shared" si="479"/>
        <v>0.5</v>
      </c>
      <c r="CD547" s="310">
        <f>$F547*0.55</f>
        <v>1650.0000000000002</v>
      </c>
      <c r="CE547" s="308">
        <f t="shared" si="453"/>
        <v>0.55000000000000004</v>
      </c>
      <c r="CF547" s="310">
        <v>2100</v>
      </c>
      <c r="CG547" s="308">
        <f t="shared" si="454"/>
        <v>0.7</v>
      </c>
      <c r="CH547" s="310">
        <f>$F547*0.7</f>
        <v>2100</v>
      </c>
      <c r="CI547" s="308">
        <f t="shared" si="455"/>
        <v>0.7</v>
      </c>
      <c r="CJ547" s="310">
        <f>$F547*0.75</f>
        <v>2250</v>
      </c>
      <c r="CK547" s="308">
        <f t="shared" si="456"/>
        <v>0.75</v>
      </c>
      <c r="CL547" s="310">
        <f>$F547*0.8</f>
        <v>2400</v>
      </c>
      <c r="CM547" s="308">
        <f t="shared" si="457"/>
        <v>0.8</v>
      </c>
      <c r="CN547" s="310">
        <f>$F547*0.95</f>
        <v>2850</v>
      </c>
      <c r="CO547" s="308">
        <f t="shared" si="458"/>
        <v>0.95</v>
      </c>
      <c r="CP547" s="213" t="str">
        <f t="shared" si="471"/>
        <v>Đạt</v>
      </c>
      <c r="CQ547" s="213" t="str">
        <f t="shared" si="472"/>
        <v>Đạt</v>
      </c>
      <c r="CR547" s="312"/>
      <c r="CS547" s="312"/>
      <c r="CT547" s="235"/>
      <c r="CU547" s="163"/>
      <c r="CV547" s="323"/>
      <c r="CW547" s="195"/>
      <c r="CX547" s="196"/>
      <c r="CY547" s="196"/>
      <c r="CZ547" s="197"/>
      <c r="DA547" s="196"/>
      <c r="DB547" s="196"/>
      <c r="DC547" s="196"/>
      <c r="DE547" s="199"/>
      <c r="DF547" s="200"/>
      <c r="DG547" s="181"/>
    </row>
    <row r="548" spans="1:111" ht="18" customHeight="1" collapsed="1" x14ac:dyDescent="0.25">
      <c r="A548" s="213">
        <f>MAX(A$239:A546)+1</f>
        <v>85</v>
      </c>
      <c r="B548" s="240" t="s">
        <v>501</v>
      </c>
      <c r="C548" s="240"/>
      <c r="D548" s="188">
        <f t="shared" ref="D548:I548" si="483">D549</f>
        <v>3000</v>
      </c>
      <c r="E548" s="188">
        <f t="shared" si="483"/>
        <v>0</v>
      </c>
      <c r="F548" s="188">
        <f t="shared" si="483"/>
        <v>3000</v>
      </c>
      <c r="G548" s="188">
        <f t="shared" si="483"/>
        <v>3000</v>
      </c>
      <c r="H548" s="188">
        <f t="shared" si="483"/>
        <v>0</v>
      </c>
      <c r="I548" s="188">
        <f t="shared" si="483"/>
        <v>0</v>
      </c>
      <c r="J548" s="188"/>
      <c r="K548" s="188">
        <f>K549</f>
        <v>0</v>
      </c>
      <c r="L548" s="188">
        <f>L549</f>
        <v>0</v>
      </c>
      <c r="M548" s="231"/>
      <c r="N548" s="231"/>
      <c r="O548" s="188">
        <f>G548+I548+L548+N548</f>
        <v>3000</v>
      </c>
      <c r="P548" s="188">
        <v>0</v>
      </c>
      <c r="Q548" s="186">
        <f t="shared" si="470"/>
        <v>0</v>
      </c>
      <c r="R548" s="188">
        <v>0</v>
      </c>
      <c r="S548" s="185">
        <v>0</v>
      </c>
      <c r="T548" s="185">
        <v>0</v>
      </c>
      <c r="U548" s="188">
        <v>0</v>
      </c>
      <c r="V548" s="185">
        <v>0</v>
      </c>
      <c r="W548" s="185">
        <v>0</v>
      </c>
      <c r="X548" s="188">
        <v>0</v>
      </c>
      <c r="Y548" s="185">
        <v>0</v>
      </c>
      <c r="Z548" s="185">
        <v>0</v>
      </c>
      <c r="AA548" s="188">
        <v>0</v>
      </c>
      <c r="AB548" s="185">
        <v>0</v>
      </c>
      <c r="AC548" s="185">
        <v>0</v>
      </c>
      <c r="AD548" s="188">
        <v>0</v>
      </c>
      <c r="AE548" s="185">
        <v>0</v>
      </c>
      <c r="AF548" s="185">
        <v>0</v>
      </c>
      <c r="AG548" s="188">
        <v>0</v>
      </c>
      <c r="AH548" s="185">
        <v>0</v>
      </c>
      <c r="AI548" s="185">
        <v>0</v>
      </c>
      <c r="AJ548" s="303">
        <v>0</v>
      </c>
      <c r="AK548" s="185">
        <v>0</v>
      </c>
      <c r="AL548" s="185">
        <v>0</v>
      </c>
      <c r="AM548" s="188">
        <v>0</v>
      </c>
      <c r="AN548" s="185">
        <v>0</v>
      </c>
      <c r="AO548" s="185">
        <v>0</v>
      </c>
      <c r="AP548" s="185"/>
      <c r="AQ548" s="188">
        <v>0</v>
      </c>
      <c r="AR548" s="185">
        <v>0</v>
      </c>
      <c r="AS548" s="185">
        <v>0</v>
      </c>
      <c r="AT548" s="188">
        <v>0</v>
      </c>
      <c r="AU548" s="185">
        <v>0</v>
      </c>
      <c r="AV548" s="185">
        <v>0</v>
      </c>
      <c r="AW548" s="185"/>
      <c r="AX548" s="185"/>
      <c r="AY548" s="185"/>
      <c r="AZ548" s="185"/>
      <c r="BA548" s="185"/>
      <c r="BB548" s="185"/>
      <c r="BC548" s="188">
        <v>0</v>
      </c>
      <c r="BD548" s="185">
        <v>0</v>
      </c>
      <c r="BE548" s="185">
        <v>0</v>
      </c>
      <c r="BF548" s="352"/>
      <c r="BG548" s="352">
        <v>908.36689999999999</v>
      </c>
      <c r="BH548" s="185">
        <v>0.30278896666666666</v>
      </c>
      <c r="BI548" s="185">
        <v>0.31872522807017545</v>
      </c>
      <c r="BJ548" s="374">
        <f t="shared" si="463"/>
        <v>2850</v>
      </c>
      <c r="BK548" s="374">
        <v>1325.541817</v>
      </c>
      <c r="BL548" s="185">
        <f t="shared" si="465"/>
        <v>0.44184727233333332</v>
      </c>
      <c r="BM548" s="185">
        <f t="shared" si="473"/>
        <v>0.46510239192982455</v>
      </c>
      <c r="BN548" s="205">
        <f t="shared" si="461"/>
        <v>1325.541817</v>
      </c>
      <c r="BO548" s="205"/>
      <c r="BP548" s="189">
        <f>BP549</f>
        <v>0</v>
      </c>
      <c r="BQ548" s="186">
        <f t="shared" si="466"/>
        <v>0</v>
      </c>
      <c r="BR548" s="189">
        <f>BR549</f>
        <v>0</v>
      </c>
      <c r="BS548" s="186">
        <f t="shared" si="467"/>
        <v>0</v>
      </c>
      <c r="BT548" s="189">
        <f>BT549</f>
        <v>300</v>
      </c>
      <c r="BU548" s="186">
        <f t="shared" si="468"/>
        <v>0.1</v>
      </c>
      <c r="BV548" s="189">
        <f>BV549</f>
        <v>600</v>
      </c>
      <c r="BW548" s="186">
        <f t="shared" si="450"/>
        <v>0.2</v>
      </c>
      <c r="BX548" s="189">
        <f>BX549</f>
        <v>900</v>
      </c>
      <c r="BY548" s="186">
        <f t="shared" si="451"/>
        <v>0.3</v>
      </c>
      <c r="BZ548" s="189">
        <f>BZ549</f>
        <v>1200</v>
      </c>
      <c r="CA548" s="186">
        <f t="shared" si="452"/>
        <v>0.4</v>
      </c>
      <c r="CB548" s="189">
        <f>CB549</f>
        <v>1500</v>
      </c>
      <c r="CC548" s="186">
        <f t="shared" si="479"/>
        <v>0.5</v>
      </c>
      <c r="CD548" s="189">
        <f>CD549</f>
        <v>1650.0000000000002</v>
      </c>
      <c r="CE548" s="186">
        <f t="shared" si="453"/>
        <v>0.55000000000000004</v>
      </c>
      <c r="CF548" s="189">
        <f>CF549</f>
        <v>2100</v>
      </c>
      <c r="CG548" s="186">
        <f t="shared" si="454"/>
        <v>0.7</v>
      </c>
      <c r="CH548" s="189">
        <f>CH549</f>
        <v>2100</v>
      </c>
      <c r="CI548" s="186">
        <f t="shared" si="455"/>
        <v>0.7</v>
      </c>
      <c r="CJ548" s="189">
        <f>CJ549</f>
        <v>2250</v>
      </c>
      <c r="CK548" s="186">
        <f t="shared" si="456"/>
        <v>0.75</v>
      </c>
      <c r="CL548" s="189">
        <f>CL549</f>
        <v>2400</v>
      </c>
      <c r="CM548" s="186">
        <f t="shared" si="457"/>
        <v>0.8</v>
      </c>
      <c r="CN548" s="189">
        <f>CN549</f>
        <v>2850</v>
      </c>
      <c r="CO548" s="186">
        <f t="shared" si="458"/>
        <v>0.95</v>
      </c>
      <c r="CP548" s="213" t="str">
        <f t="shared" si="471"/>
        <v>Đạt</v>
      </c>
      <c r="CQ548" s="213" t="str">
        <f t="shared" si="472"/>
        <v>Đạt</v>
      </c>
      <c r="CR548" s="213"/>
      <c r="CS548" s="213"/>
      <c r="CT548" s="231"/>
      <c r="CU548" s="163"/>
      <c r="CW548" s="195"/>
      <c r="CX548" s="196"/>
      <c r="CY548" s="196"/>
      <c r="CZ548" s="197"/>
      <c r="DA548" s="196"/>
      <c r="DB548" s="196"/>
      <c r="DC548" s="196"/>
      <c r="DE548" s="199"/>
      <c r="DF548" s="200"/>
      <c r="DG548" s="181"/>
    </row>
    <row r="549" spans="1:111" s="324" customFormat="1" hidden="1" outlineLevel="1" x14ac:dyDescent="0.25">
      <c r="A549" s="305" t="s">
        <v>34</v>
      </c>
      <c r="B549" s="306" t="s">
        <v>376</v>
      </c>
      <c r="C549" s="306"/>
      <c r="D549" s="307">
        <f>E549+F549</f>
        <v>3000</v>
      </c>
      <c r="E549" s="307"/>
      <c r="F549" s="307">
        <f>G549+H549+K549+M549</f>
        <v>3000</v>
      </c>
      <c r="G549" s="303">
        <v>3000</v>
      </c>
      <c r="H549" s="303"/>
      <c r="I549" s="235"/>
      <c r="J549" s="235"/>
      <c r="K549" s="303"/>
      <c r="L549" s="235"/>
      <c r="M549" s="223"/>
      <c r="N549" s="223"/>
      <c r="O549" s="303">
        <f>G549+I549+L549+N549</f>
        <v>3000</v>
      </c>
      <c r="P549" s="303">
        <v>0</v>
      </c>
      <c r="Q549" s="308">
        <f t="shared" si="470"/>
        <v>0</v>
      </c>
      <c r="R549" s="303"/>
      <c r="S549" s="309">
        <v>0</v>
      </c>
      <c r="T549" s="309">
        <v>0</v>
      </c>
      <c r="U549" s="303"/>
      <c r="V549" s="309">
        <v>0</v>
      </c>
      <c r="W549" s="309">
        <v>0</v>
      </c>
      <c r="X549" s="303"/>
      <c r="Y549" s="309">
        <v>0</v>
      </c>
      <c r="Z549" s="309">
        <v>0</v>
      </c>
      <c r="AA549" s="303"/>
      <c r="AB549" s="309">
        <v>0</v>
      </c>
      <c r="AC549" s="309">
        <v>0</v>
      </c>
      <c r="AD549" s="303"/>
      <c r="AE549" s="309">
        <v>0</v>
      </c>
      <c r="AF549" s="309">
        <v>0</v>
      </c>
      <c r="AG549" s="303"/>
      <c r="AH549" s="309">
        <v>0</v>
      </c>
      <c r="AI549" s="309">
        <v>0</v>
      </c>
      <c r="AJ549" s="189"/>
      <c r="AK549" s="309">
        <v>0</v>
      </c>
      <c r="AL549" s="309">
        <v>0</v>
      </c>
      <c r="AM549" s="303"/>
      <c r="AN549" s="309">
        <v>0</v>
      </c>
      <c r="AO549" s="309">
        <v>0</v>
      </c>
      <c r="AP549" s="309"/>
      <c r="AQ549" s="303"/>
      <c r="AR549" s="309">
        <v>0</v>
      </c>
      <c r="AS549" s="309">
        <v>0</v>
      </c>
      <c r="AT549" s="303"/>
      <c r="AU549" s="309">
        <v>0</v>
      </c>
      <c r="AV549" s="309">
        <v>0</v>
      </c>
      <c r="AW549" s="309"/>
      <c r="AX549" s="309"/>
      <c r="AY549" s="309"/>
      <c r="AZ549" s="309"/>
      <c r="BA549" s="309"/>
      <c r="BB549" s="309"/>
      <c r="BC549" s="303"/>
      <c r="BD549" s="309">
        <v>0</v>
      </c>
      <c r="BE549" s="309">
        <v>0</v>
      </c>
      <c r="BF549" s="351"/>
      <c r="BG549" s="351">
        <v>908.36689999999999</v>
      </c>
      <c r="BH549" s="309">
        <v>0.30278896666666666</v>
      </c>
      <c r="BI549" s="309">
        <v>0.31872522807017545</v>
      </c>
      <c r="BJ549" s="349">
        <f t="shared" si="463"/>
        <v>2850</v>
      </c>
      <c r="BK549" s="349">
        <v>1325.541817</v>
      </c>
      <c r="BL549" s="309">
        <f t="shared" si="465"/>
        <v>0.44184727233333332</v>
      </c>
      <c r="BM549" s="309">
        <f t="shared" si="473"/>
        <v>0.46510239192982455</v>
      </c>
      <c r="BN549" s="205">
        <f t="shared" si="461"/>
        <v>1325.541817</v>
      </c>
      <c r="BO549" s="205"/>
      <c r="BP549" s="310"/>
      <c r="BQ549" s="308">
        <f t="shared" si="466"/>
        <v>0</v>
      </c>
      <c r="BR549" s="310"/>
      <c r="BS549" s="308">
        <f t="shared" si="467"/>
        <v>0</v>
      </c>
      <c r="BT549" s="310">
        <f>$F549*0.1</f>
        <v>300</v>
      </c>
      <c r="BU549" s="308">
        <f t="shared" si="468"/>
        <v>0.1</v>
      </c>
      <c r="BV549" s="310">
        <f>$F549*0.2</f>
        <v>600</v>
      </c>
      <c r="BW549" s="308">
        <f t="shared" si="450"/>
        <v>0.2</v>
      </c>
      <c r="BX549" s="310">
        <f>$F549*0.3</f>
        <v>900</v>
      </c>
      <c r="BY549" s="308">
        <f t="shared" si="451"/>
        <v>0.3</v>
      </c>
      <c r="BZ549" s="310">
        <f>$F549*0.4</f>
        <v>1200</v>
      </c>
      <c r="CA549" s="308">
        <f t="shared" si="452"/>
        <v>0.4</v>
      </c>
      <c r="CB549" s="310">
        <f>$F549*0.5</f>
        <v>1500</v>
      </c>
      <c r="CC549" s="308">
        <f t="shared" si="479"/>
        <v>0.5</v>
      </c>
      <c r="CD549" s="310">
        <f>$F549*0.55</f>
        <v>1650.0000000000002</v>
      </c>
      <c r="CE549" s="308">
        <f t="shared" si="453"/>
        <v>0.55000000000000004</v>
      </c>
      <c r="CF549" s="310">
        <v>2100</v>
      </c>
      <c r="CG549" s="308">
        <f t="shared" si="454"/>
        <v>0.7</v>
      </c>
      <c r="CH549" s="310">
        <f>$F549*0.7</f>
        <v>2100</v>
      </c>
      <c r="CI549" s="308">
        <f t="shared" si="455"/>
        <v>0.7</v>
      </c>
      <c r="CJ549" s="310">
        <f>$F549*0.75</f>
        <v>2250</v>
      </c>
      <c r="CK549" s="308">
        <f t="shared" si="456"/>
        <v>0.75</v>
      </c>
      <c r="CL549" s="310">
        <f>$F549*0.8</f>
        <v>2400</v>
      </c>
      <c r="CM549" s="308">
        <f t="shared" si="457"/>
        <v>0.8</v>
      </c>
      <c r="CN549" s="310">
        <f>$F549*0.95</f>
        <v>2850</v>
      </c>
      <c r="CO549" s="308">
        <f t="shared" si="458"/>
        <v>0.95</v>
      </c>
      <c r="CP549" s="213" t="str">
        <f t="shared" si="471"/>
        <v>Đạt</v>
      </c>
      <c r="CQ549" s="213" t="str">
        <f t="shared" si="472"/>
        <v>Đạt</v>
      </c>
      <c r="CR549" s="312"/>
      <c r="CS549" s="312"/>
      <c r="CT549" s="235"/>
      <c r="CU549" s="163"/>
      <c r="CV549" s="323"/>
      <c r="CW549" s="195"/>
      <c r="CX549" s="196"/>
      <c r="CY549" s="196"/>
      <c r="CZ549" s="197"/>
      <c r="DA549" s="196"/>
      <c r="DB549" s="196"/>
      <c r="DC549" s="196"/>
      <c r="DE549" s="199"/>
      <c r="DF549" s="200"/>
      <c r="DG549" s="181"/>
    </row>
    <row r="550" spans="1:111" ht="18" customHeight="1" collapsed="1" x14ac:dyDescent="0.25">
      <c r="A550" s="213">
        <f>MAX(A$239:A548)+1</f>
        <v>86</v>
      </c>
      <c r="B550" s="240" t="s">
        <v>502</v>
      </c>
      <c r="C550" s="240"/>
      <c r="D550" s="188">
        <f t="shared" ref="D550:I550" si="484">D551+D553</f>
        <v>120870</v>
      </c>
      <c r="E550" s="188">
        <f t="shared" si="484"/>
        <v>117700</v>
      </c>
      <c r="F550" s="188">
        <f t="shared" si="484"/>
        <v>3170</v>
      </c>
      <c r="G550" s="188">
        <f t="shared" si="484"/>
        <v>3000</v>
      </c>
      <c r="H550" s="188">
        <f t="shared" si="484"/>
        <v>170</v>
      </c>
      <c r="I550" s="188">
        <f t="shared" si="484"/>
        <v>0</v>
      </c>
      <c r="J550" s="188"/>
      <c r="K550" s="188">
        <f>K551+K553</f>
        <v>0</v>
      </c>
      <c r="L550" s="188">
        <f>L551+L553</f>
        <v>0</v>
      </c>
      <c r="M550" s="188">
        <f>M551+M553</f>
        <v>0</v>
      </c>
      <c r="N550" s="188">
        <f>N551+N553</f>
        <v>0</v>
      </c>
      <c r="O550" s="188">
        <f>O551+O553</f>
        <v>3000</v>
      </c>
      <c r="P550" s="188">
        <v>14122</v>
      </c>
      <c r="Q550" s="186">
        <f t="shared" si="470"/>
        <v>0.11683627037312816</v>
      </c>
      <c r="R550" s="189">
        <v>15608.609871999999</v>
      </c>
      <c r="S550" s="185">
        <v>0.1291355164391495</v>
      </c>
      <c r="T550" s="185">
        <v>0.12930507757752988</v>
      </c>
      <c r="U550" s="189">
        <v>15608.609871999999</v>
      </c>
      <c r="V550" s="185">
        <v>0.1291355164391495</v>
      </c>
      <c r="W550" s="185">
        <v>0.12930507757752988</v>
      </c>
      <c r="X550" s="189">
        <v>15718.071671999998</v>
      </c>
      <c r="Y550" s="185">
        <v>0.13004113239017123</v>
      </c>
      <c r="Z550" s="185">
        <v>0.13021188264581252</v>
      </c>
      <c r="AA550" s="189">
        <v>15718.071671999998</v>
      </c>
      <c r="AB550" s="185">
        <v>0.13004113239017123</v>
      </c>
      <c r="AC550" s="185">
        <v>0.13021188264581252</v>
      </c>
      <c r="AD550" s="189">
        <v>15718.071671999998</v>
      </c>
      <c r="AE550" s="185">
        <v>0.13004113239017123</v>
      </c>
      <c r="AF550" s="185">
        <v>0.13021188264581252</v>
      </c>
      <c r="AG550" s="189">
        <v>15718.071671999998</v>
      </c>
      <c r="AH550" s="185">
        <v>0.13004113239017123</v>
      </c>
      <c r="AI550" s="185">
        <v>0.13021188264581252</v>
      </c>
      <c r="AJ550" s="189">
        <v>15718.071671999998</v>
      </c>
      <c r="AK550" s="185">
        <v>0.13004113239017123</v>
      </c>
      <c r="AL550" s="185">
        <v>0.13021188264581252</v>
      </c>
      <c r="AM550" s="189">
        <v>15718.071671999998</v>
      </c>
      <c r="AN550" s="185">
        <v>0.13004113239017123</v>
      </c>
      <c r="AO550" s="185">
        <v>0.13021188264581252</v>
      </c>
      <c r="AP550" s="185"/>
      <c r="AQ550" s="189">
        <v>16888.754000000001</v>
      </c>
      <c r="AR550" s="185">
        <v>0.1397265988251841</v>
      </c>
      <c r="AS550" s="185">
        <v>0.13991006656366628</v>
      </c>
      <c r="AT550" s="189">
        <v>16888.754000000001</v>
      </c>
      <c r="AU550" s="185">
        <v>0.1397265988251841</v>
      </c>
      <c r="AV550" s="185">
        <v>0.13991006656366628</v>
      </c>
      <c r="AW550" s="185"/>
      <c r="AX550" s="185"/>
      <c r="AY550" s="185"/>
      <c r="AZ550" s="185"/>
      <c r="BA550" s="185"/>
      <c r="BB550" s="185"/>
      <c r="BC550" s="189">
        <v>16888.754000000001</v>
      </c>
      <c r="BD550" s="185">
        <v>0.1397265988251841</v>
      </c>
      <c r="BE550" s="185">
        <v>0.13991006656366628</v>
      </c>
      <c r="BF550" s="352"/>
      <c r="BG550" s="352">
        <v>28644.607699</v>
      </c>
      <c r="BH550" s="185">
        <v>0.23698690906759329</v>
      </c>
      <c r="BI550" s="185">
        <v>0.23729808426703339</v>
      </c>
      <c r="BJ550" s="374">
        <f t="shared" si="463"/>
        <v>120711.5</v>
      </c>
      <c r="BK550" s="374">
        <v>29120.607699</v>
      </c>
      <c r="BL550" s="185">
        <f t="shared" si="465"/>
        <v>0.24092502439811367</v>
      </c>
      <c r="BM550" s="185">
        <f t="shared" si="473"/>
        <v>0.24124137053221939</v>
      </c>
      <c r="BN550" s="205">
        <f t="shared" si="461"/>
        <v>13402.536027000002</v>
      </c>
      <c r="BO550" s="205"/>
      <c r="BP550" s="189">
        <f>BP551+BP553</f>
        <v>3500</v>
      </c>
      <c r="BQ550" s="186">
        <f t="shared" si="466"/>
        <v>2.8956730371473484E-2</v>
      </c>
      <c r="BR550" s="189">
        <f>BR551+BR553</f>
        <v>5500</v>
      </c>
      <c r="BS550" s="186">
        <f t="shared" si="467"/>
        <v>4.5503433440886906E-2</v>
      </c>
      <c r="BT550" s="189">
        <f>BT551+BT553</f>
        <v>6500</v>
      </c>
      <c r="BU550" s="186">
        <f t="shared" si="468"/>
        <v>5.3776784975593614E-2</v>
      </c>
      <c r="BV550" s="189">
        <f>BV551+BV553</f>
        <v>11534</v>
      </c>
      <c r="BW550" s="186">
        <f t="shared" si="450"/>
        <v>9.5424836601307184E-2</v>
      </c>
      <c r="BX550" s="189">
        <f>BX551+BX553</f>
        <v>13534</v>
      </c>
      <c r="BY550" s="186">
        <f t="shared" si="451"/>
        <v>0.11197153967072061</v>
      </c>
      <c r="BZ550" s="189">
        <f>BZ551+BZ553</f>
        <v>19918</v>
      </c>
      <c r="CA550" s="186">
        <f t="shared" si="452"/>
        <v>0.16478861586828825</v>
      </c>
      <c r="CB550" s="189">
        <f>CB551+CB553</f>
        <v>22935</v>
      </c>
      <c r="CC550" s="186">
        <f t="shared" si="479"/>
        <v>0.18974931744849838</v>
      </c>
      <c r="CD550" s="189">
        <f>CD551+CD553</f>
        <v>27943.5</v>
      </c>
      <c r="CE550" s="186">
        <f t="shared" si="453"/>
        <v>0.23118639861007695</v>
      </c>
      <c r="CF550" s="189">
        <f>CF551+CF553</f>
        <v>32969</v>
      </c>
      <c r="CG550" s="186">
        <f t="shared" si="454"/>
        <v>0.27276412674774553</v>
      </c>
      <c r="CH550" s="189">
        <f>CH551+CH553</f>
        <v>37969</v>
      </c>
      <c r="CI550" s="186">
        <f t="shared" si="455"/>
        <v>0.31413088442127907</v>
      </c>
      <c r="CJ550" s="189">
        <f>CJ551+CJ553</f>
        <v>72977.5</v>
      </c>
      <c r="CK550" s="186">
        <f t="shared" si="456"/>
        <v>0.60376851162405887</v>
      </c>
      <c r="CL550" s="189">
        <f>CL551+CL553</f>
        <v>88986</v>
      </c>
      <c r="CM550" s="186">
        <f t="shared" si="457"/>
        <v>0.73621245966741122</v>
      </c>
      <c r="CN550" s="189">
        <f>CN551+CN553</f>
        <v>120711.5</v>
      </c>
      <c r="CO550" s="186">
        <f t="shared" si="458"/>
        <v>0.99868867378174897</v>
      </c>
      <c r="CP550" s="213" t="str">
        <f t="shared" si="471"/>
        <v>Không đạt</v>
      </c>
      <c r="CQ550" s="213" t="str">
        <f t="shared" si="472"/>
        <v>Không đạt</v>
      </c>
      <c r="CR550" s="213"/>
      <c r="CS550" s="213"/>
      <c r="CT550" s="231"/>
      <c r="CU550" s="163"/>
      <c r="CW550" s="195"/>
      <c r="CX550" s="196"/>
      <c r="CY550" s="196"/>
      <c r="CZ550" s="197"/>
      <c r="DA550" s="196"/>
      <c r="DB550" s="196"/>
      <c r="DC550" s="196"/>
      <c r="DE550" s="199"/>
      <c r="DF550" s="200"/>
      <c r="DG550" s="181"/>
    </row>
    <row r="551" spans="1:111" s="160" customFormat="1" ht="12.75" hidden="1" outlineLevel="1" x14ac:dyDescent="0.25">
      <c r="A551" s="191" t="s">
        <v>29</v>
      </c>
      <c r="B551" s="210" t="s">
        <v>155</v>
      </c>
      <c r="C551" s="210"/>
      <c r="D551" s="188">
        <f t="shared" ref="D551:I551" si="485">D552</f>
        <v>117700</v>
      </c>
      <c r="E551" s="188">
        <f t="shared" si="485"/>
        <v>117700</v>
      </c>
      <c r="F551" s="188">
        <f t="shared" si="485"/>
        <v>0</v>
      </c>
      <c r="G551" s="188">
        <f t="shared" si="485"/>
        <v>0</v>
      </c>
      <c r="H551" s="188">
        <f t="shared" si="485"/>
        <v>0</v>
      </c>
      <c r="I551" s="188">
        <f t="shared" si="485"/>
        <v>0</v>
      </c>
      <c r="J551" s="188"/>
      <c r="K551" s="188">
        <f>K552</f>
        <v>0</v>
      </c>
      <c r="L551" s="188">
        <f>L552</f>
        <v>0</v>
      </c>
      <c r="M551" s="188">
        <f>M552</f>
        <v>0</v>
      </c>
      <c r="N551" s="188">
        <f>N552</f>
        <v>0</v>
      </c>
      <c r="O551" s="188">
        <f>O552</f>
        <v>0</v>
      </c>
      <c r="P551" s="188">
        <v>638.42499999999995</v>
      </c>
      <c r="Q551" s="186">
        <f t="shared" si="470"/>
        <v>5.4241716227697535E-3</v>
      </c>
      <c r="R551" s="189">
        <v>14526.379872</v>
      </c>
      <c r="S551" s="328">
        <v>0.12341869050127442</v>
      </c>
      <c r="T551" s="328">
        <v>0.12341869050127442</v>
      </c>
      <c r="U551" s="189">
        <v>14526.379872</v>
      </c>
      <c r="V551" s="328">
        <v>0.12341869050127442</v>
      </c>
      <c r="W551" s="328">
        <v>0.12341869050127442</v>
      </c>
      <c r="X551" s="189">
        <v>14635.841671999999</v>
      </c>
      <c r="Y551" s="328">
        <v>0.12434869729821579</v>
      </c>
      <c r="Z551" s="328">
        <v>0.12434869729821579</v>
      </c>
      <c r="AA551" s="189">
        <v>14635.841671999999</v>
      </c>
      <c r="AB551" s="328">
        <v>0.12434869729821579</v>
      </c>
      <c r="AC551" s="328">
        <v>0.12434869729821579</v>
      </c>
      <c r="AD551" s="189">
        <v>14635.841671999999</v>
      </c>
      <c r="AE551" s="328">
        <v>0.12434869729821579</v>
      </c>
      <c r="AF551" s="328">
        <v>0.12434869729821579</v>
      </c>
      <c r="AG551" s="189">
        <v>14635.841671999999</v>
      </c>
      <c r="AH551" s="328">
        <v>0.12434869729821579</v>
      </c>
      <c r="AI551" s="328">
        <v>0.12434869729821579</v>
      </c>
      <c r="AJ551" s="214">
        <v>14635.841671999999</v>
      </c>
      <c r="AK551" s="328">
        <v>0.12434869729821579</v>
      </c>
      <c r="AL551" s="328">
        <v>0.12434869729821579</v>
      </c>
      <c r="AM551" s="189">
        <v>14635.841671999999</v>
      </c>
      <c r="AN551" s="328">
        <v>0.12434869729821579</v>
      </c>
      <c r="AO551" s="328">
        <v>0.12434869729821579</v>
      </c>
      <c r="AP551" s="328"/>
      <c r="AQ551" s="189">
        <v>15790</v>
      </c>
      <c r="AR551" s="328">
        <v>0.13415463041631265</v>
      </c>
      <c r="AS551" s="328">
        <v>0.13415463041631265</v>
      </c>
      <c r="AT551" s="189">
        <v>15790</v>
      </c>
      <c r="AU551" s="328">
        <v>0.13415463041631265</v>
      </c>
      <c r="AV551" s="328">
        <v>0.13415463041631265</v>
      </c>
      <c r="AW551" s="328"/>
      <c r="AX551" s="328"/>
      <c r="AY551" s="328"/>
      <c r="AZ551" s="328"/>
      <c r="BA551" s="328"/>
      <c r="BB551" s="328"/>
      <c r="BC551" s="189">
        <v>15790</v>
      </c>
      <c r="BD551" s="328">
        <v>0.13415463041631265</v>
      </c>
      <c r="BE551" s="328">
        <v>0.13415463041631265</v>
      </c>
      <c r="BF551" s="374"/>
      <c r="BG551" s="374">
        <v>27545.853698999999</v>
      </c>
      <c r="BH551" s="328">
        <v>0.2340344409430756</v>
      </c>
      <c r="BI551" s="328">
        <v>0.2340344409430756</v>
      </c>
      <c r="BJ551" s="374">
        <f t="shared" si="463"/>
        <v>117700</v>
      </c>
      <c r="BK551" s="374">
        <v>27545.853698999999</v>
      </c>
      <c r="BL551" s="328">
        <f t="shared" si="465"/>
        <v>0.2340344409430756</v>
      </c>
      <c r="BM551" s="328">
        <f t="shared" si="473"/>
        <v>0.2340344409430756</v>
      </c>
      <c r="BN551" s="205">
        <f t="shared" si="461"/>
        <v>12910.012027000001</v>
      </c>
      <c r="BO551" s="205"/>
      <c r="BP551" s="189">
        <f>BP552</f>
        <v>3000</v>
      </c>
      <c r="BQ551" s="329">
        <f t="shared" si="466"/>
        <v>2.5488530161427356E-2</v>
      </c>
      <c r="BR551" s="189">
        <f>BR552</f>
        <v>4000</v>
      </c>
      <c r="BS551" s="329">
        <f t="shared" si="467"/>
        <v>3.3984706881903144E-2</v>
      </c>
      <c r="BT551" s="189">
        <f>BT552</f>
        <v>5000</v>
      </c>
      <c r="BU551" s="186">
        <f t="shared" si="468"/>
        <v>4.2480883602378929E-2</v>
      </c>
      <c r="BV551" s="189">
        <f>BV552</f>
        <v>10000</v>
      </c>
      <c r="BW551" s="329">
        <f t="shared" si="450"/>
        <v>8.4961767204757857E-2</v>
      </c>
      <c r="BX551" s="189">
        <f>BX552</f>
        <v>12000</v>
      </c>
      <c r="BY551" s="329">
        <f t="shared" si="451"/>
        <v>0.10195412064570943</v>
      </c>
      <c r="BZ551" s="189">
        <f>BZ552</f>
        <v>17000</v>
      </c>
      <c r="CA551" s="329">
        <f t="shared" si="452"/>
        <v>0.14443500424808836</v>
      </c>
      <c r="CB551" s="189">
        <f>CB552</f>
        <v>20000</v>
      </c>
      <c r="CC551" s="329">
        <f t="shared" si="479"/>
        <v>0.16992353440951571</v>
      </c>
      <c r="CD551" s="189">
        <f>CD552</f>
        <v>25000</v>
      </c>
      <c r="CE551" s="329">
        <f t="shared" si="453"/>
        <v>0.21240441801189464</v>
      </c>
      <c r="CF551" s="189">
        <f>CF552</f>
        <v>30000</v>
      </c>
      <c r="CG551" s="329">
        <f t="shared" si="454"/>
        <v>0.25488530161427359</v>
      </c>
      <c r="CH551" s="189">
        <f>CH552</f>
        <v>35000</v>
      </c>
      <c r="CI551" s="329">
        <f t="shared" si="455"/>
        <v>0.29736618521665248</v>
      </c>
      <c r="CJ551" s="189">
        <f>CJ552</f>
        <v>70000</v>
      </c>
      <c r="CK551" s="329">
        <f t="shared" si="456"/>
        <v>0.59473237043330496</v>
      </c>
      <c r="CL551" s="189">
        <f>CL552</f>
        <v>86000</v>
      </c>
      <c r="CM551" s="329">
        <f t="shared" si="457"/>
        <v>0.73067119796091762</v>
      </c>
      <c r="CN551" s="189">
        <f>CN552</f>
        <v>117700</v>
      </c>
      <c r="CO551" s="329">
        <f t="shared" si="458"/>
        <v>1</v>
      </c>
      <c r="CP551" s="213" t="str">
        <f t="shared" si="471"/>
        <v>Không đạt</v>
      </c>
      <c r="CQ551" s="213" t="str">
        <f t="shared" si="472"/>
        <v>Không đạt</v>
      </c>
      <c r="CR551" s="213"/>
      <c r="CS551" s="213"/>
      <c r="CT551" s="231"/>
      <c r="CU551" s="163"/>
      <c r="CV551" s="291"/>
      <c r="CW551" s="218"/>
      <c r="CX551" s="196"/>
      <c r="CY551" s="196"/>
      <c r="CZ551" s="197"/>
      <c r="DA551" s="196"/>
      <c r="DB551" s="196"/>
      <c r="DC551" s="196"/>
      <c r="DE551" s="199"/>
      <c r="DF551" s="200"/>
      <c r="DG551" s="181"/>
    </row>
    <row r="552" spans="1:111" ht="38.25" hidden="1" outlineLevel="1" x14ac:dyDescent="0.25">
      <c r="A552" s="192"/>
      <c r="B552" s="269" t="s">
        <v>503</v>
      </c>
      <c r="C552" s="269">
        <v>7939029</v>
      </c>
      <c r="D552" s="214">
        <f>E552+F552</f>
        <v>117700</v>
      </c>
      <c r="E552" s="214">
        <v>117700</v>
      </c>
      <c r="F552" s="214"/>
      <c r="G552" s="214"/>
      <c r="H552" s="214"/>
      <c r="I552" s="214"/>
      <c r="J552" s="214"/>
      <c r="K552" s="214"/>
      <c r="L552" s="214"/>
      <c r="M552" s="223"/>
      <c r="N552" s="223"/>
      <c r="O552" s="214"/>
      <c r="P552" s="214">
        <v>13117</v>
      </c>
      <c r="Q552" s="258">
        <f t="shared" si="470"/>
        <v>0.11144435004248088</v>
      </c>
      <c r="R552" s="214">
        <v>14526.379872</v>
      </c>
      <c r="S552" s="373">
        <v>0.12341869050127442</v>
      </c>
      <c r="T552" s="373">
        <v>0.12341869050127442</v>
      </c>
      <c r="U552" s="214">
        <v>14526.379872</v>
      </c>
      <c r="V552" s="373">
        <v>0.12341869050127442</v>
      </c>
      <c r="W552" s="373">
        <v>0.12341869050127442</v>
      </c>
      <c r="X552" s="214">
        <v>14635.841671999999</v>
      </c>
      <c r="Y552" s="373">
        <v>0.12434869729821579</v>
      </c>
      <c r="Z552" s="373">
        <v>0.12434869729821579</v>
      </c>
      <c r="AA552" s="214">
        <v>14635.841671999999</v>
      </c>
      <c r="AB552" s="373">
        <v>0.12434869729821579</v>
      </c>
      <c r="AC552" s="373">
        <v>0.12434869729821579</v>
      </c>
      <c r="AD552" s="214">
        <v>14635.841671999999</v>
      </c>
      <c r="AE552" s="373">
        <v>0.12434869729821579</v>
      </c>
      <c r="AF552" s="373">
        <v>0.12434869729821579</v>
      </c>
      <c r="AG552" s="214">
        <v>14635.841671999999</v>
      </c>
      <c r="AH552" s="373">
        <v>0.12434869729821579</v>
      </c>
      <c r="AI552" s="373">
        <v>0.12434869729821579</v>
      </c>
      <c r="AJ552" s="188">
        <v>14635.841671999999</v>
      </c>
      <c r="AK552" s="373">
        <v>0.12434869729821579</v>
      </c>
      <c r="AL552" s="373">
        <v>0.12434869729821579</v>
      </c>
      <c r="AM552" s="214">
        <v>14635.841671999999</v>
      </c>
      <c r="AN552" s="373">
        <v>0.12434869729821579</v>
      </c>
      <c r="AO552" s="373">
        <v>0.12434869729821579</v>
      </c>
      <c r="AP552" s="373"/>
      <c r="AQ552" s="214">
        <v>15790</v>
      </c>
      <c r="AR552" s="373">
        <v>0.13415463041631265</v>
      </c>
      <c r="AS552" s="373">
        <v>0.13415463041631265</v>
      </c>
      <c r="AT552" s="214">
        <v>15790</v>
      </c>
      <c r="AU552" s="373">
        <v>0.13415463041631265</v>
      </c>
      <c r="AV552" s="373">
        <v>0.13415463041631265</v>
      </c>
      <c r="AW552" s="373"/>
      <c r="AX552" s="373"/>
      <c r="AY552" s="373"/>
      <c r="AZ552" s="373"/>
      <c r="BA552" s="373"/>
      <c r="BB552" s="373"/>
      <c r="BC552" s="214">
        <v>15790</v>
      </c>
      <c r="BD552" s="373">
        <v>0.13415463041631265</v>
      </c>
      <c r="BE552" s="373">
        <v>0.13415463041631265</v>
      </c>
      <c r="BF552" s="350"/>
      <c r="BG552" s="350">
        <v>27545.853698999999</v>
      </c>
      <c r="BH552" s="373">
        <v>0.2340344409430756</v>
      </c>
      <c r="BI552" s="373">
        <v>0.2340344409430756</v>
      </c>
      <c r="BJ552" s="402">
        <f t="shared" si="463"/>
        <v>117700</v>
      </c>
      <c r="BK552" s="402">
        <v>27545.853698999999</v>
      </c>
      <c r="BL552" s="373">
        <f t="shared" si="465"/>
        <v>0.2340344409430756</v>
      </c>
      <c r="BM552" s="373">
        <f t="shared" si="473"/>
        <v>0.2340344409430756</v>
      </c>
      <c r="BN552" s="205">
        <f t="shared" si="461"/>
        <v>12910.012027000001</v>
      </c>
      <c r="BO552" s="205"/>
      <c r="BP552" s="245">
        <v>3000</v>
      </c>
      <c r="BQ552" s="375">
        <f t="shared" si="466"/>
        <v>2.5488530161427356E-2</v>
      </c>
      <c r="BR552" s="245">
        <v>4000</v>
      </c>
      <c r="BS552" s="375">
        <f t="shared" si="467"/>
        <v>3.3984706881903144E-2</v>
      </c>
      <c r="BT552" s="245">
        <v>5000</v>
      </c>
      <c r="BU552" s="258">
        <f t="shared" si="468"/>
        <v>4.2480883602378929E-2</v>
      </c>
      <c r="BV552" s="245">
        <v>10000</v>
      </c>
      <c r="BW552" s="375">
        <f t="shared" si="450"/>
        <v>8.4961767204757857E-2</v>
      </c>
      <c r="BX552" s="245">
        <v>12000</v>
      </c>
      <c r="BY552" s="375">
        <f t="shared" si="451"/>
        <v>0.10195412064570943</v>
      </c>
      <c r="BZ552" s="245">
        <v>17000</v>
      </c>
      <c r="CA552" s="375">
        <f t="shared" si="452"/>
        <v>0.14443500424808836</v>
      </c>
      <c r="CB552" s="245">
        <v>20000</v>
      </c>
      <c r="CC552" s="375">
        <f t="shared" si="479"/>
        <v>0.16992353440951571</v>
      </c>
      <c r="CD552" s="245">
        <v>25000</v>
      </c>
      <c r="CE552" s="375">
        <f t="shared" si="453"/>
        <v>0.21240441801189464</v>
      </c>
      <c r="CF552" s="245">
        <v>30000</v>
      </c>
      <c r="CG552" s="375">
        <f t="shared" si="454"/>
        <v>0.25488530161427359</v>
      </c>
      <c r="CH552" s="245">
        <v>35000</v>
      </c>
      <c r="CI552" s="375">
        <f t="shared" si="455"/>
        <v>0.29736618521665248</v>
      </c>
      <c r="CJ552" s="245">
        <v>70000</v>
      </c>
      <c r="CK552" s="375">
        <f t="shared" si="456"/>
        <v>0.59473237043330496</v>
      </c>
      <c r="CL552" s="245">
        <v>86000</v>
      </c>
      <c r="CM552" s="375">
        <f t="shared" si="457"/>
        <v>0.73067119796091762</v>
      </c>
      <c r="CN552" s="245">
        <v>117700</v>
      </c>
      <c r="CO552" s="375">
        <f t="shared" si="458"/>
        <v>1</v>
      </c>
      <c r="CP552" s="213" t="str">
        <f t="shared" si="471"/>
        <v>Không đạt</v>
      </c>
      <c r="CQ552" s="213" t="str">
        <f t="shared" si="472"/>
        <v>Không đạt</v>
      </c>
      <c r="CR552" s="192"/>
      <c r="CS552" s="192"/>
      <c r="CT552" s="223"/>
      <c r="CU552" s="163"/>
      <c r="CW552" s="195"/>
      <c r="CX552" s="196"/>
      <c r="CY552" s="196"/>
      <c r="CZ552" s="197"/>
      <c r="DA552" s="196"/>
      <c r="DB552" s="196"/>
      <c r="DC552" s="196"/>
      <c r="DE552" s="199"/>
      <c r="DF552" s="200"/>
      <c r="DG552" s="181"/>
    </row>
    <row r="553" spans="1:111" s="160" customFormat="1" ht="12.75" hidden="1" outlineLevel="1" x14ac:dyDescent="0.25">
      <c r="A553" s="191" t="s">
        <v>29</v>
      </c>
      <c r="B553" s="210" t="s">
        <v>485</v>
      </c>
      <c r="C553" s="210"/>
      <c r="D553" s="188">
        <f t="shared" ref="D553:I553" si="486">D554+D555</f>
        <v>3170</v>
      </c>
      <c r="E553" s="188">
        <f t="shared" si="486"/>
        <v>0</v>
      </c>
      <c r="F553" s="188">
        <f t="shared" si="486"/>
        <v>3170</v>
      </c>
      <c r="G553" s="188">
        <f t="shared" si="486"/>
        <v>3000</v>
      </c>
      <c r="H553" s="188">
        <f t="shared" si="486"/>
        <v>170</v>
      </c>
      <c r="I553" s="188">
        <f t="shared" si="486"/>
        <v>0</v>
      </c>
      <c r="J553" s="188"/>
      <c r="K553" s="188">
        <f>K554+K555</f>
        <v>0</v>
      </c>
      <c r="L553" s="188">
        <f>L554+L555</f>
        <v>0</v>
      </c>
      <c r="M553" s="188">
        <f>M554+M555</f>
        <v>0</v>
      </c>
      <c r="N553" s="188">
        <f>N554+N555</f>
        <v>0</v>
      </c>
      <c r="O553" s="188">
        <f>O554+O555</f>
        <v>3000</v>
      </c>
      <c r="P553" s="188">
        <v>151</v>
      </c>
      <c r="Q553" s="186">
        <f t="shared" si="470"/>
        <v>4.7634069400630911E-2</v>
      </c>
      <c r="R553" s="188">
        <v>1082.23</v>
      </c>
      <c r="S553" s="328">
        <v>0.34139747634069401</v>
      </c>
      <c r="T553" s="328">
        <v>0.35936576456915159</v>
      </c>
      <c r="U553" s="188">
        <v>1082.23</v>
      </c>
      <c r="V553" s="328">
        <v>0.34139747634069401</v>
      </c>
      <c r="W553" s="328">
        <v>0.35936576456915159</v>
      </c>
      <c r="X553" s="188">
        <v>1082.23</v>
      </c>
      <c r="Y553" s="328">
        <v>0.34139747634069401</v>
      </c>
      <c r="Z553" s="328">
        <v>0.35936576456915159</v>
      </c>
      <c r="AA553" s="188">
        <v>1082.23</v>
      </c>
      <c r="AB553" s="328">
        <v>0.34139747634069401</v>
      </c>
      <c r="AC553" s="328">
        <v>0.35936576456915159</v>
      </c>
      <c r="AD553" s="188">
        <v>1082.23</v>
      </c>
      <c r="AE553" s="328">
        <v>0.34139747634069401</v>
      </c>
      <c r="AF553" s="328">
        <v>0.35936576456915159</v>
      </c>
      <c r="AG553" s="188">
        <v>1082.23</v>
      </c>
      <c r="AH553" s="328">
        <v>0.34139747634069401</v>
      </c>
      <c r="AI553" s="328">
        <v>0.35936576456915159</v>
      </c>
      <c r="AJ553" s="303">
        <v>1082.23</v>
      </c>
      <c r="AK553" s="328">
        <v>0.34139747634069401</v>
      </c>
      <c r="AL553" s="328">
        <v>0.35936576456915159</v>
      </c>
      <c r="AM553" s="188">
        <v>1082.23</v>
      </c>
      <c r="AN553" s="328">
        <v>0.34139747634069401</v>
      </c>
      <c r="AO553" s="328">
        <v>0.35936576456915159</v>
      </c>
      <c r="AP553" s="328"/>
      <c r="AQ553" s="188">
        <v>1098.7539999999999</v>
      </c>
      <c r="AR553" s="328">
        <v>0.34661009463722392</v>
      </c>
      <c r="AS553" s="328">
        <v>0.36485273119707784</v>
      </c>
      <c r="AT553" s="188">
        <v>1098.7539999999999</v>
      </c>
      <c r="AU553" s="328">
        <v>0.34661009463722392</v>
      </c>
      <c r="AV553" s="328">
        <v>0.36485273119707784</v>
      </c>
      <c r="AW553" s="328"/>
      <c r="AX553" s="328"/>
      <c r="AY553" s="328"/>
      <c r="AZ553" s="328"/>
      <c r="BA553" s="328"/>
      <c r="BB553" s="328"/>
      <c r="BC553" s="188">
        <v>1098.7539999999999</v>
      </c>
      <c r="BD553" s="328">
        <v>0.34661009463722392</v>
      </c>
      <c r="BE553" s="328">
        <v>0.36485273119707784</v>
      </c>
      <c r="BF553" s="374"/>
      <c r="BG553" s="374">
        <v>1098.7539999999999</v>
      </c>
      <c r="BH553" s="328">
        <v>0.34661009463722392</v>
      </c>
      <c r="BI553" s="328">
        <v>0.36485273119707784</v>
      </c>
      <c r="BJ553" s="374">
        <f t="shared" si="463"/>
        <v>3011.5</v>
      </c>
      <c r="BK553" s="374">
        <v>1574.7539999999999</v>
      </c>
      <c r="BL553" s="328">
        <f t="shared" si="465"/>
        <v>0.49676782334384856</v>
      </c>
      <c r="BM553" s="328">
        <f t="shared" si="473"/>
        <v>0.52291349825668265</v>
      </c>
      <c r="BN553" s="205">
        <f t="shared" si="461"/>
        <v>492.52399999999989</v>
      </c>
      <c r="BO553" s="205"/>
      <c r="BP553" s="189">
        <f>BP554+BP555</f>
        <v>500</v>
      </c>
      <c r="BQ553" s="329">
        <f t="shared" si="466"/>
        <v>0.15772870662460567</v>
      </c>
      <c r="BR553" s="189">
        <f>BR554+BR555</f>
        <v>1500</v>
      </c>
      <c r="BS553" s="329">
        <f t="shared" si="467"/>
        <v>0.47318611987381703</v>
      </c>
      <c r="BT553" s="189">
        <f>BT554+BT555</f>
        <v>1500</v>
      </c>
      <c r="BU553" s="186">
        <f t="shared" si="468"/>
        <v>0.47318611987381703</v>
      </c>
      <c r="BV553" s="189">
        <f>BV554+BV555</f>
        <v>1534</v>
      </c>
      <c r="BW553" s="329">
        <f t="shared" si="450"/>
        <v>0.48391167192429024</v>
      </c>
      <c r="BX553" s="189">
        <f>BX554+BX555</f>
        <v>1534</v>
      </c>
      <c r="BY553" s="329">
        <f t="shared" si="451"/>
        <v>0.48391167192429024</v>
      </c>
      <c r="BZ553" s="189">
        <f>BZ554+BZ555</f>
        <v>2918</v>
      </c>
      <c r="CA553" s="329">
        <f t="shared" si="452"/>
        <v>0.92050473186119874</v>
      </c>
      <c r="CB553" s="189">
        <f>CB554+CB555</f>
        <v>2935</v>
      </c>
      <c r="CC553" s="329">
        <f t="shared" si="479"/>
        <v>0.92586750788643535</v>
      </c>
      <c r="CD553" s="189">
        <f>CD554+CD555</f>
        <v>2943.5</v>
      </c>
      <c r="CE553" s="329">
        <f t="shared" si="453"/>
        <v>0.92854889589905365</v>
      </c>
      <c r="CF553" s="189">
        <f>CF554+CF555</f>
        <v>2969</v>
      </c>
      <c r="CG553" s="329">
        <f t="shared" si="454"/>
        <v>0.93659305993690856</v>
      </c>
      <c r="CH553" s="189">
        <f>CH554+CH555</f>
        <v>2969</v>
      </c>
      <c r="CI553" s="329">
        <f t="shared" si="455"/>
        <v>0.93659305993690856</v>
      </c>
      <c r="CJ553" s="189">
        <f>CJ554+CJ555</f>
        <v>2977.5</v>
      </c>
      <c r="CK553" s="329">
        <f t="shared" si="456"/>
        <v>0.93927444794952686</v>
      </c>
      <c r="CL553" s="189">
        <f>CL554+CL555</f>
        <v>2986</v>
      </c>
      <c r="CM553" s="329">
        <f t="shared" si="457"/>
        <v>0.94195583596214516</v>
      </c>
      <c r="CN553" s="189">
        <f>CN554+CN555</f>
        <v>3011.5</v>
      </c>
      <c r="CO553" s="329">
        <f t="shared" si="458"/>
        <v>0.95</v>
      </c>
      <c r="CP553" s="213" t="str">
        <f t="shared" si="471"/>
        <v>Đạt</v>
      </c>
      <c r="CQ553" s="213" t="str">
        <f t="shared" si="472"/>
        <v>Đạt</v>
      </c>
      <c r="CR553" s="213"/>
      <c r="CS553" s="213"/>
      <c r="CT553" s="231"/>
      <c r="CU553" s="163"/>
      <c r="CV553" s="291"/>
      <c r="CW553" s="218"/>
      <c r="CX553" s="196"/>
      <c r="CY553" s="196"/>
      <c r="CZ553" s="197"/>
      <c r="DA553" s="196"/>
      <c r="DB553" s="196"/>
      <c r="DC553" s="196"/>
      <c r="DE553" s="199"/>
      <c r="DF553" s="200"/>
      <c r="DG553" s="181"/>
    </row>
    <row r="554" spans="1:111" s="324" customFormat="1" hidden="1" outlineLevel="1" x14ac:dyDescent="0.25">
      <c r="A554" s="305" t="s">
        <v>34</v>
      </c>
      <c r="B554" s="306" t="s">
        <v>376</v>
      </c>
      <c r="C554" s="306"/>
      <c r="D554" s="307">
        <f>E554+F554</f>
        <v>3000</v>
      </c>
      <c r="E554" s="307"/>
      <c r="F554" s="307">
        <f>G554+H554+K554+M554</f>
        <v>3000</v>
      </c>
      <c r="G554" s="303">
        <v>3000</v>
      </c>
      <c r="H554" s="303"/>
      <c r="I554" s="235"/>
      <c r="J554" s="235"/>
      <c r="K554" s="303"/>
      <c r="L554" s="235"/>
      <c r="M554" s="223"/>
      <c r="N554" s="223"/>
      <c r="O554" s="303">
        <f>G554+I554+L554+N554</f>
        <v>3000</v>
      </c>
      <c r="P554" s="303">
        <v>0</v>
      </c>
      <c r="Q554" s="308">
        <f t="shared" si="470"/>
        <v>0</v>
      </c>
      <c r="R554" s="303">
        <v>1082.23</v>
      </c>
      <c r="S554" s="313">
        <v>0.36074333333333336</v>
      </c>
      <c r="T554" s="313">
        <v>0.37972982456140353</v>
      </c>
      <c r="U554" s="303">
        <v>1082.23</v>
      </c>
      <c r="V554" s="313">
        <v>0.36074333333333336</v>
      </c>
      <c r="W554" s="313">
        <v>0.37972982456140353</v>
      </c>
      <c r="X554" s="303">
        <v>1082.23</v>
      </c>
      <c r="Y554" s="313">
        <v>0.36074333333333336</v>
      </c>
      <c r="Z554" s="313">
        <v>0.37972982456140353</v>
      </c>
      <c r="AA554" s="303">
        <v>1082.23</v>
      </c>
      <c r="AB554" s="313">
        <v>0.36074333333333336</v>
      </c>
      <c r="AC554" s="313">
        <v>0.37972982456140353</v>
      </c>
      <c r="AD554" s="303">
        <v>1082.23</v>
      </c>
      <c r="AE554" s="313">
        <v>0.36074333333333336</v>
      </c>
      <c r="AF554" s="313">
        <v>0.37972982456140353</v>
      </c>
      <c r="AG554" s="303">
        <v>1082.23</v>
      </c>
      <c r="AH554" s="313">
        <v>0.36074333333333336</v>
      </c>
      <c r="AI554" s="313">
        <v>0.37972982456140353</v>
      </c>
      <c r="AJ554" s="303">
        <v>1082.23</v>
      </c>
      <c r="AK554" s="313">
        <v>0.36074333333333336</v>
      </c>
      <c r="AL554" s="313">
        <v>0.37972982456140353</v>
      </c>
      <c r="AM554" s="303">
        <v>1082.23</v>
      </c>
      <c r="AN554" s="313">
        <v>0.36074333333333336</v>
      </c>
      <c r="AO554" s="313">
        <v>0.37972982456140353</v>
      </c>
      <c r="AP554" s="313"/>
      <c r="AQ554" s="303">
        <v>1098.7539999999999</v>
      </c>
      <c r="AR554" s="313">
        <v>0.36625133333333332</v>
      </c>
      <c r="AS554" s="313">
        <v>0.38552771929824559</v>
      </c>
      <c r="AT554" s="303">
        <v>1098.7539999999999</v>
      </c>
      <c r="AU554" s="313">
        <v>0.36625133333333332</v>
      </c>
      <c r="AV554" s="313">
        <v>0.38552771929824559</v>
      </c>
      <c r="AW554" s="313"/>
      <c r="AX554" s="313"/>
      <c r="AY554" s="313"/>
      <c r="AZ554" s="313"/>
      <c r="BA554" s="313"/>
      <c r="BB554" s="313"/>
      <c r="BC554" s="303">
        <v>1098.7539999999999</v>
      </c>
      <c r="BD554" s="313">
        <v>0.36625133333333332</v>
      </c>
      <c r="BE554" s="313">
        <v>0.38552771929824559</v>
      </c>
      <c r="BF554" s="351"/>
      <c r="BG554" s="351">
        <v>1098.7539999999999</v>
      </c>
      <c r="BH554" s="313">
        <v>0.36625133333333332</v>
      </c>
      <c r="BI554" s="313">
        <v>0.38552771929824559</v>
      </c>
      <c r="BJ554" s="349">
        <f t="shared" si="463"/>
        <v>2850</v>
      </c>
      <c r="BK554" s="349">
        <v>1574.7539999999999</v>
      </c>
      <c r="BL554" s="313">
        <f t="shared" si="465"/>
        <v>0.524918</v>
      </c>
      <c r="BM554" s="313">
        <f t="shared" si="473"/>
        <v>0.55254526315789465</v>
      </c>
      <c r="BN554" s="205">
        <f t="shared" si="461"/>
        <v>492.52399999999989</v>
      </c>
      <c r="BO554" s="205"/>
      <c r="BP554" s="310">
        <v>500</v>
      </c>
      <c r="BQ554" s="311">
        <f t="shared" si="466"/>
        <v>0.16666666666666666</v>
      </c>
      <c r="BR554" s="310">
        <v>1500</v>
      </c>
      <c r="BS554" s="311">
        <f t="shared" si="467"/>
        <v>0.5</v>
      </c>
      <c r="BT554" s="310">
        <v>1500</v>
      </c>
      <c r="BU554" s="308">
        <f t="shared" si="468"/>
        <v>0.5</v>
      </c>
      <c r="BV554" s="310">
        <v>1500</v>
      </c>
      <c r="BW554" s="311">
        <f t="shared" si="450"/>
        <v>0.5</v>
      </c>
      <c r="BX554" s="310">
        <v>1500</v>
      </c>
      <c r="BY554" s="311">
        <f t="shared" si="451"/>
        <v>0.5</v>
      </c>
      <c r="BZ554" s="310">
        <f>3000*0.95</f>
        <v>2850</v>
      </c>
      <c r="CA554" s="311">
        <f t="shared" si="452"/>
        <v>0.95</v>
      </c>
      <c r="CB554" s="310">
        <v>2850</v>
      </c>
      <c r="CC554" s="311">
        <f t="shared" si="479"/>
        <v>0.95</v>
      </c>
      <c r="CD554" s="310">
        <v>2850</v>
      </c>
      <c r="CE554" s="311">
        <f t="shared" si="453"/>
        <v>0.95</v>
      </c>
      <c r="CF554" s="310">
        <v>2850</v>
      </c>
      <c r="CG554" s="311">
        <f t="shared" si="454"/>
        <v>0.95</v>
      </c>
      <c r="CH554" s="310">
        <v>2850</v>
      </c>
      <c r="CI554" s="311">
        <f t="shared" si="455"/>
        <v>0.95</v>
      </c>
      <c r="CJ554" s="310">
        <v>2850</v>
      </c>
      <c r="CK554" s="311">
        <f t="shared" si="456"/>
        <v>0.95</v>
      </c>
      <c r="CL554" s="310">
        <v>2850</v>
      </c>
      <c r="CM554" s="311">
        <f t="shared" si="457"/>
        <v>0.95</v>
      </c>
      <c r="CN554" s="310">
        <v>2850</v>
      </c>
      <c r="CO554" s="311">
        <f t="shared" si="458"/>
        <v>0.95</v>
      </c>
      <c r="CP554" s="213" t="str">
        <f t="shared" si="471"/>
        <v>Đạt</v>
      </c>
      <c r="CQ554" s="213" t="str">
        <f t="shared" si="472"/>
        <v>Đạt</v>
      </c>
      <c r="CR554" s="312"/>
      <c r="CS554" s="312"/>
      <c r="CT554" s="235"/>
      <c r="CU554" s="163"/>
      <c r="CV554" s="323"/>
      <c r="CW554" s="195"/>
      <c r="CX554" s="196"/>
      <c r="CY554" s="196"/>
      <c r="CZ554" s="197"/>
      <c r="DA554" s="196"/>
      <c r="DB554" s="196"/>
      <c r="DC554" s="196"/>
      <c r="DE554" s="199"/>
      <c r="DF554" s="200"/>
      <c r="DG554" s="181"/>
    </row>
    <row r="555" spans="1:111" ht="25.5" hidden="1" outlineLevel="1" x14ac:dyDescent="0.25">
      <c r="A555" s="305" t="s">
        <v>34</v>
      </c>
      <c r="B555" s="306" t="s">
        <v>377</v>
      </c>
      <c r="C555" s="306"/>
      <c r="D555" s="307">
        <f>E555+F555</f>
        <v>170</v>
      </c>
      <c r="E555" s="307"/>
      <c r="F555" s="307">
        <f>G555+H555+K555+M555</f>
        <v>170</v>
      </c>
      <c r="G555" s="307"/>
      <c r="H555" s="307">
        <v>170</v>
      </c>
      <c r="I555" s="235"/>
      <c r="J555" s="235"/>
      <c r="K555" s="303"/>
      <c r="L555" s="235"/>
      <c r="M555" s="223"/>
      <c r="N555" s="223"/>
      <c r="O555" s="303"/>
      <c r="P555" s="303">
        <v>0</v>
      </c>
      <c r="Q555" s="308">
        <f t="shared" si="470"/>
        <v>0</v>
      </c>
      <c r="R555" s="303"/>
      <c r="S555" s="313">
        <v>0</v>
      </c>
      <c r="T555" s="313">
        <v>0</v>
      </c>
      <c r="U555" s="303"/>
      <c r="V555" s="313">
        <v>0</v>
      </c>
      <c r="W555" s="313">
        <v>0</v>
      </c>
      <c r="X555" s="303"/>
      <c r="Y555" s="313">
        <v>0</v>
      </c>
      <c r="Z555" s="313">
        <v>0</v>
      </c>
      <c r="AA555" s="303"/>
      <c r="AB555" s="313">
        <v>0</v>
      </c>
      <c r="AC555" s="313">
        <v>0</v>
      </c>
      <c r="AD555" s="303"/>
      <c r="AE555" s="313">
        <v>0</v>
      </c>
      <c r="AF555" s="313">
        <v>0</v>
      </c>
      <c r="AG555" s="303"/>
      <c r="AH555" s="313">
        <v>0</v>
      </c>
      <c r="AI555" s="313">
        <v>0</v>
      </c>
      <c r="AJ555" s="188"/>
      <c r="AK555" s="313">
        <v>0</v>
      </c>
      <c r="AL555" s="313">
        <v>0</v>
      </c>
      <c r="AM555" s="303"/>
      <c r="AN555" s="313">
        <v>0</v>
      </c>
      <c r="AO555" s="313">
        <v>0</v>
      </c>
      <c r="AP555" s="313"/>
      <c r="AQ555" s="303"/>
      <c r="AR555" s="313">
        <v>0</v>
      </c>
      <c r="AS555" s="313">
        <v>0</v>
      </c>
      <c r="AT555" s="303"/>
      <c r="AU555" s="313">
        <v>0</v>
      </c>
      <c r="AV555" s="313">
        <v>0</v>
      </c>
      <c r="AW555" s="313"/>
      <c r="AX555" s="313"/>
      <c r="AY555" s="313"/>
      <c r="AZ555" s="313"/>
      <c r="BA555" s="313"/>
      <c r="BB555" s="313"/>
      <c r="BC555" s="303"/>
      <c r="BD555" s="313">
        <v>0</v>
      </c>
      <c r="BE555" s="313">
        <v>0</v>
      </c>
      <c r="BF555" s="351"/>
      <c r="BG555" s="351">
        <v>0</v>
      </c>
      <c r="BH555" s="313">
        <v>0</v>
      </c>
      <c r="BI555" s="313">
        <v>0</v>
      </c>
      <c r="BJ555" s="349">
        <f t="shared" si="463"/>
        <v>161.5</v>
      </c>
      <c r="BK555" s="349">
        <v>0</v>
      </c>
      <c r="BL555" s="313">
        <f t="shared" si="465"/>
        <v>0</v>
      </c>
      <c r="BM555" s="313">
        <f t="shared" si="473"/>
        <v>0</v>
      </c>
      <c r="BN555" s="205">
        <f t="shared" si="461"/>
        <v>0</v>
      </c>
      <c r="BO555" s="205"/>
      <c r="BP555" s="310"/>
      <c r="BQ555" s="311">
        <f t="shared" si="466"/>
        <v>0</v>
      </c>
      <c r="BR555" s="310"/>
      <c r="BS555" s="311">
        <f t="shared" si="467"/>
        <v>0</v>
      </c>
      <c r="BT555" s="310"/>
      <c r="BU555" s="308">
        <f t="shared" si="468"/>
        <v>0</v>
      </c>
      <c r="BV555" s="310">
        <f>H555*0.2</f>
        <v>34</v>
      </c>
      <c r="BW555" s="311">
        <f t="shared" si="450"/>
        <v>0.2</v>
      </c>
      <c r="BX555" s="310">
        <v>34</v>
      </c>
      <c r="BY555" s="311">
        <f t="shared" si="451"/>
        <v>0.2</v>
      </c>
      <c r="BZ555" s="310">
        <f>H555*0.4</f>
        <v>68</v>
      </c>
      <c r="CA555" s="311">
        <f t="shared" si="452"/>
        <v>0.4</v>
      </c>
      <c r="CB555" s="310">
        <f>H555*0.5</f>
        <v>85</v>
      </c>
      <c r="CC555" s="311">
        <f t="shared" si="479"/>
        <v>0.5</v>
      </c>
      <c r="CD555" s="310">
        <f>F555*0.55</f>
        <v>93.500000000000014</v>
      </c>
      <c r="CE555" s="311">
        <f t="shared" si="453"/>
        <v>0.55000000000000004</v>
      </c>
      <c r="CF555" s="310">
        <v>118.99999999999999</v>
      </c>
      <c r="CG555" s="311">
        <f t="shared" si="454"/>
        <v>0.7</v>
      </c>
      <c r="CH555" s="310">
        <f>F555*0.7</f>
        <v>118.99999999999999</v>
      </c>
      <c r="CI555" s="311">
        <f t="shared" si="455"/>
        <v>0.7</v>
      </c>
      <c r="CJ555" s="310">
        <f>F555*0.75</f>
        <v>127.5</v>
      </c>
      <c r="CK555" s="311">
        <f t="shared" si="456"/>
        <v>0.75</v>
      </c>
      <c r="CL555" s="310">
        <f>F555*0.8</f>
        <v>136</v>
      </c>
      <c r="CM555" s="311">
        <f t="shared" si="457"/>
        <v>0.8</v>
      </c>
      <c r="CN555" s="310">
        <f>H555*0.95</f>
        <v>161.5</v>
      </c>
      <c r="CO555" s="311">
        <f t="shared" si="458"/>
        <v>0.95</v>
      </c>
      <c r="CP555" s="213" t="str">
        <f t="shared" si="471"/>
        <v>Không đạt</v>
      </c>
      <c r="CQ555" s="213" t="str">
        <f t="shared" si="472"/>
        <v>Không đạt</v>
      </c>
      <c r="CR555" s="312"/>
      <c r="CS555" s="312"/>
      <c r="CT555" s="235"/>
      <c r="CU555" s="163"/>
      <c r="CW555" s="195"/>
      <c r="CX555" s="196"/>
      <c r="CY555" s="196"/>
      <c r="CZ555" s="197"/>
      <c r="DA555" s="196"/>
      <c r="DB555" s="196"/>
      <c r="DC555" s="196"/>
      <c r="DE555" s="199"/>
      <c r="DF555" s="200"/>
      <c r="DG555" s="181"/>
    </row>
    <row r="556" spans="1:111" ht="18" customHeight="1" collapsed="1" x14ac:dyDescent="0.25">
      <c r="A556" s="213">
        <f>MAX(A$239:A550)+1</f>
        <v>87</v>
      </c>
      <c r="B556" s="240" t="s">
        <v>504</v>
      </c>
      <c r="C556" s="240"/>
      <c r="D556" s="188">
        <f t="shared" ref="D556:I556" si="487">D557</f>
        <v>3000</v>
      </c>
      <c r="E556" s="188">
        <f t="shared" si="487"/>
        <v>0</v>
      </c>
      <c r="F556" s="188">
        <f t="shared" si="487"/>
        <v>3000</v>
      </c>
      <c r="G556" s="188">
        <f t="shared" si="487"/>
        <v>3000</v>
      </c>
      <c r="H556" s="188">
        <f t="shared" si="487"/>
        <v>0</v>
      </c>
      <c r="I556" s="188">
        <f t="shared" si="487"/>
        <v>0</v>
      </c>
      <c r="J556" s="188"/>
      <c r="K556" s="188">
        <f>K557</f>
        <v>0</v>
      </c>
      <c r="L556" s="188">
        <f>L557</f>
        <v>0</v>
      </c>
      <c r="M556" s="231"/>
      <c r="N556" s="231"/>
      <c r="O556" s="188">
        <f>G556+I556+L556+N556</f>
        <v>3000</v>
      </c>
      <c r="P556" s="188">
        <v>0</v>
      </c>
      <c r="Q556" s="186">
        <f t="shared" si="470"/>
        <v>0</v>
      </c>
      <c r="R556" s="188">
        <v>0</v>
      </c>
      <c r="S556" s="185">
        <v>0</v>
      </c>
      <c r="T556" s="185">
        <v>0</v>
      </c>
      <c r="U556" s="188">
        <v>0</v>
      </c>
      <c r="V556" s="185">
        <v>0</v>
      </c>
      <c r="W556" s="185">
        <v>0</v>
      </c>
      <c r="X556" s="188">
        <v>0</v>
      </c>
      <c r="Y556" s="185">
        <v>0</v>
      </c>
      <c r="Z556" s="185">
        <v>0</v>
      </c>
      <c r="AA556" s="188">
        <v>0</v>
      </c>
      <c r="AB556" s="185">
        <v>0</v>
      </c>
      <c r="AC556" s="185">
        <v>0</v>
      </c>
      <c r="AD556" s="188">
        <v>0</v>
      </c>
      <c r="AE556" s="185">
        <v>0</v>
      </c>
      <c r="AF556" s="185">
        <v>0</v>
      </c>
      <c r="AG556" s="188">
        <v>0</v>
      </c>
      <c r="AH556" s="185">
        <v>0</v>
      </c>
      <c r="AI556" s="185">
        <v>0</v>
      </c>
      <c r="AJ556" s="303">
        <v>0</v>
      </c>
      <c r="AK556" s="185">
        <v>0</v>
      </c>
      <c r="AL556" s="185">
        <v>0</v>
      </c>
      <c r="AM556" s="188">
        <v>0</v>
      </c>
      <c r="AN556" s="185">
        <v>0</v>
      </c>
      <c r="AO556" s="185">
        <v>0</v>
      </c>
      <c r="AP556" s="185"/>
      <c r="AQ556" s="188">
        <v>181.1216</v>
      </c>
      <c r="AR556" s="185">
        <v>6.0373866666666665E-2</v>
      </c>
      <c r="AS556" s="185">
        <v>6.3551438596491233E-2</v>
      </c>
      <c r="AT556" s="188">
        <v>181.1216</v>
      </c>
      <c r="AU556" s="185">
        <v>6.0373866666666665E-2</v>
      </c>
      <c r="AV556" s="185">
        <v>6.3551438596491233E-2</v>
      </c>
      <c r="AW556" s="185"/>
      <c r="AX556" s="185"/>
      <c r="AY556" s="185"/>
      <c r="AZ556" s="185"/>
      <c r="BA556" s="185"/>
      <c r="BB556" s="185"/>
      <c r="BC556" s="188">
        <v>181.1216</v>
      </c>
      <c r="BD556" s="185">
        <v>6.0373866666666665E-2</v>
      </c>
      <c r="BE556" s="185">
        <v>6.3551438596491233E-2</v>
      </c>
      <c r="BF556" s="352"/>
      <c r="BG556" s="352">
        <v>953.25559999999996</v>
      </c>
      <c r="BH556" s="185">
        <v>0.31775186666666666</v>
      </c>
      <c r="BI556" s="185">
        <v>0.33447564912280703</v>
      </c>
      <c r="BJ556" s="374">
        <f t="shared" si="463"/>
        <v>2850</v>
      </c>
      <c r="BK556" s="374">
        <v>963.98059999999998</v>
      </c>
      <c r="BL556" s="185">
        <f t="shared" si="465"/>
        <v>0.32132686666666666</v>
      </c>
      <c r="BM556" s="185">
        <f t="shared" si="473"/>
        <v>0.33823880701754383</v>
      </c>
      <c r="BN556" s="205">
        <f t="shared" si="461"/>
        <v>963.98059999999998</v>
      </c>
      <c r="BO556" s="205"/>
      <c r="BP556" s="189">
        <f>BP557</f>
        <v>0</v>
      </c>
      <c r="BQ556" s="186">
        <f t="shared" si="466"/>
        <v>0</v>
      </c>
      <c r="BR556" s="189">
        <f>BR557</f>
        <v>0</v>
      </c>
      <c r="BS556" s="186">
        <f t="shared" si="467"/>
        <v>0</v>
      </c>
      <c r="BT556" s="189">
        <f>BT557</f>
        <v>300</v>
      </c>
      <c r="BU556" s="186">
        <f t="shared" si="468"/>
        <v>0.1</v>
      </c>
      <c r="BV556" s="189">
        <f>BV557</f>
        <v>600</v>
      </c>
      <c r="BW556" s="186">
        <f t="shared" si="450"/>
        <v>0.2</v>
      </c>
      <c r="BX556" s="189">
        <f>BX557</f>
        <v>900</v>
      </c>
      <c r="BY556" s="186">
        <f t="shared" si="451"/>
        <v>0.3</v>
      </c>
      <c r="BZ556" s="189">
        <f>BZ557</f>
        <v>1200</v>
      </c>
      <c r="CA556" s="186">
        <f t="shared" si="452"/>
        <v>0.4</v>
      </c>
      <c r="CB556" s="189">
        <f>CB557</f>
        <v>1500</v>
      </c>
      <c r="CC556" s="186">
        <f t="shared" si="479"/>
        <v>0.5</v>
      </c>
      <c r="CD556" s="189">
        <f>CD557</f>
        <v>1650.0000000000002</v>
      </c>
      <c r="CE556" s="186">
        <f t="shared" si="453"/>
        <v>0.55000000000000004</v>
      </c>
      <c r="CF556" s="189">
        <f>CF557</f>
        <v>2100</v>
      </c>
      <c r="CG556" s="186">
        <f t="shared" si="454"/>
        <v>0.7</v>
      </c>
      <c r="CH556" s="189">
        <f>CH557</f>
        <v>2100</v>
      </c>
      <c r="CI556" s="186">
        <f t="shared" si="455"/>
        <v>0.7</v>
      </c>
      <c r="CJ556" s="189">
        <f>CJ557</f>
        <v>2250</v>
      </c>
      <c r="CK556" s="186">
        <f t="shared" si="456"/>
        <v>0.75</v>
      </c>
      <c r="CL556" s="189">
        <f>CL557</f>
        <v>2400</v>
      </c>
      <c r="CM556" s="186">
        <f t="shared" si="457"/>
        <v>0.8</v>
      </c>
      <c r="CN556" s="189">
        <f>CN557</f>
        <v>2850</v>
      </c>
      <c r="CO556" s="186">
        <f t="shared" si="458"/>
        <v>0.95</v>
      </c>
      <c r="CP556" s="213" t="str">
        <f t="shared" si="471"/>
        <v>Không đạt</v>
      </c>
      <c r="CQ556" s="213" t="str">
        <f t="shared" si="472"/>
        <v>Không đạt</v>
      </c>
      <c r="CR556" s="213"/>
      <c r="CS556" s="213"/>
      <c r="CT556" s="231"/>
      <c r="CU556" s="163"/>
      <c r="CW556" s="195"/>
      <c r="CX556" s="196"/>
      <c r="CY556" s="196"/>
      <c r="CZ556" s="197"/>
      <c r="DA556" s="196"/>
      <c r="DB556" s="196"/>
      <c r="DC556" s="196"/>
      <c r="DE556" s="199"/>
      <c r="DF556" s="200"/>
      <c r="DG556" s="181"/>
    </row>
    <row r="557" spans="1:111" s="324" customFormat="1" hidden="1" outlineLevel="1" x14ac:dyDescent="0.25">
      <c r="A557" s="305" t="s">
        <v>34</v>
      </c>
      <c r="B557" s="306" t="s">
        <v>376</v>
      </c>
      <c r="C557" s="306"/>
      <c r="D557" s="307">
        <f>E557+F557</f>
        <v>3000</v>
      </c>
      <c r="E557" s="307"/>
      <c r="F557" s="307">
        <f>G557+H557+K557+M557</f>
        <v>3000</v>
      </c>
      <c r="G557" s="303">
        <v>3000</v>
      </c>
      <c r="H557" s="303"/>
      <c r="I557" s="235"/>
      <c r="J557" s="235"/>
      <c r="K557" s="303"/>
      <c r="L557" s="235"/>
      <c r="M557" s="223"/>
      <c r="N557" s="223"/>
      <c r="O557" s="303">
        <f>G557+I557+L557+N557</f>
        <v>3000</v>
      </c>
      <c r="P557" s="303">
        <v>0</v>
      </c>
      <c r="Q557" s="308">
        <f t="shared" si="470"/>
        <v>0</v>
      </c>
      <c r="R557" s="303"/>
      <c r="S557" s="309">
        <v>0</v>
      </c>
      <c r="T557" s="309">
        <v>0</v>
      </c>
      <c r="U557" s="303"/>
      <c r="V557" s="309">
        <v>0</v>
      </c>
      <c r="W557" s="309">
        <v>0</v>
      </c>
      <c r="X557" s="303"/>
      <c r="Y557" s="309">
        <v>0</v>
      </c>
      <c r="Z557" s="309">
        <v>0</v>
      </c>
      <c r="AA557" s="303"/>
      <c r="AB557" s="309">
        <v>0</v>
      </c>
      <c r="AC557" s="309">
        <v>0</v>
      </c>
      <c r="AD557" s="303"/>
      <c r="AE557" s="309">
        <v>0</v>
      </c>
      <c r="AF557" s="309">
        <v>0</v>
      </c>
      <c r="AG557" s="303"/>
      <c r="AH557" s="309">
        <v>0</v>
      </c>
      <c r="AI557" s="309">
        <v>0</v>
      </c>
      <c r="AJ557" s="188"/>
      <c r="AK557" s="309">
        <v>0</v>
      </c>
      <c r="AL557" s="309">
        <v>0</v>
      </c>
      <c r="AM557" s="303"/>
      <c r="AN557" s="309">
        <v>0</v>
      </c>
      <c r="AO557" s="309">
        <v>0</v>
      </c>
      <c r="AP557" s="309"/>
      <c r="AQ557" s="303">
        <v>181.1216</v>
      </c>
      <c r="AR557" s="309">
        <v>6.0373866666666665E-2</v>
      </c>
      <c r="AS557" s="309">
        <v>6.3551438596491233E-2</v>
      </c>
      <c r="AT557" s="303">
        <v>181.1216</v>
      </c>
      <c r="AU557" s="309">
        <v>6.0373866666666665E-2</v>
      </c>
      <c r="AV557" s="309">
        <v>6.3551438596491233E-2</v>
      </c>
      <c r="AW557" s="309"/>
      <c r="AX557" s="309"/>
      <c r="AY557" s="309"/>
      <c r="AZ557" s="309"/>
      <c r="BA557" s="309"/>
      <c r="BB557" s="309"/>
      <c r="BC557" s="303">
        <v>181.1216</v>
      </c>
      <c r="BD557" s="309">
        <v>6.0373866666666665E-2</v>
      </c>
      <c r="BE557" s="309">
        <v>6.3551438596491233E-2</v>
      </c>
      <c r="BF557" s="351"/>
      <c r="BG557" s="351">
        <v>953.25559999999996</v>
      </c>
      <c r="BH557" s="309">
        <v>0.31775186666666666</v>
      </c>
      <c r="BI557" s="309">
        <v>0.33447564912280703</v>
      </c>
      <c r="BJ557" s="349">
        <f t="shared" si="463"/>
        <v>2850</v>
      </c>
      <c r="BK557" s="349">
        <v>953.25559999999996</v>
      </c>
      <c r="BL557" s="309">
        <f t="shared" si="465"/>
        <v>0.31775186666666666</v>
      </c>
      <c r="BM557" s="309">
        <f t="shared" si="473"/>
        <v>0.33447564912280703</v>
      </c>
      <c r="BN557" s="205">
        <f t="shared" si="461"/>
        <v>953.25559999999996</v>
      </c>
      <c r="BO557" s="205"/>
      <c r="BP557" s="310"/>
      <c r="BQ557" s="308">
        <f t="shared" si="466"/>
        <v>0</v>
      </c>
      <c r="BR557" s="310"/>
      <c r="BS557" s="308">
        <f t="shared" si="467"/>
        <v>0</v>
      </c>
      <c r="BT557" s="310">
        <f>$F557*0.1</f>
        <v>300</v>
      </c>
      <c r="BU557" s="308">
        <f t="shared" si="468"/>
        <v>0.1</v>
      </c>
      <c r="BV557" s="310">
        <f>$F557*0.2</f>
        <v>600</v>
      </c>
      <c r="BW557" s="308">
        <f t="shared" si="450"/>
        <v>0.2</v>
      </c>
      <c r="BX557" s="310">
        <f>$F557*0.3</f>
        <v>900</v>
      </c>
      <c r="BY557" s="308">
        <f t="shared" si="451"/>
        <v>0.3</v>
      </c>
      <c r="BZ557" s="310">
        <f>$F557*0.4</f>
        <v>1200</v>
      </c>
      <c r="CA557" s="308">
        <f t="shared" si="452"/>
        <v>0.4</v>
      </c>
      <c r="CB557" s="310">
        <f>$F557*0.5</f>
        <v>1500</v>
      </c>
      <c r="CC557" s="308">
        <f t="shared" si="479"/>
        <v>0.5</v>
      </c>
      <c r="CD557" s="310">
        <f>$F557*0.55</f>
        <v>1650.0000000000002</v>
      </c>
      <c r="CE557" s="308">
        <f t="shared" si="453"/>
        <v>0.55000000000000004</v>
      </c>
      <c r="CF557" s="310">
        <v>2100</v>
      </c>
      <c r="CG557" s="308">
        <f t="shared" si="454"/>
        <v>0.7</v>
      </c>
      <c r="CH557" s="310">
        <f>$F557*0.7</f>
        <v>2100</v>
      </c>
      <c r="CI557" s="308">
        <f t="shared" si="455"/>
        <v>0.7</v>
      </c>
      <c r="CJ557" s="310">
        <f>$F557*0.75</f>
        <v>2250</v>
      </c>
      <c r="CK557" s="308">
        <f t="shared" si="456"/>
        <v>0.75</v>
      </c>
      <c r="CL557" s="310">
        <f>$F557*0.8</f>
        <v>2400</v>
      </c>
      <c r="CM557" s="308">
        <f t="shared" si="457"/>
        <v>0.8</v>
      </c>
      <c r="CN557" s="310">
        <f>$F557*0.95</f>
        <v>2850</v>
      </c>
      <c r="CO557" s="308">
        <f t="shared" si="458"/>
        <v>0.95</v>
      </c>
      <c r="CP557" s="213" t="str">
        <f t="shared" si="471"/>
        <v>Không đạt</v>
      </c>
      <c r="CQ557" s="213" t="str">
        <f t="shared" si="472"/>
        <v>Không đạt</v>
      </c>
      <c r="CR557" s="312"/>
      <c r="CS557" s="312"/>
      <c r="CT557" s="235"/>
      <c r="CU557" s="163"/>
      <c r="CV557" s="323"/>
      <c r="CW557" s="195"/>
      <c r="CX557" s="196"/>
      <c r="CY557" s="196"/>
      <c r="CZ557" s="197"/>
      <c r="DA557" s="196"/>
      <c r="DB557" s="196"/>
      <c r="DC557" s="196"/>
      <c r="DE557" s="199"/>
      <c r="DF557" s="200"/>
      <c r="DG557" s="181"/>
    </row>
    <row r="558" spans="1:111" ht="18" customHeight="1" collapsed="1" x14ac:dyDescent="0.25">
      <c r="A558" s="213">
        <f>MAX(A$239:A556)+1</f>
        <v>88</v>
      </c>
      <c r="B558" s="240" t="s">
        <v>505</v>
      </c>
      <c r="C558" s="240"/>
      <c r="D558" s="188">
        <f t="shared" ref="D558:I558" si="488">D559+D560</f>
        <v>15750</v>
      </c>
      <c r="E558" s="188">
        <f t="shared" si="488"/>
        <v>0</v>
      </c>
      <c r="F558" s="188">
        <f t="shared" si="488"/>
        <v>15750</v>
      </c>
      <c r="G558" s="188">
        <f t="shared" si="488"/>
        <v>3000</v>
      </c>
      <c r="H558" s="188">
        <f t="shared" si="488"/>
        <v>12750</v>
      </c>
      <c r="I558" s="188">
        <f t="shared" si="488"/>
        <v>0</v>
      </c>
      <c r="J558" s="188"/>
      <c r="K558" s="188">
        <f>K559+K560</f>
        <v>0</v>
      </c>
      <c r="L558" s="188">
        <f>L559+L560</f>
        <v>0</v>
      </c>
      <c r="M558" s="188">
        <f>M559+M560</f>
        <v>0</v>
      </c>
      <c r="N558" s="188">
        <f>N559+N560</f>
        <v>0</v>
      </c>
      <c r="O558" s="188">
        <f>O559+O560</f>
        <v>3000</v>
      </c>
      <c r="P558" s="188">
        <v>0</v>
      </c>
      <c r="Q558" s="186">
        <f t="shared" si="470"/>
        <v>0</v>
      </c>
      <c r="R558" s="188">
        <v>0</v>
      </c>
      <c r="S558" s="185">
        <v>0</v>
      </c>
      <c r="T558" s="185">
        <v>0</v>
      </c>
      <c r="U558" s="188">
        <v>0</v>
      </c>
      <c r="V558" s="185">
        <v>0</v>
      </c>
      <c r="W558" s="185">
        <v>0</v>
      </c>
      <c r="X558" s="188">
        <v>0</v>
      </c>
      <c r="Y558" s="185">
        <v>0</v>
      </c>
      <c r="Z558" s="185">
        <v>0</v>
      </c>
      <c r="AA558" s="188">
        <v>0</v>
      </c>
      <c r="AB558" s="185">
        <v>0</v>
      </c>
      <c r="AC558" s="185">
        <v>0</v>
      </c>
      <c r="AD558" s="188">
        <v>0</v>
      </c>
      <c r="AE558" s="185">
        <v>0</v>
      </c>
      <c r="AF558" s="185">
        <v>0</v>
      </c>
      <c r="AG558" s="188">
        <v>0</v>
      </c>
      <c r="AH558" s="185">
        <v>0</v>
      </c>
      <c r="AI558" s="185">
        <v>0</v>
      </c>
      <c r="AJ558" s="303">
        <v>0</v>
      </c>
      <c r="AK558" s="185">
        <v>0</v>
      </c>
      <c r="AL558" s="185">
        <v>0</v>
      </c>
      <c r="AM558" s="188">
        <v>0</v>
      </c>
      <c r="AN558" s="185">
        <v>0</v>
      </c>
      <c r="AO558" s="185">
        <v>0</v>
      </c>
      <c r="AP558" s="185"/>
      <c r="AQ558" s="188">
        <v>3028.9780000000001</v>
      </c>
      <c r="AR558" s="185">
        <v>0.19231606349206348</v>
      </c>
      <c r="AS558" s="185">
        <v>0.20243796157059316</v>
      </c>
      <c r="AT558" s="188">
        <v>3028.9780000000001</v>
      </c>
      <c r="AU558" s="185">
        <v>0.19231606349206348</v>
      </c>
      <c r="AV558" s="185">
        <v>0.20243796157059316</v>
      </c>
      <c r="AW558" s="185"/>
      <c r="AX558" s="185"/>
      <c r="AY558" s="185"/>
      <c r="AZ558" s="185"/>
      <c r="BA558" s="185"/>
      <c r="BB558" s="185"/>
      <c r="BC558" s="188">
        <v>3028.9780000000001</v>
      </c>
      <c r="BD558" s="185">
        <v>0.19231606349206348</v>
      </c>
      <c r="BE558" s="185">
        <v>0.20243796157059316</v>
      </c>
      <c r="BF558" s="352"/>
      <c r="BG558" s="352">
        <v>4081.3980000000001</v>
      </c>
      <c r="BH558" s="185">
        <v>0.25913638095238095</v>
      </c>
      <c r="BI558" s="185">
        <v>0.27277513784461155</v>
      </c>
      <c r="BJ558" s="374">
        <f t="shared" si="463"/>
        <v>14962.5</v>
      </c>
      <c r="BK558" s="374">
        <v>7355.6360000000004</v>
      </c>
      <c r="BL558" s="185">
        <f t="shared" si="465"/>
        <v>0.46702450793650796</v>
      </c>
      <c r="BM558" s="185">
        <f t="shared" si="473"/>
        <v>0.49160474519632419</v>
      </c>
      <c r="BN558" s="205">
        <f t="shared" si="461"/>
        <v>7355.6360000000004</v>
      </c>
      <c r="BO558" s="205"/>
      <c r="BP558" s="189">
        <f>BP559+BP560</f>
        <v>760</v>
      </c>
      <c r="BQ558" s="186">
        <f t="shared" si="466"/>
        <v>4.8253968253968257E-2</v>
      </c>
      <c r="BR558" s="189">
        <f>BR559+BR560</f>
        <v>2850</v>
      </c>
      <c r="BS558" s="186">
        <f t="shared" si="467"/>
        <v>0.18095238095238095</v>
      </c>
      <c r="BT558" s="189">
        <f>BT559+BT560</f>
        <v>4125</v>
      </c>
      <c r="BU558" s="186">
        <f t="shared" si="468"/>
        <v>0.26190476190476192</v>
      </c>
      <c r="BV558" s="189">
        <f>BV559+BV560</f>
        <v>5400</v>
      </c>
      <c r="BW558" s="186">
        <f t="shared" si="450"/>
        <v>0.34285714285714286</v>
      </c>
      <c r="BX558" s="189">
        <f>BX559+BX560</f>
        <v>6675</v>
      </c>
      <c r="BY558" s="186">
        <f t="shared" si="451"/>
        <v>0.4238095238095238</v>
      </c>
      <c r="BZ558" s="189">
        <f>BZ559+BZ560</f>
        <v>7950</v>
      </c>
      <c r="CA558" s="186">
        <f t="shared" si="452"/>
        <v>0.50476190476190474</v>
      </c>
      <c r="CB558" s="189">
        <f>CB559+CB560</f>
        <v>9225</v>
      </c>
      <c r="CC558" s="186">
        <f t="shared" si="479"/>
        <v>0.58571428571428574</v>
      </c>
      <c r="CD558" s="189">
        <f>CD559+CD560</f>
        <v>10500</v>
      </c>
      <c r="CE558" s="186">
        <f t="shared" si="453"/>
        <v>0.66666666666666663</v>
      </c>
      <c r="CF558" s="189">
        <f>CF559+CF560</f>
        <v>11775</v>
      </c>
      <c r="CG558" s="186">
        <f t="shared" si="454"/>
        <v>0.74761904761904763</v>
      </c>
      <c r="CH558" s="189">
        <f>CH559+CH560</f>
        <v>13050</v>
      </c>
      <c r="CI558" s="186">
        <f t="shared" si="455"/>
        <v>0.82857142857142863</v>
      </c>
      <c r="CJ558" s="189">
        <f>CJ559+CJ560</f>
        <v>13687.5</v>
      </c>
      <c r="CK558" s="186">
        <f t="shared" si="456"/>
        <v>0.86904761904761907</v>
      </c>
      <c r="CL558" s="189">
        <f>CL559+CL560</f>
        <v>14325</v>
      </c>
      <c r="CM558" s="186">
        <f t="shared" si="457"/>
        <v>0.90952380952380951</v>
      </c>
      <c r="CN558" s="189">
        <f>CN559+CN560</f>
        <v>14962.5</v>
      </c>
      <c r="CO558" s="186">
        <f t="shared" si="458"/>
        <v>0.95</v>
      </c>
      <c r="CP558" s="213" t="str">
        <f t="shared" si="471"/>
        <v>Đạt</v>
      </c>
      <c r="CQ558" s="213" t="str">
        <f t="shared" si="472"/>
        <v>Đạt</v>
      </c>
      <c r="CR558" s="213"/>
      <c r="CS558" s="213"/>
      <c r="CT558" s="231"/>
      <c r="CU558" s="163"/>
      <c r="CW558" s="195"/>
      <c r="CX558" s="196"/>
      <c r="CY558" s="196"/>
      <c r="CZ558" s="197"/>
      <c r="DA558" s="196"/>
      <c r="DB558" s="196"/>
      <c r="DC558" s="196"/>
      <c r="DE558" s="199"/>
      <c r="DF558" s="200"/>
      <c r="DG558" s="181"/>
    </row>
    <row r="559" spans="1:111" s="324" customFormat="1" hidden="1" outlineLevel="1" x14ac:dyDescent="0.25">
      <c r="A559" s="305" t="s">
        <v>34</v>
      </c>
      <c r="B559" s="306" t="s">
        <v>376</v>
      </c>
      <c r="C559" s="306"/>
      <c r="D559" s="307">
        <f>E559+F559</f>
        <v>3000</v>
      </c>
      <c r="E559" s="307"/>
      <c r="F559" s="307">
        <f>G559+H559+K559+M559</f>
        <v>3000</v>
      </c>
      <c r="G559" s="303">
        <v>3000</v>
      </c>
      <c r="H559" s="303"/>
      <c r="I559" s="235"/>
      <c r="J559" s="235"/>
      <c r="K559" s="303"/>
      <c r="L559" s="235"/>
      <c r="M559" s="223"/>
      <c r="N559" s="223"/>
      <c r="O559" s="303">
        <f>G559+I559+L559+N559</f>
        <v>3000</v>
      </c>
      <c r="P559" s="303">
        <v>0</v>
      </c>
      <c r="Q559" s="308">
        <f t="shared" si="470"/>
        <v>0</v>
      </c>
      <c r="R559" s="303"/>
      <c r="S559" s="313">
        <v>0</v>
      </c>
      <c r="T559" s="313">
        <v>0</v>
      </c>
      <c r="U559" s="303"/>
      <c r="V559" s="313">
        <v>0</v>
      </c>
      <c r="W559" s="313">
        <v>0</v>
      </c>
      <c r="X559" s="303"/>
      <c r="Y559" s="313">
        <v>0</v>
      </c>
      <c r="Z559" s="313">
        <v>0</v>
      </c>
      <c r="AA559" s="303"/>
      <c r="AB559" s="313">
        <v>0</v>
      </c>
      <c r="AC559" s="313">
        <v>0</v>
      </c>
      <c r="AD559" s="303"/>
      <c r="AE559" s="313">
        <v>0</v>
      </c>
      <c r="AF559" s="313">
        <v>0</v>
      </c>
      <c r="AG559" s="303"/>
      <c r="AH559" s="313">
        <v>0</v>
      </c>
      <c r="AI559" s="313">
        <v>0</v>
      </c>
      <c r="AJ559" s="303"/>
      <c r="AK559" s="313">
        <v>0</v>
      </c>
      <c r="AL559" s="313">
        <v>0</v>
      </c>
      <c r="AM559" s="303"/>
      <c r="AN559" s="313">
        <v>0</v>
      </c>
      <c r="AO559" s="313">
        <v>0</v>
      </c>
      <c r="AP559" s="313"/>
      <c r="AQ559" s="303">
        <v>1995.123</v>
      </c>
      <c r="AR559" s="313">
        <v>0.66504099999999999</v>
      </c>
      <c r="AS559" s="313">
        <v>0.70004315789473681</v>
      </c>
      <c r="AT559" s="303">
        <v>1995.123</v>
      </c>
      <c r="AU559" s="313">
        <v>0.66504099999999999</v>
      </c>
      <c r="AV559" s="313">
        <v>0.70004315789473681</v>
      </c>
      <c r="AW559" s="313"/>
      <c r="AX559" s="313"/>
      <c r="AY559" s="313"/>
      <c r="AZ559" s="313"/>
      <c r="BA559" s="313"/>
      <c r="BB559" s="313"/>
      <c r="BC559" s="303">
        <v>1995.123</v>
      </c>
      <c r="BD559" s="313">
        <v>0.66504099999999999</v>
      </c>
      <c r="BE559" s="313">
        <v>0.70004315789473681</v>
      </c>
      <c r="BF559" s="351"/>
      <c r="BG559" s="351">
        <v>1995.123</v>
      </c>
      <c r="BH559" s="313">
        <v>0.66504099999999999</v>
      </c>
      <c r="BI559" s="313">
        <v>0.70004315789473681</v>
      </c>
      <c r="BJ559" s="349">
        <f t="shared" si="463"/>
        <v>2850</v>
      </c>
      <c r="BK559" s="349">
        <v>2396.4989999999998</v>
      </c>
      <c r="BL559" s="313">
        <f t="shared" si="465"/>
        <v>0.7988329999999999</v>
      </c>
      <c r="BM559" s="313">
        <f t="shared" si="473"/>
        <v>0.84087684210526303</v>
      </c>
      <c r="BN559" s="205">
        <f t="shared" si="461"/>
        <v>2396.4989999999998</v>
      </c>
      <c r="BO559" s="205"/>
      <c r="BP559" s="310">
        <v>760</v>
      </c>
      <c r="BQ559" s="311">
        <f t="shared" si="466"/>
        <v>0.25333333333333335</v>
      </c>
      <c r="BR559" s="310">
        <f>2090+BP559</f>
        <v>2850</v>
      </c>
      <c r="BS559" s="311">
        <f t="shared" si="467"/>
        <v>0.95</v>
      </c>
      <c r="BT559" s="310">
        <v>2850</v>
      </c>
      <c r="BU559" s="308">
        <f t="shared" si="468"/>
        <v>0.95</v>
      </c>
      <c r="BV559" s="310">
        <v>2850</v>
      </c>
      <c r="BW559" s="311">
        <f t="shared" si="450"/>
        <v>0.95</v>
      </c>
      <c r="BX559" s="310">
        <v>2850</v>
      </c>
      <c r="BY559" s="311">
        <f t="shared" si="451"/>
        <v>0.95</v>
      </c>
      <c r="BZ559" s="310">
        <v>2850</v>
      </c>
      <c r="CA559" s="311">
        <f t="shared" si="452"/>
        <v>0.95</v>
      </c>
      <c r="CB559" s="310">
        <v>2850</v>
      </c>
      <c r="CC559" s="311">
        <f t="shared" si="479"/>
        <v>0.95</v>
      </c>
      <c r="CD559" s="310">
        <v>2850</v>
      </c>
      <c r="CE559" s="311">
        <f t="shared" si="453"/>
        <v>0.95</v>
      </c>
      <c r="CF559" s="310">
        <v>2850</v>
      </c>
      <c r="CG559" s="311">
        <f t="shared" si="454"/>
        <v>0.95</v>
      </c>
      <c r="CH559" s="310">
        <v>2850</v>
      </c>
      <c r="CI559" s="311">
        <f t="shared" si="455"/>
        <v>0.95</v>
      </c>
      <c r="CJ559" s="310">
        <v>2850</v>
      </c>
      <c r="CK559" s="311">
        <f t="shared" si="456"/>
        <v>0.95</v>
      </c>
      <c r="CL559" s="310">
        <v>2850</v>
      </c>
      <c r="CM559" s="311">
        <f t="shared" si="457"/>
        <v>0.95</v>
      </c>
      <c r="CN559" s="310">
        <v>2850</v>
      </c>
      <c r="CO559" s="311">
        <f t="shared" si="458"/>
        <v>0.95</v>
      </c>
      <c r="CP559" s="213" t="str">
        <f t="shared" si="471"/>
        <v>Đạt</v>
      </c>
      <c r="CQ559" s="213" t="str">
        <f t="shared" si="472"/>
        <v>Đạt</v>
      </c>
      <c r="CR559" s="312"/>
      <c r="CS559" s="312"/>
      <c r="CT559" s="235"/>
      <c r="CU559" s="163"/>
      <c r="CV559" s="323"/>
      <c r="CW559" s="195"/>
      <c r="CX559" s="196"/>
      <c r="CY559" s="196"/>
      <c r="CZ559" s="197"/>
      <c r="DA559" s="196"/>
      <c r="DB559" s="196"/>
      <c r="DC559" s="196"/>
      <c r="DE559" s="199"/>
      <c r="DF559" s="200"/>
      <c r="DG559" s="181"/>
    </row>
    <row r="560" spans="1:111" ht="25.5" hidden="1" outlineLevel="1" x14ac:dyDescent="0.25">
      <c r="A560" s="305" t="s">
        <v>34</v>
      </c>
      <c r="B560" s="306" t="s">
        <v>377</v>
      </c>
      <c r="C560" s="306"/>
      <c r="D560" s="307">
        <f>E560+F560</f>
        <v>12750</v>
      </c>
      <c r="E560" s="307"/>
      <c r="F560" s="307">
        <f>G560+H560+K560+M560</f>
        <v>12750</v>
      </c>
      <c r="G560" s="307"/>
      <c r="H560" s="307">
        <v>12750</v>
      </c>
      <c r="I560" s="235"/>
      <c r="J560" s="235"/>
      <c r="K560" s="303"/>
      <c r="L560" s="235"/>
      <c r="M560" s="223"/>
      <c r="N560" s="223"/>
      <c r="O560" s="303"/>
      <c r="P560" s="303">
        <v>0</v>
      </c>
      <c r="Q560" s="308">
        <f t="shared" si="470"/>
        <v>0</v>
      </c>
      <c r="R560" s="303"/>
      <c r="S560" s="313">
        <v>0</v>
      </c>
      <c r="T560" s="313">
        <v>0</v>
      </c>
      <c r="U560" s="303"/>
      <c r="V560" s="313">
        <v>0</v>
      </c>
      <c r="W560" s="313">
        <v>0</v>
      </c>
      <c r="X560" s="303"/>
      <c r="Y560" s="313">
        <v>0</v>
      </c>
      <c r="Z560" s="313">
        <v>0</v>
      </c>
      <c r="AA560" s="303"/>
      <c r="AB560" s="313">
        <v>0</v>
      </c>
      <c r="AC560" s="313">
        <v>0</v>
      </c>
      <c r="AD560" s="303"/>
      <c r="AE560" s="313">
        <v>0</v>
      </c>
      <c r="AF560" s="313">
        <v>0</v>
      </c>
      <c r="AG560" s="303"/>
      <c r="AH560" s="313">
        <v>0</v>
      </c>
      <c r="AI560" s="313">
        <v>0</v>
      </c>
      <c r="AJ560" s="189"/>
      <c r="AK560" s="313">
        <v>0</v>
      </c>
      <c r="AL560" s="313">
        <v>0</v>
      </c>
      <c r="AM560" s="303"/>
      <c r="AN560" s="313">
        <v>0</v>
      </c>
      <c r="AO560" s="313">
        <v>0</v>
      </c>
      <c r="AP560" s="313"/>
      <c r="AQ560" s="303">
        <v>1033.855</v>
      </c>
      <c r="AR560" s="313">
        <v>8.1086666666666668E-2</v>
      </c>
      <c r="AS560" s="313">
        <v>8.535438596491228E-2</v>
      </c>
      <c r="AT560" s="303">
        <v>1033.855</v>
      </c>
      <c r="AU560" s="313">
        <v>8.1086666666666668E-2</v>
      </c>
      <c r="AV560" s="313">
        <v>8.535438596491228E-2</v>
      </c>
      <c r="AW560" s="313"/>
      <c r="AX560" s="313"/>
      <c r="AY560" s="313"/>
      <c r="AZ560" s="313"/>
      <c r="BA560" s="313"/>
      <c r="BB560" s="313"/>
      <c r="BC560" s="303">
        <v>1033.855</v>
      </c>
      <c r="BD560" s="313">
        <v>8.1086666666666668E-2</v>
      </c>
      <c r="BE560" s="313">
        <v>8.535438596491228E-2</v>
      </c>
      <c r="BF560" s="351"/>
      <c r="BG560" s="351">
        <v>2086.2750000000001</v>
      </c>
      <c r="BH560" s="313">
        <v>0.16362941176470588</v>
      </c>
      <c r="BI560" s="313">
        <v>0.17224148606811146</v>
      </c>
      <c r="BJ560" s="349">
        <f t="shared" si="463"/>
        <v>12112.5</v>
      </c>
      <c r="BK560" s="349">
        <v>4959.1370000000006</v>
      </c>
      <c r="BL560" s="313">
        <f t="shared" si="465"/>
        <v>0.38895192156862751</v>
      </c>
      <c r="BM560" s="313">
        <f t="shared" si="473"/>
        <v>0.40942307533539735</v>
      </c>
      <c r="BN560" s="205">
        <f t="shared" si="461"/>
        <v>4959.1370000000006</v>
      </c>
      <c r="BO560" s="205"/>
      <c r="BP560" s="310"/>
      <c r="BQ560" s="311">
        <f t="shared" si="466"/>
        <v>0</v>
      </c>
      <c r="BR560" s="310"/>
      <c r="BS560" s="311">
        <f t="shared" si="467"/>
        <v>0</v>
      </c>
      <c r="BT560" s="310">
        <f>12750*0.1</f>
        <v>1275</v>
      </c>
      <c r="BU560" s="308">
        <f t="shared" si="468"/>
        <v>0.1</v>
      </c>
      <c r="BV560" s="310">
        <f>12750*0.2</f>
        <v>2550</v>
      </c>
      <c r="BW560" s="311">
        <f t="shared" si="450"/>
        <v>0.2</v>
      </c>
      <c r="BX560" s="310">
        <f>12750*0.3</f>
        <v>3825</v>
      </c>
      <c r="BY560" s="311">
        <f t="shared" si="451"/>
        <v>0.3</v>
      </c>
      <c r="BZ560" s="310">
        <f>12750*0.4</f>
        <v>5100</v>
      </c>
      <c r="CA560" s="311">
        <f t="shared" si="452"/>
        <v>0.4</v>
      </c>
      <c r="CB560" s="310">
        <f>12750*0.5</f>
        <v>6375</v>
      </c>
      <c r="CC560" s="311">
        <f t="shared" si="479"/>
        <v>0.5</v>
      </c>
      <c r="CD560" s="310">
        <f>12750*0.6</f>
        <v>7650</v>
      </c>
      <c r="CE560" s="311">
        <f t="shared" si="453"/>
        <v>0.6</v>
      </c>
      <c r="CF560" s="310">
        <f>12750*0.7</f>
        <v>8925</v>
      </c>
      <c r="CG560" s="311">
        <f t="shared" si="454"/>
        <v>0.7</v>
      </c>
      <c r="CH560" s="310">
        <f>12750*0.8</f>
        <v>10200</v>
      </c>
      <c r="CI560" s="311">
        <f t="shared" si="455"/>
        <v>0.8</v>
      </c>
      <c r="CJ560" s="310">
        <f>12750*0.85</f>
        <v>10837.5</v>
      </c>
      <c r="CK560" s="311">
        <f t="shared" si="456"/>
        <v>0.85</v>
      </c>
      <c r="CL560" s="310">
        <f>12750*0.9</f>
        <v>11475</v>
      </c>
      <c r="CM560" s="311">
        <f t="shared" si="457"/>
        <v>0.9</v>
      </c>
      <c r="CN560" s="310">
        <f>12750*0.95</f>
        <v>12112.5</v>
      </c>
      <c r="CO560" s="311">
        <f t="shared" si="458"/>
        <v>0.95</v>
      </c>
      <c r="CP560" s="213" t="str">
        <f t="shared" si="471"/>
        <v>Đạt</v>
      </c>
      <c r="CQ560" s="213" t="str">
        <f t="shared" si="472"/>
        <v>Không đạt</v>
      </c>
      <c r="CR560" s="312"/>
      <c r="CS560" s="312"/>
      <c r="CT560" s="235"/>
      <c r="CU560" s="163"/>
      <c r="CW560" s="195"/>
      <c r="CX560" s="196"/>
      <c r="CY560" s="196"/>
      <c r="CZ560" s="197"/>
      <c r="DA560" s="196"/>
      <c r="DB560" s="196"/>
      <c r="DC560" s="196"/>
      <c r="DE560" s="199"/>
      <c r="DF560" s="200"/>
      <c r="DG560" s="181"/>
    </row>
    <row r="561" spans="1:111" ht="18" customHeight="1" collapsed="1" x14ac:dyDescent="0.25">
      <c r="A561" s="213">
        <f>MAX(A$239:A558)+1</f>
        <v>89</v>
      </c>
      <c r="B561" s="240" t="s">
        <v>506</v>
      </c>
      <c r="C561" s="240"/>
      <c r="D561" s="188">
        <f t="shared" ref="D561:I561" si="489">D562+D563</f>
        <v>3425</v>
      </c>
      <c r="E561" s="188">
        <f t="shared" si="489"/>
        <v>0</v>
      </c>
      <c r="F561" s="188">
        <f t="shared" si="489"/>
        <v>3425</v>
      </c>
      <c r="G561" s="188">
        <f t="shared" si="489"/>
        <v>3000</v>
      </c>
      <c r="H561" s="188">
        <f t="shared" si="489"/>
        <v>425</v>
      </c>
      <c r="I561" s="188">
        <f t="shared" si="489"/>
        <v>0</v>
      </c>
      <c r="J561" s="188"/>
      <c r="K561" s="188">
        <f>K562+K563</f>
        <v>0</v>
      </c>
      <c r="L561" s="188">
        <f>L562+L563</f>
        <v>0</v>
      </c>
      <c r="M561" s="188">
        <f>M562+M563</f>
        <v>0</v>
      </c>
      <c r="N561" s="188">
        <f>N562+N563</f>
        <v>0</v>
      </c>
      <c r="O561" s="188">
        <f>O562+O563</f>
        <v>3000</v>
      </c>
      <c r="P561" s="188">
        <v>0</v>
      </c>
      <c r="Q561" s="186">
        <f t="shared" si="470"/>
        <v>0</v>
      </c>
      <c r="R561" s="189">
        <v>160.94300000000001</v>
      </c>
      <c r="S561" s="185">
        <v>4.6990656934306575E-2</v>
      </c>
      <c r="T561" s="185">
        <v>4.9463849404533237E-2</v>
      </c>
      <c r="U561" s="189">
        <v>1153.056</v>
      </c>
      <c r="V561" s="185">
        <v>0.33665868613138689</v>
      </c>
      <c r="W561" s="185">
        <v>0.35437756434882828</v>
      </c>
      <c r="X561" s="189">
        <v>1153.056</v>
      </c>
      <c r="Y561" s="185">
        <v>0.33665868613138689</v>
      </c>
      <c r="Z561" s="185">
        <v>0.35437756434882828</v>
      </c>
      <c r="AA561" s="189">
        <v>1153.056</v>
      </c>
      <c r="AB561" s="185">
        <v>0.33665868613138689</v>
      </c>
      <c r="AC561" s="185">
        <v>0.35437756434882828</v>
      </c>
      <c r="AD561" s="189">
        <v>1153.056</v>
      </c>
      <c r="AE561" s="185">
        <v>0.33665868613138689</v>
      </c>
      <c r="AF561" s="185">
        <v>0.35437756434882828</v>
      </c>
      <c r="AG561" s="189">
        <v>1153.056</v>
      </c>
      <c r="AH561" s="185">
        <v>0.33665868613138689</v>
      </c>
      <c r="AI561" s="185">
        <v>0.35437756434882828</v>
      </c>
      <c r="AJ561" s="303">
        <v>1153.056</v>
      </c>
      <c r="AK561" s="185">
        <v>0.33665868613138689</v>
      </c>
      <c r="AL561" s="185">
        <v>0.35437756434882828</v>
      </c>
      <c r="AM561" s="189">
        <v>1153.056</v>
      </c>
      <c r="AN561" s="185">
        <v>0.33665868613138689</v>
      </c>
      <c r="AO561" s="185">
        <v>0.35437756434882828</v>
      </c>
      <c r="AP561" s="185"/>
      <c r="AQ561" s="189">
        <v>1327.8910000000001</v>
      </c>
      <c r="AR561" s="185">
        <v>0.38770540145985405</v>
      </c>
      <c r="AS561" s="185">
        <v>0.40811094890510952</v>
      </c>
      <c r="AT561" s="189">
        <v>1327.8910000000001</v>
      </c>
      <c r="AU561" s="185">
        <v>0.38770540145985405</v>
      </c>
      <c r="AV561" s="185">
        <v>0.40811094890510952</v>
      </c>
      <c r="AW561" s="185"/>
      <c r="AX561" s="185"/>
      <c r="AY561" s="185"/>
      <c r="AZ561" s="185"/>
      <c r="BA561" s="185"/>
      <c r="BB561" s="185"/>
      <c r="BC561" s="189">
        <v>1327.8910000000001</v>
      </c>
      <c r="BD561" s="185">
        <v>0.38770540145985405</v>
      </c>
      <c r="BE561" s="185">
        <v>0.40811094890510952</v>
      </c>
      <c r="BF561" s="352"/>
      <c r="BG561" s="352">
        <v>2116.9480000000003</v>
      </c>
      <c r="BH561" s="185">
        <v>0.61808700729927013</v>
      </c>
      <c r="BI561" s="185">
        <v>0.65061790242028439</v>
      </c>
      <c r="BJ561" s="374">
        <f t="shared" si="463"/>
        <v>3253.75</v>
      </c>
      <c r="BK561" s="374">
        <v>2116.9480000000003</v>
      </c>
      <c r="BL561" s="185">
        <f t="shared" si="465"/>
        <v>0.61808700729927013</v>
      </c>
      <c r="BM561" s="185">
        <f t="shared" si="473"/>
        <v>0.65061790242028439</v>
      </c>
      <c r="BN561" s="205">
        <f t="shared" si="461"/>
        <v>963.89200000000028</v>
      </c>
      <c r="BO561" s="205"/>
      <c r="BP561" s="189">
        <f>BP562+BP563</f>
        <v>0</v>
      </c>
      <c r="BQ561" s="186">
        <f t="shared" si="466"/>
        <v>0</v>
      </c>
      <c r="BR561" s="189">
        <f>BR562+BR563</f>
        <v>160</v>
      </c>
      <c r="BS561" s="186">
        <f t="shared" si="467"/>
        <v>4.6715328467153282E-2</v>
      </c>
      <c r="BT561" s="189">
        <f>BT562+BT563</f>
        <v>360</v>
      </c>
      <c r="BU561" s="186">
        <f t="shared" si="468"/>
        <v>0.10510948905109489</v>
      </c>
      <c r="BV561" s="189">
        <f>BV562+BV563</f>
        <v>360</v>
      </c>
      <c r="BW561" s="186">
        <f t="shared" si="450"/>
        <v>0.10510948905109489</v>
      </c>
      <c r="BX561" s="189">
        <f>BX562+BX563</f>
        <v>360</v>
      </c>
      <c r="BY561" s="186">
        <f t="shared" si="451"/>
        <v>0.10510948905109489</v>
      </c>
      <c r="BZ561" s="189">
        <f>BZ562+BZ563</f>
        <v>1260</v>
      </c>
      <c r="CA561" s="186">
        <f t="shared" si="452"/>
        <v>0.36788321167883209</v>
      </c>
      <c r="CB561" s="189">
        <f>CB562+CB563</f>
        <v>1260</v>
      </c>
      <c r="CC561" s="186">
        <f t="shared" si="479"/>
        <v>0.36788321167883209</v>
      </c>
      <c r="CD561" s="189">
        <f>CD562+CD563</f>
        <v>1260</v>
      </c>
      <c r="CE561" s="186">
        <f t="shared" si="453"/>
        <v>0.36788321167883209</v>
      </c>
      <c r="CF561" s="189">
        <f>CF562+CF563</f>
        <v>1260</v>
      </c>
      <c r="CG561" s="186">
        <f t="shared" si="454"/>
        <v>0.36788321167883209</v>
      </c>
      <c r="CH561" s="189">
        <f>CH562+CH563</f>
        <v>1260</v>
      </c>
      <c r="CI561" s="186">
        <f t="shared" si="455"/>
        <v>0.36788321167883209</v>
      </c>
      <c r="CJ561" s="189">
        <f>CJ562+CJ563</f>
        <v>1260</v>
      </c>
      <c r="CK561" s="186">
        <f t="shared" si="456"/>
        <v>0.36788321167883209</v>
      </c>
      <c r="CL561" s="189">
        <f>CL562+CL563</f>
        <v>3253.75</v>
      </c>
      <c r="CM561" s="186">
        <f t="shared" si="457"/>
        <v>0.95</v>
      </c>
      <c r="CN561" s="189">
        <f>CN562+CN563</f>
        <v>3253.75</v>
      </c>
      <c r="CO561" s="186">
        <f t="shared" si="458"/>
        <v>0.95</v>
      </c>
      <c r="CP561" s="213" t="str">
        <f t="shared" si="471"/>
        <v>Đạt</v>
      </c>
      <c r="CQ561" s="213" t="str">
        <f t="shared" si="472"/>
        <v>Đạt</v>
      </c>
      <c r="CR561" s="213"/>
      <c r="CS561" s="213"/>
      <c r="CT561" s="231"/>
      <c r="CU561" s="163"/>
      <c r="CW561" s="195"/>
      <c r="CX561" s="196"/>
      <c r="CY561" s="196"/>
      <c r="CZ561" s="197"/>
      <c r="DA561" s="196"/>
      <c r="DB561" s="196"/>
      <c r="DC561" s="196"/>
      <c r="DE561" s="199"/>
      <c r="DF561" s="200"/>
      <c r="DG561" s="181"/>
    </row>
    <row r="562" spans="1:111" s="324" customFormat="1" hidden="1" outlineLevel="1" x14ac:dyDescent="0.25">
      <c r="A562" s="305" t="s">
        <v>34</v>
      </c>
      <c r="B562" s="306" t="s">
        <v>376</v>
      </c>
      <c r="C562" s="306"/>
      <c r="D562" s="307">
        <f>E562+F562</f>
        <v>3000</v>
      </c>
      <c r="E562" s="307"/>
      <c r="F562" s="307">
        <f>G562+H562+K562+M562</f>
        <v>3000</v>
      </c>
      <c r="G562" s="303">
        <v>3000</v>
      </c>
      <c r="H562" s="303"/>
      <c r="I562" s="235"/>
      <c r="J562" s="235"/>
      <c r="K562" s="303"/>
      <c r="L562" s="235"/>
      <c r="M562" s="223"/>
      <c r="N562" s="223"/>
      <c r="O562" s="303">
        <f t="shared" ref="O562:O584" si="490">G562+I562+L562+N562</f>
        <v>3000</v>
      </c>
      <c r="P562" s="303">
        <v>0</v>
      </c>
      <c r="Q562" s="308">
        <f t="shared" si="470"/>
        <v>0</v>
      </c>
      <c r="R562" s="303">
        <v>160.94300000000001</v>
      </c>
      <c r="S562" s="313">
        <v>5.364766666666667E-2</v>
      </c>
      <c r="T562" s="313">
        <v>5.647122807017544E-2</v>
      </c>
      <c r="U562" s="303">
        <v>1153.056</v>
      </c>
      <c r="V562" s="313">
        <v>0.38435200000000003</v>
      </c>
      <c r="W562" s="313">
        <v>0.40458105263157895</v>
      </c>
      <c r="X562" s="303">
        <v>1153.056</v>
      </c>
      <c r="Y562" s="313">
        <v>0.38435200000000003</v>
      </c>
      <c r="Z562" s="313">
        <v>0.40458105263157895</v>
      </c>
      <c r="AA562" s="303">
        <v>1153.056</v>
      </c>
      <c r="AB562" s="313">
        <v>0.38435200000000003</v>
      </c>
      <c r="AC562" s="313">
        <v>0.40458105263157895</v>
      </c>
      <c r="AD562" s="303">
        <v>1153.056</v>
      </c>
      <c r="AE562" s="313">
        <v>0.38435200000000003</v>
      </c>
      <c r="AF562" s="313">
        <v>0.40458105263157895</v>
      </c>
      <c r="AG562" s="303">
        <v>1153.056</v>
      </c>
      <c r="AH562" s="313">
        <v>0.38435200000000003</v>
      </c>
      <c r="AI562" s="313">
        <v>0.40458105263157895</v>
      </c>
      <c r="AJ562" s="303">
        <v>1153.056</v>
      </c>
      <c r="AK562" s="313">
        <v>0.38435200000000003</v>
      </c>
      <c r="AL562" s="313">
        <v>0.40458105263157895</v>
      </c>
      <c r="AM562" s="303">
        <v>1153.056</v>
      </c>
      <c r="AN562" s="313">
        <v>0.38435200000000003</v>
      </c>
      <c r="AO562" s="313">
        <v>0.40458105263157895</v>
      </c>
      <c r="AP562" s="313"/>
      <c r="AQ562" s="303">
        <v>1327.8910000000001</v>
      </c>
      <c r="AR562" s="313">
        <v>0.44263033333333335</v>
      </c>
      <c r="AS562" s="313">
        <v>0.46592666666666671</v>
      </c>
      <c r="AT562" s="303">
        <v>1327.8910000000001</v>
      </c>
      <c r="AU562" s="313">
        <v>0.44263033333333335</v>
      </c>
      <c r="AV562" s="313">
        <v>0.46592666666666671</v>
      </c>
      <c r="AW562" s="313"/>
      <c r="AX562" s="313"/>
      <c r="AY562" s="313"/>
      <c r="AZ562" s="313"/>
      <c r="BA562" s="313"/>
      <c r="BB562" s="313"/>
      <c r="BC562" s="303">
        <v>1327.8910000000001</v>
      </c>
      <c r="BD562" s="313">
        <v>0.44263033333333335</v>
      </c>
      <c r="BE562" s="313">
        <v>0.46592666666666671</v>
      </c>
      <c r="BF562" s="351"/>
      <c r="BG562" s="351">
        <v>2116.9480000000003</v>
      </c>
      <c r="BH562" s="313">
        <v>0.70564933333333346</v>
      </c>
      <c r="BI562" s="313">
        <v>0.74278877192982462</v>
      </c>
      <c r="BJ562" s="349">
        <f t="shared" si="463"/>
        <v>2850</v>
      </c>
      <c r="BK562" s="349">
        <v>2116.9480000000003</v>
      </c>
      <c r="BL562" s="313">
        <f t="shared" si="465"/>
        <v>0.70564933333333346</v>
      </c>
      <c r="BM562" s="313">
        <f t="shared" si="473"/>
        <v>0.74278877192982462</v>
      </c>
      <c r="BN562" s="205">
        <f t="shared" si="461"/>
        <v>963.89200000000028</v>
      </c>
      <c r="BO562" s="205"/>
      <c r="BP562" s="310"/>
      <c r="BQ562" s="311">
        <f t="shared" si="466"/>
        <v>0</v>
      </c>
      <c r="BR562" s="310">
        <v>160</v>
      </c>
      <c r="BS562" s="311">
        <f t="shared" si="467"/>
        <v>5.3333333333333337E-2</v>
      </c>
      <c r="BT562" s="310">
        <v>360</v>
      </c>
      <c r="BU562" s="308">
        <f t="shared" si="468"/>
        <v>0.12</v>
      </c>
      <c r="BV562" s="310">
        <v>360</v>
      </c>
      <c r="BW562" s="311">
        <f t="shared" si="450"/>
        <v>0.12</v>
      </c>
      <c r="BX562" s="310">
        <v>360</v>
      </c>
      <c r="BY562" s="311">
        <f t="shared" si="451"/>
        <v>0.12</v>
      </c>
      <c r="BZ562" s="310">
        <v>1260</v>
      </c>
      <c r="CA562" s="311">
        <f t="shared" si="452"/>
        <v>0.42</v>
      </c>
      <c r="CB562" s="310">
        <v>1260</v>
      </c>
      <c r="CC562" s="311">
        <f t="shared" si="479"/>
        <v>0.42</v>
      </c>
      <c r="CD562" s="310">
        <v>1260</v>
      </c>
      <c r="CE562" s="311">
        <f t="shared" si="453"/>
        <v>0.42</v>
      </c>
      <c r="CF562" s="310">
        <v>1260</v>
      </c>
      <c r="CG562" s="311">
        <f t="shared" si="454"/>
        <v>0.42</v>
      </c>
      <c r="CH562" s="310">
        <v>1260</v>
      </c>
      <c r="CI562" s="311">
        <f t="shared" si="455"/>
        <v>0.42</v>
      </c>
      <c r="CJ562" s="310">
        <v>1260</v>
      </c>
      <c r="CK562" s="311">
        <f t="shared" si="456"/>
        <v>0.42</v>
      </c>
      <c r="CL562" s="310">
        <v>2850</v>
      </c>
      <c r="CM562" s="311">
        <f t="shared" si="457"/>
        <v>0.95</v>
      </c>
      <c r="CN562" s="310">
        <v>2850</v>
      </c>
      <c r="CO562" s="311">
        <f t="shared" si="458"/>
        <v>0.95</v>
      </c>
      <c r="CP562" s="213" t="str">
        <f t="shared" si="471"/>
        <v>Đạt</v>
      </c>
      <c r="CQ562" s="213" t="str">
        <f t="shared" si="472"/>
        <v>Đạt</v>
      </c>
      <c r="CR562" s="312"/>
      <c r="CS562" s="312"/>
      <c r="CT562" s="235"/>
      <c r="CU562" s="163"/>
      <c r="CV562" s="323"/>
      <c r="CW562" s="195"/>
      <c r="CX562" s="196"/>
      <c r="CY562" s="196"/>
      <c r="CZ562" s="197"/>
      <c r="DA562" s="196"/>
      <c r="DB562" s="196"/>
      <c r="DC562" s="196"/>
      <c r="DE562" s="199"/>
      <c r="DF562" s="200"/>
      <c r="DG562" s="181"/>
    </row>
    <row r="563" spans="1:111" ht="25.5" hidden="1" outlineLevel="1" x14ac:dyDescent="0.25">
      <c r="A563" s="305" t="s">
        <v>34</v>
      </c>
      <c r="B563" s="306" t="s">
        <v>377</v>
      </c>
      <c r="C563" s="306"/>
      <c r="D563" s="307">
        <f>E563+F563</f>
        <v>425</v>
      </c>
      <c r="E563" s="307"/>
      <c r="F563" s="307">
        <f>G563+H563+K563+M563</f>
        <v>425</v>
      </c>
      <c r="G563" s="307"/>
      <c r="H563" s="307">
        <v>425</v>
      </c>
      <c r="I563" s="235"/>
      <c r="J563" s="235"/>
      <c r="K563" s="303"/>
      <c r="L563" s="235"/>
      <c r="M563" s="223"/>
      <c r="N563" s="223"/>
      <c r="O563" s="303"/>
      <c r="P563" s="303">
        <v>0</v>
      </c>
      <c r="Q563" s="308">
        <f t="shared" si="470"/>
        <v>0</v>
      </c>
      <c r="R563" s="303"/>
      <c r="S563" s="313">
        <v>0</v>
      </c>
      <c r="T563" s="313">
        <v>0</v>
      </c>
      <c r="U563" s="303"/>
      <c r="V563" s="313">
        <v>0</v>
      </c>
      <c r="W563" s="313">
        <v>0</v>
      </c>
      <c r="X563" s="303"/>
      <c r="Y563" s="313">
        <v>0</v>
      </c>
      <c r="Z563" s="313">
        <v>0</v>
      </c>
      <c r="AA563" s="303"/>
      <c r="AB563" s="313">
        <v>0</v>
      </c>
      <c r="AC563" s="313">
        <v>0</v>
      </c>
      <c r="AD563" s="303"/>
      <c r="AE563" s="313">
        <v>0</v>
      </c>
      <c r="AF563" s="313">
        <v>0</v>
      </c>
      <c r="AG563" s="303"/>
      <c r="AH563" s="313">
        <v>0</v>
      </c>
      <c r="AI563" s="313">
        <v>0</v>
      </c>
      <c r="AJ563" s="188"/>
      <c r="AK563" s="313">
        <v>0</v>
      </c>
      <c r="AL563" s="313">
        <v>0</v>
      </c>
      <c r="AM563" s="303"/>
      <c r="AN563" s="313">
        <v>0</v>
      </c>
      <c r="AO563" s="313">
        <v>0</v>
      </c>
      <c r="AP563" s="313"/>
      <c r="AQ563" s="303"/>
      <c r="AR563" s="313">
        <v>0</v>
      </c>
      <c r="AS563" s="313">
        <v>0</v>
      </c>
      <c r="AT563" s="303"/>
      <c r="AU563" s="313">
        <v>0</v>
      </c>
      <c r="AV563" s="313">
        <v>0</v>
      </c>
      <c r="AW563" s="313"/>
      <c r="AX563" s="313"/>
      <c r="AY563" s="313"/>
      <c r="AZ563" s="313"/>
      <c r="BA563" s="313"/>
      <c r="BB563" s="313"/>
      <c r="BC563" s="303"/>
      <c r="BD563" s="313">
        <v>0</v>
      </c>
      <c r="BE563" s="313">
        <v>0</v>
      </c>
      <c r="BF563" s="351"/>
      <c r="BG563" s="351">
        <v>0</v>
      </c>
      <c r="BH563" s="313">
        <v>0</v>
      </c>
      <c r="BI563" s="313">
        <v>0</v>
      </c>
      <c r="BJ563" s="349">
        <f t="shared" si="463"/>
        <v>403.75</v>
      </c>
      <c r="BK563" s="349">
        <v>0</v>
      </c>
      <c r="BL563" s="313">
        <f t="shared" si="465"/>
        <v>0</v>
      </c>
      <c r="BM563" s="313">
        <f t="shared" si="473"/>
        <v>0</v>
      </c>
      <c r="BN563" s="205">
        <f t="shared" si="461"/>
        <v>0</v>
      </c>
      <c r="BO563" s="205"/>
      <c r="BP563" s="310"/>
      <c r="BQ563" s="311">
        <f t="shared" si="466"/>
        <v>0</v>
      </c>
      <c r="BR563" s="310"/>
      <c r="BS563" s="311">
        <f t="shared" si="467"/>
        <v>0</v>
      </c>
      <c r="BT563" s="310"/>
      <c r="BU563" s="308">
        <f t="shared" si="468"/>
        <v>0</v>
      </c>
      <c r="BV563" s="310"/>
      <c r="BW563" s="311">
        <f t="shared" si="450"/>
        <v>0</v>
      </c>
      <c r="BX563" s="310"/>
      <c r="BY563" s="311">
        <f t="shared" si="451"/>
        <v>0</v>
      </c>
      <c r="BZ563" s="310"/>
      <c r="CA563" s="311">
        <f t="shared" si="452"/>
        <v>0</v>
      </c>
      <c r="CB563" s="310"/>
      <c r="CC563" s="311">
        <f t="shared" si="479"/>
        <v>0</v>
      </c>
      <c r="CD563" s="310"/>
      <c r="CE563" s="311">
        <f t="shared" si="453"/>
        <v>0</v>
      </c>
      <c r="CF563" s="310"/>
      <c r="CG563" s="311">
        <f t="shared" si="454"/>
        <v>0</v>
      </c>
      <c r="CH563" s="310"/>
      <c r="CI563" s="311">
        <f t="shared" si="455"/>
        <v>0</v>
      </c>
      <c r="CJ563" s="310"/>
      <c r="CK563" s="311">
        <f t="shared" si="456"/>
        <v>0</v>
      </c>
      <c r="CL563" s="310">
        <f>425*0.95</f>
        <v>403.75</v>
      </c>
      <c r="CM563" s="311">
        <f t="shared" si="457"/>
        <v>0.95</v>
      </c>
      <c r="CN563" s="310">
        <f>425*0.95</f>
        <v>403.75</v>
      </c>
      <c r="CO563" s="311">
        <f t="shared" si="458"/>
        <v>0.95</v>
      </c>
      <c r="CP563" s="213" t="str">
        <f t="shared" si="471"/>
        <v>Không đạt</v>
      </c>
      <c r="CQ563" s="213" t="str">
        <f t="shared" si="472"/>
        <v>Không đạt</v>
      </c>
      <c r="CR563" s="312"/>
      <c r="CS563" s="312"/>
      <c r="CT563" s="235"/>
      <c r="CU563" s="163"/>
      <c r="CW563" s="195"/>
      <c r="CX563" s="196"/>
      <c r="CY563" s="196"/>
      <c r="CZ563" s="197"/>
      <c r="DA563" s="196"/>
      <c r="DB563" s="196"/>
      <c r="DC563" s="196"/>
      <c r="DE563" s="199"/>
      <c r="DF563" s="200"/>
      <c r="DG563" s="181"/>
    </row>
    <row r="564" spans="1:111" ht="18" customHeight="1" collapsed="1" x14ac:dyDescent="0.25">
      <c r="A564" s="213">
        <f>MAX(A$239:A561)+1</f>
        <v>90</v>
      </c>
      <c r="B564" s="240" t="s">
        <v>507</v>
      </c>
      <c r="C564" s="240"/>
      <c r="D564" s="188">
        <f t="shared" ref="D564:I564" si="491">D565+D566</f>
        <v>3425</v>
      </c>
      <c r="E564" s="188">
        <f t="shared" si="491"/>
        <v>0</v>
      </c>
      <c r="F564" s="188">
        <f t="shared" si="491"/>
        <v>3425</v>
      </c>
      <c r="G564" s="188">
        <f t="shared" si="491"/>
        <v>3000</v>
      </c>
      <c r="H564" s="188">
        <f t="shared" si="491"/>
        <v>425</v>
      </c>
      <c r="I564" s="188">
        <f t="shared" si="491"/>
        <v>0</v>
      </c>
      <c r="J564" s="188"/>
      <c r="K564" s="188">
        <f>K565+K566</f>
        <v>0</v>
      </c>
      <c r="L564" s="188">
        <f>L565+L566</f>
        <v>0</v>
      </c>
      <c r="M564" s="188">
        <f>M565+M566</f>
        <v>0</v>
      </c>
      <c r="N564" s="188">
        <f>N565+N566</f>
        <v>0</v>
      </c>
      <c r="O564" s="188">
        <f>O565+O566</f>
        <v>3000</v>
      </c>
      <c r="P564" s="188">
        <v>0</v>
      </c>
      <c r="Q564" s="186">
        <f t="shared" si="470"/>
        <v>0</v>
      </c>
      <c r="R564" s="188">
        <v>0</v>
      </c>
      <c r="S564" s="185">
        <v>0</v>
      </c>
      <c r="T564" s="185">
        <v>0</v>
      </c>
      <c r="U564" s="188">
        <v>0</v>
      </c>
      <c r="V564" s="185">
        <v>0</v>
      </c>
      <c r="W564" s="185">
        <v>0</v>
      </c>
      <c r="X564" s="188">
        <v>0</v>
      </c>
      <c r="Y564" s="185">
        <v>0</v>
      </c>
      <c r="Z564" s="185">
        <v>0</v>
      </c>
      <c r="AA564" s="188">
        <v>0</v>
      </c>
      <c r="AB564" s="185">
        <v>0</v>
      </c>
      <c r="AC564" s="185">
        <v>0</v>
      </c>
      <c r="AD564" s="188">
        <v>73.599999999999994</v>
      </c>
      <c r="AE564" s="185">
        <v>2.1489051094890511E-2</v>
      </c>
      <c r="AF564" s="185">
        <v>2.2620053784095272E-2</v>
      </c>
      <c r="AG564" s="188">
        <v>73.599999999999994</v>
      </c>
      <c r="AH564" s="185">
        <v>2.1489051094890511E-2</v>
      </c>
      <c r="AI564" s="185">
        <v>2.2620053784095272E-2</v>
      </c>
      <c r="AJ564" s="307">
        <v>73.599999999999994</v>
      </c>
      <c r="AK564" s="185">
        <v>2.1489051094890511E-2</v>
      </c>
      <c r="AL564" s="185">
        <v>2.2620053784095272E-2</v>
      </c>
      <c r="AM564" s="188">
        <v>73.599999999999994</v>
      </c>
      <c r="AN564" s="185">
        <v>2.1489051094890511E-2</v>
      </c>
      <c r="AO564" s="185">
        <v>2.2620053784095272E-2</v>
      </c>
      <c r="AP564" s="185"/>
      <c r="AQ564" s="188">
        <v>1406.2</v>
      </c>
      <c r="AR564" s="185">
        <v>0.41056934306569343</v>
      </c>
      <c r="AS564" s="185">
        <v>0.43217825585862468</v>
      </c>
      <c r="AT564" s="188">
        <v>1406.2</v>
      </c>
      <c r="AU564" s="185">
        <v>0.41056934306569343</v>
      </c>
      <c r="AV564" s="185">
        <v>0.43217825585862468</v>
      </c>
      <c r="AW564" s="185"/>
      <c r="AX564" s="185"/>
      <c r="AY564" s="185"/>
      <c r="AZ564" s="185"/>
      <c r="BA564" s="185"/>
      <c r="BB564" s="185"/>
      <c r="BC564" s="188">
        <v>1406.2</v>
      </c>
      <c r="BD564" s="185">
        <v>0.41056934306569343</v>
      </c>
      <c r="BE564" s="185">
        <v>0.43217825585862468</v>
      </c>
      <c r="BF564" s="352"/>
      <c r="BG564" s="352">
        <v>1406.2</v>
      </c>
      <c r="BH564" s="185">
        <v>0.41056934306569343</v>
      </c>
      <c r="BI564" s="185">
        <v>0.43217825585862468</v>
      </c>
      <c r="BJ564" s="374">
        <f t="shared" si="463"/>
        <v>3253.75</v>
      </c>
      <c r="BK564" s="374">
        <v>2188.1999999999998</v>
      </c>
      <c r="BL564" s="185">
        <f t="shared" si="465"/>
        <v>0.63889051094890503</v>
      </c>
      <c r="BM564" s="185">
        <f t="shared" si="473"/>
        <v>0.67251632731463695</v>
      </c>
      <c r="BN564" s="205">
        <f t="shared" si="461"/>
        <v>2114.6</v>
      </c>
      <c r="BO564" s="205"/>
      <c r="BP564" s="189">
        <f>BP565+BP566</f>
        <v>0</v>
      </c>
      <c r="BQ564" s="186">
        <f t="shared" si="466"/>
        <v>0</v>
      </c>
      <c r="BR564" s="189">
        <f>BR565+BR566</f>
        <v>0</v>
      </c>
      <c r="BS564" s="186">
        <f t="shared" si="467"/>
        <v>0</v>
      </c>
      <c r="BT564" s="189">
        <f>BT565+BT566</f>
        <v>342.5</v>
      </c>
      <c r="BU564" s="186">
        <f t="shared" si="468"/>
        <v>0.1</v>
      </c>
      <c r="BV564" s="189">
        <f>BV565+BV566</f>
        <v>685</v>
      </c>
      <c r="BW564" s="186">
        <f t="shared" si="450"/>
        <v>0.2</v>
      </c>
      <c r="BX564" s="189">
        <f>BX565+BX566</f>
        <v>1027.5</v>
      </c>
      <c r="BY564" s="186">
        <f t="shared" si="451"/>
        <v>0.3</v>
      </c>
      <c r="BZ564" s="189">
        <f>BZ565+BZ566</f>
        <v>1370</v>
      </c>
      <c r="CA564" s="186">
        <f t="shared" si="452"/>
        <v>0.4</v>
      </c>
      <c r="CB564" s="189">
        <f>CB565+CB566</f>
        <v>1712.5</v>
      </c>
      <c r="CC564" s="186">
        <f t="shared" si="479"/>
        <v>0.5</v>
      </c>
      <c r="CD564" s="189">
        <f>CD565+CD566</f>
        <v>1883.7500000000002</v>
      </c>
      <c r="CE564" s="186">
        <f t="shared" si="453"/>
        <v>0.55000000000000004</v>
      </c>
      <c r="CF564" s="189">
        <f>CF565+CF566</f>
        <v>2397.5</v>
      </c>
      <c r="CG564" s="186">
        <f t="shared" si="454"/>
        <v>0.7</v>
      </c>
      <c r="CH564" s="189">
        <f>CH565+CH566</f>
        <v>2397.5</v>
      </c>
      <c r="CI564" s="186">
        <f t="shared" si="455"/>
        <v>0.7</v>
      </c>
      <c r="CJ564" s="189">
        <f>CJ565+CJ566</f>
        <v>2568.75</v>
      </c>
      <c r="CK564" s="186">
        <f t="shared" si="456"/>
        <v>0.75</v>
      </c>
      <c r="CL564" s="189">
        <f>CL565+CL566</f>
        <v>2740</v>
      </c>
      <c r="CM564" s="186">
        <f t="shared" si="457"/>
        <v>0.8</v>
      </c>
      <c r="CN564" s="189">
        <f>CN565+CN566</f>
        <v>3253.75</v>
      </c>
      <c r="CO564" s="186">
        <f t="shared" si="458"/>
        <v>0.95</v>
      </c>
      <c r="CP564" s="213" t="str">
        <f t="shared" si="471"/>
        <v>Đạt</v>
      </c>
      <c r="CQ564" s="213" t="str">
        <f t="shared" si="472"/>
        <v>Đạt</v>
      </c>
      <c r="CR564" s="213"/>
      <c r="CS564" s="213"/>
      <c r="CT564" s="231"/>
      <c r="CU564" s="163"/>
      <c r="CW564" s="195"/>
      <c r="CX564" s="196"/>
      <c r="CY564" s="196"/>
      <c r="CZ564" s="197"/>
      <c r="DA564" s="196"/>
      <c r="DB564" s="196"/>
      <c r="DC564" s="196"/>
      <c r="DE564" s="199"/>
      <c r="DF564" s="200"/>
      <c r="DG564" s="181"/>
    </row>
    <row r="565" spans="1:111" s="324" customFormat="1" hidden="1" outlineLevel="1" x14ac:dyDescent="0.25">
      <c r="A565" s="305" t="s">
        <v>34</v>
      </c>
      <c r="B565" s="306" t="s">
        <v>376</v>
      </c>
      <c r="C565" s="306"/>
      <c r="D565" s="307">
        <f>E565+F565</f>
        <v>3000</v>
      </c>
      <c r="E565" s="307"/>
      <c r="F565" s="307">
        <f>G565+H565+K565+M565</f>
        <v>3000</v>
      </c>
      <c r="G565" s="303">
        <v>3000</v>
      </c>
      <c r="H565" s="303"/>
      <c r="I565" s="235"/>
      <c r="J565" s="235"/>
      <c r="K565" s="303"/>
      <c r="L565" s="235"/>
      <c r="M565" s="223"/>
      <c r="N565" s="223"/>
      <c r="O565" s="303">
        <f t="shared" si="490"/>
        <v>3000</v>
      </c>
      <c r="P565" s="303">
        <v>0</v>
      </c>
      <c r="Q565" s="308">
        <f t="shared" si="470"/>
        <v>0</v>
      </c>
      <c r="R565" s="303"/>
      <c r="S565" s="309">
        <v>0</v>
      </c>
      <c r="T565" s="309">
        <v>0</v>
      </c>
      <c r="U565" s="303"/>
      <c r="V565" s="309">
        <v>0</v>
      </c>
      <c r="W565" s="309">
        <v>0</v>
      </c>
      <c r="X565" s="303"/>
      <c r="Y565" s="309">
        <v>0</v>
      </c>
      <c r="Z565" s="309">
        <v>0</v>
      </c>
      <c r="AA565" s="303"/>
      <c r="AB565" s="309">
        <v>0</v>
      </c>
      <c r="AC565" s="309">
        <v>0</v>
      </c>
      <c r="AD565" s="303">
        <v>73.599999999999994</v>
      </c>
      <c r="AE565" s="309">
        <v>2.4533333333333331E-2</v>
      </c>
      <c r="AF565" s="309">
        <v>2.5824561403508771E-2</v>
      </c>
      <c r="AG565" s="307">
        <v>73.599999999999994</v>
      </c>
      <c r="AH565" s="309">
        <v>2.4533333333333331E-2</v>
      </c>
      <c r="AI565" s="309">
        <v>2.5824561403508771E-2</v>
      </c>
      <c r="AJ565" s="303">
        <v>73.599999999999994</v>
      </c>
      <c r="AK565" s="309">
        <v>2.4533333333333331E-2</v>
      </c>
      <c r="AL565" s="309">
        <v>2.5824561403508771E-2</v>
      </c>
      <c r="AM565" s="307">
        <v>73.599999999999994</v>
      </c>
      <c r="AN565" s="309">
        <v>2.4533333333333331E-2</v>
      </c>
      <c r="AO565" s="309">
        <v>2.5824561403508771E-2</v>
      </c>
      <c r="AP565" s="309"/>
      <c r="AQ565" s="307">
        <v>1406.2</v>
      </c>
      <c r="AR565" s="309">
        <v>0.46873333333333334</v>
      </c>
      <c r="AS565" s="309">
        <v>0.49340350877192984</v>
      </c>
      <c r="AT565" s="307">
        <v>1406.2</v>
      </c>
      <c r="AU565" s="309">
        <v>0.46873333333333334</v>
      </c>
      <c r="AV565" s="309">
        <v>0.49340350877192984</v>
      </c>
      <c r="AW565" s="309"/>
      <c r="AX565" s="309"/>
      <c r="AY565" s="309"/>
      <c r="AZ565" s="309"/>
      <c r="BA565" s="309"/>
      <c r="BB565" s="309"/>
      <c r="BC565" s="307">
        <v>1406.2</v>
      </c>
      <c r="BD565" s="309">
        <v>0.46873333333333334</v>
      </c>
      <c r="BE565" s="309">
        <v>0.49340350877192984</v>
      </c>
      <c r="BF565" s="351"/>
      <c r="BG565" s="351">
        <v>1406.2</v>
      </c>
      <c r="BH565" s="309">
        <v>0.46873333333333334</v>
      </c>
      <c r="BI565" s="309">
        <v>0.49340350877192984</v>
      </c>
      <c r="BJ565" s="349">
        <f t="shared" si="463"/>
        <v>2850</v>
      </c>
      <c r="BK565" s="349">
        <v>2188.1999999999998</v>
      </c>
      <c r="BL565" s="309">
        <f t="shared" si="465"/>
        <v>0.72939999999999994</v>
      </c>
      <c r="BM565" s="309">
        <f t="shared" si="473"/>
        <v>0.76778947368421047</v>
      </c>
      <c r="BN565" s="205">
        <f t="shared" si="461"/>
        <v>2114.6</v>
      </c>
      <c r="BO565" s="205"/>
      <c r="BP565" s="310"/>
      <c r="BQ565" s="308">
        <f t="shared" si="466"/>
        <v>0</v>
      </c>
      <c r="BR565" s="310"/>
      <c r="BS565" s="308">
        <f t="shared" si="467"/>
        <v>0</v>
      </c>
      <c r="BT565" s="310">
        <f>$F565*0.1</f>
        <v>300</v>
      </c>
      <c r="BU565" s="308">
        <f t="shared" si="468"/>
        <v>0.1</v>
      </c>
      <c r="BV565" s="310">
        <f>$F565*0.2</f>
        <v>600</v>
      </c>
      <c r="BW565" s="308">
        <f t="shared" si="450"/>
        <v>0.2</v>
      </c>
      <c r="BX565" s="310">
        <f>$F565*0.3</f>
        <v>900</v>
      </c>
      <c r="BY565" s="308">
        <f t="shared" si="451"/>
        <v>0.3</v>
      </c>
      <c r="BZ565" s="310">
        <f>$F565*0.4</f>
        <v>1200</v>
      </c>
      <c r="CA565" s="308">
        <f t="shared" si="452"/>
        <v>0.4</v>
      </c>
      <c r="CB565" s="310">
        <f>$F565*0.5</f>
        <v>1500</v>
      </c>
      <c r="CC565" s="308">
        <f t="shared" si="479"/>
        <v>0.5</v>
      </c>
      <c r="CD565" s="310">
        <f>$F565*0.55</f>
        <v>1650.0000000000002</v>
      </c>
      <c r="CE565" s="308">
        <f t="shared" si="453"/>
        <v>0.55000000000000004</v>
      </c>
      <c r="CF565" s="310">
        <v>2100</v>
      </c>
      <c r="CG565" s="308">
        <f t="shared" si="454"/>
        <v>0.7</v>
      </c>
      <c r="CH565" s="310">
        <f>$F565*0.7</f>
        <v>2100</v>
      </c>
      <c r="CI565" s="308">
        <f t="shared" si="455"/>
        <v>0.7</v>
      </c>
      <c r="CJ565" s="310">
        <f>$F565*0.75</f>
        <v>2250</v>
      </c>
      <c r="CK565" s="308">
        <f t="shared" si="456"/>
        <v>0.75</v>
      </c>
      <c r="CL565" s="310">
        <f>$F565*0.8</f>
        <v>2400</v>
      </c>
      <c r="CM565" s="308">
        <f t="shared" si="457"/>
        <v>0.8</v>
      </c>
      <c r="CN565" s="310">
        <f>$F565*0.95</f>
        <v>2850</v>
      </c>
      <c r="CO565" s="308">
        <f t="shared" si="458"/>
        <v>0.95</v>
      </c>
      <c r="CP565" s="213" t="str">
        <f t="shared" si="471"/>
        <v>Đạt</v>
      </c>
      <c r="CQ565" s="213" t="str">
        <f t="shared" si="472"/>
        <v>Đạt</v>
      </c>
      <c r="CR565" s="312"/>
      <c r="CS565" s="312"/>
      <c r="CT565" s="235"/>
      <c r="CU565" s="163"/>
      <c r="CV565" s="323"/>
      <c r="CW565" s="195"/>
      <c r="CX565" s="196"/>
      <c r="CY565" s="196"/>
      <c r="CZ565" s="197"/>
      <c r="DA565" s="196"/>
      <c r="DB565" s="196"/>
      <c r="DC565" s="196"/>
      <c r="DE565" s="199"/>
      <c r="DF565" s="200"/>
      <c r="DG565" s="181"/>
    </row>
    <row r="566" spans="1:111" ht="25.5" hidden="1" outlineLevel="1" x14ac:dyDescent="0.25">
      <c r="A566" s="305" t="s">
        <v>34</v>
      </c>
      <c r="B566" s="306" t="s">
        <v>377</v>
      </c>
      <c r="C566" s="306"/>
      <c r="D566" s="307">
        <f>E566+F566</f>
        <v>425</v>
      </c>
      <c r="E566" s="307"/>
      <c r="F566" s="307">
        <f>G566+H566+K566+M566</f>
        <v>425</v>
      </c>
      <c r="G566" s="307"/>
      <c r="H566" s="307">
        <v>425</v>
      </c>
      <c r="I566" s="235"/>
      <c r="J566" s="235"/>
      <c r="K566" s="303"/>
      <c r="L566" s="235"/>
      <c r="M566" s="223"/>
      <c r="N566" s="223"/>
      <c r="O566" s="303"/>
      <c r="P566" s="303">
        <v>0</v>
      </c>
      <c r="Q566" s="308">
        <f t="shared" si="470"/>
        <v>0</v>
      </c>
      <c r="R566" s="303"/>
      <c r="S566" s="309">
        <v>0</v>
      </c>
      <c r="T566" s="309">
        <v>0</v>
      </c>
      <c r="U566" s="303"/>
      <c r="V566" s="309">
        <v>0</v>
      </c>
      <c r="W566" s="309">
        <v>0</v>
      </c>
      <c r="X566" s="303"/>
      <c r="Y566" s="309">
        <v>0</v>
      </c>
      <c r="Z566" s="309">
        <v>0</v>
      </c>
      <c r="AA566" s="303"/>
      <c r="AB566" s="309">
        <v>0</v>
      </c>
      <c r="AC566" s="309">
        <v>0</v>
      </c>
      <c r="AD566" s="303"/>
      <c r="AE566" s="309">
        <v>0</v>
      </c>
      <c r="AF566" s="309">
        <v>0</v>
      </c>
      <c r="AG566" s="303"/>
      <c r="AH566" s="309">
        <v>0</v>
      </c>
      <c r="AI566" s="309">
        <v>0</v>
      </c>
      <c r="AJ566" s="188"/>
      <c r="AK566" s="309">
        <v>0</v>
      </c>
      <c r="AL566" s="309">
        <v>0</v>
      </c>
      <c r="AM566" s="303"/>
      <c r="AN566" s="309">
        <v>0</v>
      </c>
      <c r="AO566" s="309">
        <v>0</v>
      </c>
      <c r="AP566" s="309"/>
      <c r="AQ566" s="303"/>
      <c r="AR566" s="309">
        <v>0</v>
      </c>
      <c r="AS566" s="309">
        <v>0</v>
      </c>
      <c r="AT566" s="303"/>
      <c r="AU566" s="309">
        <v>0</v>
      </c>
      <c r="AV566" s="309">
        <v>0</v>
      </c>
      <c r="AW566" s="309"/>
      <c r="AX566" s="309"/>
      <c r="AY566" s="309"/>
      <c r="AZ566" s="309"/>
      <c r="BA566" s="309"/>
      <c r="BB566" s="309"/>
      <c r="BC566" s="303"/>
      <c r="BD566" s="309">
        <v>0</v>
      </c>
      <c r="BE566" s="309">
        <v>0</v>
      </c>
      <c r="BF566" s="351"/>
      <c r="BG566" s="351">
        <v>0</v>
      </c>
      <c r="BH566" s="309">
        <v>0</v>
      </c>
      <c r="BI566" s="309">
        <v>0</v>
      </c>
      <c r="BJ566" s="349">
        <f t="shared" si="463"/>
        <v>403.75</v>
      </c>
      <c r="BK566" s="349">
        <v>0</v>
      </c>
      <c r="BL566" s="309">
        <f t="shared" si="465"/>
        <v>0</v>
      </c>
      <c r="BM566" s="309">
        <f t="shared" si="473"/>
        <v>0</v>
      </c>
      <c r="BN566" s="205">
        <f t="shared" si="461"/>
        <v>0</v>
      </c>
      <c r="BO566" s="205"/>
      <c r="BP566" s="310"/>
      <c r="BQ566" s="308">
        <f t="shared" si="466"/>
        <v>0</v>
      </c>
      <c r="BR566" s="310"/>
      <c r="BS566" s="308">
        <f t="shared" si="467"/>
        <v>0</v>
      </c>
      <c r="BT566" s="310">
        <f>$F566*0.1</f>
        <v>42.5</v>
      </c>
      <c r="BU566" s="308">
        <f t="shared" si="468"/>
        <v>0.1</v>
      </c>
      <c r="BV566" s="310">
        <f>$F566*0.2</f>
        <v>85</v>
      </c>
      <c r="BW566" s="308">
        <f t="shared" si="450"/>
        <v>0.2</v>
      </c>
      <c r="BX566" s="310">
        <f>$F566*0.3</f>
        <v>127.5</v>
      </c>
      <c r="BY566" s="308">
        <f t="shared" si="451"/>
        <v>0.3</v>
      </c>
      <c r="BZ566" s="310">
        <f>$F566*0.4</f>
        <v>170</v>
      </c>
      <c r="CA566" s="308">
        <f t="shared" si="452"/>
        <v>0.4</v>
      </c>
      <c r="CB566" s="310">
        <f>$F566*0.5</f>
        <v>212.5</v>
      </c>
      <c r="CC566" s="308">
        <f t="shared" si="479"/>
        <v>0.5</v>
      </c>
      <c r="CD566" s="310">
        <f>$F566*0.55</f>
        <v>233.75000000000003</v>
      </c>
      <c r="CE566" s="308">
        <f t="shared" si="453"/>
        <v>0.55000000000000004</v>
      </c>
      <c r="CF566" s="310">
        <v>297.5</v>
      </c>
      <c r="CG566" s="308">
        <f t="shared" si="454"/>
        <v>0.7</v>
      </c>
      <c r="CH566" s="310">
        <f>$F566*0.7</f>
        <v>297.5</v>
      </c>
      <c r="CI566" s="308">
        <f t="shared" si="455"/>
        <v>0.7</v>
      </c>
      <c r="CJ566" s="310">
        <f>$F566*0.75</f>
        <v>318.75</v>
      </c>
      <c r="CK566" s="308">
        <f t="shared" si="456"/>
        <v>0.75</v>
      </c>
      <c r="CL566" s="310">
        <f>$F566*0.8</f>
        <v>340</v>
      </c>
      <c r="CM566" s="308">
        <f t="shared" si="457"/>
        <v>0.8</v>
      </c>
      <c r="CN566" s="310">
        <f>$F566*0.95</f>
        <v>403.75</v>
      </c>
      <c r="CO566" s="308">
        <f t="shared" si="458"/>
        <v>0.95</v>
      </c>
      <c r="CP566" s="213" t="str">
        <f t="shared" si="471"/>
        <v>Không đạt</v>
      </c>
      <c r="CQ566" s="213" t="str">
        <f t="shared" si="472"/>
        <v>Không đạt</v>
      </c>
      <c r="CR566" s="312"/>
      <c r="CS566" s="312"/>
      <c r="CT566" s="235"/>
      <c r="CU566" s="163"/>
      <c r="CW566" s="195"/>
      <c r="CX566" s="196"/>
      <c r="CY566" s="196"/>
      <c r="CZ566" s="197"/>
      <c r="DA566" s="196"/>
      <c r="DB566" s="196"/>
      <c r="DC566" s="196"/>
      <c r="DE566" s="199"/>
      <c r="DF566" s="200"/>
      <c r="DG566" s="181"/>
    </row>
    <row r="567" spans="1:111" ht="18" customHeight="1" collapsed="1" x14ac:dyDescent="0.25">
      <c r="A567" s="213">
        <f>MAX(A$239:A564)+1</f>
        <v>91</v>
      </c>
      <c r="B567" s="240" t="s">
        <v>508</v>
      </c>
      <c r="C567" s="240"/>
      <c r="D567" s="188">
        <f t="shared" ref="D567:I567" si="492">D568+D569</f>
        <v>3085</v>
      </c>
      <c r="E567" s="188">
        <f t="shared" si="492"/>
        <v>0</v>
      </c>
      <c r="F567" s="188">
        <f t="shared" si="492"/>
        <v>3085</v>
      </c>
      <c r="G567" s="188">
        <f t="shared" si="492"/>
        <v>3000</v>
      </c>
      <c r="H567" s="188">
        <f t="shared" si="492"/>
        <v>85</v>
      </c>
      <c r="I567" s="188">
        <f t="shared" si="492"/>
        <v>0</v>
      </c>
      <c r="J567" s="188"/>
      <c r="K567" s="188">
        <f>K568+K569</f>
        <v>0</v>
      </c>
      <c r="L567" s="188">
        <f>L568+L569</f>
        <v>0</v>
      </c>
      <c r="M567" s="188">
        <f>M568+M569</f>
        <v>0</v>
      </c>
      <c r="N567" s="188">
        <f>N568+N569</f>
        <v>0</v>
      </c>
      <c r="O567" s="188">
        <f>O568+O569</f>
        <v>3000</v>
      </c>
      <c r="P567" s="188">
        <v>0</v>
      </c>
      <c r="Q567" s="186">
        <f t="shared" si="470"/>
        <v>0</v>
      </c>
      <c r="R567" s="189">
        <v>0</v>
      </c>
      <c r="S567" s="185">
        <v>0</v>
      </c>
      <c r="T567" s="185">
        <v>0</v>
      </c>
      <c r="U567" s="189">
        <v>0</v>
      </c>
      <c r="V567" s="185">
        <v>0</v>
      </c>
      <c r="W567" s="185">
        <v>0</v>
      </c>
      <c r="X567" s="189">
        <v>0</v>
      </c>
      <c r="Y567" s="185">
        <v>0</v>
      </c>
      <c r="Z567" s="185">
        <v>0</v>
      </c>
      <c r="AA567" s="189">
        <v>0</v>
      </c>
      <c r="AB567" s="185">
        <v>0</v>
      </c>
      <c r="AC567" s="185">
        <v>0</v>
      </c>
      <c r="AD567" s="189">
        <v>300</v>
      </c>
      <c r="AE567" s="185">
        <v>9.7244732576985418E-2</v>
      </c>
      <c r="AF567" s="185">
        <v>0.10236287639682676</v>
      </c>
      <c r="AG567" s="188">
        <v>300</v>
      </c>
      <c r="AH567" s="185">
        <v>9.7244732576985418E-2</v>
      </c>
      <c r="AI567" s="185">
        <v>0.10236287639682676</v>
      </c>
      <c r="AJ567" s="303">
        <v>300</v>
      </c>
      <c r="AK567" s="185">
        <v>9.7244732576985418E-2</v>
      </c>
      <c r="AL567" s="185">
        <v>0.10236287639682676</v>
      </c>
      <c r="AM567" s="188">
        <v>300</v>
      </c>
      <c r="AN567" s="185">
        <v>9.7244732576985418E-2</v>
      </c>
      <c r="AO567" s="185">
        <v>0.10236287639682676</v>
      </c>
      <c r="AP567" s="185"/>
      <c r="AQ567" s="188">
        <v>485</v>
      </c>
      <c r="AR567" s="185">
        <v>0.15721231766612642</v>
      </c>
      <c r="AS567" s="185">
        <v>0.16548665017486991</v>
      </c>
      <c r="AT567" s="188">
        <v>485</v>
      </c>
      <c r="AU567" s="185">
        <v>0.15721231766612642</v>
      </c>
      <c r="AV567" s="185">
        <v>0.16548665017486991</v>
      </c>
      <c r="AW567" s="185"/>
      <c r="AX567" s="185"/>
      <c r="AY567" s="185"/>
      <c r="AZ567" s="185"/>
      <c r="BA567" s="185"/>
      <c r="BB567" s="185"/>
      <c r="BC567" s="188">
        <v>485</v>
      </c>
      <c r="BD567" s="185">
        <v>0.15721231766612642</v>
      </c>
      <c r="BE567" s="185">
        <v>0.16548665017486991</v>
      </c>
      <c r="BF567" s="352"/>
      <c r="BG567" s="352">
        <v>1436</v>
      </c>
      <c r="BH567" s="185">
        <v>0.46547811993517019</v>
      </c>
      <c r="BI567" s="185">
        <v>0.48997696835281074</v>
      </c>
      <c r="BJ567" s="374">
        <f t="shared" si="463"/>
        <v>2930.75</v>
      </c>
      <c r="BK567" s="374">
        <v>1436</v>
      </c>
      <c r="BL567" s="185">
        <f t="shared" si="465"/>
        <v>0.46547811993517019</v>
      </c>
      <c r="BM567" s="185">
        <f t="shared" si="473"/>
        <v>0.48997696835281074</v>
      </c>
      <c r="BN567" s="205">
        <f t="shared" si="461"/>
        <v>1136</v>
      </c>
      <c r="BO567" s="205"/>
      <c r="BP567" s="189">
        <f>BP568+BP569</f>
        <v>0</v>
      </c>
      <c r="BQ567" s="186">
        <f t="shared" si="466"/>
        <v>0</v>
      </c>
      <c r="BR567" s="189">
        <f>BR568+BR569</f>
        <v>0</v>
      </c>
      <c r="BS567" s="186">
        <f t="shared" si="467"/>
        <v>0</v>
      </c>
      <c r="BT567" s="189">
        <f>BT568+BT569</f>
        <v>308.5</v>
      </c>
      <c r="BU567" s="186">
        <f t="shared" si="468"/>
        <v>0.1</v>
      </c>
      <c r="BV567" s="189">
        <f>BV568+BV569</f>
        <v>617</v>
      </c>
      <c r="BW567" s="186">
        <f t="shared" si="450"/>
        <v>0.2</v>
      </c>
      <c r="BX567" s="189">
        <f>BX568+BX569</f>
        <v>925.5</v>
      </c>
      <c r="BY567" s="186">
        <f t="shared" si="451"/>
        <v>0.3</v>
      </c>
      <c r="BZ567" s="189">
        <f>BZ568+BZ569</f>
        <v>1234</v>
      </c>
      <c r="CA567" s="186">
        <f t="shared" si="452"/>
        <v>0.4</v>
      </c>
      <c r="CB567" s="189">
        <f>CB568+CB569</f>
        <v>1542.5</v>
      </c>
      <c r="CC567" s="186">
        <f t="shared" si="479"/>
        <v>0.5</v>
      </c>
      <c r="CD567" s="189">
        <f>CD568+CD569</f>
        <v>1696.7500000000002</v>
      </c>
      <c r="CE567" s="186">
        <f t="shared" si="453"/>
        <v>0.55000000000000004</v>
      </c>
      <c r="CF567" s="189">
        <f>CF568+CF569</f>
        <v>2159.5</v>
      </c>
      <c r="CG567" s="186">
        <f t="shared" si="454"/>
        <v>0.7</v>
      </c>
      <c r="CH567" s="189">
        <f>CH568+CH569</f>
        <v>2159.5</v>
      </c>
      <c r="CI567" s="186">
        <f t="shared" si="455"/>
        <v>0.7</v>
      </c>
      <c r="CJ567" s="189">
        <f>CJ568+CJ569</f>
        <v>2313.75</v>
      </c>
      <c r="CK567" s="186">
        <f t="shared" si="456"/>
        <v>0.75</v>
      </c>
      <c r="CL567" s="189">
        <f>CL568+CL569</f>
        <v>2468</v>
      </c>
      <c r="CM567" s="186">
        <f t="shared" si="457"/>
        <v>0.8</v>
      </c>
      <c r="CN567" s="189">
        <f>CN568+CN569</f>
        <v>2930.75</v>
      </c>
      <c r="CO567" s="186">
        <f t="shared" si="458"/>
        <v>0.95</v>
      </c>
      <c r="CP567" s="213" t="str">
        <f t="shared" si="471"/>
        <v>Đạt</v>
      </c>
      <c r="CQ567" s="213" t="str">
        <f t="shared" si="472"/>
        <v>Đạt</v>
      </c>
      <c r="CR567" s="213"/>
      <c r="CS567" s="213"/>
      <c r="CT567" s="231"/>
      <c r="CU567" s="163"/>
      <c r="CW567" s="195"/>
      <c r="CX567" s="196"/>
      <c r="CY567" s="196"/>
      <c r="CZ567" s="197"/>
      <c r="DA567" s="196"/>
      <c r="DB567" s="196"/>
      <c r="DC567" s="196"/>
      <c r="DE567" s="199"/>
      <c r="DF567" s="200"/>
      <c r="DG567" s="181"/>
    </row>
    <row r="568" spans="1:111" s="324" customFormat="1" hidden="1" outlineLevel="1" x14ac:dyDescent="0.25">
      <c r="A568" s="305" t="s">
        <v>34</v>
      </c>
      <c r="B568" s="306" t="s">
        <v>376</v>
      </c>
      <c r="C568" s="306"/>
      <c r="D568" s="307">
        <f>E568+F568</f>
        <v>3000</v>
      </c>
      <c r="E568" s="307"/>
      <c r="F568" s="307">
        <f>G568+H568+K568+M568</f>
        <v>3000</v>
      </c>
      <c r="G568" s="303">
        <v>3000</v>
      </c>
      <c r="H568" s="303"/>
      <c r="I568" s="235"/>
      <c r="J568" s="235"/>
      <c r="K568" s="303"/>
      <c r="L568" s="235"/>
      <c r="M568" s="223"/>
      <c r="N568" s="223"/>
      <c r="O568" s="303">
        <f t="shared" si="490"/>
        <v>3000</v>
      </c>
      <c r="P568" s="303">
        <v>0</v>
      </c>
      <c r="Q568" s="308">
        <f t="shared" si="470"/>
        <v>0</v>
      </c>
      <c r="R568" s="303"/>
      <c r="S568" s="309">
        <v>0</v>
      </c>
      <c r="T568" s="309">
        <v>0</v>
      </c>
      <c r="U568" s="303">
        <v>300</v>
      </c>
      <c r="V568" s="309">
        <v>0.1</v>
      </c>
      <c r="W568" s="309">
        <v>0.10526315789473684</v>
      </c>
      <c r="X568" s="303">
        <v>300</v>
      </c>
      <c r="Y568" s="309">
        <v>0.1</v>
      </c>
      <c r="Z568" s="309">
        <v>0.10526315789473684</v>
      </c>
      <c r="AA568" s="303">
        <v>300</v>
      </c>
      <c r="AB568" s="309">
        <v>0.1</v>
      </c>
      <c r="AC568" s="309">
        <v>0.10526315789473684</v>
      </c>
      <c r="AD568" s="303">
        <v>300</v>
      </c>
      <c r="AE568" s="309">
        <v>0.1</v>
      </c>
      <c r="AF568" s="309">
        <v>0.10526315789473684</v>
      </c>
      <c r="AG568" s="303">
        <v>300</v>
      </c>
      <c r="AH568" s="309">
        <v>0.1</v>
      </c>
      <c r="AI568" s="309">
        <v>0.10526315789473684</v>
      </c>
      <c r="AJ568" s="303">
        <v>300</v>
      </c>
      <c r="AK568" s="309">
        <v>0.1</v>
      </c>
      <c r="AL568" s="309">
        <v>0.10526315789473684</v>
      </c>
      <c r="AM568" s="303">
        <v>300</v>
      </c>
      <c r="AN568" s="309">
        <v>0.1</v>
      </c>
      <c r="AO568" s="309">
        <v>0.10526315789473684</v>
      </c>
      <c r="AP568" s="309"/>
      <c r="AQ568" s="303">
        <v>485</v>
      </c>
      <c r="AR568" s="309">
        <v>0.16166666666666665</v>
      </c>
      <c r="AS568" s="309">
        <v>0.17017543859649123</v>
      </c>
      <c r="AT568" s="303">
        <v>485</v>
      </c>
      <c r="AU568" s="309">
        <v>0.16166666666666665</v>
      </c>
      <c r="AV568" s="309">
        <v>0.17017543859649123</v>
      </c>
      <c r="AW568" s="309"/>
      <c r="AX568" s="309"/>
      <c r="AY568" s="309"/>
      <c r="AZ568" s="309"/>
      <c r="BA568" s="309"/>
      <c r="BB568" s="309"/>
      <c r="BC568" s="303">
        <v>485</v>
      </c>
      <c r="BD568" s="309">
        <v>0.16166666666666665</v>
      </c>
      <c r="BE568" s="309">
        <v>0.17017543859649123</v>
      </c>
      <c r="BF568" s="351"/>
      <c r="BG568" s="351">
        <v>1436</v>
      </c>
      <c r="BH568" s="309">
        <v>0.47866666666666668</v>
      </c>
      <c r="BI568" s="309">
        <v>0.50385964912280701</v>
      </c>
      <c r="BJ568" s="349">
        <f t="shared" si="463"/>
        <v>2850</v>
      </c>
      <c r="BK568" s="349">
        <v>1436</v>
      </c>
      <c r="BL568" s="309">
        <f t="shared" si="465"/>
        <v>0.47866666666666668</v>
      </c>
      <c r="BM568" s="309">
        <f t="shared" si="473"/>
        <v>0.50385964912280701</v>
      </c>
      <c r="BN568" s="205">
        <f t="shared" si="461"/>
        <v>1136</v>
      </c>
      <c r="BO568" s="205"/>
      <c r="BP568" s="310"/>
      <c r="BQ568" s="308">
        <f t="shared" si="466"/>
        <v>0</v>
      </c>
      <c r="BR568" s="310"/>
      <c r="BS568" s="308">
        <f t="shared" si="467"/>
        <v>0</v>
      </c>
      <c r="BT568" s="310">
        <f>$F568*0.1</f>
        <v>300</v>
      </c>
      <c r="BU568" s="308">
        <f t="shared" si="468"/>
        <v>0.1</v>
      </c>
      <c r="BV568" s="310">
        <f>$F568*0.2</f>
        <v>600</v>
      </c>
      <c r="BW568" s="308">
        <f t="shared" si="450"/>
        <v>0.2</v>
      </c>
      <c r="BX568" s="310">
        <f>$F568*0.3</f>
        <v>900</v>
      </c>
      <c r="BY568" s="308">
        <f t="shared" si="451"/>
        <v>0.3</v>
      </c>
      <c r="BZ568" s="310">
        <f>$F568*0.4</f>
        <v>1200</v>
      </c>
      <c r="CA568" s="308">
        <f t="shared" si="452"/>
        <v>0.4</v>
      </c>
      <c r="CB568" s="310">
        <f>$F568*0.5</f>
        <v>1500</v>
      </c>
      <c r="CC568" s="308">
        <f t="shared" si="479"/>
        <v>0.5</v>
      </c>
      <c r="CD568" s="310">
        <f>$F568*0.55</f>
        <v>1650.0000000000002</v>
      </c>
      <c r="CE568" s="308">
        <f t="shared" si="453"/>
        <v>0.55000000000000004</v>
      </c>
      <c r="CF568" s="310">
        <v>2100</v>
      </c>
      <c r="CG568" s="308">
        <f t="shared" si="454"/>
        <v>0.7</v>
      </c>
      <c r="CH568" s="310">
        <f>$F568*0.7</f>
        <v>2100</v>
      </c>
      <c r="CI568" s="308">
        <f t="shared" si="455"/>
        <v>0.7</v>
      </c>
      <c r="CJ568" s="310">
        <f>$F568*0.75</f>
        <v>2250</v>
      </c>
      <c r="CK568" s="308">
        <f t="shared" si="456"/>
        <v>0.75</v>
      </c>
      <c r="CL568" s="310">
        <f>$F568*0.8</f>
        <v>2400</v>
      </c>
      <c r="CM568" s="308">
        <f t="shared" si="457"/>
        <v>0.8</v>
      </c>
      <c r="CN568" s="310">
        <f>$F568*0.95</f>
        <v>2850</v>
      </c>
      <c r="CO568" s="308">
        <f t="shared" si="458"/>
        <v>0.95</v>
      </c>
      <c r="CP568" s="213" t="str">
        <f t="shared" si="471"/>
        <v>Đạt</v>
      </c>
      <c r="CQ568" s="213" t="str">
        <f t="shared" si="472"/>
        <v>Đạt</v>
      </c>
      <c r="CR568" s="312"/>
      <c r="CS568" s="312"/>
      <c r="CT568" s="235"/>
      <c r="CU568" s="163"/>
      <c r="CV568" s="323"/>
      <c r="CW568" s="195"/>
      <c r="CX568" s="196"/>
      <c r="CY568" s="196"/>
      <c r="CZ568" s="197"/>
      <c r="DA568" s="196"/>
      <c r="DB568" s="196"/>
      <c r="DC568" s="196"/>
      <c r="DE568" s="199"/>
      <c r="DF568" s="200"/>
      <c r="DG568" s="181"/>
    </row>
    <row r="569" spans="1:111" ht="25.5" hidden="1" outlineLevel="1" x14ac:dyDescent="0.25">
      <c r="A569" s="305" t="s">
        <v>34</v>
      </c>
      <c r="B569" s="306" t="s">
        <v>377</v>
      </c>
      <c r="C569" s="306"/>
      <c r="D569" s="307">
        <f>E569+F569</f>
        <v>85</v>
      </c>
      <c r="E569" s="307"/>
      <c r="F569" s="307">
        <f>G569+H569+K569+M569</f>
        <v>85</v>
      </c>
      <c r="G569" s="307"/>
      <c r="H569" s="307">
        <v>85</v>
      </c>
      <c r="I569" s="235"/>
      <c r="J569" s="235"/>
      <c r="K569" s="303"/>
      <c r="L569" s="235"/>
      <c r="M569" s="223"/>
      <c r="N569" s="223"/>
      <c r="O569" s="303"/>
      <c r="P569" s="303">
        <v>0</v>
      </c>
      <c r="Q569" s="308">
        <f t="shared" si="470"/>
        <v>0</v>
      </c>
      <c r="R569" s="303"/>
      <c r="S569" s="309">
        <v>0</v>
      </c>
      <c r="T569" s="309">
        <v>0</v>
      </c>
      <c r="U569" s="303"/>
      <c r="V569" s="309">
        <v>0</v>
      </c>
      <c r="W569" s="309">
        <v>0</v>
      </c>
      <c r="X569" s="303"/>
      <c r="Y569" s="309">
        <v>0</v>
      </c>
      <c r="Z569" s="309">
        <v>0</v>
      </c>
      <c r="AA569" s="303"/>
      <c r="AB569" s="309">
        <v>0</v>
      </c>
      <c r="AC569" s="309">
        <v>0</v>
      </c>
      <c r="AD569" s="303"/>
      <c r="AE569" s="309">
        <v>0</v>
      </c>
      <c r="AF569" s="309">
        <v>0</v>
      </c>
      <c r="AG569" s="303"/>
      <c r="AH569" s="309">
        <v>0</v>
      </c>
      <c r="AI569" s="309">
        <v>0</v>
      </c>
      <c r="AJ569" s="188"/>
      <c r="AK569" s="309">
        <v>0</v>
      </c>
      <c r="AL569" s="309">
        <v>0</v>
      </c>
      <c r="AM569" s="303"/>
      <c r="AN569" s="309">
        <v>0</v>
      </c>
      <c r="AO569" s="309">
        <v>0</v>
      </c>
      <c r="AP569" s="309"/>
      <c r="AQ569" s="303"/>
      <c r="AR569" s="309">
        <v>0</v>
      </c>
      <c r="AS569" s="309">
        <v>0</v>
      </c>
      <c r="AT569" s="303"/>
      <c r="AU569" s="309">
        <v>0</v>
      </c>
      <c r="AV569" s="309">
        <v>0</v>
      </c>
      <c r="AW569" s="309"/>
      <c r="AX569" s="309"/>
      <c r="AY569" s="309"/>
      <c r="AZ569" s="309"/>
      <c r="BA569" s="309"/>
      <c r="BB569" s="309"/>
      <c r="BC569" s="303"/>
      <c r="BD569" s="309">
        <v>0</v>
      </c>
      <c r="BE569" s="309">
        <v>0</v>
      </c>
      <c r="BF569" s="351"/>
      <c r="BG569" s="351">
        <v>0</v>
      </c>
      <c r="BH569" s="309">
        <v>0</v>
      </c>
      <c r="BI569" s="309">
        <v>0</v>
      </c>
      <c r="BJ569" s="349">
        <f t="shared" si="463"/>
        <v>80.75</v>
      </c>
      <c r="BK569" s="349">
        <v>0</v>
      </c>
      <c r="BL569" s="309">
        <f t="shared" si="465"/>
        <v>0</v>
      </c>
      <c r="BM569" s="309">
        <f t="shared" si="473"/>
        <v>0</v>
      </c>
      <c r="BN569" s="205">
        <f t="shared" si="461"/>
        <v>0</v>
      </c>
      <c r="BO569" s="205"/>
      <c r="BP569" s="310"/>
      <c r="BQ569" s="308">
        <f t="shared" si="466"/>
        <v>0</v>
      </c>
      <c r="BR569" s="310"/>
      <c r="BS569" s="308">
        <f t="shared" si="467"/>
        <v>0</v>
      </c>
      <c r="BT569" s="310">
        <f>$F569*0.1</f>
        <v>8.5</v>
      </c>
      <c r="BU569" s="308">
        <f t="shared" si="468"/>
        <v>0.1</v>
      </c>
      <c r="BV569" s="310">
        <f>$F569*0.2</f>
        <v>17</v>
      </c>
      <c r="BW569" s="308">
        <f t="shared" si="450"/>
        <v>0.2</v>
      </c>
      <c r="BX569" s="310">
        <f>$F569*0.3</f>
        <v>25.5</v>
      </c>
      <c r="BY569" s="308">
        <f t="shared" si="451"/>
        <v>0.3</v>
      </c>
      <c r="BZ569" s="310">
        <f>$F569*0.4</f>
        <v>34</v>
      </c>
      <c r="CA569" s="308">
        <f t="shared" si="452"/>
        <v>0.4</v>
      </c>
      <c r="CB569" s="310">
        <f>$F569*0.5</f>
        <v>42.5</v>
      </c>
      <c r="CC569" s="308">
        <f t="shared" si="479"/>
        <v>0.5</v>
      </c>
      <c r="CD569" s="310">
        <f>$F569*0.55</f>
        <v>46.750000000000007</v>
      </c>
      <c r="CE569" s="308">
        <f t="shared" si="453"/>
        <v>0.55000000000000004</v>
      </c>
      <c r="CF569" s="310">
        <v>59.499999999999993</v>
      </c>
      <c r="CG569" s="308">
        <f t="shared" si="454"/>
        <v>0.7</v>
      </c>
      <c r="CH569" s="310">
        <f>$F569*0.7</f>
        <v>59.499999999999993</v>
      </c>
      <c r="CI569" s="308">
        <f t="shared" si="455"/>
        <v>0.7</v>
      </c>
      <c r="CJ569" s="310">
        <f>$F569*0.75</f>
        <v>63.75</v>
      </c>
      <c r="CK569" s="308">
        <f t="shared" si="456"/>
        <v>0.75</v>
      </c>
      <c r="CL569" s="310">
        <f>$F569*0.8</f>
        <v>68</v>
      </c>
      <c r="CM569" s="308">
        <f t="shared" si="457"/>
        <v>0.8</v>
      </c>
      <c r="CN569" s="310">
        <f>$F569*0.95</f>
        <v>80.75</v>
      </c>
      <c r="CO569" s="308">
        <f t="shared" si="458"/>
        <v>0.95</v>
      </c>
      <c r="CP569" s="213" t="str">
        <f t="shared" si="471"/>
        <v>Không đạt</v>
      </c>
      <c r="CQ569" s="213" t="str">
        <f t="shared" si="472"/>
        <v>Không đạt</v>
      </c>
      <c r="CR569" s="312"/>
      <c r="CS569" s="312"/>
      <c r="CT569" s="235"/>
      <c r="CU569" s="163"/>
      <c r="CW569" s="195"/>
      <c r="CX569" s="196"/>
      <c r="CY569" s="196"/>
      <c r="CZ569" s="197"/>
      <c r="DA569" s="196"/>
      <c r="DB569" s="196"/>
      <c r="DC569" s="196"/>
      <c r="DE569" s="199"/>
      <c r="DF569" s="200"/>
      <c r="DG569" s="181"/>
    </row>
    <row r="570" spans="1:111" ht="18" customHeight="1" collapsed="1" x14ac:dyDescent="0.25">
      <c r="A570" s="213">
        <f>MAX(A$239:A567)+1</f>
        <v>92</v>
      </c>
      <c r="B570" s="240" t="s">
        <v>509</v>
      </c>
      <c r="C570" s="240"/>
      <c r="D570" s="188">
        <f t="shared" ref="D570:I570" si="493">D571</f>
        <v>3000</v>
      </c>
      <c r="E570" s="188">
        <f t="shared" si="493"/>
        <v>0</v>
      </c>
      <c r="F570" s="188">
        <f t="shared" si="493"/>
        <v>3000</v>
      </c>
      <c r="G570" s="188">
        <f t="shared" si="493"/>
        <v>3000</v>
      </c>
      <c r="H570" s="188">
        <f t="shared" si="493"/>
        <v>0</v>
      </c>
      <c r="I570" s="188">
        <f t="shared" si="493"/>
        <v>0</v>
      </c>
      <c r="J570" s="188"/>
      <c r="K570" s="188">
        <f>K571</f>
        <v>0</v>
      </c>
      <c r="L570" s="188">
        <f>L571</f>
        <v>0</v>
      </c>
      <c r="M570" s="231"/>
      <c r="N570" s="231"/>
      <c r="O570" s="188">
        <f t="shared" si="490"/>
        <v>3000</v>
      </c>
      <c r="P570" s="188">
        <v>0</v>
      </c>
      <c r="Q570" s="186">
        <f t="shared" si="470"/>
        <v>0</v>
      </c>
      <c r="R570" s="188">
        <v>0</v>
      </c>
      <c r="S570" s="185">
        <v>0</v>
      </c>
      <c r="T570" s="185">
        <v>0</v>
      </c>
      <c r="U570" s="188">
        <v>0</v>
      </c>
      <c r="V570" s="185">
        <v>0</v>
      </c>
      <c r="W570" s="185">
        <v>0</v>
      </c>
      <c r="X570" s="188">
        <v>0</v>
      </c>
      <c r="Y570" s="185">
        <v>0</v>
      </c>
      <c r="Z570" s="185">
        <v>0</v>
      </c>
      <c r="AA570" s="188">
        <v>0</v>
      </c>
      <c r="AB570" s="185">
        <v>0</v>
      </c>
      <c r="AC570" s="185">
        <v>0</v>
      </c>
      <c r="AD570" s="188">
        <v>0</v>
      </c>
      <c r="AE570" s="185">
        <v>0</v>
      </c>
      <c r="AF570" s="185">
        <v>0</v>
      </c>
      <c r="AG570" s="188">
        <v>0</v>
      </c>
      <c r="AH570" s="185">
        <v>0</v>
      </c>
      <c r="AI570" s="185">
        <v>0</v>
      </c>
      <c r="AJ570" s="303">
        <v>0</v>
      </c>
      <c r="AK570" s="185">
        <v>0</v>
      </c>
      <c r="AL570" s="185">
        <v>0</v>
      </c>
      <c r="AM570" s="188">
        <v>0</v>
      </c>
      <c r="AN570" s="185">
        <v>0</v>
      </c>
      <c r="AO570" s="185">
        <v>0</v>
      </c>
      <c r="AP570" s="185"/>
      <c r="AQ570" s="188">
        <v>0</v>
      </c>
      <c r="AR570" s="185">
        <v>0</v>
      </c>
      <c r="AS570" s="185">
        <v>0</v>
      </c>
      <c r="AT570" s="188">
        <v>0</v>
      </c>
      <c r="AU570" s="185">
        <v>0</v>
      </c>
      <c r="AV570" s="185">
        <v>0</v>
      </c>
      <c r="AW570" s="185"/>
      <c r="AX570" s="185"/>
      <c r="AY570" s="185"/>
      <c r="AZ570" s="185"/>
      <c r="BA570" s="185"/>
      <c r="BB570" s="185"/>
      <c r="BC570" s="188">
        <v>0</v>
      </c>
      <c r="BD570" s="185">
        <v>0</v>
      </c>
      <c r="BE570" s="185">
        <v>0</v>
      </c>
      <c r="BF570" s="352"/>
      <c r="BG570" s="352">
        <v>184</v>
      </c>
      <c r="BH570" s="185">
        <v>6.133333333333333E-2</v>
      </c>
      <c r="BI570" s="185">
        <v>6.4561403508771931E-2</v>
      </c>
      <c r="BJ570" s="374">
        <f t="shared" si="463"/>
        <v>2850</v>
      </c>
      <c r="BK570" s="374">
        <v>2494.114</v>
      </c>
      <c r="BL570" s="185">
        <f t="shared" si="465"/>
        <v>0.83137133333333335</v>
      </c>
      <c r="BM570" s="185">
        <f t="shared" si="473"/>
        <v>0.87512771929824562</v>
      </c>
      <c r="BN570" s="205">
        <f t="shared" si="461"/>
        <v>2494.114</v>
      </c>
      <c r="BO570" s="205"/>
      <c r="BP570" s="189">
        <f>BP571</f>
        <v>0</v>
      </c>
      <c r="BQ570" s="186">
        <f t="shared" si="466"/>
        <v>0</v>
      </c>
      <c r="BR570" s="189">
        <f>BR571</f>
        <v>0</v>
      </c>
      <c r="BS570" s="186">
        <f t="shared" si="467"/>
        <v>0</v>
      </c>
      <c r="BT570" s="189">
        <f>BT571</f>
        <v>300</v>
      </c>
      <c r="BU570" s="186">
        <f t="shared" si="468"/>
        <v>0.1</v>
      </c>
      <c r="BV570" s="189">
        <f>BV571</f>
        <v>600</v>
      </c>
      <c r="BW570" s="186">
        <f t="shared" si="450"/>
        <v>0.2</v>
      </c>
      <c r="BX570" s="189">
        <f>BX571</f>
        <v>900</v>
      </c>
      <c r="BY570" s="186">
        <f t="shared" si="451"/>
        <v>0.3</v>
      </c>
      <c r="BZ570" s="189">
        <f>BZ571</f>
        <v>1200</v>
      </c>
      <c r="CA570" s="186">
        <f t="shared" si="452"/>
        <v>0.4</v>
      </c>
      <c r="CB570" s="189">
        <f>CB571</f>
        <v>1500</v>
      </c>
      <c r="CC570" s="186">
        <f t="shared" si="479"/>
        <v>0.5</v>
      </c>
      <c r="CD570" s="189">
        <f>CD571</f>
        <v>1650.0000000000002</v>
      </c>
      <c r="CE570" s="186">
        <f t="shared" si="453"/>
        <v>0.55000000000000004</v>
      </c>
      <c r="CF570" s="189">
        <f>CF571</f>
        <v>2100</v>
      </c>
      <c r="CG570" s="186">
        <f t="shared" si="454"/>
        <v>0.7</v>
      </c>
      <c r="CH570" s="189">
        <f>CH571</f>
        <v>2100</v>
      </c>
      <c r="CI570" s="186">
        <f t="shared" si="455"/>
        <v>0.7</v>
      </c>
      <c r="CJ570" s="189">
        <f>CJ571</f>
        <v>2250</v>
      </c>
      <c r="CK570" s="186">
        <f t="shared" si="456"/>
        <v>0.75</v>
      </c>
      <c r="CL570" s="189">
        <f>CL571</f>
        <v>2400</v>
      </c>
      <c r="CM570" s="186">
        <f t="shared" si="457"/>
        <v>0.8</v>
      </c>
      <c r="CN570" s="189">
        <f>CN571</f>
        <v>2850</v>
      </c>
      <c r="CO570" s="186">
        <f t="shared" si="458"/>
        <v>0.95</v>
      </c>
      <c r="CP570" s="213" t="str">
        <f t="shared" si="471"/>
        <v>Đạt</v>
      </c>
      <c r="CQ570" s="213" t="str">
        <f t="shared" si="472"/>
        <v>Đạt</v>
      </c>
      <c r="CR570" s="213"/>
      <c r="CS570" s="213"/>
      <c r="CT570" s="231"/>
      <c r="CU570" s="163"/>
      <c r="CW570" s="195"/>
      <c r="CX570" s="196"/>
      <c r="CY570" s="196"/>
      <c r="CZ570" s="197"/>
      <c r="DA570" s="196"/>
      <c r="DB570" s="196"/>
      <c r="DC570" s="196"/>
      <c r="DE570" s="199"/>
      <c r="DF570" s="200"/>
      <c r="DG570" s="181"/>
    </row>
    <row r="571" spans="1:111" s="324" customFormat="1" hidden="1" outlineLevel="1" x14ac:dyDescent="0.25">
      <c r="A571" s="305" t="s">
        <v>34</v>
      </c>
      <c r="B571" s="306" t="s">
        <v>376</v>
      </c>
      <c r="C571" s="306"/>
      <c r="D571" s="307">
        <f>E571+F571</f>
        <v>3000</v>
      </c>
      <c r="E571" s="307"/>
      <c r="F571" s="307">
        <f>G571+H571+K571+M571</f>
        <v>3000</v>
      </c>
      <c r="G571" s="303">
        <v>3000</v>
      </c>
      <c r="H571" s="303"/>
      <c r="I571" s="235"/>
      <c r="J571" s="235"/>
      <c r="K571" s="303"/>
      <c r="L571" s="235"/>
      <c r="M571" s="223"/>
      <c r="N571" s="223"/>
      <c r="O571" s="303">
        <f t="shared" si="490"/>
        <v>3000</v>
      </c>
      <c r="P571" s="303">
        <v>0</v>
      </c>
      <c r="Q571" s="308">
        <f t="shared" si="470"/>
        <v>0</v>
      </c>
      <c r="R571" s="303"/>
      <c r="S571" s="309">
        <v>0</v>
      </c>
      <c r="T571" s="309">
        <v>0</v>
      </c>
      <c r="U571" s="303"/>
      <c r="V571" s="309">
        <v>0</v>
      </c>
      <c r="W571" s="309">
        <v>0</v>
      </c>
      <c r="X571" s="303"/>
      <c r="Y571" s="309">
        <v>0</v>
      </c>
      <c r="Z571" s="309">
        <v>0</v>
      </c>
      <c r="AA571" s="303"/>
      <c r="AB571" s="309">
        <v>0</v>
      </c>
      <c r="AC571" s="309">
        <v>0</v>
      </c>
      <c r="AD571" s="303"/>
      <c r="AE571" s="309">
        <v>0</v>
      </c>
      <c r="AF571" s="309">
        <v>0</v>
      </c>
      <c r="AG571" s="303"/>
      <c r="AH571" s="309">
        <v>0</v>
      </c>
      <c r="AI571" s="309">
        <v>0</v>
      </c>
      <c r="AJ571" s="188"/>
      <c r="AK571" s="309">
        <v>0</v>
      </c>
      <c r="AL571" s="309">
        <v>0</v>
      </c>
      <c r="AM571" s="303"/>
      <c r="AN571" s="309">
        <v>0</v>
      </c>
      <c r="AO571" s="309">
        <v>0</v>
      </c>
      <c r="AP571" s="309"/>
      <c r="AQ571" s="303"/>
      <c r="AR571" s="309">
        <v>0</v>
      </c>
      <c r="AS571" s="309">
        <v>0</v>
      </c>
      <c r="AT571" s="303"/>
      <c r="AU571" s="309">
        <v>0</v>
      </c>
      <c r="AV571" s="309">
        <v>0</v>
      </c>
      <c r="AW571" s="309"/>
      <c r="AX571" s="309"/>
      <c r="AY571" s="309"/>
      <c r="AZ571" s="309"/>
      <c r="BA571" s="309"/>
      <c r="BB571" s="309"/>
      <c r="BC571" s="303"/>
      <c r="BD571" s="309">
        <v>0</v>
      </c>
      <c r="BE571" s="309">
        <v>0</v>
      </c>
      <c r="BF571" s="351"/>
      <c r="BG571" s="351">
        <v>184</v>
      </c>
      <c r="BH571" s="309">
        <v>6.133333333333333E-2</v>
      </c>
      <c r="BI571" s="309">
        <v>6.4561403508771931E-2</v>
      </c>
      <c r="BJ571" s="349">
        <f t="shared" si="463"/>
        <v>2850</v>
      </c>
      <c r="BK571" s="349">
        <v>1637.4480000000001</v>
      </c>
      <c r="BL571" s="309">
        <f t="shared" si="465"/>
        <v>0.54581600000000008</v>
      </c>
      <c r="BM571" s="309">
        <f t="shared" si="473"/>
        <v>0.57454315789473687</v>
      </c>
      <c r="BN571" s="205">
        <f t="shared" si="461"/>
        <v>1637.4480000000001</v>
      </c>
      <c r="BO571" s="205"/>
      <c r="BP571" s="310"/>
      <c r="BQ571" s="308">
        <f t="shared" si="466"/>
        <v>0</v>
      </c>
      <c r="BR571" s="310"/>
      <c r="BS571" s="308">
        <f t="shared" si="467"/>
        <v>0</v>
      </c>
      <c r="BT571" s="310">
        <f>$F571*0.1</f>
        <v>300</v>
      </c>
      <c r="BU571" s="308">
        <f t="shared" si="468"/>
        <v>0.1</v>
      </c>
      <c r="BV571" s="310">
        <f>$F571*0.2</f>
        <v>600</v>
      </c>
      <c r="BW571" s="308">
        <f t="shared" si="450"/>
        <v>0.2</v>
      </c>
      <c r="BX571" s="310">
        <f>$F571*0.3</f>
        <v>900</v>
      </c>
      <c r="BY571" s="308">
        <f t="shared" si="451"/>
        <v>0.3</v>
      </c>
      <c r="BZ571" s="310">
        <f>$F571*0.4</f>
        <v>1200</v>
      </c>
      <c r="CA571" s="308">
        <f t="shared" si="452"/>
        <v>0.4</v>
      </c>
      <c r="CB571" s="310">
        <f>$F571*0.5</f>
        <v>1500</v>
      </c>
      <c r="CC571" s="308">
        <f t="shared" si="479"/>
        <v>0.5</v>
      </c>
      <c r="CD571" s="310">
        <f>$F571*0.55</f>
        <v>1650.0000000000002</v>
      </c>
      <c r="CE571" s="308">
        <f t="shared" si="453"/>
        <v>0.55000000000000004</v>
      </c>
      <c r="CF571" s="310">
        <v>2100</v>
      </c>
      <c r="CG571" s="308">
        <f t="shared" si="454"/>
        <v>0.7</v>
      </c>
      <c r="CH571" s="310">
        <f>$F571*0.7</f>
        <v>2100</v>
      </c>
      <c r="CI571" s="308">
        <f t="shared" si="455"/>
        <v>0.7</v>
      </c>
      <c r="CJ571" s="310">
        <f>$F571*0.75</f>
        <v>2250</v>
      </c>
      <c r="CK571" s="308">
        <f t="shared" si="456"/>
        <v>0.75</v>
      </c>
      <c r="CL571" s="310">
        <f>$F571*0.8</f>
        <v>2400</v>
      </c>
      <c r="CM571" s="308">
        <f t="shared" si="457"/>
        <v>0.8</v>
      </c>
      <c r="CN571" s="310">
        <f>$F571*0.95</f>
        <v>2850</v>
      </c>
      <c r="CO571" s="308">
        <f t="shared" si="458"/>
        <v>0.95</v>
      </c>
      <c r="CP571" s="213" t="str">
        <f t="shared" si="471"/>
        <v>Đạt</v>
      </c>
      <c r="CQ571" s="213" t="str">
        <f t="shared" si="472"/>
        <v>Đạt</v>
      </c>
      <c r="CR571" s="312"/>
      <c r="CS571" s="312"/>
      <c r="CT571" s="235"/>
      <c r="CU571" s="163"/>
      <c r="CV571" s="323"/>
      <c r="CW571" s="195"/>
      <c r="CX571" s="196"/>
      <c r="CY571" s="196"/>
      <c r="CZ571" s="197"/>
      <c r="DA571" s="196"/>
      <c r="DB571" s="196"/>
      <c r="DC571" s="196"/>
      <c r="DE571" s="199"/>
      <c r="DF571" s="200"/>
      <c r="DG571" s="181"/>
    </row>
    <row r="572" spans="1:111" ht="18" customHeight="1" collapsed="1" x14ac:dyDescent="0.25">
      <c r="A572" s="213">
        <f>MAX(A$239:A570)+1</f>
        <v>93</v>
      </c>
      <c r="B572" s="240" t="s">
        <v>510</v>
      </c>
      <c r="C572" s="240"/>
      <c r="D572" s="188">
        <f t="shared" ref="D572:I572" si="494">D573</f>
        <v>3000</v>
      </c>
      <c r="E572" s="188">
        <f t="shared" si="494"/>
        <v>0</v>
      </c>
      <c r="F572" s="188">
        <f t="shared" si="494"/>
        <v>3000</v>
      </c>
      <c r="G572" s="188">
        <f t="shared" si="494"/>
        <v>3000</v>
      </c>
      <c r="H572" s="188">
        <f t="shared" si="494"/>
        <v>0</v>
      </c>
      <c r="I572" s="188">
        <f t="shared" si="494"/>
        <v>0</v>
      </c>
      <c r="J572" s="188"/>
      <c r="K572" s="188">
        <f>K573</f>
        <v>0</v>
      </c>
      <c r="L572" s="188">
        <f>L573</f>
        <v>0</v>
      </c>
      <c r="M572" s="231"/>
      <c r="N572" s="231"/>
      <c r="O572" s="188">
        <f t="shared" si="490"/>
        <v>3000</v>
      </c>
      <c r="P572" s="188">
        <v>0</v>
      </c>
      <c r="Q572" s="186">
        <f t="shared" si="470"/>
        <v>0</v>
      </c>
      <c r="R572" s="188">
        <v>0</v>
      </c>
      <c r="S572" s="185">
        <v>0</v>
      </c>
      <c r="T572" s="185">
        <v>0</v>
      </c>
      <c r="U572" s="188">
        <v>725.32400000000007</v>
      </c>
      <c r="V572" s="185">
        <v>0.24177466666666669</v>
      </c>
      <c r="W572" s="185">
        <v>0.25449964912280704</v>
      </c>
      <c r="X572" s="188">
        <v>725.32400000000007</v>
      </c>
      <c r="Y572" s="185">
        <v>0.24177466666666669</v>
      </c>
      <c r="Z572" s="185">
        <v>0.25449964912280704</v>
      </c>
      <c r="AA572" s="188">
        <v>725.32400000000007</v>
      </c>
      <c r="AB572" s="185">
        <v>0.24177466666666669</v>
      </c>
      <c r="AC572" s="185">
        <v>0.25449964912280704</v>
      </c>
      <c r="AD572" s="188">
        <v>725.32400000000007</v>
      </c>
      <c r="AE572" s="185">
        <v>0.24177466666666669</v>
      </c>
      <c r="AF572" s="185">
        <v>0.25449964912280704</v>
      </c>
      <c r="AG572" s="188">
        <v>725.32400000000007</v>
      </c>
      <c r="AH572" s="185">
        <v>0.24177466666666669</v>
      </c>
      <c r="AI572" s="185">
        <v>0.25449964912280704</v>
      </c>
      <c r="AJ572" s="303">
        <v>725.32400000000007</v>
      </c>
      <c r="AK572" s="185">
        <v>0.24177466666666669</v>
      </c>
      <c r="AL572" s="185">
        <v>0.25449964912280704</v>
      </c>
      <c r="AM572" s="188">
        <v>725.32400000000007</v>
      </c>
      <c r="AN572" s="185">
        <v>0.24177466666666669</v>
      </c>
      <c r="AO572" s="185">
        <v>0.25449964912280704</v>
      </c>
      <c r="AP572" s="185"/>
      <c r="AQ572" s="188">
        <v>725.32400000000007</v>
      </c>
      <c r="AR572" s="185">
        <v>0.24177466666666669</v>
      </c>
      <c r="AS572" s="185">
        <v>0.25449964912280704</v>
      </c>
      <c r="AT572" s="188">
        <v>725.32400000000007</v>
      </c>
      <c r="AU572" s="185">
        <v>0.24177466666666669</v>
      </c>
      <c r="AV572" s="185">
        <v>0.25449964912280704</v>
      </c>
      <c r="AW572" s="185"/>
      <c r="AX572" s="185"/>
      <c r="AY572" s="185"/>
      <c r="AZ572" s="185"/>
      <c r="BA572" s="185"/>
      <c r="BB572" s="185"/>
      <c r="BC572" s="188">
        <v>725.32400000000007</v>
      </c>
      <c r="BD572" s="185">
        <v>0.24177466666666669</v>
      </c>
      <c r="BE572" s="185">
        <v>0.25449964912280704</v>
      </c>
      <c r="BF572" s="352"/>
      <c r="BG572" s="352">
        <v>1237.441</v>
      </c>
      <c r="BH572" s="185">
        <v>0.41248033333333334</v>
      </c>
      <c r="BI572" s="185">
        <v>0.43418982456140354</v>
      </c>
      <c r="BJ572" s="374">
        <f t="shared" si="463"/>
        <v>2850</v>
      </c>
      <c r="BK572" s="374">
        <v>2307.9</v>
      </c>
      <c r="BL572" s="185">
        <f t="shared" si="465"/>
        <v>0.76929999999999998</v>
      </c>
      <c r="BM572" s="185">
        <f t="shared" si="473"/>
        <v>0.8097894736842105</v>
      </c>
      <c r="BN572" s="205">
        <f t="shared" si="461"/>
        <v>1582.576</v>
      </c>
      <c r="BO572" s="205"/>
      <c r="BP572" s="189">
        <f>BP573</f>
        <v>0</v>
      </c>
      <c r="BQ572" s="186">
        <f t="shared" si="466"/>
        <v>0</v>
      </c>
      <c r="BR572" s="189">
        <f>BR573</f>
        <v>0</v>
      </c>
      <c r="BS572" s="186">
        <f t="shared" si="467"/>
        <v>0</v>
      </c>
      <c r="BT572" s="189">
        <f>BT573</f>
        <v>300</v>
      </c>
      <c r="BU572" s="186">
        <f t="shared" si="468"/>
        <v>0.1</v>
      </c>
      <c r="BV572" s="189">
        <f>BV573</f>
        <v>600</v>
      </c>
      <c r="BW572" s="186">
        <f t="shared" si="450"/>
        <v>0.2</v>
      </c>
      <c r="BX572" s="189">
        <f>BX573</f>
        <v>900</v>
      </c>
      <c r="BY572" s="186">
        <f t="shared" si="451"/>
        <v>0.3</v>
      </c>
      <c r="BZ572" s="189">
        <f>BZ573</f>
        <v>1200</v>
      </c>
      <c r="CA572" s="186">
        <f t="shared" si="452"/>
        <v>0.4</v>
      </c>
      <c r="CB572" s="189">
        <f>CB573</f>
        <v>1500</v>
      </c>
      <c r="CC572" s="186">
        <f t="shared" si="479"/>
        <v>0.5</v>
      </c>
      <c r="CD572" s="189">
        <f>CD573</f>
        <v>1650.0000000000002</v>
      </c>
      <c r="CE572" s="186">
        <f t="shared" si="453"/>
        <v>0.55000000000000004</v>
      </c>
      <c r="CF572" s="189">
        <f>CF573</f>
        <v>2100</v>
      </c>
      <c r="CG572" s="186">
        <f t="shared" si="454"/>
        <v>0.7</v>
      </c>
      <c r="CH572" s="189">
        <f>CH573</f>
        <v>2100</v>
      </c>
      <c r="CI572" s="186">
        <f t="shared" si="455"/>
        <v>0.7</v>
      </c>
      <c r="CJ572" s="189">
        <f>CJ573</f>
        <v>2250</v>
      </c>
      <c r="CK572" s="186">
        <f t="shared" si="456"/>
        <v>0.75</v>
      </c>
      <c r="CL572" s="189">
        <f>CL573</f>
        <v>2400</v>
      </c>
      <c r="CM572" s="186">
        <f t="shared" si="457"/>
        <v>0.8</v>
      </c>
      <c r="CN572" s="189">
        <f>CN573</f>
        <v>2850</v>
      </c>
      <c r="CO572" s="186">
        <f t="shared" si="458"/>
        <v>0.95</v>
      </c>
      <c r="CP572" s="213" t="str">
        <f t="shared" si="471"/>
        <v>Đạt</v>
      </c>
      <c r="CQ572" s="213" t="str">
        <f t="shared" si="472"/>
        <v>Đạt</v>
      </c>
      <c r="CR572" s="213"/>
      <c r="CS572" s="213"/>
      <c r="CT572" s="231"/>
      <c r="CU572" s="163"/>
      <c r="CW572" s="195"/>
      <c r="CX572" s="196"/>
      <c r="CY572" s="196"/>
      <c r="CZ572" s="197"/>
      <c r="DA572" s="196"/>
      <c r="DB572" s="196"/>
      <c r="DC572" s="196"/>
      <c r="DE572" s="199"/>
      <c r="DF572" s="200"/>
      <c r="DG572" s="181"/>
    </row>
    <row r="573" spans="1:111" s="324" customFormat="1" hidden="1" outlineLevel="1" x14ac:dyDescent="0.25">
      <c r="A573" s="305" t="s">
        <v>34</v>
      </c>
      <c r="B573" s="306" t="s">
        <v>376</v>
      </c>
      <c r="C573" s="306"/>
      <c r="D573" s="307">
        <f t="shared" ref="D573:D584" si="495">E573+F573</f>
        <v>3000</v>
      </c>
      <c r="E573" s="307"/>
      <c r="F573" s="307">
        <f>G573+H573+K573+M573</f>
        <v>3000</v>
      </c>
      <c r="G573" s="303">
        <v>3000</v>
      </c>
      <c r="H573" s="303"/>
      <c r="I573" s="235"/>
      <c r="J573" s="235"/>
      <c r="K573" s="303"/>
      <c r="L573" s="235"/>
      <c r="M573" s="223"/>
      <c r="N573" s="223"/>
      <c r="O573" s="303">
        <f t="shared" si="490"/>
        <v>3000</v>
      </c>
      <c r="P573" s="303">
        <v>0</v>
      </c>
      <c r="Q573" s="308">
        <f t="shared" si="470"/>
        <v>0</v>
      </c>
      <c r="R573" s="303"/>
      <c r="S573" s="309">
        <v>0</v>
      </c>
      <c r="T573" s="309">
        <v>0</v>
      </c>
      <c r="U573" s="303">
        <v>725.32400000000007</v>
      </c>
      <c r="V573" s="309">
        <v>0.24177466666666669</v>
      </c>
      <c r="W573" s="309">
        <v>0.25449964912280704</v>
      </c>
      <c r="X573" s="303">
        <v>725.32400000000007</v>
      </c>
      <c r="Y573" s="309">
        <v>0.24177466666666669</v>
      </c>
      <c r="Z573" s="309">
        <v>0.25449964912280704</v>
      </c>
      <c r="AA573" s="303">
        <v>725.32400000000007</v>
      </c>
      <c r="AB573" s="309">
        <v>0.24177466666666669</v>
      </c>
      <c r="AC573" s="309">
        <v>0.25449964912280704</v>
      </c>
      <c r="AD573" s="303">
        <v>725.32400000000007</v>
      </c>
      <c r="AE573" s="309">
        <v>0.24177466666666669</v>
      </c>
      <c r="AF573" s="309">
        <v>0.25449964912280704</v>
      </c>
      <c r="AG573" s="303">
        <v>725.32400000000007</v>
      </c>
      <c r="AH573" s="309">
        <v>0.24177466666666669</v>
      </c>
      <c r="AI573" s="309">
        <v>0.25449964912280704</v>
      </c>
      <c r="AJ573" s="189">
        <v>725.32400000000007</v>
      </c>
      <c r="AK573" s="309">
        <v>0.24177466666666669</v>
      </c>
      <c r="AL573" s="309">
        <v>0.25449964912280704</v>
      </c>
      <c r="AM573" s="303">
        <v>725.32400000000007</v>
      </c>
      <c r="AN573" s="309">
        <v>0.24177466666666669</v>
      </c>
      <c r="AO573" s="309">
        <v>0.25449964912280704</v>
      </c>
      <c r="AP573" s="309"/>
      <c r="AQ573" s="303">
        <v>725.32400000000007</v>
      </c>
      <c r="AR573" s="309">
        <v>0.24177466666666669</v>
      </c>
      <c r="AS573" s="309">
        <v>0.25449964912280704</v>
      </c>
      <c r="AT573" s="303">
        <v>725.32400000000007</v>
      </c>
      <c r="AU573" s="309">
        <v>0.24177466666666669</v>
      </c>
      <c r="AV573" s="309">
        <v>0.25449964912280704</v>
      </c>
      <c r="AW573" s="309"/>
      <c r="AX573" s="309"/>
      <c r="AY573" s="309"/>
      <c r="AZ573" s="309"/>
      <c r="BA573" s="309"/>
      <c r="BB573" s="309"/>
      <c r="BC573" s="303">
        <v>725.32400000000007</v>
      </c>
      <c r="BD573" s="309">
        <v>0.24177466666666669</v>
      </c>
      <c r="BE573" s="309">
        <v>0.25449964912280704</v>
      </c>
      <c r="BF573" s="351"/>
      <c r="BG573" s="351">
        <v>1237.441</v>
      </c>
      <c r="BH573" s="309">
        <v>0.41248033333333334</v>
      </c>
      <c r="BI573" s="309">
        <v>0.43418982456140354</v>
      </c>
      <c r="BJ573" s="349">
        <f t="shared" si="463"/>
        <v>2850</v>
      </c>
      <c r="BK573" s="349">
        <v>1460.441</v>
      </c>
      <c r="BL573" s="309">
        <f t="shared" si="465"/>
        <v>0.4868136666666667</v>
      </c>
      <c r="BM573" s="309">
        <f t="shared" si="473"/>
        <v>0.51243543859649121</v>
      </c>
      <c r="BN573" s="205">
        <f t="shared" si="461"/>
        <v>735.11699999999996</v>
      </c>
      <c r="BO573" s="205"/>
      <c r="BP573" s="310"/>
      <c r="BQ573" s="308">
        <f t="shared" si="466"/>
        <v>0</v>
      </c>
      <c r="BR573" s="310"/>
      <c r="BS573" s="308">
        <f t="shared" si="467"/>
        <v>0</v>
      </c>
      <c r="BT573" s="310">
        <f>$F573*0.1</f>
        <v>300</v>
      </c>
      <c r="BU573" s="308">
        <f t="shared" si="468"/>
        <v>0.1</v>
      </c>
      <c r="BV573" s="310">
        <f>$F573*0.2</f>
        <v>600</v>
      </c>
      <c r="BW573" s="308">
        <f t="shared" si="450"/>
        <v>0.2</v>
      </c>
      <c r="BX573" s="310">
        <f>$F573*0.3</f>
        <v>900</v>
      </c>
      <c r="BY573" s="308">
        <f t="shared" si="451"/>
        <v>0.3</v>
      </c>
      <c r="BZ573" s="310">
        <f>$F573*0.4</f>
        <v>1200</v>
      </c>
      <c r="CA573" s="308">
        <f t="shared" si="452"/>
        <v>0.4</v>
      </c>
      <c r="CB573" s="310">
        <f>$F573*0.5</f>
        <v>1500</v>
      </c>
      <c r="CC573" s="308">
        <f t="shared" si="479"/>
        <v>0.5</v>
      </c>
      <c r="CD573" s="310">
        <f>$F573*0.55</f>
        <v>1650.0000000000002</v>
      </c>
      <c r="CE573" s="308">
        <f t="shared" si="453"/>
        <v>0.55000000000000004</v>
      </c>
      <c r="CF573" s="310">
        <v>2100</v>
      </c>
      <c r="CG573" s="308">
        <f t="shared" si="454"/>
        <v>0.7</v>
      </c>
      <c r="CH573" s="310">
        <f>$F573*0.7</f>
        <v>2100</v>
      </c>
      <c r="CI573" s="308">
        <f t="shared" si="455"/>
        <v>0.7</v>
      </c>
      <c r="CJ573" s="310">
        <f>$F573*0.75</f>
        <v>2250</v>
      </c>
      <c r="CK573" s="308">
        <f t="shared" si="456"/>
        <v>0.75</v>
      </c>
      <c r="CL573" s="310">
        <f>$F573*0.8</f>
        <v>2400</v>
      </c>
      <c r="CM573" s="308">
        <f t="shared" si="457"/>
        <v>0.8</v>
      </c>
      <c r="CN573" s="310">
        <f>$F573*0.95</f>
        <v>2850</v>
      </c>
      <c r="CO573" s="308">
        <f t="shared" si="458"/>
        <v>0.95</v>
      </c>
      <c r="CP573" s="213" t="str">
        <f t="shared" si="471"/>
        <v>Đạt</v>
      </c>
      <c r="CQ573" s="213" t="str">
        <f t="shared" si="472"/>
        <v>Đạt</v>
      </c>
      <c r="CR573" s="312"/>
      <c r="CS573" s="312"/>
      <c r="CT573" s="235"/>
      <c r="CU573" s="163"/>
      <c r="CV573" s="323"/>
      <c r="CW573" s="195"/>
      <c r="CX573" s="196"/>
      <c r="CY573" s="196"/>
      <c r="CZ573" s="197"/>
      <c r="DA573" s="196"/>
      <c r="DB573" s="196"/>
      <c r="DC573" s="196"/>
      <c r="DE573" s="199"/>
      <c r="DF573" s="200"/>
      <c r="DG573" s="181"/>
    </row>
    <row r="574" spans="1:111" ht="18" customHeight="1" collapsed="1" x14ac:dyDescent="0.25">
      <c r="A574" s="213">
        <f>MAX(A$239:A572)+1</f>
        <v>94</v>
      </c>
      <c r="B574" s="240" t="s">
        <v>511</v>
      </c>
      <c r="C574" s="240"/>
      <c r="D574" s="188">
        <f t="shared" ref="D574:I574" si="496">D575+D578+D579</f>
        <v>28550</v>
      </c>
      <c r="E574" s="188">
        <f t="shared" si="496"/>
        <v>0</v>
      </c>
      <c r="F574" s="188">
        <f t="shared" si="496"/>
        <v>28550</v>
      </c>
      <c r="G574" s="188">
        <f t="shared" si="496"/>
        <v>26000</v>
      </c>
      <c r="H574" s="188">
        <f t="shared" si="496"/>
        <v>2550</v>
      </c>
      <c r="I574" s="188">
        <f t="shared" si="496"/>
        <v>0</v>
      </c>
      <c r="J574" s="188"/>
      <c r="K574" s="188">
        <f>K575+K578+K579</f>
        <v>0</v>
      </c>
      <c r="L574" s="188">
        <f>L575+L578+L579</f>
        <v>0</v>
      </c>
      <c r="M574" s="188">
        <f>M575+M578+M579</f>
        <v>0</v>
      </c>
      <c r="N574" s="188">
        <f>N575+N578+N579</f>
        <v>0</v>
      </c>
      <c r="O574" s="188">
        <f>O575+O578+O579</f>
        <v>26000</v>
      </c>
      <c r="P574" s="188">
        <v>2439</v>
      </c>
      <c r="Q574" s="186">
        <f t="shared" si="470"/>
        <v>8.5429071803852896E-2</v>
      </c>
      <c r="R574" s="189">
        <v>7463.9420440000004</v>
      </c>
      <c r="S574" s="185">
        <v>0.26143404707530649</v>
      </c>
      <c r="T574" s="185">
        <v>0.2751937337634805</v>
      </c>
      <c r="U574" s="189">
        <v>7463.9420440000004</v>
      </c>
      <c r="V574" s="185">
        <v>0.26143404707530649</v>
      </c>
      <c r="W574" s="185">
        <v>0.2751937337634805</v>
      </c>
      <c r="X574" s="189">
        <v>7463.9420440000004</v>
      </c>
      <c r="Y574" s="185">
        <v>0.26143404707530649</v>
      </c>
      <c r="Z574" s="185">
        <v>0.2751937337634805</v>
      </c>
      <c r="AA574" s="189">
        <v>7463.9420440000004</v>
      </c>
      <c r="AB574" s="185">
        <v>0.26143404707530649</v>
      </c>
      <c r="AC574" s="185">
        <v>0.2751937337634805</v>
      </c>
      <c r="AD574" s="189">
        <v>8400</v>
      </c>
      <c r="AE574" s="185">
        <v>0.29422066549912435</v>
      </c>
      <c r="AF574" s="185">
        <v>0.30970596368328879</v>
      </c>
      <c r="AG574" s="189">
        <v>8400</v>
      </c>
      <c r="AH574" s="185">
        <v>0.29422066549912435</v>
      </c>
      <c r="AI574" s="185">
        <v>0.30970596368328879</v>
      </c>
      <c r="AJ574" s="307">
        <v>8400</v>
      </c>
      <c r="AK574" s="185">
        <v>0.29422066549912435</v>
      </c>
      <c r="AL574" s="185">
        <v>0.30970596368328879</v>
      </c>
      <c r="AM574" s="189">
        <v>8400</v>
      </c>
      <c r="AN574" s="185">
        <v>0.29422066549912435</v>
      </c>
      <c r="AO574" s="185">
        <v>0.30970596368328879</v>
      </c>
      <c r="AP574" s="185"/>
      <c r="AQ574" s="189">
        <v>11326</v>
      </c>
      <c r="AR574" s="185">
        <v>0.39670753064798597</v>
      </c>
      <c r="AS574" s="185">
        <v>0.41758687436630104</v>
      </c>
      <c r="AT574" s="189">
        <v>11326</v>
      </c>
      <c r="AU574" s="185">
        <v>0.39670753064798597</v>
      </c>
      <c r="AV574" s="185">
        <v>0.41758687436630104</v>
      </c>
      <c r="AW574" s="185"/>
      <c r="AX574" s="185"/>
      <c r="AY574" s="185"/>
      <c r="AZ574" s="185"/>
      <c r="BA574" s="185"/>
      <c r="BB574" s="185"/>
      <c r="BC574" s="189">
        <v>11326</v>
      </c>
      <c r="BD574" s="185">
        <v>0.39670753064798597</v>
      </c>
      <c r="BE574" s="185">
        <v>0.41758687436630104</v>
      </c>
      <c r="BF574" s="352"/>
      <c r="BG574" s="352">
        <v>12293</v>
      </c>
      <c r="BH574" s="185">
        <v>0.43057793345008755</v>
      </c>
      <c r="BI574" s="185">
        <v>0.4532399299474606</v>
      </c>
      <c r="BJ574" s="374">
        <f t="shared" si="463"/>
        <v>27122.5</v>
      </c>
      <c r="BK574" s="374">
        <v>16808</v>
      </c>
      <c r="BL574" s="185">
        <f t="shared" si="465"/>
        <v>0.58872154115586695</v>
      </c>
      <c r="BM574" s="185">
        <f t="shared" si="473"/>
        <v>0.61970688542722829</v>
      </c>
      <c r="BN574" s="205">
        <f t="shared" si="461"/>
        <v>8408</v>
      </c>
      <c r="BO574" s="205"/>
      <c r="BP574" s="189">
        <f>BP575+BP578+BP579</f>
        <v>0</v>
      </c>
      <c r="BQ574" s="186">
        <f t="shared" si="466"/>
        <v>0</v>
      </c>
      <c r="BR574" s="189">
        <f>BR575+BR578+BR579</f>
        <v>0</v>
      </c>
      <c r="BS574" s="186">
        <f t="shared" si="467"/>
        <v>0</v>
      </c>
      <c r="BT574" s="189">
        <f>BT575+BT578+BT579</f>
        <v>12750</v>
      </c>
      <c r="BU574" s="186">
        <f t="shared" si="468"/>
        <v>0.44658493870402804</v>
      </c>
      <c r="BV574" s="189">
        <f>BV575+BV578+BV579</f>
        <v>12750</v>
      </c>
      <c r="BW574" s="186">
        <f t="shared" si="450"/>
        <v>0.44658493870402804</v>
      </c>
      <c r="BX574" s="189">
        <f>BX575+BX578+BX579</f>
        <v>12750</v>
      </c>
      <c r="BY574" s="186">
        <f t="shared" si="451"/>
        <v>0.44658493870402804</v>
      </c>
      <c r="BZ574" s="189">
        <f>BZ575+BZ578+BZ579</f>
        <v>19350</v>
      </c>
      <c r="CA574" s="186">
        <f t="shared" si="452"/>
        <v>0.67775831873905434</v>
      </c>
      <c r="CB574" s="189">
        <f>CB575+CB578+CB579</f>
        <v>19350</v>
      </c>
      <c r="CC574" s="186">
        <f t="shared" si="479"/>
        <v>0.67775831873905434</v>
      </c>
      <c r="CD574" s="189">
        <f>CD575+CD578+CD579</f>
        <v>23850</v>
      </c>
      <c r="CE574" s="186">
        <f t="shared" si="453"/>
        <v>0.83537653239929943</v>
      </c>
      <c r="CF574" s="189">
        <f>CF575+CF578+CF579</f>
        <v>27122</v>
      </c>
      <c r="CG574" s="186">
        <f t="shared" si="454"/>
        <v>0.94998248686514886</v>
      </c>
      <c r="CH574" s="189">
        <f>CH575+CH578+CH579</f>
        <v>27122</v>
      </c>
      <c r="CI574" s="186">
        <f t="shared" si="455"/>
        <v>0.94998248686514886</v>
      </c>
      <c r="CJ574" s="189">
        <f>CJ575+CJ578+CJ579</f>
        <v>27122</v>
      </c>
      <c r="CK574" s="186">
        <f t="shared" si="456"/>
        <v>0.94998248686514886</v>
      </c>
      <c r="CL574" s="189">
        <f>CL575+CL578+CL579</f>
        <v>27122</v>
      </c>
      <c r="CM574" s="186">
        <f t="shared" si="457"/>
        <v>0.94998248686514886</v>
      </c>
      <c r="CN574" s="189">
        <f>CN575+CN578+CN579</f>
        <v>27122</v>
      </c>
      <c r="CO574" s="186">
        <f t="shared" si="458"/>
        <v>0.94998248686514886</v>
      </c>
      <c r="CP574" s="213" t="str">
        <f t="shared" si="471"/>
        <v>Đạt</v>
      </c>
      <c r="CQ574" s="213" t="str">
        <f t="shared" si="472"/>
        <v>Đạt</v>
      </c>
      <c r="CR574" s="213"/>
      <c r="CS574" s="213"/>
      <c r="CT574" s="231"/>
      <c r="CU574" s="163"/>
      <c r="CW574" s="195"/>
      <c r="CX574" s="196"/>
      <c r="CY574" s="196"/>
      <c r="CZ574" s="197"/>
      <c r="DA574" s="196"/>
      <c r="DB574" s="196"/>
      <c r="DC574" s="196"/>
      <c r="DE574" s="199"/>
      <c r="DF574" s="200"/>
      <c r="DG574" s="181"/>
    </row>
    <row r="575" spans="1:111" s="381" customFormat="1" hidden="1" outlineLevel="1" x14ac:dyDescent="0.25">
      <c r="A575" s="305" t="s">
        <v>34</v>
      </c>
      <c r="B575" s="318" t="s">
        <v>381</v>
      </c>
      <c r="C575" s="306"/>
      <c r="D575" s="317">
        <f t="shared" ref="D575:I575" si="497">SUM(D576:D577)</f>
        <v>23000</v>
      </c>
      <c r="E575" s="317">
        <f t="shared" si="497"/>
        <v>0</v>
      </c>
      <c r="F575" s="317">
        <f t="shared" si="497"/>
        <v>23000</v>
      </c>
      <c r="G575" s="317">
        <f t="shared" si="497"/>
        <v>23000</v>
      </c>
      <c r="H575" s="317">
        <f t="shared" si="497"/>
        <v>0</v>
      </c>
      <c r="I575" s="214">
        <f t="shared" si="497"/>
        <v>0</v>
      </c>
      <c r="J575" s="214"/>
      <c r="K575" s="317">
        <f>SUM(K576:K577)</f>
        <v>0</v>
      </c>
      <c r="L575" s="214">
        <f>SUM(L576:L577)</f>
        <v>0</v>
      </c>
      <c r="M575" s="223"/>
      <c r="N575" s="223"/>
      <c r="O575" s="317">
        <f t="shared" si="490"/>
        <v>23000</v>
      </c>
      <c r="P575" s="317">
        <v>0</v>
      </c>
      <c r="Q575" s="319">
        <f t="shared" si="470"/>
        <v>0</v>
      </c>
      <c r="R575" s="307">
        <v>7463.9420440000004</v>
      </c>
      <c r="S575" s="320">
        <v>0.32451921930434785</v>
      </c>
      <c r="T575" s="320">
        <v>0.34159917821510299</v>
      </c>
      <c r="U575" s="307">
        <v>7463.9420440000004</v>
      </c>
      <c r="V575" s="320">
        <v>0.32451921930434785</v>
      </c>
      <c r="W575" s="320">
        <v>0.34159917821510299</v>
      </c>
      <c r="X575" s="307">
        <v>7463.9420440000004</v>
      </c>
      <c r="Y575" s="320">
        <v>0.32451921930434785</v>
      </c>
      <c r="Z575" s="320">
        <v>0.34159917821510299</v>
      </c>
      <c r="AA575" s="307">
        <v>7463.9420440000004</v>
      </c>
      <c r="AB575" s="320">
        <v>0.32451921930434785</v>
      </c>
      <c r="AC575" s="320">
        <v>0.34159917821510299</v>
      </c>
      <c r="AD575" s="307">
        <v>7978.5990439999996</v>
      </c>
      <c r="AE575" s="320">
        <v>0.34689561060869561</v>
      </c>
      <c r="AF575" s="320">
        <v>0.36515327432494277</v>
      </c>
      <c r="AG575" s="307">
        <v>7978.5990439999996</v>
      </c>
      <c r="AH575" s="320">
        <v>0.34689561060869561</v>
      </c>
      <c r="AI575" s="320">
        <v>0.36515327432494277</v>
      </c>
      <c r="AJ575" s="214">
        <v>7978.5990439999996</v>
      </c>
      <c r="AK575" s="320">
        <v>0.34689561060869561</v>
      </c>
      <c r="AL575" s="320">
        <v>0.36515327432494277</v>
      </c>
      <c r="AM575" s="307">
        <v>7978.5990439999996</v>
      </c>
      <c r="AN575" s="320">
        <v>0.34689561060869561</v>
      </c>
      <c r="AO575" s="320">
        <v>0.36515327432494277</v>
      </c>
      <c r="AP575" s="320"/>
      <c r="AQ575" s="307">
        <v>10934</v>
      </c>
      <c r="AR575" s="320">
        <v>0.47539130434782606</v>
      </c>
      <c r="AS575" s="320">
        <v>0.50041189931350116</v>
      </c>
      <c r="AT575" s="307">
        <v>10934</v>
      </c>
      <c r="AU575" s="320">
        <v>0.47539130434782606</v>
      </c>
      <c r="AV575" s="320">
        <v>0.50041189931350116</v>
      </c>
      <c r="AW575" s="320"/>
      <c r="AX575" s="320"/>
      <c r="AY575" s="320"/>
      <c r="AZ575" s="320"/>
      <c r="BA575" s="320"/>
      <c r="BB575" s="320"/>
      <c r="BC575" s="307">
        <v>10934</v>
      </c>
      <c r="BD575" s="320">
        <v>0.47539130434782606</v>
      </c>
      <c r="BE575" s="320">
        <v>0.50041189931350116</v>
      </c>
      <c r="BF575" s="349"/>
      <c r="BG575" s="349">
        <v>10934</v>
      </c>
      <c r="BH575" s="320">
        <v>0.47539130434782606</v>
      </c>
      <c r="BI575" s="320">
        <v>0.50041189931350116</v>
      </c>
      <c r="BJ575" s="349">
        <f t="shared" si="463"/>
        <v>21850</v>
      </c>
      <c r="BK575" s="349">
        <v>14534</v>
      </c>
      <c r="BL575" s="320">
        <f t="shared" si="465"/>
        <v>0.63191304347826083</v>
      </c>
      <c r="BM575" s="320">
        <f t="shared" si="473"/>
        <v>0.66517162471395885</v>
      </c>
      <c r="BN575" s="205">
        <f t="shared" si="461"/>
        <v>6555.4009560000004</v>
      </c>
      <c r="BO575" s="205"/>
      <c r="BP575" s="307">
        <f>SUM(BP576:BP577)</f>
        <v>0</v>
      </c>
      <c r="BQ575" s="322">
        <f t="shared" si="466"/>
        <v>0</v>
      </c>
      <c r="BR575" s="307">
        <f>SUM(BR576:BR577)</f>
        <v>0</v>
      </c>
      <c r="BS575" s="322">
        <f t="shared" si="467"/>
        <v>0</v>
      </c>
      <c r="BT575" s="307">
        <f>SUM(BT576:BT577)</f>
        <v>12350</v>
      </c>
      <c r="BU575" s="319">
        <f t="shared" si="468"/>
        <v>0.53695652173913044</v>
      </c>
      <c r="BV575" s="307">
        <f>SUM(BV576:BV577)</f>
        <v>12350</v>
      </c>
      <c r="BW575" s="322">
        <f t="shared" si="450"/>
        <v>0.53695652173913044</v>
      </c>
      <c r="BX575" s="307">
        <f>SUM(BX576:BX577)</f>
        <v>12350</v>
      </c>
      <c r="BY575" s="322">
        <f t="shared" si="451"/>
        <v>0.53695652173913044</v>
      </c>
      <c r="BZ575" s="307">
        <f>SUM(BZ576:BZ577)</f>
        <v>17350</v>
      </c>
      <c r="CA575" s="322">
        <f t="shared" si="452"/>
        <v>0.7543478260869565</v>
      </c>
      <c r="CB575" s="307">
        <f>SUM(CB576:CB577)</f>
        <v>17350</v>
      </c>
      <c r="CC575" s="322">
        <f t="shared" si="479"/>
        <v>0.7543478260869565</v>
      </c>
      <c r="CD575" s="307">
        <f>SUM(CD576:CD577)</f>
        <v>21850</v>
      </c>
      <c r="CE575" s="322">
        <f t="shared" si="453"/>
        <v>0.95</v>
      </c>
      <c r="CF575" s="307">
        <f>SUM(CF576:CF577)</f>
        <v>21850</v>
      </c>
      <c r="CG575" s="322">
        <f t="shared" si="454"/>
        <v>0.95</v>
      </c>
      <c r="CH575" s="307">
        <f>SUM(CH576:CH577)</f>
        <v>21850</v>
      </c>
      <c r="CI575" s="322">
        <f t="shared" si="455"/>
        <v>0.95</v>
      </c>
      <c r="CJ575" s="307">
        <f>SUM(CJ576:CJ577)</f>
        <v>21850</v>
      </c>
      <c r="CK575" s="322">
        <f t="shared" si="456"/>
        <v>0.95</v>
      </c>
      <c r="CL575" s="307">
        <f>SUM(CL576:CL577)</f>
        <v>21850</v>
      </c>
      <c r="CM575" s="322">
        <f t="shared" si="457"/>
        <v>0.95</v>
      </c>
      <c r="CN575" s="307">
        <f>SUM(CN576:CN577)</f>
        <v>21850</v>
      </c>
      <c r="CO575" s="322">
        <f t="shared" si="458"/>
        <v>0.95</v>
      </c>
      <c r="CP575" s="213" t="str">
        <f t="shared" si="471"/>
        <v>Đạt</v>
      </c>
      <c r="CQ575" s="213" t="str">
        <f t="shared" si="472"/>
        <v>Đạt</v>
      </c>
      <c r="CR575" s="312"/>
      <c r="CS575" s="312"/>
      <c r="CT575" s="235"/>
      <c r="CU575" s="163"/>
      <c r="CV575" s="380"/>
      <c r="CW575" s="195"/>
      <c r="CX575" s="196"/>
      <c r="CY575" s="196"/>
      <c r="CZ575" s="197"/>
      <c r="DA575" s="196"/>
      <c r="DB575" s="196"/>
      <c r="DC575" s="196"/>
      <c r="DE575" s="199"/>
      <c r="DF575" s="200"/>
      <c r="DG575" s="181"/>
    </row>
    <row r="576" spans="1:111" hidden="1" outlineLevel="1" x14ac:dyDescent="0.25">
      <c r="A576" s="192"/>
      <c r="B576" s="269" t="s">
        <v>512</v>
      </c>
      <c r="C576" s="269">
        <v>7902730</v>
      </c>
      <c r="D576" s="214">
        <f t="shared" si="495"/>
        <v>13000</v>
      </c>
      <c r="E576" s="215"/>
      <c r="F576" s="214">
        <f>G576+H576+K576+M576</f>
        <v>13000</v>
      </c>
      <c r="G576" s="257">
        <v>13000</v>
      </c>
      <c r="H576" s="223"/>
      <c r="I576" s="235"/>
      <c r="J576" s="235"/>
      <c r="K576" s="223"/>
      <c r="L576" s="235"/>
      <c r="M576" s="223"/>
      <c r="N576" s="223"/>
      <c r="O576" s="223">
        <f t="shared" si="490"/>
        <v>13000</v>
      </c>
      <c r="P576" s="223">
        <v>2439</v>
      </c>
      <c r="Q576" s="224">
        <f t="shared" si="470"/>
        <v>0.18761538461538463</v>
      </c>
      <c r="R576" s="223">
        <v>4463.9420440000004</v>
      </c>
      <c r="S576" s="326">
        <v>0.34338015723076926</v>
      </c>
      <c r="T576" s="326">
        <v>0.36145279708502026</v>
      </c>
      <c r="U576" s="223">
        <v>4463.9420440000004</v>
      </c>
      <c r="V576" s="326">
        <v>0.34338015723076926</v>
      </c>
      <c r="W576" s="326">
        <v>0.36145279708502026</v>
      </c>
      <c r="X576" s="223">
        <v>4463.9420440000004</v>
      </c>
      <c r="Y576" s="326">
        <v>0.34338015723076926</v>
      </c>
      <c r="Z576" s="326">
        <v>0.36145279708502026</v>
      </c>
      <c r="AA576" s="223">
        <v>4463.9420440000004</v>
      </c>
      <c r="AB576" s="326">
        <v>0.34338015723076926</v>
      </c>
      <c r="AC576" s="326">
        <v>0.36145279708502026</v>
      </c>
      <c r="AD576" s="223">
        <v>4978.5990439999996</v>
      </c>
      <c r="AE576" s="326">
        <v>0.38296915723076919</v>
      </c>
      <c r="AF576" s="326">
        <v>0.40312542866396756</v>
      </c>
      <c r="AG576" s="214">
        <v>4978.5990439999996</v>
      </c>
      <c r="AH576" s="326">
        <v>0.38296915723076919</v>
      </c>
      <c r="AI576" s="326">
        <v>0.40312542866396756</v>
      </c>
      <c r="AJ576" s="214">
        <v>4978.5990439999996</v>
      </c>
      <c r="AK576" s="326">
        <v>0.38296915723076919</v>
      </c>
      <c r="AL576" s="326">
        <v>0.40312542866396756</v>
      </c>
      <c r="AM576" s="214">
        <v>4978.5990439999996</v>
      </c>
      <c r="AN576" s="326">
        <v>0.38296915723076919</v>
      </c>
      <c r="AO576" s="326">
        <v>0.40312542866396756</v>
      </c>
      <c r="AP576" s="326"/>
      <c r="AQ576" s="214">
        <v>5398</v>
      </c>
      <c r="AR576" s="326">
        <v>0.41523076923076924</v>
      </c>
      <c r="AS576" s="326">
        <v>0.43708502024291496</v>
      </c>
      <c r="AT576" s="214">
        <v>5398</v>
      </c>
      <c r="AU576" s="326">
        <v>0.41523076923076924</v>
      </c>
      <c r="AV576" s="326">
        <v>0.43708502024291496</v>
      </c>
      <c r="AW576" s="326"/>
      <c r="AX576" s="326"/>
      <c r="AY576" s="326"/>
      <c r="AZ576" s="326"/>
      <c r="BA576" s="326"/>
      <c r="BB576" s="326"/>
      <c r="BC576" s="214">
        <v>5398</v>
      </c>
      <c r="BD576" s="326">
        <v>0.41523076923076924</v>
      </c>
      <c r="BE576" s="326">
        <v>0.43708502024291496</v>
      </c>
      <c r="BF576" s="350"/>
      <c r="BG576" s="350">
        <v>5398</v>
      </c>
      <c r="BH576" s="326">
        <v>0.41523076923076924</v>
      </c>
      <c r="BI576" s="326">
        <v>0.43708502024291496</v>
      </c>
      <c r="BJ576" s="402">
        <f t="shared" si="463"/>
        <v>12350</v>
      </c>
      <c r="BK576" s="402">
        <v>5398</v>
      </c>
      <c r="BL576" s="326">
        <f t="shared" si="465"/>
        <v>0.41523076923076924</v>
      </c>
      <c r="BM576" s="326">
        <f t="shared" si="473"/>
        <v>0.43708502024291496</v>
      </c>
      <c r="BN576" s="205">
        <f t="shared" si="461"/>
        <v>419.40095600000041</v>
      </c>
      <c r="BO576" s="205"/>
      <c r="BP576" s="227"/>
      <c r="BQ576" s="327">
        <f t="shared" si="466"/>
        <v>0</v>
      </c>
      <c r="BR576" s="227"/>
      <c r="BS576" s="327">
        <f t="shared" si="467"/>
        <v>0</v>
      </c>
      <c r="BT576" s="227">
        <v>12350</v>
      </c>
      <c r="BU576" s="224">
        <f t="shared" si="468"/>
        <v>0.95</v>
      </c>
      <c r="BV576" s="227">
        <v>12350</v>
      </c>
      <c r="BW576" s="327">
        <f t="shared" si="450"/>
        <v>0.95</v>
      </c>
      <c r="BX576" s="227">
        <v>12350</v>
      </c>
      <c r="BY576" s="327">
        <f t="shared" si="451"/>
        <v>0.95</v>
      </c>
      <c r="BZ576" s="227">
        <v>12350</v>
      </c>
      <c r="CA576" s="327">
        <f t="shared" si="452"/>
        <v>0.95</v>
      </c>
      <c r="CB576" s="227">
        <v>12350</v>
      </c>
      <c r="CC576" s="327">
        <f t="shared" si="479"/>
        <v>0.95</v>
      </c>
      <c r="CD576" s="227">
        <v>12350</v>
      </c>
      <c r="CE576" s="327">
        <f t="shared" si="453"/>
        <v>0.95</v>
      </c>
      <c r="CF576" s="227">
        <v>12350</v>
      </c>
      <c r="CG576" s="327">
        <f t="shared" si="454"/>
        <v>0.95</v>
      </c>
      <c r="CH576" s="227">
        <v>12350</v>
      </c>
      <c r="CI576" s="327">
        <f t="shared" si="455"/>
        <v>0.95</v>
      </c>
      <c r="CJ576" s="227">
        <v>12350</v>
      </c>
      <c r="CK576" s="327">
        <f t="shared" si="456"/>
        <v>0.95</v>
      </c>
      <c r="CL576" s="227">
        <v>12350</v>
      </c>
      <c r="CM576" s="327">
        <f t="shared" si="457"/>
        <v>0.95</v>
      </c>
      <c r="CN576" s="227">
        <v>12350</v>
      </c>
      <c r="CO576" s="327">
        <f t="shared" si="458"/>
        <v>0.95</v>
      </c>
      <c r="CP576" s="213" t="str">
        <f t="shared" si="471"/>
        <v>Đạt</v>
      </c>
      <c r="CQ576" s="213" t="str">
        <f t="shared" si="472"/>
        <v>Không đạt</v>
      </c>
      <c r="CR576" s="192"/>
      <c r="CS576" s="192"/>
      <c r="CT576" s="223"/>
      <c r="CU576" s="163"/>
      <c r="CW576" s="195"/>
      <c r="CX576" s="196"/>
      <c r="CY576" s="196"/>
      <c r="CZ576" s="197"/>
      <c r="DA576" s="196"/>
      <c r="DB576" s="196"/>
      <c r="DC576" s="196"/>
      <c r="DE576" s="199"/>
      <c r="DF576" s="200"/>
      <c r="DG576" s="181"/>
    </row>
    <row r="577" spans="1:111" ht="25.5" hidden="1" outlineLevel="1" x14ac:dyDescent="0.25">
      <c r="A577" s="192"/>
      <c r="B577" s="269" t="s">
        <v>513</v>
      </c>
      <c r="C577" s="269">
        <v>7902731</v>
      </c>
      <c r="D577" s="214">
        <f t="shared" si="495"/>
        <v>10000</v>
      </c>
      <c r="E577" s="215"/>
      <c r="F577" s="214">
        <f>G577+H577+K577+M577</f>
        <v>10000</v>
      </c>
      <c r="G577" s="257">
        <v>10000</v>
      </c>
      <c r="H577" s="223"/>
      <c r="I577" s="235"/>
      <c r="J577" s="235"/>
      <c r="K577" s="223"/>
      <c r="L577" s="235"/>
      <c r="M577" s="223"/>
      <c r="N577" s="223"/>
      <c r="O577" s="223">
        <f t="shared" si="490"/>
        <v>10000</v>
      </c>
      <c r="P577" s="223">
        <v>0</v>
      </c>
      <c r="Q577" s="224">
        <f t="shared" si="470"/>
        <v>0</v>
      </c>
      <c r="R577" s="223">
        <v>3000</v>
      </c>
      <c r="S577" s="326">
        <v>0.3</v>
      </c>
      <c r="T577" s="326">
        <v>0.31578947368421051</v>
      </c>
      <c r="U577" s="223">
        <v>3000</v>
      </c>
      <c r="V577" s="326">
        <v>0.3</v>
      </c>
      <c r="W577" s="326">
        <v>0.31578947368421051</v>
      </c>
      <c r="X577" s="223">
        <v>3000</v>
      </c>
      <c r="Y577" s="326">
        <v>0.3</v>
      </c>
      <c r="Z577" s="326">
        <v>0.31578947368421051</v>
      </c>
      <c r="AA577" s="223">
        <v>3000</v>
      </c>
      <c r="AB577" s="326">
        <v>0.3</v>
      </c>
      <c r="AC577" s="326">
        <v>0.31578947368421051</v>
      </c>
      <c r="AD577" s="223">
        <v>3000</v>
      </c>
      <c r="AE577" s="326">
        <v>0.3</v>
      </c>
      <c r="AF577" s="326">
        <v>0.31578947368421051</v>
      </c>
      <c r="AG577" s="214">
        <v>3000</v>
      </c>
      <c r="AH577" s="326">
        <v>0.3</v>
      </c>
      <c r="AI577" s="326">
        <v>0.31578947368421051</v>
      </c>
      <c r="AJ577" s="307">
        <v>3000</v>
      </c>
      <c r="AK577" s="326">
        <v>0.3</v>
      </c>
      <c r="AL577" s="326">
        <v>0.31578947368421051</v>
      </c>
      <c r="AM577" s="214">
        <v>3000</v>
      </c>
      <c r="AN577" s="326">
        <v>0.3</v>
      </c>
      <c r="AO577" s="326">
        <v>0.31578947368421051</v>
      </c>
      <c r="AP577" s="326"/>
      <c r="AQ577" s="214">
        <v>5536</v>
      </c>
      <c r="AR577" s="326">
        <v>0.55359999999999998</v>
      </c>
      <c r="AS577" s="326">
        <v>0.58273684210526311</v>
      </c>
      <c r="AT577" s="214">
        <v>5536</v>
      </c>
      <c r="AU577" s="326">
        <v>0.55359999999999998</v>
      </c>
      <c r="AV577" s="326">
        <v>0.58273684210526311</v>
      </c>
      <c r="AW577" s="326"/>
      <c r="AX577" s="326"/>
      <c r="AY577" s="326"/>
      <c r="AZ577" s="326"/>
      <c r="BA577" s="326"/>
      <c r="BB577" s="326"/>
      <c r="BC577" s="214">
        <v>5536</v>
      </c>
      <c r="BD577" s="326">
        <v>0.55359999999999998</v>
      </c>
      <c r="BE577" s="326">
        <v>0.58273684210526311</v>
      </c>
      <c r="BF577" s="350"/>
      <c r="BG577" s="350">
        <v>5536</v>
      </c>
      <c r="BH577" s="326">
        <v>0.55359999999999998</v>
      </c>
      <c r="BI577" s="326">
        <v>0.58273684210526311</v>
      </c>
      <c r="BJ577" s="402">
        <f t="shared" si="463"/>
        <v>9500</v>
      </c>
      <c r="BK577" s="402">
        <v>9136</v>
      </c>
      <c r="BL577" s="326">
        <f t="shared" si="465"/>
        <v>0.91359999999999997</v>
      </c>
      <c r="BM577" s="326">
        <f t="shared" si="473"/>
        <v>0.96168421052631581</v>
      </c>
      <c r="BN577" s="205">
        <f t="shared" si="461"/>
        <v>6136</v>
      </c>
      <c r="BO577" s="205"/>
      <c r="BP577" s="227"/>
      <c r="BQ577" s="327">
        <f t="shared" si="466"/>
        <v>0</v>
      </c>
      <c r="BR577" s="227"/>
      <c r="BS577" s="327">
        <f t="shared" si="467"/>
        <v>0</v>
      </c>
      <c r="BT577" s="227"/>
      <c r="BU577" s="224">
        <f t="shared" si="468"/>
        <v>0</v>
      </c>
      <c r="BV577" s="227"/>
      <c r="BW577" s="327">
        <f t="shared" ref="BW577:BW585" si="498">BV577/$D577</f>
        <v>0</v>
      </c>
      <c r="BX577" s="227"/>
      <c r="BY577" s="327">
        <f t="shared" ref="BY577:BY585" si="499">BX577/$D577</f>
        <v>0</v>
      </c>
      <c r="BZ577" s="227">
        <v>5000</v>
      </c>
      <c r="CA577" s="327">
        <f t="shared" ref="CA577:CA585" si="500">BZ577/$D577</f>
        <v>0.5</v>
      </c>
      <c r="CB577" s="227">
        <v>5000</v>
      </c>
      <c r="CC577" s="327">
        <f t="shared" si="479"/>
        <v>0.5</v>
      </c>
      <c r="CD577" s="227">
        <v>9500</v>
      </c>
      <c r="CE577" s="327">
        <f t="shared" ref="CE577:CE585" si="501">CD577/$D577</f>
        <v>0.95</v>
      </c>
      <c r="CF577" s="227">
        <v>9500</v>
      </c>
      <c r="CG577" s="327">
        <f t="shared" ref="CG577:CG585" si="502">CF577/$D577</f>
        <v>0.95</v>
      </c>
      <c r="CH577" s="227">
        <v>9500</v>
      </c>
      <c r="CI577" s="327">
        <f t="shared" ref="CI577:CI585" si="503">CH577/$D577</f>
        <v>0.95</v>
      </c>
      <c r="CJ577" s="227">
        <v>9500</v>
      </c>
      <c r="CK577" s="327">
        <f t="shared" ref="CK577:CK585" si="504">CJ577/$D577</f>
        <v>0.95</v>
      </c>
      <c r="CL577" s="227">
        <v>9500</v>
      </c>
      <c r="CM577" s="327">
        <f t="shared" ref="CM577:CM585" si="505">CL577/$D577</f>
        <v>0.95</v>
      </c>
      <c r="CN577" s="227">
        <v>9500</v>
      </c>
      <c r="CO577" s="327">
        <f t="shared" ref="CO577:CO585" si="506">CN577/$D577</f>
        <v>0.95</v>
      </c>
      <c r="CP577" s="213" t="str">
        <f t="shared" si="471"/>
        <v>Đạt</v>
      </c>
      <c r="CQ577" s="213" t="str">
        <f t="shared" si="472"/>
        <v>Đạt</v>
      </c>
      <c r="CR577" s="192"/>
      <c r="CS577" s="192"/>
      <c r="CT577" s="223"/>
      <c r="CU577" s="163"/>
      <c r="CW577" s="195"/>
      <c r="CX577" s="196"/>
      <c r="CY577" s="196"/>
      <c r="CZ577" s="197"/>
      <c r="DA577" s="196"/>
      <c r="DB577" s="196"/>
      <c r="DC577" s="196"/>
      <c r="DE577" s="199"/>
      <c r="DF577" s="200"/>
      <c r="DG577" s="181"/>
    </row>
    <row r="578" spans="1:111" s="381" customFormat="1" hidden="1" outlineLevel="1" x14ac:dyDescent="0.25">
      <c r="A578" s="305" t="s">
        <v>34</v>
      </c>
      <c r="B578" s="318" t="s">
        <v>376</v>
      </c>
      <c r="C578" s="306"/>
      <c r="D578" s="307">
        <f t="shared" si="495"/>
        <v>3000</v>
      </c>
      <c r="E578" s="307"/>
      <c r="F578" s="307">
        <f>G578+H578+K578+M578</f>
        <v>3000</v>
      </c>
      <c r="G578" s="307">
        <v>3000</v>
      </c>
      <c r="H578" s="303"/>
      <c r="I578" s="235"/>
      <c r="J578" s="235"/>
      <c r="K578" s="303"/>
      <c r="L578" s="235"/>
      <c r="M578" s="223"/>
      <c r="N578" s="223"/>
      <c r="O578" s="303">
        <f t="shared" si="490"/>
        <v>3000</v>
      </c>
      <c r="P578" s="303">
        <v>0</v>
      </c>
      <c r="Q578" s="308">
        <f t="shared" si="470"/>
        <v>0</v>
      </c>
      <c r="R578" s="303"/>
      <c r="S578" s="313">
        <v>0</v>
      </c>
      <c r="T578" s="313">
        <v>0</v>
      </c>
      <c r="U578" s="303"/>
      <c r="V578" s="313">
        <v>0</v>
      </c>
      <c r="W578" s="313">
        <v>0</v>
      </c>
      <c r="X578" s="303"/>
      <c r="Y578" s="313">
        <v>0</v>
      </c>
      <c r="Z578" s="313">
        <v>0</v>
      </c>
      <c r="AA578" s="303"/>
      <c r="AB578" s="313">
        <v>0</v>
      </c>
      <c r="AC578" s="313">
        <v>0</v>
      </c>
      <c r="AD578" s="303">
        <v>421.40095600000041</v>
      </c>
      <c r="AE578" s="313">
        <v>0.14046698533333346</v>
      </c>
      <c r="AF578" s="313">
        <v>0.14785998456140365</v>
      </c>
      <c r="AG578" s="307">
        <v>421.40095600000041</v>
      </c>
      <c r="AH578" s="313">
        <v>0.14046698533333346</v>
      </c>
      <c r="AI578" s="313">
        <v>0.14785998456140365</v>
      </c>
      <c r="AJ578" s="303">
        <v>421.40095600000041</v>
      </c>
      <c r="AK578" s="313">
        <v>0.14046698533333346</v>
      </c>
      <c r="AL578" s="313">
        <v>0.14785998456140365</v>
      </c>
      <c r="AM578" s="307">
        <v>421.40095600000041</v>
      </c>
      <c r="AN578" s="313">
        <v>0.14046698533333346</v>
      </c>
      <c r="AO578" s="313">
        <v>0.14785998456140365</v>
      </c>
      <c r="AP578" s="313"/>
      <c r="AQ578" s="307">
        <v>392</v>
      </c>
      <c r="AR578" s="313">
        <v>0.13066666666666665</v>
      </c>
      <c r="AS578" s="313">
        <v>0.1375438596491228</v>
      </c>
      <c r="AT578" s="307">
        <v>392</v>
      </c>
      <c r="AU578" s="313">
        <v>0.13066666666666665</v>
      </c>
      <c r="AV578" s="313">
        <v>0.1375438596491228</v>
      </c>
      <c r="AW578" s="313"/>
      <c r="AX578" s="313"/>
      <c r="AY578" s="313"/>
      <c r="AZ578" s="313"/>
      <c r="BA578" s="313"/>
      <c r="BB578" s="313"/>
      <c r="BC578" s="307">
        <v>392</v>
      </c>
      <c r="BD578" s="313">
        <v>0.13066666666666665</v>
      </c>
      <c r="BE578" s="313">
        <v>0.1375438596491228</v>
      </c>
      <c r="BF578" s="351"/>
      <c r="BG578" s="351">
        <v>1359</v>
      </c>
      <c r="BH578" s="313">
        <v>0.45300000000000001</v>
      </c>
      <c r="BI578" s="313">
        <v>0.4768421052631579</v>
      </c>
      <c r="BJ578" s="349">
        <f t="shared" si="463"/>
        <v>2850</v>
      </c>
      <c r="BK578" s="349">
        <v>1359</v>
      </c>
      <c r="BL578" s="313">
        <f t="shared" si="465"/>
        <v>0.45300000000000001</v>
      </c>
      <c r="BM578" s="313">
        <f t="shared" si="473"/>
        <v>0.4768421052631579</v>
      </c>
      <c r="BN578" s="205">
        <f t="shared" si="461"/>
        <v>937.59904399999959</v>
      </c>
      <c r="BO578" s="205"/>
      <c r="BP578" s="310"/>
      <c r="BQ578" s="311">
        <f t="shared" si="466"/>
        <v>0</v>
      </c>
      <c r="BR578" s="310"/>
      <c r="BS578" s="311">
        <f t="shared" si="467"/>
        <v>0</v>
      </c>
      <c r="BT578" s="310">
        <v>400</v>
      </c>
      <c r="BU578" s="308">
        <f t="shared" si="468"/>
        <v>0.13333333333333333</v>
      </c>
      <c r="BV578" s="310">
        <v>400</v>
      </c>
      <c r="BW578" s="311">
        <f t="shared" si="498"/>
        <v>0.13333333333333333</v>
      </c>
      <c r="BX578" s="310">
        <v>400</v>
      </c>
      <c r="BY578" s="311">
        <f t="shared" si="499"/>
        <v>0.13333333333333333</v>
      </c>
      <c r="BZ578" s="310">
        <v>2000</v>
      </c>
      <c r="CA578" s="311">
        <f t="shared" si="500"/>
        <v>0.66666666666666663</v>
      </c>
      <c r="CB578" s="310">
        <v>2000</v>
      </c>
      <c r="CC578" s="311">
        <f t="shared" si="479"/>
        <v>0.66666666666666663</v>
      </c>
      <c r="CD578" s="310">
        <v>2000</v>
      </c>
      <c r="CE578" s="311">
        <f t="shared" si="501"/>
        <v>0.66666666666666663</v>
      </c>
      <c r="CF578" s="310">
        <v>2850</v>
      </c>
      <c r="CG578" s="311">
        <f t="shared" si="502"/>
        <v>0.95</v>
      </c>
      <c r="CH578" s="310">
        <v>2850</v>
      </c>
      <c r="CI578" s="311">
        <f t="shared" si="503"/>
        <v>0.95</v>
      </c>
      <c r="CJ578" s="310">
        <v>2850</v>
      </c>
      <c r="CK578" s="311">
        <f t="shared" si="504"/>
        <v>0.95</v>
      </c>
      <c r="CL578" s="310">
        <v>2850</v>
      </c>
      <c r="CM578" s="311">
        <f t="shared" si="505"/>
        <v>0.95</v>
      </c>
      <c r="CN578" s="310">
        <v>2850</v>
      </c>
      <c r="CO578" s="311">
        <f t="shared" si="506"/>
        <v>0.95</v>
      </c>
      <c r="CP578" s="213" t="str">
        <f t="shared" si="471"/>
        <v>Đạt</v>
      </c>
      <c r="CQ578" s="213" t="str">
        <f t="shared" si="472"/>
        <v>Đạt</v>
      </c>
      <c r="CR578" s="312"/>
      <c r="CS578" s="312"/>
      <c r="CT578" s="235"/>
      <c r="CU578" s="163"/>
      <c r="CV578" s="380"/>
      <c r="CW578" s="195"/>
      <c r="CX578" s="196"/>
      <c r="CY578" s="196"/>
      <c r="CZ578" s="197"/>
      <c r="DA578" s="196"/>
      <c r="DB578" s="196"/>
      <c r="DC578" s="196"/>
      <c r="DE578" s="199"/>
      <c r="DF578" s="200"/>
      <c r="DG578" s="181"/>
    </row>
    <row r="579" spans="1:111" ht="25.5" hidden="1" outlineLevel="1" x14ac:dyDescent="0.25">
      <c r="A579" s="305" t="s">
        <v>34</v>
      </c>
      <c r="B579" s="306" t="s">
        <v>377</v>
      </c>
      <c r="C579" s="306"/>
      <c r="D579" s="307">
        <f>E579+F579</f>
        <v>2550</v>
      </c>
      <c r="E579" s="307"/>
      <c r="F579" s="307">
        <f>G579+H579+K579+M579</f>
        <v>2550</v>
      </c>
      <c r="G579" s="307"/>
      <c r="H579" s="307">
        <v>2550</v>
      </c>
      <c r="I579" s="235"/>
      <c r="J579" s="235"/>
      <c r="K579" s="303"/>
      <c r="L579" s="235"/>
      <c r="M579" s="223"/>
      <c r="N579" s="223"/>
      <c r="O579" s="303"/>
      <c r="P579" s="303">
        <v>0</v>
      </c>
      <c r="Q579" s="308">
        <f t="shared" si="470"/>
        <v>0</v>
      </c>
      <c r="R579" s="303"/>
      <c r="S579" s="313">
        <v>0</v>
      </c>
      <c r="T579" s="313">
        <v>0</v>
      </c>
      <c r="U579" s="303"/>
      <c r="V579" s="313">
        <v>0</v>
      </c>
      <c r="W579" s="313">
        <v>0</v>
      </c>
      <c r="X579" s="303"/>
      <c r="Y579" s="313">
        <v>0</v>
      </c>
      <c r="Z579" s="313">
        <v>0</v>
      </c>
      <c r="AA579" s="303"/>
      <c r="AB579" s="313">
        <v>0</v>
      </c>
      <c r="AC579" s="313">
        <v>0</v>
      </c>
      <c r="AD579" s="303"/>
      <c r="AE579" s="313">
        <v>0</v>
      </c>
      <c r="AF579" s="313">
        <v>0</v>
      </c>
      <c r="AG579" s="303"/>
      <c r="AH579" s="313">
        <v>0</v>
      </c>
      <c r="AI579" s="313">
        <v>0</v>
      </c>
      <c r="AJ579" s="188"/>
      <c r="AK579" s="313">
        <v>0</v>
      </c>
      <c r="AL579" s="313">
        <v>0</v>
      </c>
      <c r="AM579" s="303"/>
      <c r="AN579" s="313">
        <v>0</v>
      </c>
      <c r="AO579" s="313">
        <v>0</v>
      </c>
      <c r="AP579" s="313"/>
      <c r="AQ579" s="303"/>
      <c r="AR579" s="313">
        <v>0</v>
      </c>
      <c r="AS579" s="313">
        <v>0</v>
      </c>
      <c r="AT579" s="303"/>
      <c r="AU579" s="313">
        <v>0</v>
      </c>
      <c r="AV579" s="313">
        <v>0</v>
      </c>
      <c r="AW579" s="313"/>
      <c r="AX579" s="313"/>
      <c r="AY579" s="313"/>
      <c r="AZ579" s="313"/>
      <c r="BA579" s="313"/>
      <c r="BB579" s="313"/>
      <c r="BC579" s="303"/>
      <c r="BD579" s="313">
        <v>0</v>
      </c>
      <c r="BE579" s="313">
        <v>0</v>
      </c>
      <c r="BF579" s="351"/>
      <c r="BG579" s="351">
        <v>0</v>
      </c>
      <c r="BH579" s="313">
        <v>0</v>
      </c>
      <c r="BI579" s="313">
        <v>0</v>
      </c>
      <c r="BJ579" s="349">
        <f t="shared" si="463"/>
        <v>2422.5</v>
      </c>
      <c r="BK579" s="349">
        <v>0</v>
      </c>
      <c r="BL579" s="313">
        <f t="shared" si="465"/>
        <v>0</v>
      </c>
      <c r="BM579" s="313">
        <f t="shared" si="473"/>
        <v>0</v>
      </c>
      <c r="BN579" s="205">
        <f t="shared" si="461"/>
        <v>0</v>
      </c>
      <c r="BO579" s="205"/>
      <c r="BP579" s="310"/>
      <c r="BQ579" s="311">
        <f t="shared" si="466"/>
        <v>0</v>
      </c>
      <c r="BR579" s="310"/>
      <c r="BS579" s="311">
        <f t="shared" si="467"/>
        <v>0</v>
      </c>
      <c r="BT579" s="310"/>
      <c r="BU579" s="308">
        <f t="shared" si="468"/>
        <v>0</v>
      </c>
      <c r="BV579" s="310"/>
      <c r="BW579" s="311">
        <f t="shared" si="498"/>
        <v>0</v>
      </c>
      <c r="BX579" s="310"/>
      <c r="BY579" s="311">
        <f t="shared" si="499"/>
        <v>0</v>
      </c>
      <c r="BZ579" s="310"/>
      <c r="CA579" s="311">
        <f t="shared" si="500"/>
        <v>0</v>
      </c>
      <c r="CB579" s="310"/>
      <c r="CC579" s="311">
        <f t="shared" si="479"/>
        <v>0</v>
      </c>
      <c r="CD579" s="310"/>
      <c r="CE579" s="311">
        <f t="shared" si="501"/>
        <v>0</v>
      </c>
      <c r="CF579" s="310">
        <v>2422</v>
      </c>
      <c r="CG579" s="311">
        <f t="shared" si="502"/>
        <v>0.94980392156862747</v>
      </c>
      <c r="CH579" s="310">
        <v>2422</v>
      </c>
      <c r="CI579" s="311">
        <f t="shared" si="503"/>
        <v>0.94980392156862747</v>
      </c>
      <c r="CJ579" s="310">
        <v>2422</v>
      </c>
      <c r="CK579" s="311">
        <f t="shared" si="504"/>
        <v>0.94980392156862747</v>
      </c>
      <c r="CL579" s="310">
        <v>2422</v>
      </c>
      <c r="CM579" s="311">
        <f t="shared" si="505"/>
        <v>0.94980392156862747</v>
      </c>
      <c r="CN579" s="310">
        <v>2422</v>
      </c>
      <c r="CO579" s="311">
        <f t="shared" si="506"/>
        <v>0.94980392156862747</v>
      </c>
      <c r="CP579" s="213" t="str">
        <f t="shared" si="471"/>
        <v>Không đạt</v>
      </c>
      <c r="CQ579" s="213" t="str">
        <f t="shared" si="472"/>
        <v>Không đạt</v>
      </c>
      <c r="CR579" s="312"/>
      <c r="CS579" s="312"/>
      <c r="CT579" s="235"/>
      <c r="CU579" s="163"/>
      <c r="CW579" s="195"/>
      <c r="CX579" s="196"/>
      <c r="CY579" s="196"/>
      <c r="CZ579" s="197"/>
      <c r="DA579" s="196"/>
      <c r="DB579" s="196"/>
      <c r="DC579" s="196"/>
      <c r="DE579" s="199"/>
      <c r="DF579" s="200"/>
      <c r="DG579" s="181"/>
    </row>
    <row r="580" spans="1:111" ht="18" customHeight="1" collapsed="1" x14ac:dyDescent="0.25">
      <c r="A580" s="213">
        <f>MAX(A$239:A577)+1</f>
        <v>95</v>
      </c>
      <c r="B580" s="240" t="s">
        <v>514</v>
      </c>
      <c r="C580" s="240"/>
      <c r="D580" s="188">
        <f t="shared" ref="D580:I580" si="507">D581+D582</f>
        <v>5125</v>
      </c>
      <c r="E580" s="188">
        <f t="shared" si="507"/>
        <v>0</v>
      </c>
      <c r="F580" s="188">
        <f t="shared" si="507"/>
        <v>5125</v>
      </c>
      <c r="G580" s="188">
        <f t="shared" si="507"/>
        <v>3000</v>
      </c>
      <c r="H580" s="188">
        <f t="shared" si="507"/>
        <v>2125</v>
      </c>
      <c r="I580" s="188">
        <f t="shared" si="507"/>
        <v>0</v>
      </c>
      <c r="J580" s="188"/>
      <c r="K580" s="188">
        <f>K581+K582</f>
        <v>0</v>
      </c>
      <c r="L580" s="188">
        <f>L581+L582</f>
        <v>0</v>
      </c>
      <c r="M580" s="188">
        <f>M581+M582</f>
        <v>0</v>
      </c>
      <c r="N580" s="188">
        <f>N581+N582</f>
        <v>0</v>
      </c>
      <c r="O580" s="188">
        <f>O581+O582</f>
        <v>3000</v>
      </c>
      <c r="P580" s="188">
        <v>0</v>
      </c>
      <c r="Q580" s="186">
        <f t="shared" si="470"/>
        <v>0</v>
      </c>
      <c r="R580" s="188">
        <v>0</v>
      </c>
      <c r="S580" s="185">
        <v>0</v>
      </c>
      <c r="T580" s="185">
        <v>0</v>
      </c>
      <c r="U580" s="188">
        <v>0</v>
      </c>
      <c r="V580" s="185">
        <v>0</v>
      </c>
      <c r="W580" s="185">
        <v>0</v>
      </c>
      <c r="X580" s="188">
        <v>0</v>
      </c>
      <c r="Y580" s="185">
        <v>0</v>
      </c>
      <c r="Z580" s="185">
        <v>0</v>
      </c>
      <c r="AA580" s="188">
        <v>0</v>
      </c>
      <c r="AB580" s="185">
        <v>0</v>
      </c>
      <c r="AC580" s="185">
        <v>0</v>
      </c>
      <c r="AD580" s="188">
        <v>0</v>
      </c>
      <c r="AE580" s="185">
        <v>0</v>
      </c>
      <c r="AF580" s="185">
        <v>0</v>
      </c>
      <c r="AG580" s="188">
        <v>0</v>
      </c>
      <c r="AH580" s="185">
        <v>0</v>
      </c>
      <c r="AI580" s="185">
        <v>0</v>
      </c>
      <c r="AJ580" s="303">
        <v>0</v>
      </c>
      <c r="AK580" s="185">
        <v>0</v>
      </c>
      <c r="AL580" s="185">
        <v>0</v>
      </c>
      <c r="AM580" s="188">
        <v>0</v>
      </c>
      <c r="AN580" s="185">
        <v>0</v>
      </c>
      <c r="AO580" s="185">
        <v>0</v>
      </c>
      <c r="AP580" s="185"/>
      <c r="AQ580" s="188">
        <v>878</v>
      </c>
      <c r="AR580" s="185">
        <v>0.17131707317073172</v>
      </c>
      <c r="AS580" s="185">
        <v>0.18033376123234918</v>
      </c>
      <c r="AT580" s="188">
        <v>878</v>
      </c>
      <c r="AU580" s="185">
        <v>0.17131707317073172</v>
      </c>
      <c r="AV580" s="185">
        <v>0.18033376123234918</v>
      </c>
      <c r="AW580" s="185"/>
      <c r="AX580" s="185"/>
      <c r="AY580" s="185"/>
      <c r="AZ580" s="185"/>
      <c r="BA580" s="185"/>
      <c r="BB580" s="185"/>
      <c r="BC580" s="188">
        <v>878</v>
      </c>
      <c r="BD580" s="185">
        <v>0.17131707317073172</v>
      </c>
      <c r="BE580" s="185">
        <v>0.18033376123234918</v>
      </c>
      <c r="BF580" s="352"/>
      <c r="BG580" s="352">
        <v>1740.5889999999999</v>
      </c>
      <c r="BH580" s="185">
        <v>0.33962712195121952</v>
      </c>
      <c r="BI580" s="185">
        <v>0.35750223363286265</v>
      </c>
      <c r="BJ580" s="374">
        <f t="shared" si="463"/>
        <v>4868.75</v>
      </c>
      <c r="BK580" s="374">
        <v>2204.3490000000002</v>
      </c>
      <c r="BL580" s="185">
        <f t="shared" si="465"/>
        <v>0.43011687804878052</v>
      </c>
      <c r="BM580" s="185">
        <f t="shared" si="473"/>
        <v>0.45275460847240057</v>
      </c>
      <c r="BN580" s="205">
        <f t="shared" si="461"/>
        <v>2204.3490000000002</v>
      </c>
      <c r="BO580" s="205"/>
      <c r="BP580" s="189">
        <f>BP581+BP582</f>
        <v>0</v>
      </c>
      <c r="BQ580" s="186">
        <f t="shared" si="466"/>
        <v>0</v>
      </c>
      <c r="BR580" s="189">
        <f>BR581+BR582</f>
        <v>0</v>
      </c>
      <c r="BS580" s="186">
        <f t="shared" si="467"/>
        <v>0</v>
      </c>
      <c r="BT580" s="189">
        <f>BT581+BT582</f>
        <v>512.5</v>
      </c>
      <c r="BU580" s="186">
        <f t="shared" si="468"/>
        <v>0.1</v>
      </c>
      <c r="BV580" s="189">
        <f>BV581+BV582</f>
        <v>1025</v>
      </c>
      <c r="BW580" s="186">
        <f t="shared" si="498"/>
        <v>0.2</v>
      </c>
      <c r="BX580" s="189">
        <f>BX581+BX582</f>
        <v>1537.5</v>
      </c>
      <c r="BY580" s="186">
        <f t="shared" si="499"/>
        <v>0.3</v>
      </c>
      <c r="BZ580" s="189">
        <f>BZ581+BZ582</f>
        <v>2050</v>
      </c>
      <c r="CA580" s="186">
        <f t="shared" si="500"/>
        <v>0.4</v>
      </c>
      <c r="CB580" s="189">
        <f>CB581+CB582</f>
        <v>2562.5</v>
      </c>
      <c r="CC580" s="186">
        <f t="shared" si="479"/>
        <v>0.5</v>
      </c>
      <c r="CD580" s="189">
        <f>CD581+CD582</f>
        <v>2818.75</v>
      </c>
      <c r="CE580" s="186">
        <f t="shared" si="501"/>
        <v>0.55000000000000004</v>
      </c>
      <c r="CF580" s="189">
        <f>CF581+CF582</f>
        <v>3587.5</v>
      </c>
      <c r="CG580" s="186">
        <f t="shared" si="502"/>
        <v>0.7</v>
      </c>
      <c r="CH580" s="189">
        <f>CH581+CH582</f>
        <v>3587.5</v>
      </c>
      <c r="CI580" s="186">
        <f t="shared" si="503"/>
        <v>0.7</v>
      </c>
      <c r="CJ580" s="189">
        <f>CJ581+CJ582</f>
        <v>3843.75</v>
      </c>
      <c r="CK580" s="186">
        <f t="shared" si="504"/>
        <v>0.75</v>
      </c>
      <c r="CL580" s="189">
        <f>CL581+CL582</f>
        <v>4100</v>
      </c>
      <c r="CM580" s="186">
        <f t="shared" si="505"/>
        <v>0.8</v>
      </c>
      <c r="CN580" s="189">
        <f>CN581+CN582</f>
        <v>4868.75</v>
      </c>
      <c r="CO580" s="186">
        <f t="shared" si="506"/>
        <v>0.95</v>
      </c>
      <c r="CP580" s="213" t="str">
        <f t="shared" si="471"/>
        <v>Đạt</v>
      </c>
      <c r="CQ580" s="213" t="str">
        <f t="shared" si="472"/>
        <v>Đạt</v>
      </c>
      <c r="CR580" s="213"/>
      <c r="CS580" s="213"/>
      <c r="CT580" s="231"/>
      <c r="CU580" s="163"/>
      <c r="CW580" s="195"/>
      <c r="CX580" s="196"/>
      <c r="CY580" s="196"/>
      <c r="CZ580" s="197"/>
      <c r="DA580" s="196"/>
      <c r="DB580" s="196"/>
      <c r="DC580" s="196"/>
      <c r="DE580" s="199"/>
      <c r="DF580" s="200"/>
      <c r="DG580" s="181"/>
    </row>
    <row r="581" spans="1:111" s="324" customFormat="1" hidden="1" outlineLevel="1" x14ac:dyDescent="0.25">
      <c r="A581" s="305" t="s">
        <v>34</v>
      </c>
      <c r="B581" s="306" t="s">
        <v>376</v>
      </c>
      <c r="C581" s="306"/>
      <c r="D581" s="307">
        <f t="shared" si="495"/>
        <v>3000</v>
      </c>
      <c r="E581" s="307"/>
      <c r="F581" s="307">
        <f>G581+H581+K581+M581</f>
        <v>3000</v>
      </c>
      <c r="G581" s="303">
        <v>3000</v>
      </c>
      <c r="H581" s="303"/>
      <c r="I581" s="235"/>
      <c r="J581" s="235"/>
      <c r="K581" s="303"/>
      <c r="L581" s="235"/>
      <c r="M581" s="223"/>
      <c r="N581" s="223"/>
      <c r="O581" s="303">
        <f t="shared" si="490"/>
        <v>3000</v>
      </c>
      <c r="P581" s="303">
        <v>0</v>
      </c>
      <c r="Q581" s="308">
        <f t="shared" si="470"/>
        <v>0</v>
      </c>
      <c r="R581" s="303"/>
      <c r="S581" s="309">
        <v>0</v>
      </c>
      <c r="T581" s="309">
        <v>0</v>
      </c>
      <c r="U581" s="303"/>
      <c r="V581" s="309">
        <v>0</v>
      </c>
      <c r="W581" s="309">
        <v>0</v>
      </c>
      <c r="X581" s="303"/>
      <c r="Y581" s="309">
        <v>0</v>
      </c>
      <c r="Z581" s="309">
        <v>0</v>
      </c>
      <c r="AA581" s="303"/>
      <c r="AB581" s="309">
        <v>0</v>
      </c>
      <c r="AC581" s="309">
        <v>0</v>
      </c>
      <c r="AD581" s="303"/>
      <c r="AE581" s="309">
        <v>0</v>
      </c>
      <c r="AF581" s="309">
        <v>0</v>
      </c>
      <c r="AG581" s="303"/>
      <c r="AH581" s="309">
        <v>0</v>
      </c>
      <c r="AI581" s="309">
        <v>0</v>
      </c>
      <c r="AJ581" s="303"/>
      <c r="AK581" s="309">
        <v>0</v>
      </c>
      <c r="AL581" s="309">
        <v>0</v>
      </c>
      <c r="AM581" s="303"/>
      <c r="AN581" s="309">
        <v>0</v>
      </c>
      <c r="AO581" s="309">
        <v>0</v>
      </c>
      <c r="AP581" s="309"/>
      <c r="AQ581" s="303">
        <v>878</v>
      </c>
      <c r="AR581" s="309">
        <v>0.29266666666666669</v>
      </c>
      <c r="AS581" s="309">
        <v>0.30807017543859649</v>
      </c>
      <c r="AT581" s="303">
        <v>878</v>
      </c>
      <c r="AU581" s="309">
        <v>0.29266666666666669</v>
      </c>
      <c r="AV581" s="309">
        <v>0.30807017543859649</v>
      </c>
      <c r="AW581" s="309"/>
      <c r="AX581" s="309"/>
      <c r="AY581" s="309"/>
      <c r="AZ581" s="309"/>
      <c r="BA581" s="309"/>
      <c r="BB581" s="309"/>
      <c r="BC581" s="303">
        <v>878</v>
      </c>
      <c r="BD581" s="309">
        <v>0.29266666666666669</v>
      </c>
      <c r="BE581" s="309">
        <v>0.30807017543859649</v>
      </c>
      <c r="BF581" s="351"/>
      <c r="BG581" s="351">
        <v>1740.5889999999999</v>
      </c>
      <c r="BH581" s="309">
        <v>0.58019633333333331</v>
      </c>
      <c r="BI581" s="309">
        <v>0.61073298245614038</v>
      </c>
      <c r="BJ581" s="349">
        <f t="shared" si="463"/>
        <v>2850</v>
      </c>
      <c r="BK581" s="349">
        <v>2204.3490000000002</v>
      </c>
      <c r="BL581" s="309">
        <f t="shared" si="465"/>
        <v>0.73478300000000007</v>
      </c>
      <c r="BM581" s="309">
        <f t="shared" si="473"/>
        <v>0.77345578947368432</v>
      </c>
      <c r="BN581" s="205">
        <f t="shared" si="461"/>
        <v>2204.3490000000002</v>
      </c>
      <c r="BO581" s="205"/>
      <c r="BP581" s="310"/>
      <c r="BQ581" s="308">
        <f t="shared" si="466"/>
        <v>0</v>
      </c>
      <c r="BR581" s="310"/>
      <c r="BS581" s="308">
        <f t="shared" si="467"/>
        <v>0</v>
      </c>
      <c r="BT581" s="310">
        <f>$F581*0.1</f>
        <v>300</v>
      </c>
      <c r="BU581" s="308">
        <f t="shared" si="468"/>
        <v>0.1</v>
      </c>
      <c r="BV581" s="310">
        <f>$F581*0.2</f>
        <v>600</v>
      </c>
      <c r="BW581" s="308">
        <f t="shared" si="498"/>
        <v>0.2</v>
      </c>
      <c r="BX581" s="310">
        <f>$F581*0.3</f>
        <v>900</v>
      </c>
      <c r="BY581" s="308">
        <f t="shared" si="499"/>
        <v>0.3</v>
      </c>
      <c r="BZ581" s="310">
        <f>$F581*0.4</f>
        <v>1200</v>
      </c>
      <c r="CA581" s="308">
        <f t="shared" si="500"/>
        <v>0.4</v>
      </c>
      <c r="CB581" s="310">
        <f>$F581*0.5</f>
        <v>1500</v>
      </c>
      <c r="CC581" s="308">
        <f t="shared" si="479"/>
        <v>0.5</v>
      </c>
      <c r="CD581" s="310">
        <f>$F581*0.55</f>
        <v>1650.0000000000002</v>
      </c>
      <c r="CE581" s="308">
        <f t="shared" si="501"/>
        <v>0.55000000000000004</v>
      </c>
      <c r="CF581" s="310">
        <v>2100</v>
      </c>
      <c r="CG581" s="308">
        <f t="shared" si="502"/>
        <v>0.7</v>
      </c>
      <c r="CH581" s="310">
        <f>$F581*0.7</f>
        <v>2100</v>
      </c>
      <c r="CI581" s="308">
        <f t="shared" si="503"/>
        <v>0.7</v>
      </c>
      <c r="CJ581" s="310">
        <f>$F581*0.75</f>
        <v>2250</v>
      </c>
      <c r="CK581" s="308">
        <f t="shared" si="504"/>
        <v>0.75</v>
      </c>
      <c r="CL581" s="310">
        <f>$F581*0.8</f>
        <v>2400</v>
      </c>
      <c r="CM581" s="308">
        <f t="shared" si="505"/>
        <v>0.8</v>
      </c>
      <c r="CN581" s="310">
        <f>$F581*0.95</f>
        <v>2850</v>
      </c>
      <c r="CO581" s="308">
        <f t="shared" si="506"/>
        <v>0.95</v>
      </c>
      <c r="CP581" s="213" t="str">
        <f t="shared" si="471"/>
        <v>Đạt</v>
      </c>
      <c r="CQ581" s="213" t="str">
        <f t="shared" si="472"/>
        <v>Đạt</v>
      </c>
      <c r="CR581" s="312"/>
      <c r="CS581" s="312"/>
      <c r="CT581" s="235"/>
      <c r="CU581" s="163"/>
      <c r="CV581" s="323"/>
      <c r="CW581" s="195"/>
      <c r="CX581" s="196"/>
      <c r="CY581" s="196"/>
      <c r="CZ581" s="197"/>
      <c r="DA581" s="196"/>
      <c r="DB581" s="196"/>
      <c r="DC581" s="196"/>
      <c r="DE581" s="199"/>
      <c r="DF581" s="200"/>
      <c r="DG581" s="181"/>
    </row>
    <row r="582" spans="1:111" ht="25.5" hidden="1" outlineLevel="1" x14ac:dyDescent="0.25">
      <c r="A582" s="305" t="s">
        <v>34</v>
      </c>
      <c r="B582" s="306" t="s">
        <v>377</v>
      </c>
      <c r="C582" s="306"/>
      <c r="D582" s="307">
        <f>E582+F582</f>
        <v>2125</v>
      </c>
      <c r="E582" s="307"/>
      <c r="F582" s="307">
        <f>G582+H582+K582+M582</f>
        <v>2125</v>
      </c>
      <c r="G582" s="307"/>
      <c r="H582" s="307">
        <v>2125</v>
      </c>
      <c r="I582" s="235"/>
      <c r="J582" s="235"/>
      <c r="K582" s="303"/>
      <c r="L582" s="235"/>
      <c r="M582" s="223"/>
      <c r="N582" s="223"/>
      <c r="O582" s="303"/>
      <c r="P582" s="303">
        <v>0</v>
      </c>
      <c r="Q582" s="308">
        <f t="shared" si="470"/>
        <v>0</v>
      </c>
      <c r="R582" s="303"/>
      <c r="S582" s="309">
        <v>0</v>
      </c>
      <c r="T582" s="309">
        <v>0</v>
      </c>
      <c r="U582" s="303"/>
      <c r="V582" s="309">
        <v>0</v>
      </c>
      <c r="W582" s="309">
        <v>0</v>
      </c>
      <c r="X582" s="303"/>
      <c r="Y582" s="309">
        <v>0</v>
      </c>
      <c r="Z582" s="309">
        <v>0</v>
      </c>
      <c r="AA582" s="303"/>
      <c r="AB582" s="309">
        <v>0</v>
      </c>
      <c r="AC582" s="309">
        <v>0</v>
      </c>
      <c r="AD582" s="303"/>
      <c r="AE582" s="309">
        <v>0</v>
      </c>
      <c r="AF582" s="309">
        <v>0</v>
      </c>
      <c r="AG582" s="303"/>
      <c r="AH582" s="309">
        <v>0</v>
      </c>
      <c r="AI582" s="309">
        <v>0</v>
      </c>
      <c r="AJ582" s="188"/>
      <c r="AK582" s="309">
        <v>0</v>
      </c>
      <c r="AL582" s="309">
        <v>0</v>
      </c>
      <c r="AM582" s="303"/>
      <c r="AN582" s="309">
        <v>0</v>
      </c>
      <c r="AO582" s="309">
        <v>0</v>
      </c>
      <c r="AP582" s="309"/>
      <c r="AQ582" s="303"/>
      <c r="AR582" s="309">
        <v>0</v>
      </c>
      <c r="AS582" s="309">
        <v>0</v>
      </c>
      <c r="AT582" s="303"/>
      <c r="AU582" s="309">
        <v>0</v>
      </c>
      <c r="AV582" s="309">
        <v>0</v>
      </c>
      <c r="AW582" s="309"/>
      <c r="AX582" s="309"/>
      <c r="AY582" s="309"/>
      <c r="AZ582" s="309"/>
      <c r="BA582" s="309"/>
      <c r="BB582" s="309"/>
      <c r="BC582" s="303"/>
      <c r="BD582" s="309">
        <v>0</v>
      </c>
      <c r="BE582" s="309">
        <v>0</v>
      </c>
      <c r="BF582" s="351"/>
      <c r="BG582" s="351">
        <v>0</v>
      </c>
      <c r="BH582" s="309">
        <v>0</v>
      </c>
      <c r="BI582" s="309">
        <v>0</v>
      </c>
      <c r="BJ582" s="349">
        <f t="shared" si="463"/>
        <v>2018.75</v>
      </c>
      <c r="BK582" s="349">
        <v>0</v>
      </c>
      <c r="BL582" s="309">
        <f t="shared" si="465"/>
        <v>0</v>
      </c>
      <c r="BM582" s="309">
        <f t="shared" si="473"/>
        <v>0</v>
      </c>
      <c r="BN582" s="205">
        <f t="shared" si="461"/>
        <v>0</v>
      </c>
      <c r="BO582" s="205"/>
      <c r="BP582" s="310"/>
      <c r="BQ582" s="308">
        <f t="shared" si="466"/>
        <v>0</v>
      </c>
      <c r="BR582" s="310"/>
      <c r="BS582" s="308">
        <f t="shared" si="467"/>
        <v>0</v>
      </c>
      <c r="BT582" s="310">
        <f>$F582*0.1</f>
        <v>212.5</v>
      </c>
      <c r="BU582" s="308">
        <f t="shared" si="468"/>
        <v>0.1</v>
      </c>
      <c r="BV582" s="310">
        <f>$F582*0.2</f>
        <v>425</v>
      </c>
      <c r="BW582" s="308">
        <f t="shared" si="498"/>
        <v>0.2</v>
      </c>
      <c r="BX582" s="310">
        <f>$F582*0.3</f>
        <v>637.5</v>
      </c>
      <c r="BY582" s="308">
        <f t="shared" si="499"/>
        <v>0.3</v>
      </c>
      <c r="BZ582" s="310">
        <f>$F582*0.4</f>
        <v>850</v>
      </c>
      <c r="CA582" s="308">
        <f t="shared" si="500"/>
        <v>0.4</v>
      </c>
      <c r="CB582" s="310">
        <f>$F582*0.5</f>
        <v>1062.5</v>
      </c>
      <c r="CC582" s="308">
        <f t="shared" si="479"/>
        <v>0.5</v>
      </c>
      <c r="CD582" s="310">
        <f>$F582*0.55</f>
        <v>1168.75</v>
      </c>
      <c r="CE582" s="308">
        <f t="shared" si="501"/>
        <v>0.55000000000000004</v>
      </c>
      <c r="CF582" s="310">
        <v>1487.5</v>
      </c>
      <c r="CG582" s="308">
        <f t="shared" si="502"/>
        <v>0.7</v>
      </c>
      <c r="CH582" s="310">
        <f>$F582*0.7</f>
        <v>1487.5</v>
      </c>
      <c r="CI582" s="308">
        <f t="shared" si="503"/>
        <v>0.7</v>
      </c>
      <c r="CJ582" s="310">
        <f>$F582*0.75</f>
        <v>1593.75</v>
      </c>
      <c r="CK582" s="308">
        <f t="shared" si="504"/>
        <v>0.75</v>
      </c>
      <c r="CL582" s="310">
        <f>$F582*0.8</f>
        <v>1700</v>
      </c>
      <c r="CM582" s="308">
        <f t="shared" si="505"/>
        <v>0.8</v>
      </c>
      <c r="CN582" s="310">
        <f>$F582*0.95</f>
        <v>2018.75</v>
      </c>
      <c r="CO582" s="308">
        <f t="shared" si="506"/>
        <v>0.95</v>
      </c>
      <c r="CP582" s="213" t="str">
        <f t="shared" si="471"/>
        <v>Không đạt</v>
      </c>
      <c r="CQ582" s="213" t="str">
        <f t="shared" si="472"/>
        <v>Không đạt</v>
      </c>
      <c r="CR582" s="312"/>
      <c r="CS582" s="312"/>
      <c r="CT582" s="235"/>
      <c r="CU582" s="163"/>
      <c r="CW582" s="195"/>
      <c r="CX582" s="196"/>
      <c r="CY582" s="196"/>
      <c r="CZ582" s="197"/>
      <c r="DA582" s="196"/>
      <c r="DB582" s="196"/>
      <c r="DC582" s="196"/>
      <c r="DE582" s="199"/>
      <c r="DF582" s="200"/>
      <c r="DG582" s="181"/>
    </row>
    <row r="583" spans="1:111" ht="18" customHeight="1" collapsed="1" x14ac:dyDescent="0.25">
      <c r="A583" s="213">
        <f>MAX(A$239:A580)+1</f>
        <v>96</v>
      </c>
      <c r="B583" s="240" t="s">
        <v>515</v>
      </c>
      <c r="C583" s="240"/>
      <c r="D583" s="188">
        <f t="shared" ref="D583:I583" si="508">D584+D585</f>
        <v>3136</v>
      </c>
      <c r="E583" s="188">
        <f t="shared" si="508"/>
        <v>0</v>
      </c>
      <c r="F583" s="188">
        <f t="shared" si="508"/>
        <v>3136</v>
      </c>
      <c r="G583" s="188">
        <f t="shared" si="508"/>
        <v>3000</v>
      </c>
      <c r="H583" s="188">
        <f t="shared" si="508"/>
        <v>136</v>
      </c>
      <c r="I583" s="188">
        <f t="shared" si="508"/>
        <v>0</v>
      </c>
      <c r="J583" s="188"/>
      <c r="K583" s="188">
        <f>K584+K585</f>
        <v>0</v>
      </c>
      <c r="L583" s="188">
        <f>L584+L585</f>
        <v>0</v>
      </c>
      <c r="M583" s="188">
        <f>M584+M585</f>
        <v>0</v>
      </c>
      <c r="N583" s="188">
        <f>N584+N585</f>
        <v>0</v>
      </c>
      <c r="O583" s="188">
        <f>O584+O585</f>
        <v>3000</v>
      </c>
      <c r="P583" s="188">
        <v>0</v>
      </c>
      <c r="Q583" s="186">
        <f t="shared" si="470"/>
        <v>0</v>
      </c>
      <c r="R583" s="188">
        <v>0</v>
      </c>
      <c r="S583" s="185">
        <v>0</v>
      </c>
      <c r="T583" s="185">
        <v>0</v>
      </c>
      <c r="U583" s="188">
        <v>0</v>
      </c>
      <c r="V583" s="185">
        <v>0</v>
      </c>
      <c r="W583" s="185">
        <v>0</v>
      </c>
      <c r="X583" s="188">
        <v>0</v>
      </c>
      <c r="Y583" s="185">
        <v>0</v>
      </c>
      <c r="Z583" s="185">
        <v>0</v>
      </c>
      <c r="AA583" s="188">
        <v>0</v>
      </c>
      <c r="AB583" s="185">
        <v>0</v>
      </c>
      <c r="AC583" s="185">
        <v>0</v>
      </c>
      <c r="AD583" s="188">
        <v>0</v>
      </c>
      <c r="AE583" s="185">
        <v>0</v>
      </c>
      <c r="AF583" s="185">
        <v>0</v>
      </c>
      <c r="AG583" s="188">
        <v>0</v>
      </c>
      <c r="AH583" s="185">
        <v>0</v>
      </c>
      <c r="AI583" s="185">
        <v>0</v>
      </c>
      <c r="AJ583" s="303">
        <v>0</v>
      </c>
      <c r="AK583" s="185">
        <v>0</v>
      </c>
      <c r="AL583" s="185">
        <v>0</v>
      </c>
      <c r="AM583" s="188">
        <v>0</v>
      </c>
      <c r="AN583" s="185">
        <v>0</v>
      </c>
      <c r="AO583" s="185">
        <v>0</v>
      </c>
      <c r="AP583" s="185"/>
      <c r="AQ583" s="188">
        <v>685.24199999999996</v>
      </c>
      <c r="AR583" s="185">
        <v>0.21850829081632653</v>
      </c>
      <c r="AS583" s="185">
        <v>0.23000872717508056</v>
      </c>
      <c r="AT583" s="188">
        <v>685.24199999999996</v>
      </c>
      <c r="AU583" s="185">
        <v>0.21850829081632653</v>
      </c>
      <c r="AV583" s="185">
        <v>0.23000872717508056</v>
      </c>
      <c r="AW583" s="185"/>
      <c r="AX583" s="185"/>
      <c r="AY583" s="185"/>
      <c r="AZ583" s="185"/>
      <c r="BA583" s="185"/>
      <c r="BB583" s="185"/>
      <c r="BC583" s="188">
        <v>685.24199999999996</v>
      </c>
      <c r="BD583" s="185">
        <v>0.21850829081632653</v>
      </c>
      <c r="BE583" s="185">
        <v>0.23000872717508056</v>
      </c>
      <c r="BF583" s="352"/>
      <c r="BG583" s="352">
        <v>892.84799999999996</v>
      </c>
      <c r="BH583" s="185">
        <v>0.28470918367346937</v>
      </c>
      <c r="BI583" s="185">
        <v>0.29969387755102039</v>
      </c>
      <c r="BJ583" s="374">
        <f t="shared" si="463"/>
        <v>2979.2</v>
      </c>
      <c r="BK583" s="374">
        <v>1949.771</v>
      </c>
      <c r="BL583" s="185">
        <f t="shared" si="465"/>
        <v>0.62173820153061221</v>
      </c>
      <c r="BM583" s="185">
        <f t="shared" si="473"/>
        <v>0.65446126476906552</v>
      </c>
      <c r="BN583" s="205">
        <f t="shared" si="461"/>
        <v>1949.771</v>
      </c>
      <c r="BO583" s="205"/>
      <c r="BP583" s="189">
        <f>BP584+BP585</f>
        <v>0</v>
      </c>
      <c r="BQ583" s="186">
        <f t="shared" si="466"/>
        <v>0</v>
      </c>
      <c r="BR583" s="189">
        <f>BR584+BR585</f>
        <v>0</v>
      </c>
      <c r="BS583" s="186">
        <f t="shared" si="467"/>
        <v>0</v>
      </c>
      <c r="BT583" s="189">
        <f>BT584+BT585</f>
        <v>313.60000000000002</v>
      </c>
      <c r="BU583" s="186">
        <f t="shared" si="468"/>
        <v>0.1</v>
      </c>
      <c r="BV583" s="189">
        <f>BV584+BV585</f>
        <v>627.20000000000005</v>
      </c>
      <c r="BW583" s="186">
        <f t="shared" si="498"/>
        <v>0.2</v>
      </c>
      <c r="BX583" s="189">
        <f>BX584+BX585</f>
        <v>940.8</v>
      </c>
      <c r="BY583" s="186">
        <f t="shared" si="499"/>
        <v>0.3</v>
      </c>
      <c r="BZ583" s="189">
        <f>BZ584+BZ585</f>
        <v>1254.4000000000001</v>
      </c>
      <c r="CA583" s="186">
        <f t="shared" si="500"/>
        <v>0.4</v>
      </c>
      <c r="CB583" s="189">
        <f>CB584+CB585</f>
        <v>1568</v>
      </c>
      <c r="CC583" s="186">
        <f t="shared" si="479"/>
        <v>0.5</v>
      </c>
      <c r="CD583" s="189">
        <f>CD584+CD585</f>
        <v>1724.8000000000002</v>
      </c>
      <c r="CE583" s="186">
        <f t="shared" si="501"/>
        <v>0.55000000000000004</v>
      </c>
      <c r="CF583" s="189">
        <f>CF584+CF585</f>
        <v>2195.1999999999998</v>
      </c>
      <c r="CG583" s="186">
        <f t="shared" si="502"/>
        <v>0.7</v>
      </c>
      <c r="CH583" s="189">
        <f>CH584+CH585</f>
        <v>2195.1999999999998</v>
      </c>
      <c r="CI583" s="186">
        <f t="shared" si="503"/>
        <v>0.7</v>
      </c>
      <c r="CJ583" s="189">
        <f>CJ584+CJ585</f>
        <v>2352</v>
      </c>
      <c r="CK583" s="186">
        <f t="shared" si="504"/>
        <v>0.75</v>
      </c>
      <c r="CL583" s="189">
        <f>CL584+CL585</f>
        <v>2508.8000000000002</v>
      </c>
      <c r="CM583" s="186">
        <f t="shared" si="505"/>
        <v>0.8</v>
      </c>
      <c r="CN583" s="189">
        <f>CN584+CN585</f>
        <v>2979.2</v>
      </c>
      <c r="CO583" s="186">
        <f t="shared" si="506"/>
        <v>0.95</v>
      </c>
      <c r="CP583" s="213" t="str">
        <f t="shared" si="471"/>
        <v>Đạt</v>
      </c>
      <c r="CQ583" s="213" t="str">
        <f t="shared" si="472"/>
        <v>Đạt</v>
      </c>
      <c r="CR583" s="213"/>
      <c r="CS583" s="213"/>
      <c r="CT583" s="231"/>
      <c r="CU583" s="163"/>
      <c r="CW583" s="195"/>
      <c r="CX583" s="196"/>
      <c r="CY583" s="196"/>
      <c r="CZ583" s="197"/>
      <c r="DA583" s="196"/>
      <c r="DB583" s="196"/>
      <c r="DC583" s="196"/>
      <c r="DE583" s="199"/>
      <c r="DF583" s="200"/>
      <c r="DG583" s="181"/>
    </row>
    <row r="584" spans="1:111" s="324" customFormat="1" hidden="1" outlineLevel="1" x14ac:dyDescent="0.25">
      <c r="A584" s="305" t="s">
        <v>34</v>
      </c>
      <c r="B584" s="306" t="s">
        <v>376</v>
      </c>
      <c r="C584" s="306"/>
      <c r="D584" s="307">
        <f t="shared" si="495"/>
        <v>3000</v>
      </c>
      <c r="E584" s="307"/>
      <c r="F584" s="307">
        <f>G584+H584+K584+M584</f>
        <v>3000</v>
      </c>
      <c r="G584" s="303">
        <v>3000</v>
      </c>
      <c r="H584" s="303"/>
      <c r="I584" s="235"/>
      <c r="J584" s="235"/>
      <c r="K584" s="303"/>
      <c r="L584" s="235"/>
      <c r="M584" s="223"/>
      <c r="N584" s="223"/>
      <c r="O584" s="303">
        <f t="shared" si="490"/>
        <v>3000</v>
      </c>
      <c r="P584" s="303">
        <v>0</v>
      </c>
      <c r="Q584" s="308">
        <f t="shared" si="470"/>
        <v>0</v>
      </c>
      <c r="R584" s="303"/>
      <c r="S584" s="309">
        <v>0</v>
      </c>
      <c r="T584" s="309">
        <v>0</v>
      </c>
      <c r="U584" s="303"/>
      <c r="V584" s="309">
        <v>0</v>
      </c>
      <c r="W584" s="309">
        <v>0</v>
      </c>
      <c r="X584" s="303"/>
      <c r="Y584" s="309">
        <v>0</v>
      </c>
      <c r="Z584" s="309">
        <v>0</v>
      </c>
      <c r="AA584" s="303"/>
      <c r="AB584" s="309">
        <v>0</v>
      </c>
      <c r="AC584" s="309">
        <v>0</v>
      </c>
      <c r="AD584" s="303"/>
      <c r="AE584" s="309">
        <v>0</v>
      </c>
      <c r="AF584" s="309">
        <v>0</v>
      </c>
      <c r="AG584" s="303"/>
      <c r="AH584" s="309">
        <v>0</v>
      </c>
      <c r="AI584" s="309">
        <v>0</v>
      </c>
      <c r="AJ584" s="303"/>
      <c r="AK584" s="309">
        <v>0</v>
      </c>
      <c r="AL584" s="309">
        <v>0</v>
      </c>
      <c r="AM584" s="303"/>
      <c r="AN584" s="309">
        <v>0</v>
      </c>
      <c r="AO584" s="309">
        <v>0</v>
      </c>
      <c r="AP584" s="309"/>
      <c r="AQ584" s="303">
        <v>685.24199999999996</v>
      </c>
      <c r="AR584" s="309">
        <v>0.22841399999999998</v>
      </c>
      <c r="AS584" s="309">
        <v>0.24043578947368419</v>
      </c>
      <c r="AT584" s="303">
        <v>685.24199999999996</v>
      </c>
      <c r="AU584" s="309">
        <v>0.22841399999999998</v>
      </c>
      <c r="AV584" s="309">
        <v>0.24043578947368419</v>
      </c>
      <c r="AW584" s="309"/>
      <c r="AX584" s="309"/>
      <c r="AY584" s="309"/>
      <c r="AZ584" s="309"/>
      <c r="BA584" s="309"/>
      <c r="BB584" s="309"/>
      <c r="BC584" s="303">
        <v>685.24199999999996</v>
      </c>
      <c r="BD584" s="309">
        <v>0.22841399999999998</v>
      </c>
      <c r="BE584" s="309">
        <v>0.24043578947368419</v>
      </c>
      <c r="BF584" s="351"/>
      <c r="BG584" s="351">
        <v>892.84799999999996</v>
      </c>
      <c r="BH584" s="309">
        <v>0.29761599999999999</v>
      </c>
      <c r="BI584" s="309">
        <v>0.31328</v>
      </c>
      <c r="BJ584" s="349">
        <f t="shared" si="463"/>
        <v>2850</v>
      </c>
      <c r="BK584" s="349">
        <v>1949.771</v>
      </c>
      <c r="BL584" s="309">
        <f t="shared" si="465"/>
        <v>0.64992366666666668</v>
      </c>
      <c r="BM584" s="309">
        <f t="shared" si="473"/>
        <v>0.68413017543859644</v>
      </c>
      <c r="BN584" s="303">
        <f>BK584-R584</f>
        <v>1949.771</v>
      </c>
      <c r="BO584" s="303"/>
      <c r="BP584" s="310"/>
      <c r="BQ584" s="308">
        <f t="shared" si="466"/>
        <v>0</v>
      </c>
      <c r="BR584" s="310"/>
      <c r="BS584" s="308">
        <f t="shared" si="467"/>
        <v>0</v>
      </c>
      <c r="BT584" s="310">
        <f>3000*0.1</f>
        <v>300</v>
      </c>
      <c r="BU584" s="308">
        <f t="shared" si="468"/>
        <v>0.1</v>
      </c>
      <c r="BV584" s="310">
        <f>3000*0.2</f>
        <v>600</v>
      </c>
      <c r="BW584" s="308">
        <f t="shared" si="498"/>
        <v>0.2</v>
      </c>
      <c r="BX584" s="310">
        <f>3000*0.3</f>
        <v>900</v>
      </c>
      <c r="BY584" s="308">
        <f t="shared" si="499"/>
        <v>0.3</v>
      </c>
      <c r="BZ584" s="310">
        <f>$F584*0.4</f>
        <v>1200</v>
      </c>
      <c r="CA584" s="308">
        <f t="shared" si="500"/>
        <v>0.4</v>
      </c>
      <c r="CB584" s="310">
        <f>$F584*0.5</f>
        <v>1500</v>
      </c>
      <c r="CC584" s="308">
        <f t="shared" si="479"/>
        <v>0.5</v>
      </c>
      <c r="CD584" s="310">
        <f>$F584*0.55</f>
        <v>1650.0000000000002</v>
      </c>
      <c r="CE584" s="308">
        <f t="shared" si="501"/>
        <v>0.55000000000000004</v>
      </c>
      <c r="CF584" s="310">
        <v>2100</v>
      </c>
      <c r="CG584" s="308">
        <f t="shared" si="502"/>
        <v>0.7</v>
      </c>
      <c r="CH584" s="310">
        <f>$F584*0.7</f>
        <v>2100</v>
      </c>
      <c r="CI584" s="308">
        <f t="shared" si="503"/>
        <v>0.7</v>
      </c>
      <c r="CJ584" s="310">
        <f>$F584*0.75</f>
        <v>2250</v>
      </c>
      <c r="CK584" s="308">
        <f t="shared" si="504"/>
        <v>0.75</v>
      </c>
      <c r="CL584" s="310">
        <f>$F584*0.8</f>
        <v>2400</v>
      </c>
      <c r="CM584" s="308">
        <f t="shared" si="505"/>
        <v>0.8</v>
      </c>
      <c r="CN584" s="310">
        <f>$F584*0.95</f>
        <v>2850</v>
      </c>
      <c r="CO584" s="308">
        <f t="shared" si="506"/>
        <v>0.95</v>
      </c>
      <c r="CP584" s="213" t="str">
        <f t="shared" si="471"/>
        <v>Đạt</v>
      </c>
      <c r="CQ584" s="213" t="str">
        <f t="shared" si="472"/>
        <v>Đạt</v>
      </c>
      <c r="CR584" s="312"/>
      <c r="CS584" s="312"/>
      <c r="CT584" s="235"/>
      <c r="CU584" s="163"/>
      <c r="CV584" s="323"/>
      <c r="CW584" s="382"/>
      <c r="CX584" s="197"/>
      <c r="CY584" s="197"/>
      <c r="CZ584" s="197"/>
      <c r="DA584" s="197"/>
      <c r="DB584" s="197"/>
      <c r="DC584" s="197"/>
      <c r="DE584" s="199"/>
      <c r="DF584" s="200"/>
      <c r="DG584" s="181"/>
    </row>
    <row r="585" spans="1:111" ht="41.25" hidden="1" customHeight="1" outlineLevel="1" x14ac:dyDescent="0.25">
      <c r="A585" s="305" t="s">
        <v>34</v>
      </c>
      <c r="B585" s="306" t="s">
        <v>377</v>
      </c>
      <c r="C585" s="306"/>
      <c r="D585" s="307">
        <f>E585+F585</f>
        <v>136</v>
      </c>
      <c r="E585" s="307"/>
      <c r="F585" s="307">
        <f>G585+H585+K585+M585</f>
        <v>136</v>
      </c>
      <c r="G585" s="307"/>
      <c r="H585" s="307">
        <v>136</v>
      </c>
      <c r="I585" s="235"/>
      <c r="J585" s="235"/>
      <c r="K585" s="303"/>
      <c r="L585" s="235"/>
      <c r="M585" s="223"/>
      <c r="N585" s="223"/>
      <c r="O585" s="303"/>
      <c r="P585" s="303">
        <v>0</v>
      </c>
      <c r="Q585" s="308">
        <f t="shared" si="470"/>
        <v>0</v>
      </c>
      <c r="R585" s="303"/>
      <c r="S585" s="309">
        <v>0</v>
      </c>
      <c r="T585" s="309">
        <v>0</v>
      </c>
      <c r="U585" s="303"/>
      <c r="V585" s="309">
        <v>0</v>
      </c>
      <c r="W585" s="309">
        <v>0</v>
      </c>
      <c r="X585" s="303"/>
      <c r="Y585" s="309">
        <v>0</v>
      </c>
      <c r="Z585" s="309">
        <v>0</v>
      </c>
      <c r="AA585" s="303"/>
      <c r="AB585" s="309">
        <v>0</v>
      </c>
      <c r="AC585" s="309">
        <v>0</v>
      </c>
      <c r="AD585" s="303"/>
      <c r="AE585" s="309">
        <v>0</v>
      </c>
      <c r="AF585" s="309">
        <v>0</v>
      </c>
      <c r="AG585" s="303"/>
      <c r="AH585" s="309">
        <v>0</v>
      </c>
      <c r="AI585" s="309">
        <v>0</v>
      </c>
      <c r="AJ585" s="383"/>
      <c r="AK585" s="309">
        <v>0</v>
      </c>
      <c r="AL585" s="309">
        <v>0</v>
      </c>
      <c r="AM585" s="303"/>
      <c r="AN585" s="309">
        <v>0</v>
      </c>
      <c r="AO585" s="309">
        <v>0</v>
      </c>
      <c r="AP585" s="309"/>
      <c r="AQ585" s="303"/>
      <c r="AR585" s="309">
        <v>0</v>
      </c>
      <c r="AS585" s="309">
        <v>0</v>
      </c>
      <c r="AT585" s="303"/>
      <c r="AU585" s="309">
        <v>0</v>
      </c>
      <c r="AV585" s="309">
        <v>0</v>
      </c>
      <c r="AW585" s="309"/>
      <c r="AX585" s="309"/>
      <c r="AY585" s="309"/>
      <c r="AZ585" s="309"/>
      <c r="BA585" s="309"/>
      <c r="BB585" s="309"/>
      <c r="BC585" s="303"/>
      <c r="BD585" s="309">
        <v>0</v>
      </c>
      <c r="BE585" s="309">
        <v>0</v>
      </c>
      <c r="BF585" s="351"/>
      <c r="BG585" s="351">
        <v>0</v>
      </c>
      <c r="BH585" s="309">
        <v>0</v>
      </c>
      <c r="BI585" s="309">
        <v>0</v>
      </c>
      <c r="BJ585" s="349">
        <f t="shared" si="463"/>
        <v>129.19999999999999</v>
      </c>
      <c r="BK585" s="349">
        <v>0</v>
      </c>
      <c r="BL585" s="309">
        <f t="shared" si="465"/>
        <v>0</v>
      </c>
      <c r="BM585" s="309">
        <f t="shared" si="473"/>
        <v>0</v>
      </c>
      <c r="BN585" s="303">
        <f>BK585-R585</f>
        <v>0</v>
      </c>
      <c r="BO585" s="303"/>
      <c r="BP585" s="310"/>
      <c r="BQ585" s="308">
        <f t="shared" si="466"/>
        <v>0</v>
      </c>
      <c r="BR585" s="310"/>
      <c r="BS585" s="308">
        <f t="shared" si="467"/>
        <v>0</v>
      </c>
      <c r="BT585" s="310">
        <f>136*0.1</f>
        <v>13.600000000000001</v>
      </c>
      <c r="BU585" s="308">
        <f t="shared" si="468"/>
        <v>0.1</v>
      </c>
      <c r="BV585" s="310">
        <f>136*0.2</f>
        <v>27.200000000000003</v>
      </c>
      <c r="BW585" s="308">
        <f t="shared" si="498"/>
        <v>0.2</v>
      </c>
      <c r="BX585" s="310">
        <f>136*0.3</f>
        <v>40.799999999999997</v>
      </c>
      <c r="BY585" s="308">
        <f t="shared" si="499"/>
        <v>0.3</v>
      </c>
      <c r="BZ585" s="310">
        <f>$F585*0.4</f>
        <v>54.400000000000006</v>
      </c>
      <c r="CA585" s="308">
        <f t="shared" si="500"/>
        <v>0.4</v>
      </c>
      <c r="CB585" s="310">
        <f>$F585*0.5</f>
        <v>68</v>
      </c>
      <c r="CC585" s="308">
        <f t="shared" si="479"/>
        <v>0.5</v>
      </c>
      <c r="CD585" s="310">
        <f>$F585*0.55</f>
        <v>74.800000000000011</v>
      </c>
      <c r="CE585" s="308">
        <f t="shared" si="501"/>
        <v>0.55000000000000004</v>
      </c>
      <c r="CF585" s="310">
        <v>95.199999999999989</v>
      </c>
      <c r="CG585" s="308">
        <f t="shared" si="502"/>
        <v>0.7</v>
      </c>
      <c r="CH585" s="310">
        <f>$F585*0.7</f>
        <v>95.199999999999989</v>
      </c>
      <c r="CI585" s="308">
        <f t="shared" si="503"/>
        <v>0.7</v>
      </c>
      <c r="CJ585" s="310">
        <f>$F585*0.75</f>
        <v>102</v>
      </c>
      <c r="CK585" s="308">
        <f t="shared" si="504"/>
        <v>0.75</v>
      </c>
      <c r="CL585" s="310">
        <f>$F585*0.8</f>
        <v>108.80000000000001</v>
      </c>
      <c r="CM585" s="308">
        <f t="shared" si="505"/>
        <v>0.8</v>
      </c>
      <c r="CN585" s="310">
        <f>$F585*0.95</f>
        <v>129.19999999999999</v>
      </c>
      <c r="CO585" s="308">
        <f t="shared" si="506"/>
        <v>0.95</v>
      </c>
      <c r="CP585" s="213" t="str">
        <f t="shared" si="471"/>
        <v>Không đạt</v>
      </c>
      <c r="CQ585" s="213" t="str">
        <f t="shared" si="472"/>
        <v>Không đạt</v>
      </c>
      <c r="CR585" s="312"/>
      <c r="CS585" s="312"/>
      <c r="CT585" s="235"/>
      <c r="CU585" s="163"/>
      <c r="CW585" s="382"/>
      <c r="CX585" s="197"/>
      <c r="CY585" s="197"/>
      <c r="CZ585" s="197"/>
      <c r="DA585" s="197"/>
      <c r="DB585" s="197"/>
      <c r="DC585" s="197"/>
      <c r="DE585" s="199"/>
      <c r="DF585" s="200"/>
      <c r="DG585" s="181"/>
    </row>
    <row r="586" spans="1:111" ht="11.45" customHeight="1" collapsed="1" x14ac:dyDescent="0.25">
      <c r="A586" s="384"/>
      <c r="B586" s="385"/>
      <c r="C586" s="385"/>
      <c r="D586" s="383"/>
      <c r="E586" s="383"/>
      <c r="F586" s="383"/>
      <c r="G586" s="383"/>
      <c r="H586" s="383"/>
      <c r="I586" s="386"/>
      <c r="J586" s="386"/>
      <c r="K586" s="383"/>
      <c r="L586" s="386"/>
      <c r="M586" s="387"/>
      <c r="N586" s="387"/>
      <c r="O586" s="383"/>
      <c r="P586" s="383"/>
      <c r="Q586" s="388"/>
      <c r="R586" s="383"/>
      <c r="S586" s="389"/>
      <c r="T586" s="389"/>
      <c r="U586" s="383"/>
      <c r="V586" s="389"/>
      <c r="W586" s="389"/>
      <c r="X586" s="383"/>
      <c r="Y586" s="389"/>
      <c r="Z586" s="389"/>
      <c r="AA586" s="383"/>
      <c r="AB586" s="389"/>
      <c r="AC586" s="389"/>
      <c r="AD586" s="383"/>
      <c r="AE586" s="389"/>
      <c r="AF586" s="389"/>
      <c r="AG586" s="383"/>
      <c r="AH586" s="389"/>
      <c r="AI586" s="389"/>
      <c r="AJ586" s="179"/>
      <c r="AK586" s="389"/>
      <c r="AL586" s="389"/>
      <c r="AM586" s="383"/>
      <c r="AN586" s="389"/>
      <c r="AO586" s="389"/>
      <c r="AP586" s="389"/>
      <c r="AQ586" s="383"/>
      <c r="AR586" s="389"/>
      <c r="AS586" s="389"/>
      <c r="AT586" s="383"/>
      <c r="AU586" s="389"/>
      <c r="AV586" s="389"/>
      <c r="AW586" s="389"/>
      <c r="AX586" s="389"/>
      <c r="AY586" s="389"/>
      <c r="AZ586" s="389"/>
      <c r="BA586" s="389"/>
      <c r="BB586" s="389"/>
      <c r="BC586" s="383"/>
      <c r="BD586" s="389"/>
      <c r="BE586" s="389"/>
      <c r="BF586" s="383"/>
      <c r="BG586" s="383"/>
      <c r="BH586" s="389"/>
      <c r="BI586" s="389"/>
      <c r="BJ586" s="383">
        <f t="shared" si="463"/>
        <v>0</v>
      </c>
      <c r="BK586" s="383"/>
      <c r="BL586" s="389"/>
      <c r="BM586" s="389"/>
      <c r="BN586" s="383">
        <f>BK586-R586</f>
        <v>0</v>
      </c>
      <c r="BO586" s="383"/>
      <c r="BP586" s="390"/>
      <c r="BQ586" s="388"/>
      <c r="BR586" s="390"/>
      <c r="BS586" s="388"/>
      <c r="BT586" s="390"/>
      <c r="BU586" s="388"/>
      <c r="BV586" s="390"/>
      <c r="BW586" s="388"/>
      <c r="BX586" s="390"/>
      <c r="BY586" s="388"/>
      <c r="BZ586" s="390"/>
      <c r="CA586" s="388"/>
      <c r="CB586" s="390"/>
      <c r="CC586" s="388"/>
      <c r="CD586" s="390"/>
      <c r="CE586" s="388"/>
      <c r="CF586" s="390"/>
      <c r="CG586" s="388"/>
      <c r="CH586" s="390"/>
      <c r="CI586" s="388"/>
      <c r="CJ586" s="390"/>
      <c r="CK586" s="388"/>
      <c r="CL586" s="390"/>
      <c r="CM586" s="388"/>
      <c r="CN586" s="390"/>
      <c r="CO586" s="388"/>
      <c r="CP586" s="213"/>
      <c r="CQ586" s="213"/>
      <c r="CR586" s="384"/>
      <c r="CS586" s="384"/>
      <c r="CT586" s="387"/>
      <c r="CU586" s="163"/>
      <c r="CW586" s="382"/>
      <c r="CX586" s="197"/>
      <c r="CY586" s="197"/>
      <c r="CZ586" s="197"/>
      <c r="DA586" s="197"/>
      <c r="DB586" s="197"/>
      <c r="DC586" s="197"/>
      <c r="DE586" s="199"/>
      <c r="DF586" s="200"/>
      <c r="DG586" s="181"/>
    </row>
    <row r="587" spans="1:111" x14ac:dyDescent="0.25">
      <c r="A587" s="197"/>
      <c r="B587" s="217"/>
      <c r="C587" s="217"/>
      <c r="D587" s="219"/>
      <c r="E587" s="219"/>
      <c r="F587" s="219"/>
      <c r="G587" s="219"/>
      <c r="H587" s="219"/>
      <c r="I587" s="391"/>
      <c r="J587" s="391"/>
      <c r="K587" s="219"/>
      <c r="L587" s="391"/>
      <c r="M587" s="219"/>
      <c r="N587" s="391"/>
      <c r="O587" s="219"/>
      <c r="P587" s="219"/>
      <c r="Q587" s="219"/>
      <c r="R587" s="219"/>
      <c r="S587" s="219"/>
      <c r="T587" s="219"/>
      <c r="U587" s="219"/>
      <c r="V587" s="219"/>
      <c r="W587" s="219"/>
      <c r="X587" s="219"/>
      <c r="Y587" s="219"/>
      <c r="Z587" s="219"/>
      <c r="AA587" s="219"/>
      <c r="AB587" s="219"/>
      <c r="AC587" s="219"/>
      <c r="AD587" s="219"/>
      <c r="AE587" s="219"/>
      <c r="AF587" s="219"/>
      <c r="AG587" s="219"/>
      <c r="AH587" s="219"/>
      <c r="AI587" s="219"/>
      <c r="AJ587" s="219"/>
      <c r="AK587" s="219"/>
      <c r="AL587" s="219"/>
      <c r="AM587" s="219"/>
      <c r="AN587" s="219"/>
      <c r="AO587" s="219"/>
      <c r="AP587" s="219"/>
      <c r="AQ587" s="219"/>
      <c r="AR587" s="219"/>
      <c r="AS587" s="219"/>
      <c r="AT587" s="219"/>
      <c r="AU587" s="219"/>
      <c r="AV587" s="219"/>
      <c r="AW587" s="219"/>
      <c r="AX587" s="219"/>
      <c r="AY587" s="219"/>
      <c r="AZ587" s="219"/>
      <c r="BA587" s="219"/>
      <c r="BB587" s="219"/>
      <c r="BC587" s="219"/>
      <c r="BD587" s="219"/>
      <c r="BE587" s="219"/>
      <c r="BF587" s="219"/>
      <c r="BG587" s="219"/>
      <c r="BH587" s="219"/>
      <c r="BI587" s="219"/>
      <c r="BJ587" s="219"/>
      <c r="BK587" s="392"/>
      <c r="BL587" s="393"/>
      <c r="BM587" s="393"/>
      <c r="BN587" s="393"/>
      <c r="BO587" s="393"/>
      <c r="BP587" s="392"/>
      <c r="BQ587" s="394"/>
      <c r="BR587" s="395"/>
      <c r="BS587" s="395"/>
      <c r="BT587" s="395"/>
      <c r="BU587" s="395"/>
      <c r="BV587" s="395"/>
      <c r="BW587" s="395"/>
      <c r="BX587" s="395"/>
      <c r="BY587" s="395"/>
      <c r="BZ587" s="395"/>
      <c r="CA587" s="395"/>
      <c r="CB587" s="395"/>
      <c r="CC587" s="395"/>
      <c r="CD587" s="395"/>
      <c r="CE587" s="395"/>
      <c r="CF587" s="395"/>
      <c r="CG587" s="395"/>
      <c r="CH587" s="395"/>
      <c r="CI587" s="395"/>
      <c r="CJ587" s="395"/>
      <c r="CK587" s="395"/>
      <c r="CL587" s="395"/>
      <c r="CM587" s="395"/>
      <c r="CN587" s="395"/>
      <c r="CO587" s="395"/>
      <c r="CP587" s="197"/>
      <c r="CQ587" s="197"/>
      <c r="CR587" s="197"/>
      <c r="CS587" s="197"/>
      <c r="CT587" s="219"/>
      <c r="DG587" s="181" t="e">
        <f>VLOOKUP(C587,#REF!,10,1)/1000000</f>
        <v>#REF!</v>
      </c>
    </row>
  </sheetData>
  <autoFilter ref="A13:DG586" xr:uid="{00000000-0009-0000-0000-000003000000}"/>
  <mergeCells count="140">
    <mergeCell ref="A1:CT1"/>
    <mergeCell ref="A2:CT2"/>
    <mergeCell ref="A3:CT3"/>
    <mergeCell ref="A4:CT4"/>
    <mergeCell ref="A5:CT5"/>
    <mergeCell ref="A7:A13"/>
    <mergeCell ref="B7:B13"/>
    <mergeCell ref="C7:C13"/>
    <mergeCell ref="D7:N8"/>
    <mergeCell ref="O7:O13"/>
    <mergeCell ref="D9:D13"/>
    <mergeCell ref="E9:N9"/>
    <mergeCell ref="AI11:AI13"/>
    <mergeCell ref="AJ11:AJ13"/>
    <mergeCell ref="AK11:AK13"/>
    <mergeCell ref="AL11:AL13"/>
    <mergeCell ref="AA11:AA13"/>
    <mergeCell ref="AB11:AB13"/>
    <mergeCell ref="AC11:AC13"/>
    <mergeCell ref="AD11:AD13"/>
    <mergeCell ref="AE11:AE13"/>
    <mergeCell ref="AF11:AF13"/>
    <mergeCell ref="AT11:AT13"/>
    <mergeCell ref="AU11:AU13"/>
    <mergeCell ref="DA7:DC9"/>
    <mergeCell ref="DE7:DE13"/>
    <mergeCell ref="DF7:DF13"/>
    <mergeCell ref="BP8:BQ10"/>
    <mergeCell ref="BR8:BS10"/>
    <mergeCell ref="BX8:BY10"/>
    <mergeCell ref="BZ8:CA10"/>
    <mergeCell ref="CB8:CC10"/>
    <mergeCell ref="CD8:CE10"/>
    <mergeCell ref="CF8:CG10"/>
    <mergeCell ref="CS7:CS13"/>
    <mergeCell ref="CT7:CT13"/>
    <mergeCell ref="CV7:CV13"/>
    <mergeCell ref="CW7:CW13"/>
    <mergeCell ref="CX7:CX13"/>
    <mergeCell ref="CY7:CY13"/>
    <mergeCell ref="BP7:BS7"/>
    <mergeCell ref="BT7:BU10"/>
    <mergeCell ref="BV7:BW10"/>
    <mergeCell ref="CP7:CP13"/>
    <mergeCell ref="CQ7:CQ13"/>
    <mergeCell ref="CH8:CI10"/>
    <mergeCell ref="CJ8:CK10"/>
    <mergeCell ref="CL8:CM10"/>
    <mergeCell ref="CU9:CU13"/>
    <mergeCell ref="E10:E13"/>
    <mergeCell ref="F10:F13"/>
    <mergeCell ref="G10:N10"/>
    <mergeCell ref="S11:S13"/>
    <mergeCell ref="T11:T13"/>
    <mergeCell ref="U11:U13"/>
    <mergeCell ref="V11:V13"/>
    <mergeCell ref="BN7:BN13"/>
    <mergeCell ref="CN8:CO10"/>
    <mergeCell ref="AW7:AY10"/>
    <mergeCell ref="AZ7:BB10"/>
    <mergeCell ref="BC7:BE10"/>
    <mergeCell ref="BG7:BI10"/>
    <mergeCell ref="BJ7:BJ13"/>
    <mergeCell ref="BK7:BM10"/>
    <mergeCell ref="AZ11:AZ13"/>
    <mergeCell ref="BA11:BA13"/>
    <mergeCell ref="BB11:BB13"/>
    <mergeCell ref="BC11:BC13"/>
    <mergeCell ref="AD7:AF10"/>
    <mergeCell ref="AG7:AI10"/>
    <mergeCell ref="AG11:AG13"/>
    <mergeCell ref="AH11:AH13"/>
    <mergeCell ref="DA10:DB11"/>
    <mergeCell ref="DC10:DC13"/>
    <mergeCell ref="G11:G13"/>
    <mergeCell ref="H11:H13"/>
    <mergeCell ref="I11:I13"/>
    <mergeCell ref="K11:K13"/>
    <mergeCell ref="L11:L13"/>
    <mergeCell ref="M11:M13"/>
    <mergeCell ref="N11:N13"/>
    <mergeCell ref="R11:R13"/>
    <mergeCell ref="AJ7:AL10"/>
    <mergeCell ref="AM7:AO10"/>
    <mergeCell ref="AQ7:AS10"/>
    <mergeCell ref="AT7:AV10"/>
    <mergeCell ref="P7:P13"/>
    <mergeCell ref="Q7:Q13"/>
    <mergeCell ref="R7:T10"/>
    <mergeCell ref="U7:W10"/>
    <mergeCell ref="X7:Z10"/>
    <mergeCell ref="AA7:AC10"/>
    <mergeCell ref="W11:W13"/>
    <mergeCell ref="X11:X13"/>
    <mergeCell ref="Y11:Y13"/>
    <mergeCell ref="Z11:Z13"/>
    <mergeCell ref="AV11:AV13"/>
    <mergeCell ref="AW11:AW13"/>
    <mergeCell ref="AX11:AX13"/>
    <mergeCell ref="AY11:AY13"/>
    <mergeCell ref="AM11:AM13"/>
    <mergeCell ref="AN11:AN13"/>
    <mergeCell ref="AO11:AO13"/>
    <mergeCell ref="AQ11:AQ13"/>
    <mergeCell ref="AR11:AR13"/>
    <mergeCell ref="AS11:AS13"/>
    <mergeCell ref="BL11:BL13"/>
    <mergeCell ref="BM11:BM13"/>
    <mergeCell ref="BP11:BP13"/>
    <mergeCell ref="BQ11:BQ13"/>
    <mergeCell ref="BR11:BR13"/>
    <mergeCell ref="BS11:BS13"/>
    <mergeCell ref="BD11:BD13"/>
    <mergeCell ref="BE11:BE13"/>
    <mergeCell ref="BG11:BG13"/>
    <mergeCell ref="BH11:BH13"/>
    <mergeCell ref="BI11:BI13"/>
    <mergeCell ref="BK11:BK13"/>
    <mergeCell ref="BZ11:BZ13"/>
    <mergeCell ref="CA11:CA13"/>
    <mergeCell ref="CB11:CB13"/>
    <mergeCell ref="CC11:CC13"/>
    <mergeCell ref="CD11:CD13"/>
    <mergeCell ref="CE11:CE13"/>
    <mergeCell ref="BT11:BT13"/>
    <mergeCell ref="BU11:BU13"/>
    <mergeCell ref="BV11:BV13"/>
    <mergeCell ref="BW11:BW13"/>
    <mergeCell ref="BX11:BX13"/>
    <mergeCell ref="BY11:BY13"/>
    <mergeCell ref="CL11:CL13"/>
    <mergeCell ref="CM11:CM13"/>
    <mergeCell ref="CN11:CN13"/>
    <mergeCell ref="CO11:CO13"/>
    <mergeCell ref="CF11:CF13"/>
    <mergeCell ref="CG11:CG13"/>
    <mergeCell ref="CH11:CH13"/>
    <mergeCell ref="CI11:CI13"/>
    <mergeCell ref="CJ11:CJ13"/>
    <mergeCell ref="CK11:CK13"/>
  </mergeCells>
  <conditionalFormatting sqref="CW1:CW1048576">
    <cfRule type="containsText" dxfId="42" priority="12" operator="containsText" text="FALSE">
      <formula>NOT(ISERROR(SEARCH("FALSE",CW1)))</formula>
    </cfRule>
  </conditionalFormatting>
  <conditionalFormatting sqref="CX1:CX1048576 DA10">
    <cfRule type="containsText" dxfId="41" priority="11" operator="containsText" text="kiểm tra">
      <formula>NOT(ISERROR(SEARCH("kiểm tra",CX1)))</formula>
    </cfRule>
  </conditionalFormatting>
  <conditionalFormatting sqref="CY7:CZ13">
    <cfRule type="containsText" dxfId="40" priority="8" operator="containsText" text="0">
      <formula>NOT(ISERROR(SEARCH("0",CY7)))</formula>
    </cfRule>
    <cfRule type="containsText" dxfId="39" priority="9" operator="containsText" text="kiểm tra">
      <formula>NOT(ISERROR(SEARCH("kiểm tra",CY7)))</formula>
    </cfRule>
  </conditionalFormatting>
  <conditionalFormatting sqref="CY1:DC6 CY7:CZ13 DA10 CY14:DC1048576">
    <cfRule type="containsText" dxfId="38" priority="7" operator="containsText" text="trống">
      <formula>NOT(ISERROR(SEARCH("trống",CY1)))</formula>
    </cfRule>
  </conditionalFormatting>
  <conditionalFormatting sqref="DA10 CX1:CX1048576">
    <cfRule type="containsText" dxfId="37" priority="10" operator="containsText" text="0">
      <formula>NOT(ISERROR(SEARCH("0",CX1)))</formula>
    </cfRule>
  </conditionalFormatting>
  <conditionalFormatting sqref="DA13:DB13">
    <cfRule type="containsText" dxfId="36" priority="1" operator="containsText" text="trống">
      <formula>NOT(ISERROR(SEARCH("trống",DA13)))</formula>
    </cfRule>
    <cfRule type="containsText" dxfId="35" priority="2" operator="containsText" text="0">
      <formula>NOT(ISERROR(SEARCH("0",DA13)))</formula>
    </cfRule>
    <cfRule type="containsText" dxfId="34" priority="3" operator="containsText" text="kiểm tra">
      <formula>NOT(ISERROR(SEARCH("kiểm tra",DA13)))</formula>
    </cfRule>
  </conditionalFormatting>
  <conditionalFormatting sqref="DC10">
    <cfRule type="containsText" dxfId="33" priority="4" operator="containsText" text="trống">
      <formula>NOT(ISERROR(SEARCH("trống",DC10)))</formula>
    </cfRule>
    <cfRule type="containsText" dxfId="32" priority="5" operator="containsText" text="0">
      <formula>NOT(ISERROR(SEARCH("0",DC10)))</formula>
    </cfRule>
    <cfRule type="containsText" dxfId="31" priority="6" operator="containsText" text="kiểm tra">
      <formula>NOT(ISERROR(SEARCH("kiểm tra",DC10)))</formula>
    </cfRule>
  </conditionalFormatting>
  <pageMargins left="0.44" right="0.196850393700787" top="0.35" bottom="0.56000000000000005" header="0.31496062992126" footer="0.31496062992126"/>
  <pageSetup paperSize="9" scale="70" orientation="portrait" r:id="rId1"/>
  <headerFooter>
    <oddFooter>&amp;R&amp;P/&amp;N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R128"/>
  <sheetViews>
    <sheetView zoomScale="85" zoomScaleNormal="85" workbookViewId="0">
      <pane xSplit="3" ySplit="13" topLeftCell="CV14" activePane="bottomRight" state="frozen"/>
      <selection pane="topRight" activeCell="D1" sqref="D1"/>
      <selection pane="bottomLeft" activeCell="A14" sqref="A14"/>
      <selection pane="bottomRight" activeCell="DX16" sqref="DX16"/>
    </sheetView>
  </sheetViews>
  <sheetFormatPr defaultColWidth="9.140625" defaultRowHeight="15.75" outlineLevelCol="1" x14ac:dyDescent="0.25"/>
  <cols>
    <col min="1" max="1" width="4.28515625" style="143" customWidth="1"/>
    <col min="2" max="2" width="35.7109375" style="142" customWidth="1"/>
    <col min="3" max="3" width="10.140625" style="142" hidden="1" customWidth="1" outlineLevel="1"/>
    <col min="4" max="4" width="10.85546875" style="144" customWidth="1" collapsed="1"/>
    <col min="5" max="6" width="10.85546875" style="144" customWidth="1"/>
    <col min="7" max="7" width="11" style="144" customWidth="1"/>
    <col min="8" max="8" width="11.42578125" style="144" customWidth="1"/>
    <col min="9" max="9" width="10.5703125" style="396" hidden="1" customWidth="1" outlineLevel="1"/>
    <col min="10" max="10" width="9.5703125" style="396" hidden="1" customWidth="1" outlineLevel="1"/>
    <col min="11" max="11" width="9.28515625" style="144" customWidth="1" collapsed="1"/>
    <col min="12" max="12" width="7.7109375" style="396" hidden="1" customWidth="1" outlineLevel="1"/>
    <col min="13" max="13" width="9.42578125" style="144" hidden="1" customWidth="1" outlineLevel="1"/>
    <col min="14" max="14" width="8.85546875" style="396" hidden="1" customWidth="1" outlineLevel="1"/>
    <col min="15" max="15" width="10.7109375" style="144" hidden="1" customWidth="1" outlineLevel="1" collapsed="1"/>
    <col min="16" max="16" width="9.5703125" style="144" hidden="1" customWidth="1" collapsed="1"/>
    <col min="17" max="17" width="7.42578125" style="144" hidden="1" customWidth="1"/>
    <col min="18" max="18" width="11.28515625" style="144" hidden="1" customWidth="1"/>
    <col min="19" max="19" width="7.42578125" style="144" hidden="1" customWidth="1" outlineLevel="1"/>
    <col min="20" max="23" width="9.28515625" style="144" hidden="1" customWidth="1" outlineLevel="1"/>
    <col min="24" max="24" width="10.28515625" style="144" hidden="1" customWidth="1" outlineLevel="1"/>
    <col min="25" max="29" width="9.28515625" style="144" hidden="1" customWidth="1" outlineLevel="1"/>
    <col min="30" max="30" width="10.85546875" style="144" hidden="1" customWidth="1" outlineLevel="1"/>
    <col min="31" max="42" width="9.28515625" style="144" hidden="1" customWidth="1" outlineLevel="1"/>
    <col min="43" max="43" width="11.85546875" style="144" hidden="1" customWidth="1" outlineLevel="1"/>
    <col min="44" max="47" width="9.28515625" style="144" hidden="1" customWidth="1" outlineLevel="1"/>
    <col min="48" max="48" width="8.28515625" style="144" hidden="1" customWidth="1" outlineLevel="1"/>
    <col min="49" max="49" width="9.85546875" style="144" hidden="1" customWidth="1" outlineLevel="1"/>
    <col min="50" max="51" width="8.28515625" style="144" hidden="1" customWidth="1" outlineLevel="1"/>
    <col min="52" max="52" width="9.85546875" style="144" hidden="1" customWidth="1" outlineLevel="1"/>
    <col min="53" max="54" width="8.28515625" style="144" hidden="1" customWidth="1" outlineLevel="1"/>
    <col min="55" max="55" width="12.28515625" style="144" hidden="1" customWidth="1" outlineLevel="1"/>
    <col min="56" max="57" width="8.28515625" style="144" hidden="1" customWidth="1" outlineLevel="1"/>
    <col min="58" max="61" width="9.7109375" style="144" hidden="1" customWidth="1" outlineLevel="1"/>
    <col min="62" max="62" width="11.28515625" style="144" customWidth="1" outlineLevel="1"/>
    <col min="63" max="65" width="11.28515625" style="144" hidden="1" customWidth="1" outlineLevel="1"/>
    <col min="66" max="66" width="11.28515625" style="144" customWidth="1" outlineLevel="1"/>
    <col min="67" max="68" width="11.28515625" style="144" hidden="1" customWidth="1" outlineLevel="1"/>
    <col min="69" max="69" width="11.140625" style="397" customWidth="1"/>
    <col min="70" max="70" width="8.28515625" style="398" customWidth="1"/>
    <col min="71" max="71" width="10" style="398" customWidth="1"/>
    <col min="72" max="73" width="9.28515625" style="398" hidden="1" customWidth="1"/>
    <col min="74" max="74" width="9" style="397" hidden="1" customWidth="1"/>
    <col min="75" max="75" width="6.7109375" style="399" hidden="1" customWidth="1"/>
    <col min="76" max="76" width="10.28515625" style="400" hidden="1" customWidth="1"/>
    <col min="77" max="77" width="6.7109375" style="400" hidden="1" customWidth="1"/>
    <col min="78" max="78" width="9.140625" style="400" hidden="1" customWidth="1"/>
    <col min="79" max="79" width="8.140625" style="400" hidden="1" customWidth="1"/>
    <col min="80" max="80" width="11.42578125" style="400" hidden="1" customWidth="1"/>
    <col min="81" max="81" width="6.7109375" style="400" hidden="1" customWidth="1"/>
    <col min="82" max="82" width="11.7109375" style="400" hidden="1" customWidth="1"/>
    <col min="83" max="83" width="6.7109375" style="400" hidden="1" customWidth="1"/>
    <col min="84" max="84" width="11.7109375" style="400" hidden="1" customWidth="1"/>
    <col min="85" max="85" width="7.7109375" style="400" hidden="1" customWidth="1"/>
    <col min="86" max="86" width="11" style="400" hidden="1" customWidth="1"/>
    <col min="87" max="87" width="7.7109375" style="400" hidden="1" customWidth="1"/>
    <col min="88" max="88" width="11.140625" style="400" hidden="1" customWidth="1"/>
    <col min="89" max="89" width="7.7109375" style="400" hidden="1" customWidth="1"/>
    <col min="90" max="90" width="10.85546875" style="400" hidden="1" customWidth="1"/>
    <col min="91" max="91" width="7.7109375" style="400" hidden="1" customWidth="1"/>
    <col min="92" max="92" width="11" style="400" hidden="1" customWidth="1"/>
    <col min="93" max="93" width="7.7109375" style="400" hidden="1" customWidth="1"/>
    <col min="94" max="94" width="11" style="400" hidden="1" customWidth="1"/>
    <col min="95" max="95" width="8.7109375" style="400" hidden="1" customWidth="1"/>
    <col min="96" max="96" width="11" style="400" hidden="1" customWidth="1"/>
    <col min="97" max="97" width="8.7109375" style="400" hidden="1" customWidth="1"/>
    <col min="98" max="98" width="11" style="400" hidden="1" customWidth="1"/>
    <col min="99" max="99" width="7" style="400" hidden="1" customWidth="1"/>
    <col min="100" max="100" width="9.85546875" style="400" customWidth="1"/>
    <col min="101" max="103" width="13.140625" style="143" customWidth="1"/>
    <col min="104" max="104" width="13.140625" style="143" hidden="1" customWidth="1"/>
    <col min="105" max="105" width="10.42578125" style="144" hidden="1" customWidth="1"/>
    <col min="106" max="106" width="11.28515625" style="141" hidden="1" customWidth="1"/>
    <col min="107" max="107" width="25.28515625" style="142" hidden="1" customWidth="1"/>
    <col min="108" max="108" width="9.140625" style="143" hidden="1" customWidth="1"/>
    <col min="109" max="109" width="11" style="143" hidden="1" customWidth="1"/>
    <col min="110" max="115" width="9.140625" style="144" hidden="1" customWidth="1"/>
    <col min="116" max="116" width="10.5703125" style="144" hidden="1" customWidth="1"/>
    <col min="117" max="117" width="9.140625" style="144" hidden="1" customWidth="1"/>
    <col min="118" max="118" width="12.85546875" style="144" customWidth="1"/>
    <col min="119" max="119" width="11.7109375" style="144" customWidth="1"/>
    <col min="120" max="120" width="9.140625" style="144"/>
    <col min="121" max="121" width="12.7109375" style="144" bestFit="1" customWidth="1"/>
    <col min="122" max="122" width="10.28515625" style="144" bestFit="1" customWidth="1"/>
    <col min="123" max="16384" width="9.140625" style="144"/>
  </cols>
  <sheetData>
    <row r="1" spans="1:122" ht="18.75" hidden="1" x14ac:dyDescent="0.25">
      <c r="A1" s="457" t="s">
        <v>527</v>
      </c>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c r="AR1" s="457"/>
      <c r="AS1" s="457"/>
      <c r="AT1" s="457"/>
      <c r="AU1" s="457"/>
      <c r="AV1" s="457"/>
      <c r="AW1" s="457"/>
      <c r="AX1" s="457"/>
      <c r="AY1" s="457"/>
      <c r="AZ1" s="457"/>
      <c r="BA1" s="457"/>
      <c r="BB1" s="457"/>
      <c r="BC1" s="457"/>
      <c r="BD1" s="457"/>
      <c r="BE1" s="457"/>
      <c r="BF1" s="457"/>
      <c r="BG1" s="457"/>
      <c r="BH1" s="457"/>
      <c r="BI1" s="457"/>
      <c r="BJ1" s="457"/>
      <c r="BK1" s="457"/>
      <c r="BL1" s="457"/>
      <c r="BM1" s="457"/>
      <c r="BN1" s="457"/>
      <c r="BO1" s="457"/>
      <c r="BP1" s="457"/>
      <c r="BQ1" s="457"/>
      <c r="BR1" s="457"/>
      <c r="BS1" s="457"/>
      <c r="BT1" s="457"/>
      <c r="BU1" s="457"/>
      <c r="BV1" s="457"/>
      <c r="BW1" s="457"/>
      <c r="BX1" s="457"/>
      <c r="BY1" s="457"/>
      <c r="BZ1" s="457"/>
      <c r="CA1" s="457"/>
      <c r="CB1" s="457"/>
      <c r="CC1" s="457"/>
      <c r="CD1" s="457"/>
      <c r="CE1" s="457"/>
      <c r="CF1" s="457"/>
      <c r="CG1" s="457"/>
      <c r="CH1" s="457"/>
      <c r="CI1" s="457"/>
      <c r="CJ1" s="457"/>
      <c r="CK1" s="457"/>
      <c r="CL1" s="457"/>
      <c r="CM1" s="457"/>
      <c r="CN1" s="457"/>
      <c r="CO1" s="457"/>
      <c r="CP1" s="457"/>
      <c r="CQ1" s="457"/>
      <c r="CR1" s="457"/>
      <c r="CS1" s="457"/>
      <c r="CT1" s="457"/>
      <c r="CU1" s="457"/>
      <c r="CV1" s="457"/>
      <c r="CW1" s="457"/>
      <c r="CX1" s="457"/>
      <c r="CY1" s="457"/>
      <c r="CZ1" s="457"/>
      <c r="DA1" s="457"/>
    </row>
    <row r="2" spans="1:122" ht="20.25" hidden="1" x14ac:dyDescent="0.25">
      <c r="A2" s="458" t="s">
        <v>6</v>
      </c>
      <c r="B2" s="458"/>
      <c r="C2" s="458"/>
      <c r="D2" s="458"/>
      <c r="E2" s="458"/>
      <c r="F2" s="458"/>
      <c r="G2" s="458"/>
      <c r="H2" s="458"/>
      <c r="I2" s="458"/>
      <c r="J2" s="458"/>
      <c r="K2" s="458"/>
      <c r="L2" s="458"/>
      <c r="M2" s="458"/>
      <c r="N2" s="458"/>
      <c r="O2" s="458"/>
      <c r="P2" s="458"/>
      <c r="Q2" s="458"/>
      <c r="R2" s="458"/>
      <c r="S2" s="458"/>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c r="BQ2" s="458"/>
      <c r="BR2" s="458"/>
      <c r="BS2" s="458"/>
      <c r="BT2" s="458"/>
      <c r="BU2" s="458"/>
      <c r="BV2" s="458"/>
      <c r="BW2" s="458"/>
      <c r="BX2" s="458"/>
      <c r="BY2" s="458"/>
      <c r="BZ2" s="458"/>
      <c r="CA2" s="458"/>
      <c r="CB2" s="458"/>
      <c r="CC2" s="458"/>
      <c r="CD2" s="458"/>
      <c r="CE2" s="458"/>
      <c r="CF2" s="458"/>
      <c r="CG2" s="458"/>
      <c r="CH2" s="458"/>
      <c r="CI2" s="458"/>
      <c r="CJ2" s="458"/>
      <c r="CK2" s="458"/>
      <c r="CL2" s="458"/>
      <c r="CM2" s="458"/>
      <c r="CN2" s="458"/>
      <c r="CO2" s="458"/>
      <c r="CP2" s="458"/>
      <c r="CQ2" s="458"/>
      <c r="CR2" s="458"/>
      <c r="CS2" s="458"/>
      <c r="CT2" s="458"/>
      <c r="CU2" s="458"/>
      <c r="CV2" s="458"/>
      <c r="CW2" s="458"/>
      <c r="CX2" s="458"/>
      <c r="CY2" s="458"/>
      <c r="CZ2" s="458"/>
      <c r="DA2" s="458"/>
    </row>
    <row r="3" spans="1:122" ht="18.75" hidden="1" x14ac:dyDescent="0.25">
      <c r="A3" s="457" t="s">
        <v>83</v>
      </c>
      <c r="B3" s="457"/>
      <c r="C3" s="457"/>
      <c r="D3" s="457"/>
      <c r="E3" s="457"/>
      <c r="F3" s="457"/>
      <c r="G3" s="457"/>
      <c r="H3" s="457"/>
      <c r="I3" s="457"/>
      <c r="J3" s="457"/>
      <c r="K3" s="457"/>
      <c r="L3" s="457"/>
      <c r="M3" s="457"/>
      <c r="N3" s="457"/>
      <c r="O3" s="457"/>
      <c r="P3" s="457"/>
      <c r="Q3" s="457"/>
      <c r="R3" s="457"/>
      <c r="S3" s="457"/>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c r="BC3" s="457"/>
      <c r="BD3" s="457"/>
      <c r="BE3" s="457"/>
      <c r="BF3" s="457"/>
      <c r="BG3" s="457"/>
      <c r="BH3" s="457"/>
      <c r="BI3" s="457"/>
      <c r="BJ3" s="457"/>
      <c r="BK3" s="457"/>
      <c r="BL3" s="457"/>
      <c r="BM3" s="457"/>
      <c r="BN3" s="457"/>
      <c r="BO3" s="457"/>
      <c r="BP3" s="457"/>
      <c r="BQ3" s="457"/>
      <c r="BR3" s="457"/>
      <c r="BS3" s="457"/>
      <c r="BT3" s="457"/>
      <c r="BU3" s="457"/>
      <c r="BV3" s="457"/>
      <c r="BW3" s="457"/>
      <c r="BX3" s="457"/>
      <c r="BY3" s="457"/>
      <c r="BZ3" s="457"/>
      <c r="CA3" s="457"/>
      <c r="CB3" s="457"/>
      <c r="CC3" s="457"/>
      <c r="CD3" s="457"/>
      <c r="CE3" s="457"/>
      <c r="CF3" s="457"/>
      <c r="CG3" s="457"/>
      <c r="CH3" s="457"/>
      <c r="CI3" s="457"/>
      <c r="CJ3" s="457"/>
      <c r="CK3" s="457"/>
      <c r="CL3" s="457"/>
      <c r="CM3" s="457"/>
      <c r="CN3" s="457"/>
      <c r="CO3" s="457"/>
      <c r="CP3" s="457"/>
      <c r="CQ3" s="457"/>
      <c r="CR3" s="457"/>
      <c r="CS3" s="457"/>
      <c r="CT3" s="457"/>
      <c r="CU3" s="457"/>
      <c r="CV3" s="457"/>
      <c r="CW3" s="457"/>
      <c r="CX3" s="457"/>
      <c r="CY3" s="457"/>
      <c r="CZ3" s="457"/>
      <c r="DA3" s="457"/>
      <c r="DJ3" s="144">
        <f>96+14</f>
        <v>110</v>
      </c>
    </row>
    <row r="4" spans="1:122" ht="18.75" hidden="1" x14ac:dyDescent="0.25">
      <c r="A4" s="459" t="s">
        <v>528</v>
      </c>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59"/>
      <c r="CM4" s="459"/>
      <c r="CN4" s="459"/>
      <c r="CO4" s="459"/>
      <c r="CP4" s="459"/>
      <c r="CQ4" s="459"/>
      <c r="CR4" s="459"/>
      <c r="CS4" s="459"/>
      <c r="CT4" s="459"/>
      <c r="CU4" s="459"/>
      <c r="CV4" s="459"/>
      <c r="CW4" s="459"/>
      <c r="CX4" s="459"/>
      <c r="CY4" s="459"/>
      <c r="CZ4" s="459"/>
      <c r="DA4" s="459"/>
      <c r="DH4" s="144">
        <v>33</v>
      </c>
      <c r="DI4" s="144">
        <v>38</v>
      </c>
    </row>
    <row r="5" spans="1:122" ht="13.15" hidden="1" customHeight="1" x14ac:dyDescent="0.25">
      <c r="A5" s="460" t="s">
        <v>84</v>
      </c>
      <c r="B5" s="460"/>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c r="CU5" s="460"/>
      <c r="CV5" s="460"/>
      <c r="CW5" s="460"/>
      <c r="CX5" s="460"/>
      <c r="CY5" s="460"/>
      <c r="CZ5" s="460"/>
      <c r="DA5" s="460"/>
    </row>
    <row r="6" spans="1:122" ht="9.6" hidden="1" customHeight="1" x14ac:dyDescent="0.25">
      <c r="A6" s="145"/>
      <c r="B6" s="146"/>
      <c r="C6" s="146"/>
      <c r="D6" s="145"/>
      <c r="E6" s="145"/>
      <c r="F6" s="147"/>
      <c r="G6" s="148"/>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9"/>
      <c r="BR6" s="150"/>
      <c r="BS6" s="150"/>
      <c r="BT6" s="150"/>
      <c r="BU6" s="150"/>
      <c r="BV6" s="149"/>
      <c r="BW6" s="151"/>
      <c r="BX6" s="145"/>
      <c r="BY6" s="145"/>
      <c r="BZ6" s="145"/>
      <c r="CA6" s="145"/>
      <c r="CB6" s="145"/>
      <c r="CC6" s="145"/>
      <c r="CD6" s="145"/>
      <c r="CE6" s="145"/>
      <c r="CF6" s="145"/>
      <c r="CG6" s="145"/>
      <c r="CH6" s="145"/>
      <c r="CI6" s="145"/>
      <c r="CJ6" s="145"/>
      <c r="CK6" s="145"/>
      <c r="CL6" s="145"/>
      <c r="CM6" s="145"/>
      <c r="CN6" s="145"/>
      <c r="CO6" s="145"/>
      <c r="CP6" s="145"/>
      <c r="CQ6" s="145"/>
      <c r="CR6" s="145"/>
      <c r="CS6" s="145"/>
      <c r="CT6" s="145"/>
      <c r="CU6" s="145"/>
      <c r="CV6" s="145"/>
      <c r="CW6" s="152"/>
      <c r="CX6" s="152"/>
      <c r="CY6" s="152"/>
      <c r="CZ6" s="152"/>
      <c r="DA6" s="145"/>
    </row>
    <row r="7" spans="1:122" s="160" customFormat="1" ht="20.25" customHeight="1" x14ac:dyDescent="0.25">
      <c r="A7" s="461" t="s">
        <v>85</v>
      </c>
      <c r="B7" s="461" t="s">
        <v>86</v>
      </c>
      <c r="C7" s="462" t="s">
        <v>87</v>
      </c>
      <c r="D7" s="461" t="s">
        <v>88</v>
      </c>
      <c r="E7" s="461"/>
      <c r="F7" s="461"/>
      <c r="G7" s="461"/>
      <c r="H7" s="461"/>
      <c r="I7" s="461"/>
      <c r="J7" s="461"/>
      <c r="K7" s="461"/>
      <c r="L7" s="461"/>
      <c r="M7" s="461"/>
      <c r="N7" s="461"/>
      <c r="O7" s="462" t="s">
        <v>89</v>
      </c>
      <c r="P7" s="465" t="s">
        <v>90</v>
      </c>
      <c r="Q7" s="468" t="s">
        <v>91</v>
      </c>
      <c r="R7" s="461" t="s">
        <v>92</v>
      </c>
      <c r="S7" s="461"/>
      <c r="T7" s="461"/>
      <c r="U7" s="471" t="s">
        <v>93</v>
      </c>
      <c r="V7" s="471"/>
      <c r="W7" s="471"/>
      <c r="X7" s="471" t="s">
        <v>94</v>
      </c>
      <c r="Y7" s="471"/>
      <c r="Z7" s="471"/>
      <c r="AA7" s="471" t="s">
        <v>95</v>
      </c>
      <c r="AB7" s="471"/>
      <c r="AC7" s="471"/>
      <c r="AD7" s="471" t="s">
        <v>96</v>
      </c>
      <c r="AE7" s="471"/>
      <c r="AF7" s="471"/>
      <c r="AG7" s="471" t="s">
        <v>97</v>
      </c>
      <c r="AH7" s="471"/>
      <c r="AI7" s="471"/>
      <c r="AJ7" s="471" t="s">
        <v>98</v>
      </c>
      <c r="AK7" s="471"/>
      <c r="AL7" s="471"/>
      <c r="AM7" s="471" t="s">
        <v>99</v>
      </c>
      <c r="AN7" s="471"/>
      <c r="AO7" s="471"/>
      <c r="AP7" s="153"/>
      <c r="AQ7" s="461" t="s">
        <v>100</v>
      </c>
      <c r="AR7" s="461"/>
      <c r="AS7" s="461"/>
      <c r="AT7" s="461" t="s">
        <v>101</v>
      </c>
      <c r="AU7" s="461"/>
      <c r="AV7" s="461"/>
      <c r="AW7" s="461" t="s">
        <v>102</v>
      </c>
      <c r="AX7" s="461"/>
      <c r="AY7" s="461"/>
      <c r="AZ7" s="461" t="s">
        <v>103</v>
      </c>
      <c r="BA7" s="461"/>
      <c r="BB7" s="461"/>
      <c r="BC7" s="484" t="s">
        <v>104</v>
      </c>
      <c r="BD7" s="485"/>
      <c r="BE7" s="486"/>
      <c r="BF7" s="154"/>
      <c r="BG7" s="465" t="s">
        <v>105</v>
      </c>
      <c r="BH7" s="474"/>
      <c r="BI7" s="468"/>
      <c r="BJ7" s="462" t="s">
        <v>516</v>
      </c>
      <c r="BK7" s="465" t="s">
        <v>521</v>
      </c>
      <c r="BL7" s="474"/>
      <c r="BM7" s="468"/>
      <c r="BN7" s="465" t="s">
        <v>529</v>
      </c>
      <c r="BO7" s="474"/>
      <c r="BP7" s="468"/>
      <c r="BQ7" s="465" t="s">
        <v>531</v>
      </c>
      <c r="BR7" s="474"/>
      <c r="BS7" s="468"/>
      <c r="BT7" s="462" t="s">
        <v>107</v>
      </c>
      <c r="BU7" s="155"/>
      <c r="BV7" s="480" t="s">
        <v>108</v>
      </c>
      <c r="BW7" s="481"/>
      <c r="BX7" s="481"/>
      <c r="BY7" s="482"/>
      <c r="BZ7" s="465" t="s">
        <v>109</v>
      </c>
      <c r="CA7" s="468"/>
      <c r="CB7" s="465" t="s">
        <v>110</v>
      </c>
      <c r="CC7" s="468"/>
      <c r="CD7" s="156"/>
      <c r="CE7" s="156"/>
      <c r="CF7" s="156"/>
      <c r="CG7" s="156"/>
      <c r="CH7" s="156"/>
      <c r="CI7" s="156"/>
      <c r="CJ7" s="156"/>
      <c r="CK7" s="156"/>
      <c r="CL7" s="156"/>
      <c r="CM7" s="156"/>
      <c r="CN7" s="156"/>
      <c r="CO7" s="156"/>
      <c r="CP7" s="156"/>
      <c r="CQ7" s="156"/>
      <c r="CR7" s="156"/>
      <c r="CS7" s="156"/>
      <c r="CT7" s="156"/>
      <c r="CU7" s="157"/>
      <c r="CV7" s="462" t="s">
        <v>532</v>
      </c>
      <c r="CW7" s="462" t="s">
        <v>536</v>
      </c>
      <c r="CX7" s="462" t="s">
        <v>530</v>
      </c>
      <c r="CY7" s="405"/>
      <c r="CZ7" s="462" t="s">
        <v>111</v>
      </c>
      <c r="DA7" s="461" t="s">
        <v>17</v>
      </c>
      <c r="DB7" s="158"/>
      <c r="DC7" s="478" t="s">
        <v>112</v>
      </c>
      <c r="DD7" s="461" t="s">
        <v>113</v>
      </c>
      <c r="DE7" s="461" t="s">
        <v>114</v>
      </c>
      <c r="DF7" s="461" t="s">
        <v>115</v>
      </c>
      <c r="DG7" s="159"/>
      <c r="DH7" s="479" t="s">
        <v>116</v>
      </c>
      <c r="DI7" s="479"/>
      <c r="DJ7" s="479"/>
      <c r="DL7" s="477" t="s">
        <v>117</v>
      </c>
      <c r="DM7" s="477" t="s">
        <v>118</v>
      </c>
    </row>
    <row r="8" spans="1:122" s="165" customFormat="1" ht="11.45" customHeight="1" x14ac:dyDescent="0.25">
      <c r="A8" s="461"/>
      <c r="B8" s="461"/>
      <c r="C8" s="463"/>
      <c r="D8" s="461"/>
      <c r="E8" s="461"/>
      <c r="F8" s="461"/>
      <c r="G8" s="461"/>
      <c r="H8" s="461"/>
      <c r="I8" s="461"/>
      <c r="J8" s="461"/>
      <c r="K8" s="461"/>
      <c r="L8" s="461"/>
      <c r="M8" s="461"/>
      <c r="N8" s="461"/>
      <c r="O8" s="463"/>
      <c r="P8" s="466"/>
      <c r="Q8" s="469"/>
      <c r="R8" s="461"/>
      <c r="S8" s="461"/>
      <c r="T8" s="461"/>
      <c r="U8" s="471"/>
      <c r="V8" s="471"/>
      <c r="W8" s="471"/>
      <c r="X8" s="471"/>
      <c r="Y8" s="471"/>
      <c r="Z8" s="471"/>
      <c r="AA8" s="471"/>
      <c r="AB8" s="471"/>
      <c r="AC8" s="471"/>
      <c r="AD8" s="471"/>
      <c r="AE8" s="471"/>
      <c r="AF8" s="471"/>
      <c r="AG8" s="471"/>
      <c r="AH8" s="471"/>
      <c r="AI8" s="471"/>
      <c r="AJ8" s="471"/>
      <c r="AK8" s="471"/>
      <c r="AL8" s="471"/>
      <c r="AM8" s="471"/>
      <c r="AN8" s="471"/>
      <c r="AO8" s="471"/>
      <c r="AP8" s="153"/>
      <c r="AQ8" s="461"/>
      <c r="AR8" s="461"/>
      <c r="AS8" s="461"/>
      <c r="AT8" s="461"/>
      <c r="AU8" s="461"/>
      <c r="AV8" s="461"/>
      <c r="AW8" s="461"/>
      <c r="AX8" s="461"/>
      <c r="AY8" s="461"/>
      <c r="AZ8" s="461"/>
      <c r="BA8" s="461"/>
      <c r="BB8" s="461"/>
      <c r="BC8" s="487"/>
      <c r="BD8" s="488"/>
      <c r="BE8" s="489"/>
      <c r="BF8" s="161"/>
      <c r="BG8" s="466"/>
      <c r="BH8" s="475"/>
      <c r="BI8" s="469"/>
      <c r="BJ8" s="463"/>
      <c r="BK8" s="466"/>
      <c r="BL8" s="475"/>
      <c r="BM8" s="469"/>
      <c r="BN8" s="466"/>
      <c r="BO8" s="475"/>
      <c r="BP8" s="469"/>
      <c r="BQ8" s="466"/>
      <c r="BR8" s="475"/>
      <c r="BS8" s="469"/>
      <c r="BT8" s="463"/>
      <c r="BU8" s="162"/>
      <c r="BV8" s="461" t="s">
        <v>119</v>
      </c>
      <c r="BW8" s="461"/>
      <c r="BX8" s="461" t="s">
        <v>120</v>
      </c>
      <c r="BY8" s="461"/>
      <c r="BZ8" s="466"/>
      <c r="CA8" s="469"/>
      <c r="CB8" s="466"/>
      <c r="CC8" s="469"/>
      <c r="CD8" s="461" t="s">
        <v>121</v>
      </c>
      <c r="CE8" s="461"/>
      <c r="CF8" s="461" t="s">
        <v>122</v>
      </c>
      <c r="CG8" s="461"/>
      <c r="CH8" s="461" t="s">
        <v>123</v>
      </c>
      <c r="CI8" s="461"/>
      <c r="CJ8" s="461" t="s">
        <v>124</v>
      </c>
      <c r="CK8" s="461"/>
      <c r="CL8" s="461" t="s">
        <v>125</v>
      </c>
      <c r="CM8" s="461"/>
      <c r="CN8" s="461" t="s">
        <v>126</v>
      </c>
      <c r="CO8" s="461"/>
      <c r="CP8" s="461" t="s">
        <v>127</v>
      </c>
      <c r="CQ8" s="461"/>
      <c r="CR8" s="461" t="s">
        <v>128</v>
      </c>
      <c r="CS8" s="461"/>
      <c r="CT8" s="461" t="s">
        <v>129</v>
      </c>
      <c r="CU8" s="461"/>
      <c r="CV8" s="463"/>
      <c r="CW8" s="463"/>
      <c r="CX8" s="463"/>
      <c r="CY8" s="162"/>
      <c r="CZ8" s="463"/>
      <c r="DA8" s="461"/>
      <c r="DB8" s="163"/>
      <c r="DC8" s="478"/>
      <c r="DD8" s="461"/>
      <c r="DE8" s="461"/>
      <c r="DF8" s="461"/>
      <c r="DG8" s="159"/>
      <c r="DH8" s="479"/>
      <c r="DI8" s="479"/>
      <c r="DJ8" s="479"/>
      <c r="DK8" s="164"/>
      <c r="DL8" s="477"/>
      <c r="DM8" s="477"/>
    </row>
    <row r="9" spans="1:122" s="165" customFormat="1" ht="23.45" customHeight="1" x14ac:dyDescent="0.25">
      <c r="A9" s="461"/>
      <c r="B9" s="461"/>
      <c r="C9" s="463"/>
      <c r="D9" s="461" t="s">
        <v>130</v>
      </c>
      <c r="E9" s="461" t="s">
        <v>131</v>
      </c>
      <c r="F9" s="461"/>
      <c r="G9" s="461"/>
      <c r="H9" s="461"/>
      <c r="I9" s="461"/>
      <c r="J9" s="461"/>
      <c r="K9" s="461"/>
      <c r="L9" s="461"/>
      <c r="M9" s="461"/>
      <c r="N9" s="461"/>
      <c r="O9" s="463"/>
      <c r="P9" s="466"/>
      <c r="Q9" s="469"/>
      <c r="R9" s="461"/>
      <c r="S9" s="461"/>
      <c r="T9" s="461"/>
      <c r="U9" s="471"/>
      <c r="V9" s="471"/>
      <c r="W9" s="471"/>
      <c r="X9" s="471"/>
      <c r="Y9" s="471"/>
      <c r="Z9" s="471"/>
      <c r="AA9" s="471"/>
      <c r="AB9" s="471"/>
      <c r="AC9" s="471"/>
      <c r="AD9" s="471"/>
      <c r="AE9" s="471"/>
      <c r="AF9" s="471"/>
      <c r="AG9" s="471"/>
      <c r="AH9" s="471"/>
      <c r="AI9" s="471"/>
      <c r="AJ9" s="471"/>
      <c r="AK9" s="471"/>
      <c r="AL9" s="471"/>
      <c r="AM9" s="471"/>
      <c r="AN9" s="471"/>
      <c r="AO9" s="471"/>
      <c r="AP9" s="153"/>
      <c r="AQ9" s="461"/>
      <c r="AR9" s="461"/>
      <c r="AS9" s="461"/>
      <c r="AT9" s="461"/>
      <c r="AU9" s="461"/>
      <c r="AV9" s="461"/>
      <c r="AW9" s="461"/>
      <c r="AX9" s="461"/>
      <c r="AY9" s="461"/>
      <c r="AZ9" s="461"/>
      <c r="BA9" s="461"/>
      <c r="BB9" s="461"/>
      <c r="BC9" s="487"/>
      <c r="BD9" s="488"/>
      <c r="BE9" s="489"/>
      <c r="BF9" s="161"/>
      <c r="BG9" s="466"/>
      <c r="BH9" s="475"/>
      <c r="BI9" s="469"/>
      <c r="BJ9" s="463"/>
      <c r="BK9" s="466"/>
      <c r="BL9" s="475"/>
      <c r="BM9" s="469"/>
      <c r="BN9" s="466"/>
      <c r="BO9" s="475"/>
      <c r="BP9" s="469"/>
      <c r="BQ9" s="466"/>
      <c r="BR9" s="475"/>
      <c r="BS9" s="469"/>
      <c r="BT9" s="463"/>
      <c r="BU9" s="162"/>
      <c r="BV9" s="461"/>
      <c r="BW9" s="461"/>
      <c r="BX9" s="461"/>
      <c r="BY9" s="461"/>
      <c r="BZ9" s="466"/>
      <c r="CA9" s="469"/>
      <c r="CB9" s="466"/>
      <c r="CC9" s="469"/>
      <c r="CD9" s="461"/>
      <c r="CE9" s="461"/>
      <c r="CF9" s="461"/>
      <c r="CG9" s="461"/>
      <c r="CH9" s="461"/>
      <c r="CI9" s="461"/>
      <c r="CJ9" s="461"/>
      <c r="CK9" s="461"/>
      <c r="CL9" s="461"/>
      <c r="CM9" s="461"/>
      <c r="CN9" s="461"/>
      <c r="CO9" s="461"/>
      <c r="CP9" s="461"/>
      <c r="CQ9" s="461"/>
      <c r="CR9" s="461"/>
      <c r="CS9" s="461"/>
      <c r="CT9" s="461"/>
      <c r="CU9" s="461"/>
      <c r="CV9" s="463"/>
      <c r="CW9" s="463"/>
      <c r="CX9" s="463"/>
      <c r="CY9" s="162"/>
      <c r="CZ9" s="463"/>
      <c r="DA9" s="461"/>
      <c r="DB9" s="483" t="s">
        <v>132</v>
      </c>
      <c r="DC9" s="478"/>
      <c r="DD9" s="461"/>
      <c r="DE9" s="461"/>
      <c r="DF9" s="461"/>
      <c r="DG9" s="159"/>
      <c r="DH9" s="479"/>
      <c r="DI9" s="479"/>
      <c r="DJ9" s="479"/>
      <c r="DK9" s="166"/>
      <c r="DL9" s="477"/>
      <c r="DM9" s="477"/>
    </row>
    <row r="10" spans="1:122" s="165" customFormat="1" ht="22.9" customHeight="1" x14ac:dyDescent="0.25">
      <c r="A10" s="461"/>
      <c r="B10" s="461"/>
      <c r="C10" s="463"/>
      <c r="D10" s="461"/>
      <c r="E10" s="461" t="s">
        <v>133</v>
      </c>
      <c r="F10" s="461" t="s">
        <v>134</v>
      </c>
      <c r="G10" s="461" t="s">
        <v>135</v>
      </c>
      <c r="H10" s="461"/>
      <c r="I10" s="461"/>
      <c r="J10" s="461"/>
      <c r="K10" s="461"/>
      <c r="L10" s="461"/>
      <c r="M10" s="461"/>
      <c r="N10" s="461"/>
      <c r="O10" s="463"/>
      <c r="P10" s="466"/>
      <c r="Q10" s="469"/>
      <c r="R10" s="461"/>
      <c r="S10" s="461"/>
      <c r="T10" s="461"/>
      <c r="U10" s="471"/>
      <c r="V10" s="471"/>
      <c r="W10" s="471"/>
      <c r="X10" s="471"/>
      <c r="Y10" s="471"/>
      <c r="Z10" s="471"/>
      <c r="AA10" s="471"/>
      <c r="AB10" s="471"/>
      <c r="AC10" s="471"/>
      <c r="AD10" s="471"/>
      <c r="AE10" s="471"/>
      <c r="AF10" s="471"/>
      <c r="AG10" s="471"/>
      <c r="AH10" s="471"/>
      <c r="AI10" s="471"/>
      <c r="AJ10" s="471"/>
      <c r="AK10" s="471"/>
      <c r="AL10" s="471"/>
      <c r="AM10" s="471"/>
      <c r="AN10" s="471"/>
      <c r="AO10" s="471"/>
      <c r="AP10" s="153"/>
      <c r="AQ10" s="461"/>
      <c r="AR10" s="461"/>
      <c r="AS10" s="461"/>
      <c r="AT10" s="461"/>
      <c r="AU10" s="461"/>
      <c r="AV10" s="461"/>
      <c r="AW10" s="461"/>
      <c r="AX10" s="461"/>
      <c r="AY10" s="461"/>
      <c r="AZ10" s="461"/>
      <c r="BA10" s="461"/>
      <c r="BB10" s="461"/>
      <c r="BC10" s="490"/>
      <c r="BD10" s="491"/>
      <c r="BE10" s="492"/>
      <c r="BF10" s="167"/>
      <c r="BG10" s="467"/>
      <c r="BH10" s="476"/>
      <c r="BI10" s="470"/>
      <c r="BJ10" s="463"/>
      <c r="BK10" s="466"/>
      <c r="BL10" s="475"/>
      <c r="BM10" s="469"/>
      <c r="BN10" s="466"/>
      <c r="BO10" s="475"/>
      <c r="BP10" s="469"/>
      <c r="BQ10" s="467"/>
      <c r="BR10" s="476"/>
      <c r="BS10" s="470"/>
      <c r="BT10" s="463"/>
      <c r="BU10" s="162"/>
      <c r="BV10" s="461"/>
      <c r="BW10" s="461"/>
      <c r="BX10" s="461"/>
      <c r="BY10" s="461"/>
      <c r="BZ10" s="467"/>
      <c r="CA10" s="470"/>
      <c r="CB10" s="467"/>
      <c r="CC10" s="470"/>
      <c r="CD10" s="461"/>
      <c r="CE10" s="461"/>
      <c r="CF10" s="461"/>
      <c r="CG10" s="461"/>
      <c r="CH10" s="461"/>
      <c r="CI10" s="461"/>
      <c r="CJ10" s="461"/>
      <c r="CK10" s="461"/>
      <c r="CL10" s="461"/>
      <c r="CM10" s="461"/>
      <c r="CN10" s="461"/>
      <c r="CO10" s="461"/>
      <c r="CP10" s="461"/>
      <c r="CQ10" s="461"/>
      <c r="CR10" s="461"/>
      <c r="CS10" s="461"/>
      <c r="CT10" s="461"/>
      <c r="CU10" s="461"/>
      <c r="CV10" s="463"/>
      <c r="CW10" s="463"/>
      <c r="CX10" s="463"/>
      <c r="CY10" s="162"/>
      <c r="CZ10" s="463"/>
      <c r="DA10" s="461"/>
      <c r="DB10" s="483"/>
      <c r="DC10" s="478"/>
      <c r="DD10" s="461"/>
      <c r="DE10" s="461"/>
      <c r="DF10" s="461"/>
      <c r="DG10" s="159"/>
      <c r="DH10" s="465" t="s">
        <v>136</v>
      </c>
      <c r="DI10" s="468"/>
      <c r="DJ10" s="461" t="s">
        <v>137</v>
      </c>
      <c r="DL10" s="477"/>
      <c r="DM10" s="477"/>
      <c r="DO10" s="417"/>
    </row>
    <row r="11" spans="1:122" s="165" customFormat="1" ht="20.25" customHeight="1" x14ac:dyDescent="0.25">
      <c r="A11" s="461"/>
      <c r="B11" s="461"/>
      <c r="C11" s="463"/>
      <c r="D11" s="461"/>
      <c r="E11" s="461"/>
      <c r="F11" s="461"/>
      <c r="G11" s="461" t="s">
        <v>7</v>
      </c>
      <c r="H11" s="461" t="s">
        <v>138</v>
      </c>
      <c r="I11" s="461" t="s">
        <v>139</v>
      </c>
      <c r="J11" s="168"/>
      <c r="K11" s="461" t="s">
        <v>9</v>
      </c>
      <c r="L11" s="461" t="s">
        <v>140</v>
      </c>
      <c r="M11" s="462" t="s">
        <v>141</v>
      </c>
      <c r="N11" s="462" t="s">
        <v>142</v>
      </c>
      <c r="O11" s="463"/>
      <c r="P11" s="466"/>
      <c r="Q11" s="469"/>
      <c r="R11" s="472" t="s">
        <v>18</v>
      </c>
      <c r="S11" s="473" t="s">
        <v>143</v>
      </c>
      <c r="T11" s="473" t="s">
        <v>144</v>
      </c>
      <c r="U11" s="472" t="s">
        <v>18</v>
      </c>
      <c r="V11" s="473" t="s">
        <v>143</v>
      </c>
      <c r="W11" s="473" t="s">
        <v>144</v>
      </c>
      <c r="X11" s="472" t="s">
        <v>18</v>
      </c>
      <c r="Y11" s="473" t="s">
        <v>143</v>
      </c>
      <c r="Z11" s="473" t="s">
        <v>144</v>
      </c>
      <c r="AA11" s="472" t="s">
        <v>18</v>
      </c>
      <c r="AB11" s="473" t="s">
        <v>143</v>
      </c>
      <c r="AC11" s="473" t="s">
        <v>144</v>
      </c>
      <c r="AD11" s="472" t="s">
        <v>18</v>
      </c>
      <c r="AE11" s="473" t="s">
        <v>143</v>
      </c>
      <c r="AF11" s="473" t="s">
        <v>144</v>
      </c>
      <c r="AG11" s="493" t="s">
        <v>18</v>
      </c>
      <c r="AH11" s="473" t="s">
        <v>143</v>
      </c>
      <c r="AI11" s="473" t="s">
        <v>144</v>
      </c>
      <c r="AJ11" s="493" t="s">
        <v>18</v>
      </c>
      <c r="AK11" s="473" t="s">
        <v>143</v>
      </c>
      <c r="AL11" s="473" t="s">
        <v>144</v>
      </c>
      <c r="AM11" s="493" t="s">
        <v>18</v>
      </c>
      <c r="AN11" s="473" t="s">
        <v>143</v>
      </c>
      <c r="AO11" s="473" t="s">
        <v>144</v>
      </c>
      <c r="AP11" s="169"/>
      <c r="AQ11" s="472" t="s">
        <v>18</v>
      </c>
      <c r="AR11" s="473" t="s">
        <v>143</v>
      </c>
      <c r="AS11" s="473" t="s">
        <v>144</v>
      </c>
      <c r="AT11" s="472" t="s">
        <v>18</v>
      </c>
      <c r="AU11" s="473" t="s">
        <v>143</v>
      </c>
      <c r="AV11" s="473" t="s">
        <v>144</v>
      </c>
      <c r="AW11" s="472" t="s">
        <v>18</v>
      </c>
      <c r="AX11" s="473" t="s">
        <v>143</v>
      </c>
      <c r="AY11" s="473" t="s">
        <v>144</v>
      </c>
      <c r="AZ11" s="472" t="s">
        <v>18</v>
      </c>
      <c r="BA11" s="473" t="s">
        <v>143</v>
      </c>
      <c r="BB11" s="473" t="s">
        <v>144</v>
      </c>
      <c r="BC11" s="497" t="s">
        <v>18</v>
      </c>
      <c r="BD11" s="494" t="s">
        <v>143</v>
      </c>
      <c r="BE11" s="494" t="s">
        <v>144</v>
      </c>
      <c r="BF11" s="170"/>
      <c r="BG11" s="497" t="s">
        <v>18</v>
      </c>
      <c r="BH11" s="494" t="s">
        <v>143</v>
      </c>
      <c r="BI11" s="494" t="s">
        <v>144</v>
      </c>
      <c r="BJ11" s="463"/>
      <c r="BK11" s="466"/>
      <c r="BL11" s="475"/>
      <c r="BM11" s="469"/>
      <c r="BN11" s="466"/>
      <c r="BO11" s="475"/>
      <c r="BP11" s="469"/>
      <c r="BQ11" s="497" t="s">
        <v>18</v>
      </c>
      <c r="BR11" s="494" t="s">
        <v>143</v>
      </c>
      <c r="BS11" s="494" t="s">
        <v>144</v>
      </c>
      <c r="BT11" s="463"/>
      <c r="BU11" s="162"/>
      <c r="BV11" s="500" t="s">
        <v>18</v>
      </c>
      <c r="BW11" s="501" t="s">
        <v>145</v>
      </c>
      <c r="BX11" s="461" t="s">
        <v>18</v>
      </c>
      <c r="BY11" s="461" t="s">
        <v>145</v>
      </c>
      <c r="BZ11" s="461" t="s">
        <v>18</v>
      </c>
      <c r="CA11" s="461" t="s">
        <v>145</v>
      </c>
      <c r="CB11" s="461" t="s">
        <v>18</v>
      </c>
      <c r="CC11" s="461" t="s">
        <v>145</v>
      </c>
      <c r="CD11" s="461" t="s">
        <v>18</v>
      </c>
      <c r="CE11" s="461" t="s">
        <v>145</v>
      </c>
      <c r="CF11" s="461" t="s">
        <v>18</v>
      </c>
      <c r="CG11" s="461" t="s">
        <v>145</v>
      </c>
      <c r="CH11" s="461" t="s">
        <v>18</v>
      </c>
      <c r="CI11" s="461" t="s">
        <v>145</v>
      </c>
      <c r="CJ11" s="461" t="s">
        <v>18</v>
      </c>
      <c r="CK11" s="461" t="s">
        <v>145</v>
      </c>
      <c r="CL11" s="461" t="s">
        <v>18</v>
      </c>
      <c r="CM11" s="461" t="s">
        <v>145</v>
      </c>
      <c r="CN11" s="461" t="s">
        <v>18</v>
      </c>
      <c r="CO11" s="461" t="s">
        <v>145</v>
      </c>
      <c r="CP11" s="461" t="s">
        <v>18</v>
      </c>
      <c r="CQ11" s="461" t="s">
        <v>145</v>
      </c>
      <c r="CR11" s="461" t="s">
        <v>18</v>
      </c>
      <c r="CS11" s="461" t="s">
        <v>145</v>
      </c>
      <c r="CT11" s="461" t="s">
        <v>18</v>
      </c>
      <c r="CU11" s="461" t="s">
        <v>145</v>
      </c>
      <c r="CV11" s="463"/>
      <c r="CW11" s="463"/>
      <c r="CX11" s="463"/>
      <c r="CY11" s="162"/>
      <c r="CZ11" s="463"/>
      <c r="DA11" s="461"/>
      <c r="DB11" s="483"/>
      <c r="DC11" s="478"/>
      <c r="DD11" s="461"/>
      <c r="DE11" s="461"/>
      <c r="DF11" s="461"/>
      <c r="DG11" s="159"/>
      <c r="DH11" s="467"/>
      <c r="DI11" s="470"/>
      <c r="DJ11" s="461"/>
      <c r="DL11" s="477"/>
      <c r="DM11" s="477"/>
    </row>
    <row r="12" spans="1:122" s="165" customFormat="1" ht="20.25" customHeight="1" x14ac:dyDescent="0.25">
      <c r="A12" s="461"/>
      <c r="B12" s="461"/>
      <c r="C12" s="463"/>
      <c r="D12" s="461"/>
      <c r="E12" s="461"/>
      <c r="F12" s="461"/>
      <c r="G12" s="461"/>
      <c r="H12" s="461"/>
      <c r="I12" s="461"/>
      <c r="J12" s="168"/>
      <c r="K12" s="461"/>
      <c r="L12" s="461"/>
      <c r="M12" s="463"/>
      <c r="N12" s="463"/>
      <c r="O12" s="463"/>
      <c r="P12" s="466"/>
      <c r="Q12" s="469"/>
      <c r="R12" s="472"/>
      <c r="S12" s="473"/>
      <c r="T12" s="473"/>
      <c r="U12" s="472"/>
      <c r="V12" s="473"/>
      <c r="W12" s="473"/>
      <c r="X12" s="472"/>
      <c r="Y12" s="473"/>
      <c r="Z12" s="473"/>
      <c r="AA12" s="472"/>
      <c r="AB12" s="473"/>
      <c r="AC12" s="473"/>
      <c r="AD12" s="472"/>
      <c r="AE12" s="473"/>
      <c r="AF12" s="473"/>
      <c r="AG12" s="493"/>
      <c r="AH12" s="473"/>
      <c r="AI12" s="473"/>
      <c r="AJ12" s="493"/>
      <c r="AK12" s="473"/>
      <c r="AL12" s="473"/>
      <c r="AM12" s="493"/>
      <c r="AN12" s="473"/>
      <c r="AO12" s="473"/>
      <c r="AP12" s="169"/>
      <c r="AQ12" s="472"/>
      <c r="AR12" s="473"/>
      <c r="AS12" s="473"/>
      <c r="AT12" s="472"/>
      <c r="AU12" s="473"/>
      <c r="AV12" s="473"/>
      <c r="AW12" s="472"/>
      <c r="AX12" s="473"/>
      <c r="AY12" s="473"/>
      <c r="AZ12" s="472"/>
      <c r="BA12" s="473"/>
      <c r="BB12" s="473"/>
      <c r="BC12" s="498"/>
      <c r="BD12" s="495"/>
      <c r="BE12" s="495"/>
      <c r="BF12" s="171"/>
      <c r="BG12" s="498"/>
      <c r="BH12" s="495"/>
      <c r="BI12" s="495"/>
      <c r="BJ12" s="463"/>
      <c r="BK12" s="466"/>
      <c r="BL12" s="475"/>
      <c r="BM12" s="469"/>
      <c r="BN12" s="466"/>
      <c r="BO12" s="475"/>
      <c r="BP12" s="469"/>
      <c r="BQ12" s="498"/>
      <c r="BR12" s="495"/>
      <c r="BS12" s="495"/>
      <c r="BT12" s="463"/>
      <c r="BU12" s="162"/>
      <c r="BV12" s="500"/>
      <c r="BW12" s="501"/>
      <c r="BX12" s="461"/>
      <c r="BY12" s="461"/>
      <c r="BZ12" s="461"/>
      <c r="CA12" s="461"/>
      <c r="CB12" s="461"/>
      <c r="CC12" s="461"/>
      <c r="CD12" s="461"/>
      <c r="CE12" s="461"/>
      <c r="CF12" s="461"/>
      <c r="CG12" s="461"/>
      <c r="CH12" s="461"/>
      <c r="CI12" s="461"/>
      <c r="CJ12" s="461"/>
      <c r="CK12" s="461"/>
      <c r="CL12" s="461"/>
      <c r="CM12" s="461"/>
      <c r="CN12" s="461"/>
      <c r="CO12" s="461"/>
      <c r="CP12" s="461"/>
      <c r="CQ12" s="461"/>
      <c r="CR12" s="461"/>
      <c r="CS12" s="461"/>
      <c r="CT12" s="461"/>
      <c r="CU12" s="461"/>
      <c r="CV12" s="463"/>
      <c r="CW12" s="463"/>
      <c r="CX12" s="463"/>
      <c r="CY12" s="162"/>
      <c r="CZ12" s="463"/>
      <c r="DA12" s="461"/>
      <c r="DB12" s="483"/>
      <c r="DC12" s="478"/>
      <c r="DD12" s="461"/>
      <c r="DE12" s="461"/>
      <c r="DF12" s="461"/>
      <c r="DG12" s="159"/>
      <c r="DH12" s="172"/>
      <c r="DI12" s="173"/>
      <c r="DJ12" s="461"/>
      <c r="DL12" s="477"/>
      <c r="DM12" s="477"/>
      <c r="DN12" s="165">
        <v>8214</v>
      </c>
      <c r="DQ12" s="165">
        <v>692531.04245499999</v>
      </c>
      <c r="DR12" s="165">
        <v>1806047.2727900001</v>
      </c>
    </row>
    <row r="13" spans="1:122" s="165" customFormat="1" ht="39" customHeight="1" x14ac:dyDescent="0.25">
      <c r="A13" s="461"/>
      <c r="B13" s="461"/>
      <c r="C13" s="464"/>
      <c r="D13" s="461"/>
      <c r="E13" s="461"/>
      <c r="F13" s="461"/>
      <c r="G13" s="461"/>
      <c r="H13" s="461"/>
      <c r="I13" s="461"/>
      <c r="J13" s="168"/>
      <c r="K13" s="461"/>
      <c r="L13" s="461"/>
      <c r="M13" s="464"/>
      <c r="N13" s="464"/>
      <c r="O13" s="464"/>
      <c r="P13" s="467"/>
      <c r="Q13" s="470"/>
      <c r="R13" s="472"/>
      <c r="S13" s="473"/>
      <c r="T13" s="473"/>
      <c r="U13" s="472"/>
      <c r="V13" s="473"/>
      <c r="W13" s="473"/>
      <c r="X13" s="472"/>
      <c r="Y13" s="473"/>
      <c r="Z13" s="473"/>
      <c r="AA13" s="472"/>
      <c r="AB13" s="473"/>
      <c r="AC13" s="473"/>
      <c r="AD13" s="472"/>
      <c r="AE13" s="473"/>
      <c r="AF13" s="473"/>
      <c r="AG13" s="493"/>
      <c r="AH13" s="473"/>
      <c r="AI13" s="473"/>
      <c r="AJ13" s="493"/>
      <c r="AK13" s="473"/>
      <c r="AL13" s="473"/>
      <c r="AM13" s="493"/>
      <c r="AN13" s="473"/>
      <c r="AO13" s="473"/>
      <c r="AP13" s="169"/>
      <c r="AQ13" s="472"/>
      <c r="AR13" s="473"/>
      <c r="AS13" s="473"/>
      <c r="AT13" s="472"/>
      <c r="AU13" s="473"/>
      <c r="AV13" s="473"/>
      <c r="AW13" s="472"/>
      <c r="AX13" s="473"/>
      <c r="AY13" s="473"/>
      <c r="AZ13" s="472"/>
      <c r="BA13" s="473"/>
      <c r="BB13" s="473"/>
      <c r="BC13" s="499"/>
      <c r="BD13" s="496"/>
      <c r="BE13" s="496"/>
      <c r="BF13" s="174"/>
      <c r="BG13" s="499"/>
      <c r="BH13" s="496"/>
      <c r="BI13" s="496"/>
      <c r="BJ13" s="464"/>
      <c r="BK13" s="467"/>
      <c r="BL13" s="476"/>
      <c r="BM13" s="470"/>
      <c r="BN13" s="467"/>
      <c r="BO13" s="476"/>
      <c r="BP13" s="470"/>
      <c r="BQ13" s="499"/>
      <c r="BR13" s="496"/>
      <c r="BS13" s="496"/>
      <c r="BT13" s="464"/>
      <c r="BU13" s="175"/>
      <c r="BV13" s="500"/>
      <c r="BW13" s="501"/>
      <c r="BX13" s="461"/>
      <c r="BY13" s="461"/>
      <c r="BZ13" s="461"/>
      <c r="CA13" s="461"/>
      <c r="CB13" s="461"/>
      <c r="CC13" s="461"/>
      <c r="CD13" s="461"/>
      <c r="CE13" s="461"/>
      <c r="CF13" s="461"/>
      <c r="CG13" s="461"/>
      <c r="CH13" s="461"/>
      <c r="CI13" s="461"/>
      <c r="CJ13" s="461"/>
      <c r="CK13" s="461"/>
      <c r="CL13" s="461"/>
      <c r="CM13" s="461"/>
      <c r="CN13" s="461"/>
      <c r="CO13" s="461"/>
      <c r="CP13" s="461"/>
      <c r="CQ13" s="461"/>
      <c r="CR13" s="461"/>
      <c r="CS13" s="461"/>
      <c r="CT13" s="461"/>
      <c r="CU13" s="461"/>
      <c r="CV13" s="464"/>
      <c r="CW13" s="464"/>
      <c r="CX13" s="464"/>
      <c r="CY13" s="175"/>
      <c r="CZ13" s="464"/>
      <c r="DA13" s="461"/>
      <c r="DB13" s="483"/>
      <c r="DC13" s="478"/>
      <c r="DD13" s="461"/>
      <c r="DE13" s="461"/>
      <c r="DF13" s="461"/>
      <c r="DG13" s="159"/>
      <c r="DH13" s="176" t="s">
        <v>146</v>
      </c>
      <c r="DI13" s="176" t="s">
        <v>147</v>
      </c>
      <c r="DJ13" s="461"/>
      <c r="DL13" s="477"/>
      <c r="DM13" s="477"/>
      <c r="DN13" s="165" t="s">
        <v>535</v>
      </c>
      <c r="DO13" s="165" t="s">
        <v>534</v>
      </c>
    </row>
    <row r="14" spans="1:122" s="198" customFormat="1" ht="26.45" customHeight="1" x14ac:dyDescent="0.25">
      <c r="A14" s="191"/>
      <c r="B14" s="191" t="s">
        <v>524</v>
      </c>
      <c r="C14" s="191"/>
      <c r="D14" s="190">
        <f>D15+D64</f>
        <v>7052807.874241</v>
      </c>
      <c r="E14" s="190">
        <f t="shared" ref="E14:BQ14" si="0">E15+E64</f>
        <v>1411910.9842410001</v>
      </c>
      <c r="F14" s="190">
        <f t="shared" si="0"/>
        <v>5640896.8899999997</v>
      </c>
      <c r="G14" s="190">
        <f t="shared" si="0"/>
        <v>2676536.8899999997</v>
      </c>
      <c r="H14" s="190">
        <f t="shared" si="0"/>
        <v>2687360</v>
      </c>
      <c r="I14" s="190">
        <f t="shared" si="0"/>
        <v>210548</v>
      </c>
      <c r="J14" s="190">
        <f t="shared" si="0"/>
        <v>0</v>
      </c>
      <c r="K14" s="190">
        <f t="shared" si="0"/>
        <v>277000</v>
      </c>
      <c r="L14" s="190">
        <f t="shared" si="0"/>
        <v>30000</v>
      </c>
      <c r="M14" s="190">
        <f t="shared" si="0"/>
        <v>0</v>
      </c>
      <c r="N14" s="190">
        <f t="shared" si="0"/>
        <v>0</v>
      </c>
      <c r="O14" s="190">
        <f t="shared" si="0"/>
        <v>2933914</v>
      </c>
      <c r="P14" s="190">
        <f t="shared" si="0"/>
        <v>221109.45979599998</v>
      </c>
      <c r="Q14" s="190">
        <f t="shared" si="0"/>
        <v>2.6937068031336766</v>
      </c>
      <c r="R14" s="190">
        <f t="shared" si="0"/>
        <v>518296.04201700003</v>
      </c>
      <c r="S14" s="190">
        <f t="shared" si="0"/>
        <v>5.140653346982452</v>
      </c>
      <c r="T14" s="190">
        <f t="shared" si="0"/>
        <v>5.3969577221787297</v>
      </c>
      <c r="U14" s="190">
        <f t="shared" si="0"/>
        <v>573538.34093499999</v>
      </c>
      <c r="V14" s="190">
        <f t="shared" si="0"/>
        <v>8.5402081820173485</v>
      </c>
      <c r="W14" s="190">
        <f t="shared" si="0"/>
        <v>8.9628477930413215</v>
      </c>
      <c r="X14" s="190">
        <f t="shared" si="0"/>
        <v>578535.79073499993</v>
      </c>
      <c r="Y14" s="190">
        <f t="shared" si="0"/>
        <v>8.5626554522170899</v>
      </c>
      <c r="Z14" s="190">
        <f t="shared" si="0"/>
        <v>8.9859156566400742</v>
      </c>
      <c r="AA14" s="190">
        <f t="shared" si="0"/>
        <v>581192.82240399986</v>
      </c>
      <c r="AB14" s="190">
        <f t="shared" si="0"/>
        <v>8.574780880282443</v>
      </c>
      <c r="AC14" s="190">
        <f t="shared" si="0"/>
        <v>8.9986787273627993</v>
      </c>
      <c r="AD14" s="190">
        <f t="shared" si="0"/>
        <v>834015.35926100006</v>
      </c>
      <c r="AE14" s="190">
        <f t="shared" si="0"/>
        <v>18.019828746815982</v>
      </c>
      <c r="AF14" s="190">
        <f t="shared" si="0"/>
        <v>18.935927494649121</v>
      </c>
      <c r="AG14" s="190">
        <f t="shared" si="0"/>
        <v>866122.40347800008</v>
      </c>
      <c r="AH14" s="190">
        <f t="shared" si="0"/>
        <v>18.173905074771831</v>
      </c>
      <c r="AI14" s="190">
        <f t="shared" si="0"/>
        <v>19.097915049780532</v>
      </c>
      <c r="AJ14" s="190">
        <f t="shared" si="0"/>
        <v>866122.40347800008</v>
      </c>
      <c r="AK14" s="190">
        <f t="shared" si="0"/>
        <v>18.173905074771831</v>
      </c>
      <c r="AL14" s="190">
        <f t="shared" si="0"/>
        <v>19.097915049780532</v>
      </c>
      <c r="AM14" s="190">
        <f t="shared" si="0"/>
        <v>912862.18614200002</v>
      </c>
      <c r="AN14" s="190">
        <f t="shared" si="0"/>
        <v>22.605842617943971</v>
      </c>
      <c r="AO14" s="190">
        <f t="shared" si="0"/>
        <v>23.763104046635725</v>
      </c>
      <c r="AP14" s="190">
        <f t="shared" si="0"/>
        <v>0</v>
      </c>
      <c r="AQ14" s="190">
        <f t="shared" si="0"/>
        <v>1266712.3554639998</v>
      </c>
      <c r="AR14" s="190">
        <f t="shared" si="0"/>
        <v>31.893834531902996</v>
      </c>
      <c r="AS14" s="190">
        <f t="shared" si="0"/>
        <v>33.532868727063189</v>
      </c>
      <c r="AT14" s="190">
        <f t="shared" si="0"/>
        <v>1275736.0225049998</v>
      </c>
      <c r="AU14" s="190">
        <f t="shared" si="0"/>
        <v>32.668970200161361</v>
      </c>
      <c r="AV14" s="190">
        <f t="shared" si="0"/>
        <v>34.348800985599681</v>
      </c>
      <c r="AW14" s="190">
        <f t="shared" si="0"/>
        <v>551315.83838099998</v>
      </c>
      <c r="AX14" s="190">
        <f t="shared" si="0"/>
        <v>0.42426611323723806</v>
      </c>
      <c r="AY14" s="190">
        <f t="shared" si="0"/>
        <v>0.44630227511248155</v>
      </c>
      <c r="AZ14" s="190">
        <f t="shared" si="0"/>
        <v>571308.34171099996</v>
      </c>
      <c r="BA14" s="190">
        <f t="shared" si="0"/>
        <v>0.43694699881561549</v>
      </c>
      <c r="BB14" s="190">
        <f t="shared" si="0"/>
        <v>0.45964833720445286</v>
      </c>
      <c r="BC14" s="190">
        <f t="shared" si="0"/>
        <v>1374990.3940759995</v>
      </c>
      <c r="BD14" s="190">
        <f t="shared" si="0"/>
        <v>32.092316987837457</v>
      </c>
      <c r="BE14" s="190">
        <f t="shared" si="0"/>
        <v>33.741750315972567</v>
      </c>
      <c r="BF14" s="190">
        <f t="shared" si="0"/>
        <v>0</v>
      </c>
      <c r="BG14" s="190">
        <f t="shared" si="0"/>
        <v>1931781.60091</v>
      </c>
      <c r="BH14" s="190">
        <f t="shared" si="0"/>
        <v>46.245691960763615</v>
      </c>
      <c r="BI14" s="190">
        <f t="shared" si="0"/>
        <v>48.604653162243089</v>
      </c>
      <c r="BJ14" s="190">
        <f t="shared" si="0"/>
        <v>6775038.0297409985</v>
      </c>
      <c r="BK14" s="190">
        <v>2307119.5500980001</v>
      </c>
      <c r="BL14" s="185">
        <v>0.32712071436460116</v>
      </c>
      <c r="BM14" s="185">
        <v>0.34074734855788535</v>
      </c>
      <c r="BN14" s="190">
        <v>2339504.2054929999</v>
      </c>
      <c r="BO14" s="185">
        <v>0.33171245370763336</v>
      </c>
      <c r="BP14" s="185">
        <v>0.34553036271046284</v>
      </c>
      <c r="BQ14" s="190">
        <f t="shared" si="0"/>
        <v>2429085.6505289995</v>
      </c>
      <c r="BR14" s="185">
        <f>BQ14/$D14</f>
        <v>0.34441398289052494</v>
      </c>
      <c r="BS14" s="185">
        <f>BQ14/(E14+0.95*F14)</f>
        <v>0.35876099043181531</v>
      </c>
      <c r="BT14" s="190">
        <f t="shared" ref="BT14:BT22" si="1">BQ14-AD14</f>
        <v>1595070.2912679994</v>
      </c>
      <c r="BU14" s="190"/>
      <c r="BV14" s="189" t="e">
        <f>BV15+BV64</f>
        <v>#REF!</v>
      </c>
      <c r="BW14" s="186" t="e">
        <f>BV14/$D14</f>
        <v>#REF!</v>
      </c>
      <c r="BX14" s="189" t="e">
        <f>BX15+BX64</f>
        <v>#REF!</v>
      </c>
      <c r="BY14" s="186" t="e">
        <f>BX14/$D14</f>
        <v>#REF!</v>
      </c>
      <c r="BZ14" s="189" t="e">
        <f>BZ15+BZ64</f>
        <v>#REF!</v>
      </c>
      <c r="CA14" s="186" t="e">
        <f>BZ14/$D14</f>
        <v>#REF!</v>
      </c>
      <c r="CB14" s="189" t="e">
        <f>CB15+CB64</f>
        <v>#REF!</v>
      </c>
      <c r="CC14" s="186" t="e">
        <f>CB14/$D14</f>
        <v>#REF!</v>
      </c>
      <c r="CD14" s="189" t="e">
        <f>CD15+CD64</f>
        <v>#REF!</v>
      </c>
      <c r="CE14" s="186" t="e">
        <f>CD14/$D14</f>
        <v>#REF!</v>
      </c>
      <c r="CF14" s="189" t="e">
        <f>CF15+CF64</f>
        <v>#REF!</v>
      </c>
      <c r="CG14" s="186" t="e">
        <f>CF14/$D14</f>
        <v>#REF!</v>
      </c>
      <c r="CH14" s="189" t="e">
        <f>CH15+CH64</f>
        <v>#REF!</v>
      </c>
      <c r="CI14" s="186" t="e">
        <f>CH14/$D14</f>
        <v>#REF!</v>
      </c>
      <c r="CJ14" s="189" t="e">
        <f>CJ15+CJ64</f>
        <v>#REF!</v>
      </c>
      <c r="CK14" s="186" t="e">
        <f>CJ14/$D14</f>
        <v>#REF!</v>
      </c>
      <c r="CL14" s="189" t="e">
        <f>CL15+CL64</f>
        <v>#REF!</v>
      </c>
      <c r="CM14" s="186" t="e">
        <f>CL14/$D14</f>
        <v>#REF!</v>
      </c>
      <c r="CN14" s="189" t="e">
        <f>CN15+CN64</f>
        <v>#REF!</v>
      </c>
      <c r="CO14" s="186" t="e">
        <f>CN14/$D14</f>
        <v>#REF!</v>
      </c>
      <c r="CP14" s="189" t="e">
        <f>CP15+CP64</f>
        <v>#REF!</v>
      </c>
      <c r="CQ14" s="186" t="e">
        <f>CP14/$D14</f>
        <v>#REF!</v>
      </c>
      <c r="CR14" s="189" t="e">
        <f>CR15+CR64</f>
        <v>#REF!</v>
      </c>
      <c r="CS14" s="186" t="e">
        <f>CR14/$D14</f>
        <v>#REF!</v>
      </c>
      <c r="CT14" s="189" t="e">
        <f>CT15+CT64</f>
        <v>#REF!</v>
      </c>
      <c r="CU14" s="186" t="e">
        <f>CT14/$D14</f>
        <v>#REF!</v>
      </c>
      <c r="CV14" s="416">
        <f>BQ14-BN14</f>
        <v>89581.445035999641</v>
      </c>
      <c r="CW14" s="194"/>
      <c r="CX14" s="194"/>
      <c r="CY14" s="194"/>
      <c r="CZ14" s="194"/>
      <c r="DA14" s="194"/>
      <c r="DB14" s="181"/>
      <c r="DC14" s="159"/>
      <c r="DD14" s="195"/>
      <c r="DE14" s="196"/>
      <c r="DF14" s="196"/>
      <c r="DG14" s="197"/>
      <c r="DH14" s="196"/>
      <c r="DI14" s="196"/>
      <c r="DJ14" s="196"/>
      <c r="DL14" s="199"/>
      <c r="DM14" s="200"/>
      <c r="DN14" s="418">
        <v>10665</v>
      </c>
      <c r="DO14" s="198">
        <v>2498578.3152450002</v>
      </c>
      <c r="DP14" s="198" t="s">
        <v>533</v>
      </c>
      <c r="DQ14" s="422">
        <f>DO14+DP15</f>
        <v>2708829.3152450002</v>
      </c>
      <c r="DR14" s="199">
        <f>DQ14-DQ12</f>
        <v>2016298.2727900003</v>
      </c>
    </row>
    <row r="15" spans="1:122" s="165" customFormat="1" ht="23.25" customHeight="1" x14ac:dyDescent="0.25">
      <c r="A15" s="410" t="s">
        <v>25</v>
      </c>
      <c r="B15" s="409" t="s">
        <v>525</v>
      </c>
      <c r="C15" s="202"/>
      <c r="D15" s="411">
        <f>SUM(D16:D63)</f>
        <v>3063117.8202410005</v>
      </c>
      <c r="E15" s="411">
        <f t="shared" ref="E15:BQ15" si="2">SUM(E16:E63)</f>
        <v>1361910.9842410001</v>
      </c>
      <c r="F15" s="411">
        <f t="shared" si="2"/>
        <v>1701206.8359999999</v>
      </c>
      <c r="G15" s="411">
        <f t="shared" si="2"/>
        <v>776715.22699999996</v>
      </c>
      <c r="H15" s="411">
        <f t="shared" si="2"/>
        <v>874491.60900000005</v>
      </c>
      <c r="I15" s="411">
        <f t="shared" si="2"/>
        <v>28012</v>
      </c>
      <c r="J15" s="411">
        <f t="shared" si="2"/>
        <v>0</v>
      </c>
      <c r="K15" s="411">
        <f t="shared" si="2"/>
        <v>50000</v>
      </c>
      <c r="L15" s="411">
        <f t="shared" si="2"/>
        <v>30000</v>
      </c>
      <c r="M15" s="411">
        <f t="shared" si="2"/>
        <v>0</v>
      </c>
      <c r="N15" s="411">
        <f t="shared" si="2"/>
        <v>0</v>
      </c>
      <c r="O15" s="411">
        <f t="shared" si="2"/>
        <v>851070</v>
      </c>
      <c r="P15" s="411">
        <f t="shared" si="2"/>
        <v>125838.009796</v>
      </c>
      <c r="Q15" s="411">
        <f t="shared" si="2"/>
        <v>1.8329101588750263</v>
      </c>
      <c r="R15" s="411">
        <f t="shared" si="2"/>
        <v>276435.94767700002</v>
      </c>
      <c r="S15" s="411">
        <f t="shared" si="2"/>
        <v>2.90010597072341</v>
      </c>
      <c r="T15" s="411">
        <f t="shared" si="2"/>
        <v>3.038582804539991</v>
      </c>
      <c r="U15" s="411">
        <f t="shared" si="2"/>
        <v>316744.37003599992</v>
      </c>
      <c r="V15" s="411">
        <f t="shared" si="2"/>
        <v>5.0553673342819003</v>
      </c>
      <c r="W15" s="411">
        <f t="shared" si="2"/>
        <v>5.2946930371743655</v>
      </c>
      <c r="X15" s="411">
        <f t="shared" si="2"/>
        <v>319785.07083599985</v>
      </c>
      <c r="Y15" s="411">
        <f t="shared" si="2"/>
        <v>5.0767139316914207</v>
      </c>
      <c r="Z15" s="411">
        <f t="shared" si="2"/>
        <v>5.3166040103406269</v>
      </c>
      <c r="AA15" s="411">
        <f t="shared" si="2"/>
        <v>319785.07083599985</v>
      </c>
      <c r="AB15" s="411">
        <f t="shared" si="2"/>
        <v>5.0767139316914207</v>
      </c>
      <c r="AC15" s="411">
        <f t="shared" si="2"/>
        <v>5.3166040103406269</v>
      </c>
      <c r="AD15" s="411">
        <f t="shared" si="2"/>
        <v>447877.36963800003</v>
      </c>
      <c r="AE15" s="411">
        <f t="shared" si="2"/>
        <v>8.0356590783937332</v>
      </c>
      <c r="AF15" s="411">
        <f t="shared" si="2"/>
        <v>8.4264407343026306</v>
      </c>
      <c r="AG15" s="411">
        <f t="shared" si="2"/>
        <v>454863.34621300001</v>
      </c>
      <c r="AH15" s="411">
        <f t="shared" si="2"/>
        <v>8.1504354301526618</v>
      </c>
      <c r="AI15" s="411">
        <f t="shared" si="2"/>
        <v>8.547069898929637</v>
      </c>
      <c r="AJ15" s="411">
        <f t="shared" si="2"/>
        <v>454863.34621300001</v>
      </c>
      <c r="AK15" s="411">
        <f t="shared" si="2"/>
        <v>8.1504354301526618</v>
      </c>
      <c r="AL15" s="411">
        <f t="shared" si="2"/>
        <v>8.547069898929637</v>
      </c>
      <c r="AM15" s="411">
        <f t="shared" si="2"/>
        <v>454863.34621300001</v>
      </c>
      <c r="AN15" s="411">
        <f t="shared" si="2"/>
        <v>8.1504354301526618</v>
      </c>
      <c r="AO15" s="411">
        <f t="shared" si="2"/>
        <v>8.547069898929637</v>
      </c>
      <c r="AP15" s="411">
        <f t="shared" si="2"/>
        <v>0</v>
      </c>
      <c r="AQ15" s="411">
        <f t="shared" si="2"/>
        <v>614451.42952699971</v>
      </c>
      <c r="AR15" s="411">
        <f t="shared" si="2"/>
        <v>13.200626200551659</v>
      </c>
      <c r="AS15" s="411">
        <f t="shared" si="2"/>
        <v>13.856094654158831</v>
      </c>
      <c r="AT15" s="411">
        <f t="shared" si="2"/>
        <v>614451.42952699971</v>
      </c>
      <c r="AU15" s="411">
        <f t="shared" si="2"/>
        <v>13.200626200551659</v>
      </c>
      <c r="AV15" s="411">
        <f t="shared" si="2"/>
        <v>13.856094654158831</v>
      </c>
      <c r="AW15" s="411">
        <f t="shared" si="2"/>
        <v>0</v>
      </c>
      <c r="AX15" s="411">
        <f t="shared" si="2"/>
        <v>0</v>
      </c>
      <c r="AY15" s="411">
        <f t="shared" si="2"/>
        <v>0</v>
      </c>
      <c r="AZ15" s="411">
        <f t="shared" si="2"/>
        <v>0</v>
      </c>
      <c r="BA15" s="411">
        <f t="shared" si="2"/>
        <v>0</v>
      </c>
      <c r="BB15" s="411">
        <f t="shared" si="2"/>
        <v>0</v>
      </c>
      <c r="BC15" s="411">
        <f t="shared" si="2"/>
        <v>614451.42952699971</v>
      </c>
      <c r="BD15" s="411">
        <f t="shared" si="2"/>
        <v>13.200626200551659</v>
      </c>
      <c r="BE15" s="411">
        <f t="shared" si="2"/>
        <v>13.856094654158831</v>
      </c>
      <c r="BF15" s="411">
        <f t="shared" si="2"/>
        <v>0</v>
      </c>
      <c r="BG15" s="411">
        <f t="shared" si="2"/>
        <v>925734.65313000011</v>
      </c>
      <c r="BH15" s="411">
        <f t="shared" si="2"/>
        <v>18.844500868644143</v>
      </c>
      <c r="BI15" s="411">
        <f t="shared" si="2"/>
        <v>19.761751329780815</v>
      </c>
      <c r="BJ15" s="411">
        <f t="shared" si="2"/>
        <v>2978057.478441</v>
      </c>
      <c r="BK15" s="411">
        <v>1151617.7958979998</v>
      </c>
      <c r="BL15" s="412">
        <v>0.37596261831266831</v>
      </c>
      <c r="BM15" s="412">
        <v>0.38670099695351301</v>
      </c>
      <c r="BN15" s="411">
        <v>1152988.1084129997</v>
      </c>
      <c r="BO15" s="412">
        <v>0.37640997704824969</v>
      </c>
      <c r="BP15" s="412">
        <v>0.38716113330914748</v>
      </c>
      <c r="BQ15" s="411">
        <f t="shared" si="2"/>
        <v>1174858.0773139996</v>
      </c>
      <c r="BR15" s="412">
        <f t="shared" ref="BR15:BR65" si="3">BQ15/$D15</f>
        <v>0.38354975102510552</v>
      </c>
      <c r="BS15" s="412">
        <f>BQ15/(E15+0.95*F15)</f>
        <v>0.39450483606146941</v>
      </c>
      <c r="BT15" s="411">
        <f t="shared" si="1"/>
        <v>726980.70767599961</v>
      </c>
      <c r="BU15" s="411"/>
      <c r="BV15" s="413" t="e">
        <f>SUM(BV65,BV66,BV16,BV17,#REF!,BV67,BV18,BV69,BV19,BV70,BV20,BV21,#REF!,BV22)</f>
        <v>#REF!</v>
      </c>
      <c r="BW15" s="414" t="e">
        <f t="shared" ref="BW15:BW66" si="4">BV15/$D15</f>
        <v>#REF!</v>
      </c>
      <c r="BX15" s="413" t="e">
        <f>SUM(BX65,BX66,BX16,BX17,#REF!,BX67,BX18,BX69,BX19,BX70,BX20,BX21,#REF!,BX22)</f>
        <v>#REF!</v>
      </c>
      <c r="BY15" s="414" t="e">
        <f t="shared" ref="BY15:BY65" si="5">BX15/$D15</f>
        <v>#REF!</v>
      </c>
      <c r="BZ15" s="413" t="e">
        <f>SUM(BZ65,BZ66,BZ16,BZ17,#REF!,BZ67,BZ18,BZ69,BZ19,BZ70,BZ20,BZ21,#REF!,BZ22)</f>
        <v>#REF!</v>
      </c>
      <c r="CA15" s="414" t="e">
        <f t="shared" ref="CA15:CA65" si="6">BZ15/$D15</f>
        <v>#REF!</v>
      </c>
      <c r="CB15" s="413" t="e">
        <f>SUM(CB65,CB66,CB16,CB17,#REF!,CB67,CB18,CB69,CB19,CB70,CB20,CB21,#REF!,CB22)</f>
        <v>#REF!</v>
      </c>
      <c r="CC15" s="414" t="e">
        <f t="shared" ref="CC15:CC65" si="7">CB15/$D15</f>
        <v>#REF!</v>
      </c>
      <c r="CD15" s="413" t="e">
        <f>SUM(CD65,CD66,CD16,CD17,#REF!,CD67,CD18,CD69,CD19,CD70,CD20,CD21,#REF!,CD22)</f>
        <v>#REF!</v>
      </c>
      <c r="CE15" s="414" t="e">
        <f t="shared" ref="CE15:CE65" si="8">CD15/$D15</f>
        <v>#REF!</v>
      </c>
      <c r="CF15" s="413" t="e">
        <f>SUM(CF65,CF66,CF16,CF17,#REF!,CF67,CF18,CF69,CF19,CF70,CF20,CF21,#REF!,CF22)</f>
        <v>#REF!</v>
      </c>
      <c r="CG15" s="414" t="e">
        <f t="shared" ref="CG15:CG65" si="9">CF15/$D15</f>
        <v>#REF!</v>
      </c>
      <c r="CH15" s="413" t="e">
        <f>SUM(CH65,CH66,CH16,CH17,#REF!,CH67,CH18,CH69,CH19,CH70,CH20,CH21,#REF!,CH22)</f>
        <v>#REF!</v>
      </c>
      <c r="CI15" s="414" t="e">
        <f t="shared" ref="CI15:CI65" si="10">CH15/$D15</f>
        <v>#REF!</v>
      </c>
      <c r="CJ15" s="413" t="e">
        <f>SUM(CJ65,CJ66,CJ16,CJ17,#REF!,CJ67,CJ18,CJ69,CJ19,CJ70,CJ20,CJ21,#REF!,CJ22)</f>
        <v>#REF!</v>
      </c>
      <c r="CK15" s="414" t="e">
        <f t="shared" ref="CK15:CK65" si="11">CJ15/$D15</f>
        <v>#REF!</v>
      </c>
      <c r="CL15" s="413" t="e">
        <f>SUM(CL65,CL66,CL16,CL17,#REF!,CL67,CL18,CL69,CL19,CL70,CL20,CL21,#REF!,CL22)</f>
        <v>#REF!</v>
      </c>
      <c r="CM15" s="414" t="e">
        <f t="shared" ref="CM15:CM65" si="12">CL15/$D15</f>
        <v>#REF!</v>
      </c>
      <c r="CN15" s="413" t="e">
        <f>SUM(CN65,CN66,CN16,CN17,#REF!,CN67,CN18,CN69,CN19,CN70,CN20,CN21,#REF!,CN22)</f>
        <v>#REF!</v>
      </c>
      <c r="CO15" s="414" t="e">
        <f t="shared" ref="CO15:CO65" si="13">CN15/$D15</f>
        <v>#REF!</v>
      </c>
      <c r="CP15" s="413" t="e">
        <f>SUM(CP65,CP66,CP16,CP17,#REF!,CP67,CP18,CP69,CP19,CP70,CP20,CP21,#REF!,CP22)</f>
        <v>#REF!</v>
      </c>
      <c r="CQ15" s="414" t="e">
        <f t="shared" ref="CQ15:CQ65" si="14">CP15/$D15</f>
        <v>#REF!</v>
      </c>
      <c r="CR15" s="413" t="e">
        <f>SUM(CR65,CR66,CR16,CR17,#REF!,CR67,CR18,CR69,CR19,CR70,CR20,CR21,#REF!,CR22)</f>
        <v>#REF!</v>
      </c>
      <c r="CS15" s="414" t="e">
        <f t="shared" ref="CS15:CS65" si="15">CR15/$D15</f>
        <v>#REF!</v>
      </c>
      <c r="CT15" s="413" t="e">
        <f>SUM(CT65,CT66,CT16,CT17,#REF!,CT67,CT18,CT69,CT19,CT70,CT20,CT21,#REF!,CT22)</f>
        <v>#REF!</v>
      </c>
      <c r="CU15" s="414" t="e">
        <f t="shared" ref="CU15:CU65" si="16">CT15/$D15</f>
        <v>#REF!</v>
      </c>
      <c r="CV15" s="416">
        <f t="shared" ref="CV15:CV78" si="17">BQ15-BN15</f>
        <v>21869.968900999986</v>
      </c>
      <c r="CW15" s="410" t="str">
        <f>IF(BS15&gt;=36.5%,"Cao hơn","Thấp hơn")</f>
        <v>Cao hơn</v>
      </c>
      <c r="CX15" s="410" t="str">
        <f>IF(BS15&gt;=42.7%,"Cao hơn","Thấp hơn")</f>
        <v>Thấp hơn</v>
      </c>
      <c r="CY15" s="415"/>
      <c r="CZ15" s="207"/>
      <c r="DA15" s="207"/>
      <c r="DB15" s="163"/>
      <c r="DC15" s="208"/>
      <c r="DD15" s="195"/>
      <c r="DE15" s="196"/>
      <c r="DF15" s="196"/>
      <c r="DG15" s="197"/>
      <c r="DH15" s="196"/>
      <c r="DI15" s="196"/>
      <c r="DJ15" s="196"/>
      <c r="DL15" s="199"/>
      <c r="DM15" s="200"/>
      <c r="DN15" s="209" cm="1">
        <f t="array" ref="DN15:DN16">BQ14+DN14+DP15:DP16</f>
        <v>2650001.6505289995</v>
      </c>
      <c r="DO15" s="419">
        <f>DO14+DP15</f>
        <v>2708829.3152450002</v>
      </c>
      <c r="DP15" s="165">
        <v>210251</v>
      </c>
      <c r="DQ15" s="209">
        <f>DQ14-BQ14</f>
        <v>279743.66471600067</v>
      </c>
    </row>
    <row r="16" spans="1:122" s="234" customFormat="1" ht="29.45" customHeight="1" x14ac:dyDescent="0.25">
      <c r="A16" s="191">
        <v>1</v>
      </c>
      <c r="B16" s="210" t="s">
        <v>286</v>
      </c>
      <c r="C16" s="210"/>
      <c r="D16" s="205">
        <v>1560609.8597350002</v>
      </c>
      <c r="E16" s="205">
        <v>929249.85973500018</v>
      </c>
      <c r="F16" s="205">
        <v>631360</v>
      </c>
      <c r="G16" s="205">
        <v>424000</v>
      </c>
      <c r="H16" s="205">
        <v>207360</v>
      </c>
      <c r="I16" s="205">
        <v>-52000</v>
      </c>
      <c r="J16" s="205"/>
      <c r="K16" s="205">
        <v>0</v>
      </c>
      <c r="L16" s="205">
        <v>30000</v>
      </c>
      <c r="M16" s="231"/>
      <c r="N16" s="231"/>
      <c r="O16" s="205">
        <v>402000</v>
      </c>
      <c r="P16" s="205">
        <v>75293.688796000002</v>
      </c>
      <c r="Q16" s="186">
        <v>5.0596011714561899E-2</v>
      </c>
      <c r="R16" s="205">
        <v>206894.52794599999</v>
      </c>
      <c r="S16" s="185">
        <v>0.17311944381585762</v>
      </c>
      <c r="T16" s="185">
        <v>0.17833751931552438</v>
      </c>
      <c r="U16" s="205">
        <v>214027.35655399997</v>
      </c>
      <c r="V16" s="185">
        <v>0.17908785358343296</v>
      </c>
      <c r="W16" s="185">
        <v>0.18448582576075589</v>
      </c>
      <c r="X16" s="205">
        <v>214027.35655399997</v>
      </c>
      <c r="Y16" s="185">
        <v>0.17908785358343296</v>
      </c>
      <c r="Z16" s="185">
        <v>0.18448582576075589</v>
      </c>
      <c r="AA16" s="205">
        <v>214027.35655399997</v>
      </c>
      <c r="AB16" s="185">
        <v>0.17908785358343296</v>
      </c>
      <c r="AC16" s="185">
        <v>0.18448582576075589</v>
      </c>
      <c r="AD16" s="205">
        <v>304094.039009</v>
      </c>
      <c r="AE16" s="185">
        <v>0.23157145081113995</v>
      </c>
      <c r="AF16" s="185">
        <v>0.23790656323459408</v>
      </c>
      <c r="AG16" s="205">
        <v>305374.039009</v>
      </c>
      <c r="AH16" s="185">
        <v>0.23254618697500631</v>
      </c>
      <c r="AI16" s="185">
        <v>0.23890796530723146</v>
      </c>
      <c r="AJ16" s="189">
        <v>305374.039009</v>
      </c>
      <c r="AK16" s="185">
        <v>0.23254618697500631</v>
      </c>
      <c r="AL16" s="185">
        <v>0.23890796530723146</v>
      </c>
      <c r="AM16" s="205">
        <v>305374.039009</v>
      </c>
      <c r="AN16" s="185">
        <v>0.23254618697500631</v>
      </c>
      <c r="AO16" s="185">
        <v>0.23890796530723146</v>
      </c>
      <c r="AP16" s="185"/>
      <c r="AQ16" s="205">
        <v>356349.44240499998</v>
      </c>
      <c r="AR16" s="185">
        <v>0.27136460037950405</v>
      </c>
      <c r="AS16" s="185">
        <v>0.27878833609963782</v>
      </c>
      <c r="AT16" s="205">
        <v>356349.44240499998</v>
      </c>
      <c r="AU16" s="185">
        <v>0.27136460037950405</v>
      </c>
      <c r="AV16" s="185">
        <v>0.27878833609963782</v>
      </c>
      <c r="AW16" s="185"/>
      <c r="AX16" s="185"/>
      <c r="AY16" s="185"/>
      <c r="AZ16" s="185"/>
      <c r="BA16" s="185"/>
      <c r="BB16" s="185"/>
      <c r="BC16" s="205">
        <v>356349.44240499998</v>
      </c>
      <c r="BD16" s="185">
        <v>0.27136460037950405</v>
      </c>
      <c r="BE16" s="185">
        <v>0.27878833609963782</v>
      </c>
      <c r="BF16" s="205"/>
      <c r="BG16" s="205">
        <v>548080.71770899999</v>
      </c>
      <c r="BH16" s="185">
        <v>0.36830043602808926</v>
      </c>
      <c r="BI16" s="185">
        <v>0.37628256749485212</v>
      </c>
      <c r="BJ16" s="205">
        <v>1456566.8597350002</v>
      </c>
      <c r="BK16" s="205">
        <v>724167.333079</v>
      </c>
      <c r="BL16" s="185">
        <v>0.48662749101110109</v>
      </c>
      <c r="BM16" s="185">
        <v>0.49717411064175321</v>
      </c>
      <c r="BN16" s="205">
        <v>725396.15817299997</v>
      </c>
      <c r="BO16" s="185">
        <v>0.48745323948810326</v>
      </c>
      <c r="BP16" s="185">
        <v>0.49801775546710886</v>
      </c>
      <c r="BQ16" s="205">
        <v>725970.05512099992</v>
      </c>
      <c r="BR16" s="185">
        <f>BQ16/$D16</f>
        <v>0.4651835630746774</v>
      </c>
      <c r="BS16" s="185">
        <f>BQ16/(E16+0.95*F16)</f>
        <v>0.47478756091531632</v>
      </c>
      <c r="BT16" s="205">
        <f t="shared" si="1"/>
        <v>421876.01611199992</v>
      </c>
      <c r="BU16" s="205"/>
      <c r="BV16" s="189" t="e">
        <f>#REF!</f>
        <v>#REF!</v>
      </c>
      <c r="BW16" s="186" t="e">
        <f t="shared" ref="BW16:BW22" si="18">BV16/$D16</f>
        <v>#REF!</v>
      </c>
      <c r="BX16" s="189" t="e">
        <f>#REF!</f>
        <v>#REF!</v>
      </c>
      <c r="BY16" s="186" t="e">
        <f t="shared" ref="BY16:BY22" si="19">BX16/$D16</f>
        <v>#REF!</v>
      </c>
      <c r="BZ16" s="189" t="e">
        <f>#REF!</f>
        <v>#REF!</v>
      </c>
      <c r="CA16" s="186" t="e">
        <f t="shared" ref="CA16:CA22" si="20">BZ16/$D16</f>
        <v>#REF!</v>
      </c>
      <c r="CB16" s="189" t="e">
        <f>#REF!</f>
        <v>#REF!</v>
      </c>
      <c r="CC16" s="186" t="e">
        <f t="shared" ref="CC16:CC22" si="21">CB16/$D16</f>
        <v>#REF!</v>
      </c>
      <c r="CD16" s="189" t="e">
        <f>#REF!</f>
        <v>#REF!</v>
      </c>
      <c r="CE16" s="186" t="e">
        <f t="shared" ref="CE16:CE22" si="22">CD16/$D16</f>
        <v>#REF!</v>
      </c>
      <c r="CF16" s="189" t="e">
        <f>#REF!</f>
        <v>#REF!</v>
      </c>
      <c r="CG16" s="186" t="e">
        <f t="shared" ref="CG16:CG22" si="23">CF16/$D16</f>
        <v>#REF!</v>
      </c>
      <c r="CH16" s="189" t="e">
        <f>#REF!</f>
        <v>#REF!</v>
      </c>
      <c r="CI16" s="186" t="e">
        <f t="shared" ref="CI16:CI22" si="24">CH16/$D16</f>
        <v>#REF!</v>
      </c>
      <c r="CJ16" s="189" t="e">
        <f>#REF!</f>
        <v>#REF!</v>
      </c>
      <c r="CK16" s="186" t="e">
        <f t="shared" ref="CK16:CK22" si="25">CJ16/$D16</f>
        <v>#REF!</v>
      </c>
      <c r="CL16" s="189" t="e">
        <f>#REF!</f>
        <v>#REF!</v>
      </c>
      <c r="CM16" s="186" t="e">
        <f t="shared" ref="CM16:CM22" si="26">CL16/$D16</f>
        <v>#REF!</v>
      </c>
      <c r="CN16" s="189" t="e">
        <f>#REF!</f>
        <v>#REF!</v>
      </c>
      <c r="CO16" s="186" t="e">
        <f t="shared" ref="CO16:CO22" si="27">CN16/$D16</f>
        <v>#REF!</v>
      </c>
      <c r="CP16" s="189" t="e">
        <f>#REF!</f>
        <v>#REF!</v>
      </c>
      <c r="CQ16" s="186" t="e">
        <f t="shared" ref="CQ16:CQ22" si="28">CP16/$D16</f>
        <v>#REF!</v>
      </c>
      <c r="CR16" s="189" t="e">
        <f>#REF!</f>
        <v>#REF!</v>
      </c>
      <c r="CS16" s="186" t="e">
        <f t="shared" ref="CS16:CS22" si="29">CR16/$D16</f>
        <v>#REF!</v>
      </c>
      <c r="CT16" s="189" t="e">
        <f>#REF!</f>
        <v>#REF!</v>
      </c>
      <c r="CU16" s="186" t="e">
        <f t="shared" ref="CU16:CU22" si="30">CT16/$D16</f>
        <v>#REF!</v>
      </c>
      <c r="CV16" s="416">
        <f t="shared" si="17"/>
        <v>573.8969479999505</v>
      </c>
      <c r="CW16" s="191" t="str">
        <f t="shared" ref="CW16:CW79" si="31">IF(BS16&gt;=36.5%,"Cao hơn","Thấp hơn")</f>
        <v>Cao hơn</v>
      </c>
      <c r="CX16" s="191" t="str">
        <f t="shared" ref="CX16:CX79" si="32">IF(BS16&gt;=42.7%,"Cao hơn","Thấp hơn")</f>
        <v>Cao hơn</v>
      </c>
      <c r="CY16" s="213"/>
      <c r="CZ16" s="213"/>
      <c r="DA16" s="213"/>
      <c r="DB16" s="163"/>
      <c r="DC16" s="243"/>
      <c r="DD16" s="195"/>
      <c r="DE16" s="196"/>
      <c r="DF16" s="196"/>
      <c r="DG16" s="197"/>
      <c r="DH16" s="196"/>
      <c r="DI16" s="196"/>
      <c r="DJ16" s="196"/>
      <c r="DL16" s="199"/>
      <c r="DM16" s="200"/>
      <c r="DN16" s="234">
        <v>2439750.6505289995</v>
      </c>
      <c r="DO16" s="420"/>
      <c r="DQ16" s="234">
        <f>2709/7427</f>
        <v>0.36475023562676723</v>
      </c>
    </row>
    <row r="17" spans="1:121" s="234" customFormat="1" ht="32.450000000000003" customHeight="1" x14ac:dyDescent="0.25">
      <c r="A17" s="191">
        <v>2</v>
      </c>
      <c r="B17" s="210" t="s">
        <v>299</v>
      </c>
      <c r="C17" s="210"/>
      <c r="D17" s="205">
        <v>75000</v>
      </c>
      <c r="E17" s="205">
        <v>0</v>
      </c>
      <c r="F17" s="205">
        <v>75000</v>
      </c>
      <c r="G17" s="205">
        <v>0</v>
      </c>
      <c r="H17" s="205">
        <v>75000</v>
      </c>
      <c r="I17" s="205">
        <v>5000</v>
      </c>
      <c r="J17" s="205"/>
      <c r="K17" s="205">
        <v>0</v>
      </c>
      <c r="L17" s="205">
        <v>0</v>
      </c>
      <c r="M17" s="231"/>
      <c r="N17" s="231"/>
      <c r="O17" s="205">
        <v>5000</v>
      </c>
      <c r="P17" s="205">
        <v>0</v>
      </c>
      <c r="Q17" s="186">
        <v>0</v>
      </c>
      <c r="R17" s="205">
        <v>0</v>
      </c>
      <c r="S17" s="185">
        <v>0</v>
      </c>
      <c r="T17" s="185">
        <v>0</v>
      </c>
      <c r="U17" s="205">
        <v>0</v>
      </c>
      <c r="V17" s="185">
        <v>0</v>
      </c>
      <c r="W17" s="185">
        <v>0</v>
      </c>
      <c r="X17" s="205">
        <v>0</v>
      </c>
      <c r="Y17" s="185">
        <v>0</v>
      </c>
      <c r="Z17" s="185">
        <v>0</v>
      </c>
      <c r="AA17" s="205">
        <v>0</v>
      </c>
      <c r="AB17" s="185">
        <v>0</v>
      </c>
      <c r="AC17" s="185">
        <v>0</v>
      </c>
      <c r="AD17" s="205">
        <v>0</v>
      </c>
      <c r="AE17" s="185">
        <v>0</v>
      </c>
      <c r="AF17" s="185">
        <v>0</v>
      </c>
      <c r="AG17" s="205">
        <v>0</v>
      </c>
      <c r="AH17" s="185">
        <v>0</v>
      </c>
      <c r="AI17" s="185">
        <v>0</v>
      </c>
      <c r="AJ17" s="188">
        <v>0</v>
      </c>
      <c r="AK17" s="185">
        <v>0</v>
      </c>
      <c r="AL17" s="185">
        <v>0</v>
      </c>
      <c r="AM17" s="205">
        <v>0</v>
      </c>
      <c r="AN17" s="185">
        <v>0</v>
      </c>
      <c r="AO17" s="185">
        <v>0</v>
      </c>
      <c r="AP17" s="185"/>
      <c r="AQ17" s="205">
        <v>5000</v>
      </c>
      <c r="AR17" s="185">
        <v>6.6666666666666666E-2</v>
      </c>
      <c r="AS17" s="185">
        <v>7.0175438596491224E-2</v>
      </c>
      <c r="AT17" s="205">
        <v>5000</v>
      </c>
      <c r="AU17" s="185">
        <v>6.6666666666666666E-2</v>
      </c>
      <c r="AV17" s="185">
        <v>7.0175438596491224E-2</v>
      </c>
      <c r="AW17" s="185"/>
      <c r="AX17" s="185"/>
      <c r="AY17" s="185"/>
      <c r="AZ17" s="185"/>
      <c r="BA17" s="185"/>
      <c r="BB17" s="185"/>
      <c r="BC17" s="205">
        <v>5000</v>
      </c>
      <c r="BD17" s="185">
        <v>6.6666666666666666E-2</v>
      </c>
      <c r="BE17" s="185">
        <v>7.0175438596491224E-2</v>
      </c>
      <c r="BF17" s="205"/>
      <c r="BG17" s="205">
        <v>5000</v>
      </c>
      <c r="BH17" s="185">
        <v>6.6666666666666666E-2</v>
      </c>
      <c r="BI17" s="185">
        <v>7.0175438596491224E-2</v>
      </c>
      <c r="BJ17" s="205">
        <v>71250</v>
      </c>
      <c r="BK17" s="205">
        <v>17861.675017000001</v>
      </c>
      <c r="BL17" s="185">
        <v>0.23815566689333334</v>
      </c>
      <c r="BM17" s="185">
        <v>0.25069017567719298</v>
      </c>
      <c r="BN17" s="205">
        <v>17861.675017000001</v>
      </c>
      <c r="BO17" s="185">
        <v>0.23815566689333334</v>
      </c>
      <c r="BP17" s="185">
        <v>0.25069017567719298</v>
      </c>
      <c r="BQ17" s="205">
        <v>21000</v>
      </c>
      <c r="BR17" s="185">
        <f>BQ17/$D17</f>
        <v>0.28000000000000003</v>
      </c>
      <c r="BS17" s="185">
        <f>BQ17/(E17+0.95*F17)</f>
        <v>0.29473684210526313</v>
      </c>
      <c r="BT17" s="205">
        <f t="shared" si="1"/>
        <v>21000</v>
      </c>
      <c r="BU17" s="205"/>
      <c r="BV17" s="189" t="e">
        <f>#REF!</f>
        <v>#REF!</v>
      </c>
      <c r="BW17" s="186" t="e">
        <f t="shared" si="18"/>
        <v>#REF!</v>
      </c>
      <c r="BX17" s="189" t="e">
        <f>#REF!</f>
        <v>#REF!</v>
      </c>
      <c r="BY17" s="186" t="e">
        <f t="shared" si="19"/>
        <v>#REF!</v>
      </c>
      <c r="BZ17" s="189" t="e">
        <f>#REF!</f>
        <v>#REF!</v>
      </c>
      <c r="CA17" s="186" t="e">
        <f t="shared" si="20"/>
        <v>#REF!</v>
      </c>
      <c r="CB17" s="189" t="e">
        <f>#REF!</f>
        <v>#REF!</v>
      </c>
      <c r="CC17" s="186" t="e">
        <f t="shared" si="21"/>
        <v>#REF!</v>
      </c>
      <c r="CD17" s="189" t="e">
        <f>#REF!</f>
        <v>#REF!</v>
      </c>
      <c r="CE17" s="186" t="e">
        <f t="shared" si="22"/>
        <v>#REF!</v>
      </c>
      <c r="CF17" s="189" t="e">
        <f>#REF!</f>
        <v>#REF!</v>
      </c>
      <c r="CG17" s="186" t="e">
        <f t="shared" si="23"/>
        <v>#REF!</v>
      </c>
      <c r="CH17" s="189" t="e">
        <f>#REF!</f>
        <v>#REF!</v>
      </c>
      <c r="CI17" s="186" t="e">
        <f t="shared" si="24"/>
        <v>#REF!</v>
      </c>
      <c r="CJ17" s="189" t="e">
        <f>#REF!</f>
        <v>#REF!</v>
      </c>
      <c r="CK17" s="186" t="e">
        <f t="shared" si="25"/>
        <v>#REF!</v>
      </c>
      <c r="CL17" s="189" t="e">
        <f>#REF!</f>
        <v>#REF!</v>
      </c>
      <c r="CM17" s="186" t="e">
        <f t="shared" si="26"/>
        <v>#REF!</v>
      </c>
      <c r="CN17" s="189" t="e">
        <f>#REF!</f>
        <v>#REF!</v>
      </c>
      <c r="CO17" s="186" t="e">
        <f t="shared" si="27"/>
        <v>#REF!</v>
      </c>
      <c r="CP17" s="189" t="e">
        <f>#REF!</f>
        <v>#REF!</v>
      </c>
      <c r="CQ17" s="186" t="e">
        <f t="shared" si="28"/>
        <v>#REF!</v>
      </c>
      <c r="CR17" s="189" t="e">
        <f>#REF!</f>
        <v>#REF!</v>
      </c>
      <c r="CS17" s="186" t="e">
        <f t="shared" si="29"/>
        <v>#REF!</v>
      </c>
      <c r="CT17" s="189" t="e">
        <f>#REF!</f>
        <v>#REF!</v>
      </c>
      <c r="CU17" s="186" t="e">
        <f t="shared" si="30"/>
        <v>#REF!</v>
      </c>
      <c r="CV17" s="416">
        <f t="shared" si="17"/>
        <v>3138.3249829999986</v>
      </c>
      <c r="CW17" s="191" t="str">
        <f t="shared" si="31"/>
        <v>Thấp hơn</v>
      </c>
      <c r="CX17" s="191" t="str">
        <f t="shared" si="32"/>
        <v>Thấp hơn</v>
      </c>
      <c r="CY17" s="213"/>
      <c r="CZ17" s="213"/>
      <c r="DA17" s="213"/>
      <c r="DB17" s="163"/>
      <c r="DC17" s="243"/>
      <c r="DD17" s="195"/>
      <c r="DE17" s="196"/>
      <c r="DF17" s="196"/>
      <c r="DG17" s="197"/>
      <c r="DH17" s="196"/>
      <c r="DI17" s="196"/>
      <c r="DJ17" s="196"/>
      <c r="DL17" s="199"/>
      <c r="DM17" s="200"/>
      <c r="DO17" s="421">
        <f>BQ14+DN14+DP15+DN12</f>
        <v>2658215.6505289995</v>
      </c>
      <c r="DQ17" s="234">
        <f>7427-445.77</f>
        <v>6981.23</v>
      </c>
    </row>
    <row r="18" spans="1:121" s="233" customFormat="1" ht="18" customHeight="1" x14ac:dyDescent="0.25">
      <c r="A18" s="191">
        <v>3</v>
      </c>
      <c r="B18" s="210" t="s">
        <v>343</v>
      </c>
      <c r="C18" s="210"/>
      <c r="D18" s="205">
        <v>4500</v>
      </c>
      <c r="E18" s="205">
        <v>0</v>
      </c>
      <c r="F18" s="205">
        <v>4500</v>
      </c>
      <c r="G18" s="205">
        <v>4500</v>
      </c>
      <c r="H18" s="205"/>
      <c r="I18" s="205">
        <v>0</v>
      </c>
      <c r="J18" s="205"/>
      <c r="K18" s="205">
        <v>0</v>
      </c>
      <c r="L18" s="205">
        <v>0</v>
      </c>
      <c r="M18" s="231"/>
      <c r="N18" s="231"/>
      <c r="O18" s="205">
        <v>21000</v>
      </c>
      <c r="P18" s="205">
        <v>18515</v>
      </c>
      <c r="Q18" s="186">
        <v>0.69867924528301883</v>
      </c>
      <c r="R18" s="205">
        <v>19950</v>
      </c>
      <c r="S18" s="185">
        <v>0.75283018867924534</v>
      </c>
      <c r="T18" s="185">
        <v>0.79245283018867929</v>
      </c>
      <c r="U18" s="205">
        <v>19950</v>
      </c>
      <c r="V18" s="185">
        <v>0.75283018867924534</v>
      </c>
      <c r="W18" s="185">
        <v>0.79245283018867929</v>
      </c>
      <c r="X18" s="205">
        <v>19950</v>
      </c>
      <c r="Y18" s="185">
        <v>0.75283018867924534</v>
      </c>
      <c r="Z18" s="185">
        <v>0.79245283018867929</v>
      </c>
      <c r="AA18" s="205">
        <v>19950</v>
      </c>
      <c r="AB18" s="185">
        <v>0.75283018867924534</v>
      </c>
      <c r="AC18" s="185">
        <v>0.79245283018867929</v>
      </c>
      <c r="AD18" s="205">
        <v>19950</v>
      </c>
      <c r="AE18" s="185">
        <v>0.75283018867924534</v>
      </c>
      <c r="AF18" s="185">
        <v>0.79245283018867929</v>
      </c>
      <c r="AG18" s="205">
        <v>19950</v>
      </c>
      <c r="AH18" s="185">
        <v>0.75283018867924534</v>
      </c>
      <c r="AI18" s="185">
        <v>0.79245283018867929</v>
      </c>
      <c r="AJ18" s="189">
        <v>19950</v>
      </c>
      <c r="AK18" s="185">
        <v>0.75283018867924534</v>
      </c>
      <c r="AL18" s="185">
        <v>0.79245283018867929</v>
      </c>
      <c r="AM18" s="205">
        <v>19950</v>
      </c>
      <c r="AN18" s="185">
        <v>0.75283018867924534</v>
      </c>
      <c r="AO18" s="185">
        <v>0.79245283018867929</v>
      </c>
      <c r="AP18" s="185"/>
      <c r="AQ18" s="205">
        <v>19950</v>
      </c>
      <c r="AR18" s="185">
        <v>0.75283018867924534</v>
      </c>
      <c r="AS18" s="185">
        <v>0.79245283018867929</v>
      </c>
      <c r="AT18" s="205">
        <v>19950</v>
      </c>
      <c r="AU18" s="185">
        <v>0.75283018867924534</v>
      </c>
      <c r="AV18" s="185">
        <v>0.79245283018867929</v>
      </c>
      <c r="AW18" s="185"/>
      <c r="AX18" s="185"/>
      <c r="AY18" s="185"/>
      <c r="AZ18" s="205"/>
      <c r="BA18" s="185"/>
      <c r="BB18" s="185"/>
      <c r="BC18" s="205">
        <v>19950</v>
      </c>
      <c r="BD18" s="185">
        <v>0.75283018867924534</v>
      </c>
      <c r="BE18" s="185">
        <v>0.79245283018867929</v>
      </c>
      <c r="BF18" s="205"/>
      <c r="BG18" s="205">
        <v>19950</v>
      </c>
      <c r="BH18" s="185">
        <v>0.75283018867924534</v>
      </c>
      <c r="BI18" s="185">
        <v>0.79245283018867929</v>
      </c>
      <c r="BJ18" s="205">
        <v>4275</v>
      </c>
      <c r="BK18" s="205">
        <v>4275</v>
      </c>
      <c r="BL18" s="185">
        <v>0.95</v>
      </c>
      <c r="BM18" s="185">
        <v>1</v>
      </c>
      <c r="BN18" s="205">
        <v>4275</v>
      </c>
      <c r="BO18" s="185">
        <v>0.95</v>
      </c>
      <c r="BP18" s="185">
        <v>1</v>
      </c>
      <c r="BQ18" s="205">
        <v>4275</v>
      </c>
      <c r="BR18" s="185">
        <v>0.95</v>
      </c>
      <c r="BS18" s="185">
        <v>1</v>
      </c>
      <c r="BT18" s="205">
        <f t="shared" si="1"/>
        <v>-15675</v>
      </c>
      <c r="BU18" s="205"/>
      <c r="BV18" s="189" t="e">
        <f>#REF!</f>
        <v>#REF!</v>
      </c>
      <c r="BW18" s="186" t="e">
        <f t="shared" si="18"/>
        <v>#REF!</v>
      </c>
      <c r="BX18" s="189" t="e">
        <f>#REF!</f>
        <v>#REF!</v>
      </c>
      <c r="BY18" s="186" t="e">
        <f t="shared" si="19"/>
        <v>#REF!</v>
      </c>
      <c r="BZ18" s="189" t="e">
        <f>#REF!</f>
        <v>#REF!</v>
      </c>
      <c r="CA18" s="186" t="e">
        <f t="shared" si="20"/>
        <v>#REF!</v>
      </c>
      <c r="CB18" s="189" t="e">
        <f>#REF!</f>
        <v>#REF!</v>
      </c>
      <c r="CC18" s="186" t="e">
        <f t="shared" si="21"/>
        <v>#REF!</v>
      </c>
      <c r="CD18" s="189" t="e">
        <f>#REF!</f>
        <v>#REF!</v>
      </c>
      <c r="CE18" s="186" t="e">
        <f t="shared" si="22"/>
        <v>#REF!</v>
      </c>
      <c r="CF18" s="189" t="e">
        <f>#REF!</f>
        <v>#REF!</v>
      </c>
      <c r="CG18" s="186" t="e">
        <f t="shared" si="23"/>
        <v>#REF!</v>
      </c>
      <c r="CH18" s="189" t="e">
        <f>#REF!</f>
        <v>#REF!</v>
      </c>
      <c r="CI18" s="186" t="e">
        <f t="shared" si="24"/>
        <v>#REF!</v>
      </c>
      <c r="CJ18" s="189" t="e">
        <f>#REF!</f>
        <v>#REF!</v>
      </c>
      <c r="CK18" s="186" t="e">
        <f t="shared" si="25"/>
        <v>#REF!</v>
      </c>
      <c r="CL18" s="189" t="e">
        <f>#REF!</f>
        <v>#REF!</v>
      </c>
      <c r="CM18" s="186" t="e">
        <f t="shared" si="26"/>
        <v>#REF!</v>
      </c>
      <c r="CN18" s="189" t="e">
        <f>#REF!</f>
        <v>#REF!</v>
      </c>
      <c r="CO18" s="186" t="e">
        <f t="shared" si="27"/>
        <v>#REF!</v>
      </c>
      <c r="CP18" s="189" t="e">
        <f>#REF!</f>
        <v>#REF!</v>
      </c>
      <c r="CQ18" s="186" t="e">
        <f t="shared" si="28"/>
        <v>#REF!</v>
      </c>
      <c r="CR18" s="189" t="e">
        <f>#REF!</f>
        <v>#REF!</v>
      </c>
      <c r="CS18" s="186" t="e">
        <f t="shared" si="29"/>
        <v>#REF!</v>
      </c>
      <c r="CT18" s="189" t="e">
        <f>#REF!</f>
        <v>#REF!</v>
      </c>
      <c r="CU18" s="186" t="e">
        <f t="shared" si="30"/>
        <v>#REF!</v>
      </c>
      <c r="CV18" s="416">
        <f t="shared" si="17"/>
        <v>0</v>
      </c>
      <c r="CW18" s="191" t="str">
        <f t="shared" si="31"/>
        <v>Cao hơn</v>
      </c>
      <c r="CX18" s="191" t="str">
        <f t="shared" si="32"/>
        <v>Cao hơn</v>
      </c>
      <c r="CY18" s="213"/>
      <c r="CZ18" s="213"/>
      <c r="DA18" s="213"/>
      <c r="DB18" s="163"/>
      <c r="DC18" s="232"/>
      <c r="DD18" s="195"/>
      <c r="DE18" s="196"/>
      <c r="DF18" s="196"/>
      <c r="DG18" s="197"/>
      <c r="DH18" s="196"/>
      <c r="DI18" s="196"/>
      <c r="DJ18" s="196"/>
      <c r="DL18" s="199"/>
      <c r="DM18" s="200"/>
      <c r="DQ18" s="233">
        <f>2709/DQ17</f>
        <v>0.38804050289132436</v>
      </c>
    </row>
    <row r="19" spans="1:121" s="233" customFormat="1" ht="18" customHeight="1" x14ac:dyDescent="0.25">
      <c r="A19" s="191">
        <v>4</v>
      </c>
      <c r="B19" s="210" t="s">
        <v>350</v>
      </c>
      <c r="C19" s="210"/>
      <c r="D19" s="205">
        <v>25000</v>
      </c>
      <c r="E19" s="205">
        <v>0</v>
      </c>
      <c r="F19" s="205">
        <v>25000</v>
      </c>
      <c r="G19" s="205">
        <v>20000</v>
      </c>
      <c r="H19" s="205">
        <v>5000</v>
      </c>
      <c r="I19" s="205">
        <v>0</v>
      </c>
      <c r="J19" s="205"/>
      <c r="K19" s="205">
        <v>0</v>
      </c>
      <c r="L19" s="205">
        <v>0</v>
      </c>
      <c r="M19" s="231"/>
      <c r="N19" s="231"/>
      <c r="O19" s="205">
        <v>20000</v>
      </c>
      <c r="P19" s="205">
        <v>0</v>
      </c>
      <c r="Q19" s="186">
        <v>0</v>
      </c>
      <c r="R19" s="205">
        <v>1426.188042</v>
      </c>
      <c r="S19" s="185">
        <v>6.2008175739130436E-2</v>
      </c>
      <c r="T19" s="185">
        <v>6.5271763935926777E-2</v>
      </c>
      <c r="U19" s="205">
        <v>1426.188042</v>
      </c>
      <c r="V19" s="185">
        <v>6.2008175739130436E-2</v>
      </c>
      <c r="W19" s="185">
        <v>6.5271763935926777E-2</v>
      </c>
      <c r="X19" s="205">
        <v>1426.188042</v>
      </c>
      <c r="Y19" s="185">
        <v>6.2008175739130436E-2</v>
      </c>
      <c r="Z19" s="185">
        <v>6.5271763935926777E-2</v>
      </c>
      <c r="AA19" s="205">
        <v>1426.188042</v>
      </c>
      <c r="AB19" s="185">
        <v>6.2008175739130436E-2</v>
      </c>
      <c r="AC19" s="185">
        <v>6.5271763935926777E-2</v>
      </c>
      <c r="AD19" s="205">
        <v>7600</v>
      </c>
      <c r="AE19" s="185">
        <v>0.33043478260869563</v>
      </c>
      <c r="AF19" s="185">
        <v>0.34782608695652173</v>
      </c>
      <c r="AG19" s="205">
        <v>7600</v>
      </c>
      <c r="AH19" s="185">
        <v>0.33043478260869563</v>
      </c>
      <c r="AI19" s="185">
        <v>0.34782608695652173</v>
      </c>
      <c r="AJ19" s="226">
        <v>7600</v>
      </c>
      <c r="AK19" s="185">
        <v>0.33043478260869563</v>
      </c>
      <c r="AL19" s="185">
        <v>0.34782608695652173</v>
      </c>
      <c r="AM19" s="205">
        <v>7600</v>
      </c>
      <c r="AN19" s="185">
        <v>0.33043478260869563</v>
      </c>
      <c r="AO19" s="185">
        <v>0.34782608695652173</v>
      </c>
      <c r="AP19" s="185"/>
      <c r="AQ19" s="205">
        <v>7600</v>
      </c>
      <c r="AR19" s="185">
        <v>0.33043478260869563</v>
      </c>
      <c r="AS19" s="185">
        <v>0.34782608695652173</v>
      </c>
      <c r="AT19" s="205">
        <v>7600</v>
      </c>
      <c r="AU19" s="185">
        <v>0.33043478260869563</v>
      </c>
      <c r="AV19" s="185">
        <v>0.34782608695652173</v>
      </c>
      <c r="AW19" s="185"/>
      <c r="AX19" s="185"/>
      <c r="AY19" s="185"/>
      <c r="AZ19" s="185"/>
      <c r="BA19" s="185"/>
      <c r="BB19" s="185"/>
      <c r="BC19" s="205">
        <v>7600</v>
      </c>
      <c r="BD19" s="185">
        <v>0.33043478260869563</v>
      </c>
      <c r="BE19" s="185">
        <v>0.34782608695652173</v>
      </c>
      <c r="BF19" s="205"/>
      <c r="BG19" s="205">
        <v>17692</v>
      </c>
      <c r="BH19" s="185">
        <v>0.70767999999999998</v>
      </c>
      <c r="BI19" s="185">
        <v>0.74492631578947366</v>
      </c>
      <c r="BJ19" s="205">
        <v>23750</v>
      </c>
      <c r="BK19" s="205">
        <v>17961.530085999999</v>
      </c>
      <c r="BL19" s="185">
        <v>0.71846120343999997</v>
      </c>
      <c r="BM19" s="185">
        <v>0.75627495098947362</v>
      </c>
      <c r="BN19" s="205">
        <v>17961.530085999999</v>
      </c>
      <c r="BO19" s="185">
        <v>0.71846120343999997</v>
      </c>
      <c r="BP19" s="185">
        <v>0.75627495098947362</v>
      </c>
      <c r="BQ19" s="205">
        <v>17961.530085999999</v>
      </c>
      <c r="BR19" s="185">
        <f t="shared" ref="BR19:BR64" si="33">BQ19/$D19</f>
        <v>0.71846120343999997</v>
      </c>
      <c r="BS19" s="185">
        <f t="shared" ref="BS19:BS50" si="34">BQ19/(E19+0.95*F19)</f>
        <v>0.75627495098947362</v>
      </c>
      <c r="BT19" s="205">
        <f t="shared" si="1"/>
        <v>10361.530085999999</v>
      </c>
      <c r="BU19" s="205"/>
      <c r="BV19" s="189" t="e">
        <f>#REF!</f>
        <v>#REF!</v>
      </c>
      <c r="BW19" s="186" t="e">
        <f t="shared" si="18"/>
        <v>#REF!</v>
      </c>
      <c r="BX19" s="189" t="e">
        <f>#REF!</f>
        <v>#REF!</v>
      </c>
      <c r="BY19" s="186" t="e">
        <f t="shared" si="19"/>
        <v>#REF!</v>
      </c>
      <c r="BZ19" s="189" t="e">
        <f>#REF!</f>
        <v>#REF!</v>
      </c>
      <c r="CA19" s="186" t="e">
        <f t="shared" si="20"/>
        <v>#REF!</v>
      </c>
      <c r="CB19" s="189" t="e">
        <f>#REF!</f>
        <v>#REF!</v>
      </c>
      <c r="CC19" s="186" t="e">
        <f t="shared" si="21"/>
        <v>#REF!</v>
      </c>
      <c r="CD19" s="189" t="e">
        <f>#REF!</f>
        <v>#REF!</v>
      </c>
      <c r="CE19" s="186" t="e">
        <f t="shared" si="22"/>
        <v>#REF!</v>
      </c>
      <c r="CF19" s="189" t="e">
        <f>#REF!</f>
        <v>#REF!</v>
      </c>
      <c r="CG19" s="186" t="e">
        <f t="shared" si="23"/>
        <v>#REF!</v>
      </c>
      <c r="CH19" s="189" t="e">
        <f>#REF!</f>
        <v>#REF!</v>
      </c>
      <c r="CI19" s="186" t="e">
        <f t="shared" si="24"/>
        <v>#REF!</v>
      </c>
      <c r="CJ19" s="189" t="e">
        <f>#REF!</f>
        <v>#REF!</v>
      </c>
      <c r="CK19" s="186" t="e">
        <f t="shared" si="25"/>
        <v>#REF!</v>
      </c>
      <c r="CL19" s="189" t="e">
        <f>#REF!</f>
        <v>#REF!</v>
      </c>
      <c r="CM19" s="186" t="e">
        <f t="shared" si="26"/>
        <v>#REF!</v>
      </c>
      <c r="CN19" s="189" t="e">
        <f>#REF!</f>
        <v>#REF!</v>
      </c>
      <c r="CO19" s="186" t="e">
        <f t="shared" si="27"/>
        <v>#REF!</v>
      </c>
      <c r="CP19" s="189" t="e">
        <f>#REF!</f>
        <v>#REF!</v>
      </c>
      <c r="CQ19" s="186" t="e">
        <f t="shared" si="28"/>
        <v>#REF!</v>
      </c>
      <c r="CR19" s="189" t="e">
        <f>#REF!</f>
        <v>#REF!</v>
      </c>
      <c r="CS19" s="186" t="e">
        <f t="shared" si="29"/>
        <v>#REF!</v>
      </c>
      <c r="CT19" s="189" t="e">
        <f>#REF!</f>
        <v>#REF!</v>
      </c>
      <c r="CU19" s="186" t="e">
        <f t="shared" si="30"/>
        <v>#REF!</v>
      </c>
      <c r="CV19" s="416">
        <f t="shared" si="17"/>
        <v>0</v>
      </c>
      <c r="CW19" s="191" t="str">
        <f t="shared" si="31"/>
        <v>Cao hơn</v>
      </c>
      <c r="CX19" s="191" t="str">
        <f t="shared" si="32"/>
        <v>Cao hơn</v>
      </c>
      <c r="CY19" s="213"/>
      <c r="CZ19" s="213"/>
      <c r="DA19" s="213"/>
      <c r="DB19" s="163"/>
      <c r="DC19" s="232"/>
      <c r="DD19" s="195"/>
      <c r="DE19" s="196"/>
      <c r="DF19" s="196"/>
      <c r="DG19" s="197"/>
      <c r="DH19" s="196"/>
      <c r="DI19" s="196"/>
      <c r="DJ19" s="196"/>
      <c r="DL19" s="199"/>
      <c r="DM19" s="200"/>
      <c r="DN19" s="233">
        <f>2709-2634</f>
        <v>75</v>
      </c>
      <c r="DO19" s="423">
        <f>75/7720</f>
        <v>9.7150259067357511E-3</v>
      </c>
    </row>
    <row r="20" spans="1:121" s="233" customFormat="1" ht="18" customHeight="1" x14ac:dyDescent="0.3">
      <c r="A20" s="191">
        <v>5</v>
      </c>
      <c r="B20" s="210" t="s">
        <v>356</v>
      </c>
      <c r="C20" s="210"/>
      <c r="D20" s="205">
        <v>120538</v>
      </c>
      <c r="E20" s="205">
        <v>0</v>
      </c>
      <c r="F20" s="205">
        <v>120538</v>
      </c>
      <c r="G20" s="205">
        <v>70538</v>
      </c>
      <c r="H20" s="205">
        <v>0</v>
      </c>
      <c r="I20" s="205">
        <v>0</v>
      </c>
      <c r="J20" s="205"/>
      <c r="K20" s="205">
        <v>50000</v>
      </c>
      <c r="L20" s="205">
        <v>0</v>
      </c>
      <c r="M20" s="231"/>
      <c r="N20" s="231"/>
      <c r="O20" s="205">
        <v>70538</v>
      </c>
      <c r="P20" s="205">
        <v>5192</v>
      </c>
      <c r="Q20" s="186">
        <v>4.3073553568169373E-2</v>
      </c>
      <c r="R20" s="205">
        <v>10619.907956999999</v>
      </c>
      <c r="S20" s="185">
        <v>0.21239815913999999</v>
      </c>
      <c r="T20" s="185">
        <v>0.22357700962105262</v>
      </c>
      <c r="U20" s="205">
        <v>10695.719956999999</v>
      </c>
      <c r="V20" s="185">
        <v>0.21391439913999999</v>
      </c>
      <c r="W20" s="185">
        <v>0.22517305172631577</v>
      </c>
      <c r="X20" s="205">
        <v>10695.719956999999</v>
      </c>
      <c r="Y20" s="185">
        <v>0.21391439913999999</v>
      </c>
      <c r="Z20" s="185">
        <v>0.22517305172631577</v>
      </c>
      <c r="AA20" s="205">
        <v>10695.719956999999</v>
      </c>
      <c r="AB20" s="185">
        <v>0.21391439913999999</v>
      </c>
      <c r="AC20" s="185">
        <v>0.22517305172631577</v>
      </c>
      <c r="AD20" s="205">
        <v>10695.719956999999</v>
      </c>
      <c r="AE20" s="185">
        <v>0.21391439913999999</v>
      </c>
      <c r="AF20" s="185">
        <v>0.22517305172631577</v>
      </c>
      <c r="AG20" s="205">
        <v>16216.696532</v>
      </c>
      <c r="AH20" s="185">
        <v>0.32433393063999999</v>
      </c>
      <c r="AI20" s="185">
        <v>0.34140413751578946</v>
      </c>
      <c r="AJ20" s="226">
        <v>16216.696532</v>
      </c>
      <c r="AK20" s="185">
        <v>0.32433393063999999</v>
      </c>
      <c r="AL20" s="185">
        <v>0.34140413751578946</v>
      </c>
      <c r="AM20" s="205">
        <v>16216.696532</v>
      </c>
      <c r="AN20" s="185">
        <v>0.32433393063999999</v>
      </c>
      <c r="AO20" s="185">
        <v>0.34140413751578946</v>
      </c>
      <c r="AP20" s="185"/>
      <c r="AQ20" s="205">
        <v>16216.696532</v>
      </c>
      <c r="AR20" s="185">
        <v>0.32433393063999999</v>
      </c>
      <c r="AS20" s="185">
        <v>0.34140413751578946</v>
      </c>
      <c r="AT20" s="205">
        <v>16216.696532</v>
      </c>
      <c r="AU20" s="185">
        <v>0.32433393063999999</v>
      </c>
      <c r="AV20" s="185">
        <v>0.34140413751578946</v>
      </c>
      <c r="AW20" s="185"/>
      <c r="AX20" s="185"/>
      <c r="AY20" s="185"/>
      <c r="AZ20" s="185"/>
      <c r="BA20" s="185"/>
      <c r="BB20" s="185"/>
      <c r="BC20" s="205">
        <v>16216.696532</v>
      </c>
      <c r="BD20" s="185">
        <v>0.32433393063999999</v>
      </c>
      <c r="BE20" s="185">
        <v>0.34140413751578946</v>
      </c>
      <c r="BF20" s="205"/>
      <c r="BG20" s="205">
        <v>22389</v>
      </c>
      <c r="BH20" s="185">
        <v>0.18574225555426505</v>
      </c>
      <c r="BI20" s="185">
        <v>0.19551816374133163</v>
      </c>
      <c r="BJ20" s="205">
        <v>114511.09999999999</v>
      </c>
      <c r="BK20" s="205">
        <v>23447.195070000002</v>
      </c>
      <c r="BL20" s="185">
        <v>0.19452118891967679</v>
      </c>
      <c r="BM20" s="185">
        <v>0.20475914623123875</v>
      </c>
      <c r="BN20" s="205">
        <v>23447.195070000002</v>
      </c>
      <c r="BO20" s="185">
        <v>0.19452118891967679</v>
      </c>
      <c r="BP20" s="185">
        <v>0.20475914623123875</v>
      </c>
      <c r="BQ20" s="205">
        <v>23447.195070000002</v>
      </c>
      <c r="BR20" s="185">
        <f t="shared" si="33"/>
        <v>0.19452118891967679</v>
      </c>
      <c r="BS20" s="185">
        <f t="shared" si="34"/>
        <v>0.20475914623123875</v>
      </c>
      <c r="BT20" s="205">
        <f t="shared" si="1"/>
        <v>12751.475113000002</v>
      </c>
      <c r="BU20" s="205"/>
      <c r="BV20" s="189" t="e">
        <f>#REF!+#REF!</f>
        <v>#REF!</v>
      </c>
      <c r="BW20" s="186" t="e">
        <f t="shared" si="18"/>
        <v>#REF!</v>
      </c>
      <c r="BX20" s="189" t="e">
        <f>#REF!+#REF!</f>
        <v>#REF!</v>
      </c>
      <c r="BY20" s="186" t="e">
        <f t="shared" si="19"/>
        <v>#REF!</v>
      </c>
      <c r="BZ20" s="189" t="e">
        <f>#REF!+#REF!</f>
        <v>#REF!</v>
      </c>
      <c r="CA20" s="186" t="e">
        <f t="shared" si="20"/>
        <v>#REF!</v>
      </c>
      <c r="CB20" s="189" t="e">
        <f>#REF!+#REF!</f>
        <v>#REF!</v>
      </c>
      <c r="CC20" s="186" t="e">
        <f t="shared" si="21"/>
        <v>#REF!</v>
      </c>
      <c r="CD20" s="189" t="e">
        <f>#REF!+#REF!</f>
        <v>#REF!</v>
      </c>
      <c r="CE20" s="186" t="e">
        <f t="shared" si="22"/>
        <v>#REF!</v>
      </c>
      <c r="CF20" s="189" t="e">
        <f>#REF!+#REF!</f>
        <v>#REF!</v>
      </c>
      <c r="CG20" s="186" t="e">
        <f t="shared" si="23"/>
        <v>#REF!</v>
      </c>
      <c r="CH20" s="189" t="e">
        <f>#REF!+#REF!</f>
        <v>#REF!</v>
      </c>
      <c r="CI20" s="186" t="e">
        <f t="shared" si="24"/>
        <v>#REF!</v>
      </c>
      <c r="CJ20" s="189" t="e">
        <f>#REF!+#REF!</f>
        <v>#REF!</v>
      </c>
      <c r="CK20" s="186" t="e">
        <f t="shared" si="25"/>
        <v>#REF!</v>
      </c>
      <c r="CL20" s="189" t="e">
        <f>#REF!+#REF!</f>
        <v>#REF!</v>
      </c>
      <c r="CM20" s="186" t="e">
        <f t="shared" si="26"/>
        <v>#REF!</v>
      </c>
      <c r="CN20" s="189" t="e">
        <f>#REF!+#REF!</f>
        <v>#REF!</v>
      </c>
      <c r="CO20" s="186" t="e">
        <f t="shared" si="27"/>
        <v>#REF!</v>
      </c>
      <c r="CP20" s="189" t="e">
        <f>#REF!+#REF!</f>
        <v>#REF!</v>
      </c>
      <c r="CQ20" s="186" t="e">
        <f t="shared" si="28"/>
        <v>#REF!</v>
      </c>
      <c r="CR20" s="189" t="e">
        <f>#REF!+#REF!</f>
        <v>#REF!</v>
      </c>
      <c r="CS20" s="186" t="e">
        <f t="shared" si="29"/>
        <v>#REF!</v>
      </c>
      <c r="CT20" s="189" t="e">
        <f>#REF!+#REF!</f>
        <v>#REF!</v>
      </c>
      <c r="CU20" s="186" t="e">
        <f t="shared" si="30"/>
        <v>#REF!</v>
      </c>
      <c r="CV20" s="416">
        <f t="shared" si="17"/>
        <v>0</v>
      </c>
      <c r="CW20" s="191" t="str">
        <f t="shared" si="31"/>
        <v>Thấp hơn</v>
      </c>
      <c r="CX20" s="191" t="str">
        <f t="shared" si="32"/>
        <v>Thấp hơn</v>
      </c>
      <c r="CY20" s="213"/>
      <c r="CZ20" s="213"/>
      <c r="DA20" s="213"/>
      <c r="DB20" s="163"/>
      <c r="DC20" s="232"/>
      <c r="DD20" s="195"/>
      <c r="DE20" s="196"/>
      <c r="DF20" s="196"/>
      <c r="DG20" s="197"/>
      <c r="DH20" s="196"/>
      <c r="DI20" s="196"/>
      <c r="DJ20" s="196"/>
      <c r="DL20" s="199"/>
      <c r="DM20" s="200"/>
      <c r="DN20" s="424">
        <v>5862</v>
      </c>
      <c r="DO20" s="233">
        <f>2016/DN20</f>
        <v>0.34390992835209827</v>
      </c>
    </row>
    <row r="21" spans="1:121" s="233" customFormat="1" ht="18" customHeight="1" x14ac:dyDescent="0.3">
      <c r="A21" s="191">
        <v>6</v>
      </c>
      <c r="B21" s="210" t="s">
        <v>361</v>
      </c>
      <c r="C21" s="210"/>
      <c r="D21" s="205">
        <v>105673.814</v>
      </c>
      <c r="E21" s="205">
        <v>81153.813999999998</v>
      </c>
      <c r="F21" s="205">
        <v>24520</v>
      </c>
      <c r="G21" s="205">
        <v>24520</v>
      </c>
      <c r="H21" s="205">
        <v>0</v>
      </c>
      <c r="I21" s="205">
        <v>0</v>
      </c>
      <c r="J21" s="205"/>
      <c r="K21" s="205">
        <v>0</v>
      </c>
      <c r="L21" s="205">
        <v>0</v>
      </c>
      <c r="M21" s="205">
        <v>0</v>
      </c>
      <c r="N21" s="205">
        <v>0</v>
      </c>
      <c r="O21" s="205">
        <v>24520</v>
      </c>
      <c r="P21" s="205">
        <v>2805</v>
      </c>
      <c r="Q21" s="186">
        <v>2.6543945882373472E-2</v>
      </c>
      <c r="R21" s="205">
        <v>3745.926066</v>
      </c>
      <c r="S21" s="185">
        <v>3.6426633357843193E-2</v>
      </c>
      <c r="T21" s="185">
        <v>3.681472176464444E-2</v>
      </c>
      <c r="U21" s="205">
        <v>3745.926066</v>
      </c>
      <c r="V21" s="185">
        <v>3.6426633357843193E-2</v>
      </c>
      <c r="W21" s="185">
        <v>3.681472176464444E-2</v>
      </c>
      <c r="X21" s="205">
        <v>3745.926066</v>
      </c>
      <c r="Y21" s="185">
        <v>3.6426633357843193E-2</v>
      </c>
      <c r="Z21" s="185">
        <v>3.681472176464444E-2</v>
      </c>
      <c r="AA21" s="205">
        <v>3745.926066</v>
      </c>
      <c r="AB21" s="185">
        <v>3.6426633357843193E-2</v>
      </c>
      <c r="AC21" s="185">
        <v>3.681472176464444E-2</v>
      </c>
      <c r="AD21" s="205">
        <v>3745.926066</v>
      </c>
      <c r="AE21" s="185">
        <v>3.6426633357843193E-2</v>
      </c>
      <c r="AF21" s="185">
        <v>3.681472176464444E-2</v>
      </c>
      <c r="AG21" s="205">
        <v>3745.926066</v>
      </c>
      <c r="AH21" s="185">
        <v>3.6426633357843193E-2</v>
      </c>
      <c r="AI21" s="185">
        <v>3.681472176464444E-2</v>
      </c>
      <c r="AJ21" s="205">
        <v>3745.926066</v>
      </c>
      <c r="AK21" s="185">
        <v>3.6426633357843193E-2</v>
      </c>
      <c r="AL21" s="185">
        <v>3.681472176464444E-2</v>
      </c>
      <c r="AM21" s="205">
        <v>3745.926066</v>
      </c>
      <c r="AN21" s="185">
        <v>3.6426633357843193E-2</v>
      </c>
      <c r="AO21" s="185">
        <v>3.681472176464444E-2</v>
      </c>
      <c r="AP21" s="185"/>
      <c r="AQ21" s="205">
        <v>4496.1298120000001</v>
      </c>
      <c r="AR21" s="185">
        <v>4.3721864581774808E-2</v>
      </c>
      <c r="AS21" s="185">
        <v>4.4187676192780238E-2</v>
      </c>
      <c r="AT21" s="205">
        <v>4496.1298120000001</v>
      </c>
      <c r="AU21" s="185">
        <v>4.3721864581774808E-2</v>
      </c>
      <c r="AV21" s="185">
        <v>4.4187676192780238E-2</v>
      </c>
      <c r="AW21" s="185"/>
      <c r="AX21" s="185"/>
      <c r="AY21" s="185"/>
      <c r="AZ21" s="185"/>
      <c r="BA21" s="185"/>
      <c r="BB21" s="185"/>
      <c r="BC21" s="205">
        <v>4496.1298120000001</v>
      </c>
      <c r="BD21" s="185">
        <v>4.3721864581774808E-2</v>
      </c>
      <c r="BE21" s="185">
        <v>4.4187676192780238E-2</v>
      </c>
      <c r="BF21" s="205"/>
      <c r="BG21" s="205">
        <v>9330.2816659999989</v>
      </c>
      <c r="BH21" s="185">
        <v>8.8293223390233641E-2</v>
      </c>
      <c r="BI21" s="185">
        <v>8.9329602111155718E-2</v>
      </c>
      <c r="BJ21" s="205">
        <v>104447.814</v>
      </c>
      <c r="BK21" s="205">
        <v>9338.7216660000013</v>
      </c>
      <c r="BL21" s="185">
        <v>8.8373091804938561E-2</v>
      </c>
      <c r="BM21" s="185">
        <v>8.9410408014858042E-2</v>
      </c>
      <c r="BN21" s="205">
        <v>9338.7216660000013</v>
      </c>
      <c r="BO21" s="185">
        <v>8.8373091804938561E-2</v>
      </c>
      <c r="BP21" s="185">
        <v>8.9410408014858042E-2</v>
      </c>
      <c r="BQ21" s="205">
        <v>9338.7216660000013</v>
      </c>
      <c r="BR21" s="185">
        <f t="shared" si="33"/>
        <v>8.8373091804938561E-2</v>
      </c>
      <c r="BS21" s="185">
        <f t="shared" si="34"/>
        <v>8.9410408014858042E-2</v>
      </c>
      <c r="BT21" s="205">
        <f t="shared" si="1"/>
        <v>5592.7956000000013</v>
      </c>
      <c r="BU21" s="205"/>
      <c r="BV21" s="189" t="e">
        <f>#REF!+#REF!+#REF!</f>
        <v>#REF!</v>
      </c>
      <c r="BW21" s="186" t="e">
        <f t="shared" si="18"/>
        <v>#REF!</v>
      </c>
      <c r="BX21" s="189" t="e">
        <f>#REF!+#REF!+#REF!</f>
        <v>#REF!</v>
      </c>
      <c r="BY21" s="186" t="e">
        <f t="shared" si="19"/>
        <v>#REF!</v>
      </c>
      <c r="BZ21" s="189" t="e">
        <f>#REF!+#REF!+#REF!</f>
        <v>#REF!</v>
      </c>
      <c r="CA21" s="186" t="e">
        <f t="shared" si="20"/>
        <v>#REF!</v>
      </c>
      <c r="CB21" s="189" t="e">
        <f>#REF!+#REF!+#REF!</f>
        <v>#REF!</v>
      </c>
      <c r="CC21" s="186" t="e">
        <f t="shared" si="21"/>
        <v>#REF!</v>
      </c>
      <c r="CD21" s="189" t="e">
        <f>#REF!+#REF!+#REF!</f>
        <v>#REF!</v>
      </c>
      <c r="CE21" s="186" t="e">
        <f t="shared" si="22"/>
        <v>#REF!</v>
      </c>
      <c r="CF21" s="189" t="e">
        <f>#REF!+#REF!+#REF!</f>
        <v>#REF!</v>
      </c>
      <c r="CG21" s="186" t="e">
        <f t="shared" si="23"/>
        <v>#REF!</v>
      </c>
      <c r="CH21" s="189" t="e">
        <f>#REF!+#REF!+#REF!</f>
        <v>#REF!</v>
      </c>
      <c r="CI21" s="186" t="e">
        <f t="shared" si="24"/>
        <v>#REF!</v>
      </c>
      <c r="CJ21" s="189" t="e">
        <f>#REF!+#REF!+#REF!</f>
        <v>#REF!</v>
      </c>
      <c r="CK21" s="186" t="e">
        <f t="shared" si="25"/>
        <v>#REF!</v>
      </c>
      <c r="CL21" s="189" t="e">
        <f>#REF!+#REF!+#REF!</f>
        <v>#REF!</v>
      </c>
      <c r="CM21" s="186" t="e">
        <f t="shared" si="26"/>
        <v>#REF!</v>
      </c>
      <c r="CN21" s="189" t="e">
        <f>#REF!+#REF!+#REF!</f>
        <v>#REF!</v>
      </c>
      <c r="CO21" s="186" t="e">
        <f t="shared" si="27"/>
        <v>#REF!</v>
      </c>
      <c r="CP21" s="189" t="e">
        <f>#REF!+#REF!+#REF!</f>
        <v>#REF!</v>
      </c>
      <c r="CQ21" s="186" t="e">
        <f t="shared" si="28"/>
        <v>#REF!</v>
      </c>
      <c r="CR21" s="189" t="e">
        <f>#REF!+#REF!+#REF!</f>
        <v>#REF!</v>
      </c>
      <c r="CS21" s="186" t="e">
        <f t="shared" si="29"/>
        <v>#REF!</v>
      </c>
      <c r="CT21" s="189" t="e">
        <f>#REF!+#REF!+#REF!</f>
        <v>#REF!</v>
      </c>
      <c r="CU21" s="186" t="e">
        <f t="shared" si="30"/>
        <v>#REF!</v>
      </c>
      <c r="CV21" s="416">
        <f t="shared" si="17"/>
        <v>0</v>
      </c>
      <c r="CW21" s="191" t="str">
        <f t="shared" si="31"/>
        <v>Thấp hơn</v>
      </c>
      <c r="CX21" s="191" t="str">
        <f t="shared" si="32"/>
        <v>Thấp hơn</v>
      </c>
      <c r="CY21" s="213"/>
      <c r="CZ21" s="213"/>
      <c r="DA21" s="213"/>
      <c r="DB21" s="163"/>
      <c r="DC21" s="232"/>
      <c r="DD21" s="195"/>
      <c r="DE21" s="196"/>
      <c r="DF21" s="196"/>
      <c r="DG21" s="197"/>
      <c r="DH21" s="196"/>
      <c r="DI21" s="196"/>
      <c r="DJ21" s="196"/>
      <c r="DL21" s="199"/>
      <c r="DM21" s="200"/>
      <c r="DN21" s="424">
        <v>1858</v>
      </c>
      <c r="DO21" s="233">
        <f>693/DN21</f>
        <v>0.3729817007534984</v>
      </c>
    </row>
    <row r="22" spans="1:121" s="255" customFormat="1" ht="18" customHeight="1" x14ac:dyDescent="0.25">
      <c r="A22" s="191">
        <v>7</v>
      </c>
      <c r="B22" s="210" t="s">
        <v>369</v>
      </c>
      <c r="C22" s="210"/>
      <c r="D22" s="188">
        <v>37182.199999999997</v>
      </c>
      <c r="E22" s="188">
        <v>37182.199999999997</v>
      </c>
      <c r="F22" s="188">
        <v>0</v>
      </c>
      <c r="G22" s="188">
        <v>0</v>
      </c>
      <c r="H22" s="188">
        <v>0</v>
      </c>
      <c r="I22" s="188">
        <v>0</v>
      </c>
      <c r="J22" s="188"/>
      <c r="K22" s="188">
        <v>0</v>
      </c>
      <c r="L22" s="188">
        <v>0</v>
      </c>
      <c r="M22" s="188">
        <v>0</v>
      </c>
      <c r="N22" s="188">
        <v>0</v>
      </c>
      <c r="O22" s="188">
        <v>0</v>
      </c>
      <c r="P22" s="188">
        <v>0</v>
      </c>
      <c r="Q22" s="186">
        <v>0</v>
      </c>
      <c r="R22" s="188">
        <v>0</v>
      </c>
      <c r="S22" s="185">
        <v>0</v>
      </c>
      <c r="T22" s="185">
        <v>0</v>
      </c>
      <c r="U22" s="188">
        <v>0</v>
      </c>
      <c r="V22" s="185">
        <v>0</v>
      </c>
      <c r="W22" s="185">
        <v>0</v>
      </c>
      <c r="X22" s="188">
        <v>0</v>
      </c>
      <c r="Y22" s="185">
        <v>0</v>
      </c>
      <c r="Z22" s="185">
        <v>0</v>
      </c>
      <c r="AA22" s="188">
        <v>0</v>
      </c>
      <c r="AB22" s="185">
        <v>0</v>
      </c>
      <c r="AC22" s="185">
        <v>0</v>
      </c>
      <c r="AD22" s="188">
        <v>0</v>
      </c>
      <c r="AE22" s="185">
        <v>0</v>
      </c>
      <c r="AF22" s="185">
        <v>0</v>
      </c>
      <c r="AG22" s="188">
        <v>0</v>
      </c>
      <c r="AH22" s="185">
        <v>0</v>
      </c>
      <c r="AI22" s="185">
        <v>0</v>
      </c>
      <c r="AJ22" s="188">
        <v>0</v>
      </c>
      <c r="AK22" s="185">
        <v>0</v>
      </c>
      <c r="AL22" s="185">
        <v>0</v>
      </c>
      <c r="AM22" s="188">
        <v>0</v>
      </c>
      <c r="AN22" s="185">
        <v>0</v>
      </c>
      <c r="AO22" s="185">
        <v>0</v>
      </c>
      <c r="AP22" s="185"/>
      <c r="AQ22" s="188">
        <v>0</v>
      </c>
      <c r="AR22" s="185">
        <v>0</v>
      </c>
      <c r="AS22" s="185">
        <v>0</v>
      </c>
      <c r="AT22" s="188">
        <v>0</v>
      </c>
      <c r="AU22" s="185">
        <v>0</v>
      </c>
      <c r="AV22" s="185">
        <v>0</v>
      </c>
      <c r="AW22" s="185"/>
      <c r="AX22" s="185"/>
      <c r="AY22" s="185"/>
      <c r="AZ22" s="185"/>
      <c r="BA22" s="185"/>
      <c r="BB22" s="185"/>
      <c r="BC22" s="188">
        <v>0</v>
      </c>
      <c r="BD22" s="185">
        <v>0</v>
      </c>
      <c r="BE22" s="185">
        <v>0</v>
      </c>
      <c r="BF22" s="188"/>
      <c r="BG22" s="188">
        <v>0</v>
      </c>
      <c r="BH22" s="185">
        <v>0</v>
      </c>
      <c r="BI22" s="185">
        <v>0</v>
      </c>
      <c r="BJ22" s="188">
        <v>37182.199999999997</v>
      </c>
      <c r="BK22" s="188">
        <v>0</v>
      </c>
      <c r="BL22" s="185">
        <v>0</v>
      </c>
      <c r="BM22" s="185">
        <v>0</v>
      </c>
      <c r="BN22" s="188">
        <v>0</v>
      </c>
      <c r="BO22" s="185">
        <v>0</v>
      </c>
      <c r="BP22" s="185">
        <v>0</v>
      </c>
      <c r="BQ22" s="188"/>
      <c r="BR22" s="185">
        <f t="shared" si="33"/>
        <v>0</v>
      </c>
      <c r="BS22" s="185">
        <f t="shared" si="34"/>
        <v>0</v>
      </c>
      <c r="BT22" s="205">
        <f t="shared" si="1"/>
        <v>0</v>
      </c>
      <c r="BU22" s="205"/>
      <c r="BV22" s="189" t="e">
        <f>#REF!</f>
        <v>#REF!</v>
      </c>
      <c r="BW22" s="186" t="e">
        <f t="shared" si="18"/>
        <v>#REF!</v>
      </c>
      <c r="BX22" s="189" t="e">
        <f>#REF!</f>
        <v>#REF!</v>
      </c>
      <c r="BY22" s="186" t="e">
        <f t="shared" si="19"/>
        <v>#REF!</v>
      </c>
      <c r="BZ22" s="189" t="e">
        <f>#REF!</f>
        <v>#REF!</v>
      </c>
      <c r="CA22" s="186" t="e">
        <f t="shared" si="20"/>
        <v>#REF!</v>
      </c>
      <c r="CB22" s="189" t="e">
        <f>#REF!</f>
        <v>#REF!</v>
      </c>
      <c r="CC22" s="186" t="e">
        <f t="shared" si="21"/>
        <v>#REF!</v>
      </c>
      <c r="CD22" s="189" t="e">
        <f>#REF!</f>
        <v>#REF!</v>
      </c>
      <c r="CE22" s="186" t="e">
        <f t="shared" si="22"/>
        <v>#REF!</v>
      </c>
      <c r="CF22" s="189" t="e">
        <f>#REF!</f>
        <v>#REF!</v>
      </c>
      <c r="CG22" s="186" t="e">
        <f t="shared" si="23"/>
        <v>#REF!</v>
      </c>
      <c r="CH22" s="189" t="e">
        <f>#REF!</f>
        <v>#REF!</v>
      </c>
      <c r="CI22" s="186" t="e">
        <f t="shared" si="24"/>
        <v>#REF!</v>
      </c>
      <c r="CJ22" s="189" t="e">
        <f>#REF!</f>
        <v>#REF!</v>
      </c>
      <c r="CK22" s="186" t="e">
        <f t="shared" si="25"/>
        <v>#REF!</v>
      </c>
      <c r="CL22" s="189" t="e">
        <f>#REF!</f>
        <v>#REF!</v>
      </c>
      <c r="CM22" s="186" t="e">
        <f t="shared" si="26"/>
        <v>#REF!</v>
      </c>
      <c r="CN22" s="189" t="e">
        <f>#REF!</f>
        <v>#REF!</v>
      </c>
      <c r="CO22" s="186" t="e">
        <f t="shared" si="27"/>
        <v>#REF!</v>
      </c>
      <c r="CP22" s="189" t="e">
        <f>#REF!</f>
        <v>#REF!</v>
      </c>
      <c r="CQ22" s="186" t="e">
        <f t="shared" si="28"/>
        <v>#REF!</v>
      </c>
      <c r="CR22" s="189" t="e">
        <f>#REF!</f>
        <v>#REF!</v>
      </c>
      <c r="CS22" s="186" t="e">
        <f t="shared" si="29"/>
        <v>#REF!</v>
      </c>
      <c r="CT22" s="189" t="e">
        <f>#REF!</f>
        <v>#REF!</v>
      </c>
      <c r="CU22" s="186" t="e">
        <f t="shared" si="30"/>
        <v>#REF!</v>
      </c>
      <c r="CV22" s="416">
        <f t="shared" si="17"/>
        <v>0</v>
      </c>
      <c r="CW22" s="191" t="str">
        <f t="shared" si="31"/>
        <v>Thấp hơn</v>
      </c>
      <c r="CX22" s="191" t="str">
        <f t="shared" si="32"/>
        <v>Thấp hơn</v>
      </c>
      <c r="CY22" s="213"/>
      <c r="CZ22" s="213"/>
      <c r="DA22" s="231"/>
      <c r="DB22" s="163"/>
      <c r="DC22" s="252"/>
      <c r="DD22" s="195"/>
      <c r="DE22" s="196"/>
      <c r="DF22" s="196"/>
      <c r="DG22" s="197"/>
      <c r="DH22" s="196"/>
      <c r="DI22" s="196"/>
      <c r="DJ22" s="196"/>
      <c r="DL22" s="199"/>
      <c r="DM22" s="200"/>
    </row>
    <row r="23" spans="1:121" s="255" customFormat="1" x14ac:dyDescent="0.25">
      <c r="A23" s="191">
        <v>8</v>
      </c>
      <c r="B23" s="240" t="s">
        <v>372</v>
      </c>
      <c r="C23" s="240"/>
      <c r="D23" s="188">
        <v>8600</v>
      </c>
      <c r="E23" s="188">
        <v>8600</v>
      </c>
      <c r="F23" s="188">
        <v>0</v>
      </c>
      <c r="G23" s="188">
        <v>0</v>
      </c>
      <c r="H23" s="188">
        <v>0</v>
      </c>
      <c r="I23" s="188">
        <v>0</v>
      </c>
      <c r="J23" s="188">
        <v>0</v>
      </c>
      <c r="K23" s="188">
        <v>0</v>
      </c>
      <c r="L23" s="188">
        <v>0</v>
      </c>
      <c r="M23" s="188">
        <v>0</v>
      </c>
      <c r="N23" s="188">
        <v>0</v>
      </c>
      <c r="O23" s="188">
        <v>0</v>
      </c>
      <c r="P23" s="188">
        <v>0</v>
      </c>
      <c r="Q23" s="188">
        <v>0</v>
      </c>
      <c r="R23" s="188">
        <v>0</v>
      </c>
      <c r="S23" s="188">
        <v>0</v>
      </c>
      <c r="T23" s="188">
        <v>0</v>
      </c>
      <c r="U23" s="188">
        <v>0</v>
      </c>
      <c r="V23" s="188">
        <v>0</v>
      </c>
      <c r="W23" s="188">
        <v>0</v>
      </c>
      <c r="X23" s="188">
        <v>0</v>
      </c>
      <c r="Y23" s="188">
        <v>0</v>
      </c>
      <c r="Z23" s="188">
        <v>0</v>
      </c>
      <c r="AA23" s="188">
        <v>0</v>
      </c>
      <c r="AB23" s="188">
        <v>0</v>
      </c>
      <c r="AC23" s="188">
        <v>0</v>
      </c>
      <c r="AD23" s="188">
        <v>0</v>
      </c>
      <c r="AE23" s="188">
        <v>0</v>
      </c>
      <c r="AF23" s="188">
        <v>0</v>
      </c>
      <c r="AG23" s="188">
        <v>0</v>
      </c>
      <c r="AH23" s="188">
        <v>0</v>
      </c>
      <c r="AI23" s="188">
        <v>0</v>
      </c>
      <c r="AJ23" s="188">
        <v>0</v>
      </c>
      <c r="AK23" s="188">
        <v>0</v>
      </c>
      <c r="AL23" s="188">
        <v>0</v>
      </c>
      <c r="AM23" s="188">
        <v>0</v>
      </c>
      <c r="AN23" s="188">
        <v>0</v>
      </c>
      <c r="AO23" s="188">
        <v>0</v>
      </c>
      <c r="AP23" s="188">
        <v>0</v>
      </c>
      <c r="AQ23" s="188">
        <v>0</v>
      </c>
      <c r="AR23" s="188">
        <v>0</v>
      </c>
      <c r="AS23" s="188">
        <v>0</v>
      </c>
      <c r="AT23" s="188">
        <v>0</v>
      </c>
      <c r="AU23" s="188">
        <v>0</v>
      </c>
      <c r="AV23" s="188">
        <v>0</v>
      </c>
      <c r="AW23" s="188">
        <v>0</v>
      </c>
      <c r="AX23" s="188">
        <v>0</v>
      </c>
      <c r="AY23" s="188">
        <v>0</v>
      </c>
      <c r="AZ23" s="188">
        <v>0</v>
      </c>
      <c r="BA23" s="188">
        <v>0</v>
      </c>
      <c r="BB23" s="188">
        <v>0</v>
      </c>
      <c r="BC23" s="231"/>
      <c r="BD23" s="296"/>
      <c r="BE23" s="296"/>
      <c r="BF23" s="231"/>
      <c r="BG23" s="231"/>
      <c r="BH23" s="296">
        <v>0</v>
      </c>
      <c r="BI23" s="296">
        <v>0</v>
      </c>
      <c r="BJ23" s="403">
        <v>8600</v>
      </c>
      <c r="BK23" s="403">
        <v>0</v>
      </c>
      <c r="BL23" s="296">
        <v>0</v>
      </c>
      <c r="BM23" s="296">
        <v>0</v>
      </c>
      <c r="BN23" s="403">
        <v>0</v>
      </c>
      <c r="BO23" s="296">
        <v>0</v>
      </c>
      <c r="BP23" s="296">
        <v>0</v>
      </c>
      <c r="BQ23" s="403"/>
      <c r="BR23" s="296">
        <f t="shared" si="33"/>
        <v>0</v>
      </c>
      <c r="BS23" s="296">
        <f t="shared" si="34"/>
        <v>0</v>
      </c>
      <c r="BT23" s="205"/>
      <c r="BU23" s="205"/>
      <c r="BV23" s="297"/>
      <c r="BW23" s="298"/>
      <c r="BX23" s="297"/>
      <c r="BY23" s="298"/>
      <c r="BZ23" s="297"/>
      <c r="CA23" s="298"/>
      <c r="CB23" s="297"/>
      <c r="CC23" s="298"/>
      <c r="CD23" s="297"/>
      <c r="CE23" s="298"/>
      <c r="CF23" s="297"/>
      <c r="CG23" s="298"/>
      <c r="CH23" s="297"/>
      <c r="CI23" s="298"/>
      <c r="CJ23" s="297"/>
      <c r="CK23" s="298"/>
      <c r="CL23" s="297"/>
      <c r="CM23" s="298"/>
      <c r="CN23" s="297"/>
      <c r="CO23" s="298"/>
      <c r="CP23" s="297"/>
      <c r="CQ23" s="298"/>
      <c r="CR23" s="297"/>
      <c r="CS23" s="298"/>
      <c r="CT23" s="297"/>
      <c r="CU23" s="298"/>
      <c r="CV23" s="416">
        <f t="shared" si="17"/>
        <v>0</v>
      </c>
      <c r="CW23" s="191" t="str">
        <f t="shared" si="31"/>
        <v>Thấp hơn</v>
      </c>
      <c r="CX23" s="191" t="str">
        <f t="shared" si="32"/>
        <v>Thấp hơn</v>
      </c>
      <c r="CY23" s="213"/>
      <c r="CZ23" s="213"/>
      <c r="DA23" s="231"/>
      <c r="DB23" s="163"/>
      <c r="DC23" s="252"/>
      <c r="DD23" s="253"/>
      <c r="DE23" s="254"/>
      <c r="DF23" s="254"/>
      <c r="DG23" s="198"/>
      <c r="DH23" s="254"/>
      <c r="DI23" s="254"/>
      <c r="DJ23" s="254"/>
      <c r="DL23" s="199"/>
      <c r="DM23" s="200"/>
    </row>
    <row r="24" spans="1:121" ht="18" customHeight="1" x14ac:dyDescent="0.25">
      <c r="A24" s="191">
        <v>9</v>
      </c>
      <c r="B24" s="240" t="s">
        <v>385</v>
      </c>
      <c r="C24" s="240"/>
      <c r="D24" s="188">
        <v>143400.110506</v>
      </c>
      <c r="E24" s="188">
        <v>66500.110505999997</v>
      </c>
      <c r="F24" s="188">
        <v>76900</v>
      </c>
      <c r="G24" s="188">
        <v>33000</v>
      </c>
      <c r="H24" s="188">
        <v>43900</v>
      </c>
      <c r="I24" s="188">
        <v>0</v>
      </c>
      <c r="J24" s="188"/>
      <c r="K24" s="188">
        <v>0</v>
      </c>
      <c r="L24" s="188">
        <v>0</v>
      </c>
      <c r="M24" s="188">
        <v>0</v>
      </c>
      <c r="N24" s="188">
        <v>0</v>
      </c>
      <c r="O24" s="188">
        <v>33000</v>
      </c>
      <c r="P24" s="188">
        <v>2461</v>
      </c>
      <c r="Q24" s="186">
        <v>1.7161771991082458E-2</v>
      </c>
      <c r="R24" s="189">
        <v>2736.32</v>
      </c>
      <c r="S24" s="185">
        <v>1.9081714723542767E-2</v>
      </c>
      <c r="T24" s="185">
        <v>1.9607451064161174E-2</v>
      </c>
      <c r="U24" s="189">
        <v>5175.192035</v>
      </c>
      <c r="V24" s="185">
        <v>3.6089177454179611E-2</v>
      </c>
      <c r="W24" s="185">
        <v>3.7083500677515494E-2</v>
      </c>
      <c r="X24" s="189">
        <v>8106.4310349999996</v>
      </c>
      <c r="Y24" s="185">
        <v>5.653015891267963E-2</v>
      </c>
      <c r="Z24" s="185">
        <v>5.8087668775494067E-2</v>
      </c>
      <c r="AA24" s="189">
        <v>8106.4310349999996</v>
      </c>
      <c r="AB24" s="185">
        <v>5.653015891267963E-2</v>
      </c>
      <c r="AC24" s="185">
        <v>5.8087668775494067E-2</v>
      </c>
      <c r="AD24" s="189">
        <v>8657.8545350000004</v>
      </c>
      <c r="AE24" s="185">
        <v>6.03755081111862E-2</v>
      </c>
      <c r="AF24" s="185">
        <v>6.2038964417772194E-2</v>
      </c>
      <c r="AG24" s="189">
        <v>8657.8545350000004</v>
      </c>
      <c r="AH24" s="185">
        <v>6.03755081111862E-2</v>
      </c>
      <c r="AI24" s="185">
        <v>6.2038964417772194E-2</v>
      </c>
      <c r="AJ24" s="189">
        <v>8657.8545350000004</v>
      </c>
      <c r="AK24" s="185">
        <v>6.03755081111862E-2</v>
      </c>
      <c r="AL24" s="185">
        <v>6.2038964417772194E-2</v>
      </c>
      <c r="AM24" s="189">
        <v>8657.8545350000004</v>
      </c>
      <c r="AN24" s="185">
        <v>6.03755081111862E-2</v>
      </c>
      <c r="AO24" s="185">
        <v>6.2038964417772194E-2</v>
      </c>
      <c r="AP24" s="185"/>
      <c r="AQ24" s="189">
        <v>13702.339035000001</v>
      </c>
      <c r="AR24" s="185">
        <v>9.5553197181299815E-2</v>
      </c>
      <c r="AS24" s="185">
        <v>9.8185863529597406E-2</v>
      </c>
      <c r="AT24" s="189">
        <v>13702.339035000001</v>
      </c>
      <c r="AU24" s="185">
        <v>9.5553197181299815E-2</v>
      </c>
      <c r="AV24" s="185">
        <v>9.8185863529597406E-2</v>
      </c>
      <c r="AW24" s="185"/>
      <c r="AX24" s="185"/>
      <c r="AY24" s="185"/>
      <c r="AZ24" s="185"/>
      <c r="BA24" s="185"/>
      <c r="BB24" s="185"/>
      <c r="BC24" s="189">
        <v>13702.339035000001</v>
      </c>
      <c r="BD24" s="185">
        <v>9.5553197181299815E-2</v>
      </c>
      <c r="BE24" s="185">
        <v>9.8185863529597406E-2</v>
      </c>
      <c r="BF24" s="189"/>
      <c r="BG24" s="189">
        <v>13959.064034999999</v>
      </c>
      <c r="BH24" s="185">
        <v>9.7343467768220018E-2</v>
      </c>
      <c r="BI24" s="185">
        <v>0.10002545936431219</v>
      </c>
      <c r="BJ24" s="189">
        <v>139555.110506</v>
      </c>
      <c r="BK24" s="189">
        <v>20704.191035</v>
      </c>
      <c r="BL24" s="185">
        <v>0.1443805793589937</v>
      </c>
      <c r="BM24" s="185">
        <v>0.14835852990213388</v>
      </c>
      <c r="BN24" s="189">
        <v>20718.314034999999</v>
      </c>
      <c r="BO24" s="185">
        <v>0.14447906603344721</v>
      </c>
      <c r="BP24" s="185">
        <v>0.14845973006563054</v>
      </c>
      <c r="BQ24" s="189">
        <v>26229.188034999999</v>
      </c>
      <c r="BR24" s="185">
        <f t="shared" si="33"/>
        <v>0.18290912010073065</v>
      </c>
      <c r="BS24" s="185">
        <f t="shared" si="34"/>
        <v>0.18794860281288164</v>
      </c>
      <c r="BT24" s="205">
        <f t="shared" ref="BT24:BT55" si="35">BQ24-AD24</f>
        <v>17571.333500000001</v>
      </c>
      <c r="BU24" s="205"/>
      <c r="BV24" s="189" t="e">
        <f>#REF!+#REF!</f>
        <v>#REF!</v>
      </c>
      <c r="BW24" s="186" t="e">
        <f t="shared" ref="BW24:BW64" si="36">BV24/$D24</f>
        <v>#REF!</v>
      </c>
      <c r="BX24" s="189" t="e">
        <f>#REF!+#REF!</f>
        <v>#REF!</v>
      </c>
      <c r="BY24" s="186" t="e">
        <f t="shared" ref="BY24:BY64" si="37">BX24/$D24</f>
        <v>#REF!</v>
      </c>
      <c r="BZ24" s="189" t="e">
        <f>#REF!+#REF!</f>
        <v>#REF!</v>
      </c>
      <c r="CA24" s="186" t="e">
        <f t="shared" ref="CA24:CA64" si="38">BZ24/$D24</f>
        <v>#REF!</v>
      </c>
      <c r="CB24" s="189" t="e">
        <f>#REF!+#REF!</f>
        <v>#REF!</v>
      </c>
      <c r="CC24" s="186" t="e">
        <f t="shared" ref="CC24:CC64" si="39">CB24/$D24</f>
        <v>#REF!</v>
      </c>
      <c r="CD24" s="189" t="e">
        <f>#REF!+#REF!</f>
        <v>#REF!</v>
      </c>
      <c r="CE24" s="186" t="e">
        <f t="shared" ref="CE24:CE64" si="40">CD24/$D24</f>
        <v>#REF!</v>
      </c>
      <c r="CF24" s="189" t="e">
        <f>#REF!+#REF!</f>
        <v>#REF!</v>
      </c>
      <c r="CG24" s="186" t="e">
        <f t="shared" ref="CG24:CG64" si="41">CF24/$D24</f>
        <v>#REF!</v>
      </c>
      <c r="CH24" s="189" t="e">
        <f>#REF!+#REF!</f>
        <v>#REF!</v>
      </c>
      <c r="CI24" s="186" t="e">
        <f t="shared" ref="CI24:CI64" si="42">CH24/$D24</f>
        <v>#REF!</v>
      </c>
      <c r="CJ24" s="189" t="e">
        <f>#REF!+#REF!</f>
        <v>#REF!</v>
      </c>
      <c r="CK24" s="186" t="e">
        <f t="shared" ref="CK24:CK64" si="43">CJ24/$D24</f>
        <v>#REF!</v>
      </c>
      <c r="CL24" s="189" t="e">
        <f>#REF!+#REF!</f>
        <v>#REF!</v>
      </c>
      <c r="CM24" s="186" t="e">
        <f t="shared" ref="CM24:CM64" si="44">CL24/$D24</f>
        <v>#REF!</v>
      </c>
      <c r="CN24" s="189" t="e">
        <f>#REF!+#REF!</f>
        <v>#REF!</v>
      </c>
      <c r="CO24" s="186" t="e">
        <f t="shared" ref="CO24:CO64" si="45">CN24/$D24</f>
        <v>#REF!</v>
      </c>
      <c r="CP24" s="189" t="e">
        <f>#REF!+#REF!</f>
        <v>#REF!</v>
      </c>
      <c r="CQ24" s="186" t="e">
        <f t="shared" ref="CQ24:CQ64" si="46">CP24/$D24</f>
        <v>#REF!</v>
      </c>
      <c r="CR24" s="189" t="e">
        <f>#REF!+#REF!</f>
        <v>#REF!</v>
      </c>
      <c r="CS24" s="186" t="e">
        <f t="shared" ref="CS24:CS64" si="47">CR24/$D24</f>
        <v>#REF!</v>
      </c>
      <c r="CT24" s="189" t="e">
        <f>#REF!+#REF!</f>
        <v>#REF!</v>
      </c>
      <c r="CU24" s="186" t="e">
        <f t="shared" ref="CU24:CU64" si="48">CT24/$D24</f>
        <v>#REF!</v>
      </c>
      <c r="CV24" s="416">
        <f t="shared" si="17"/>
        <v>5510.8739999999998</v>
      </c>
      <c r="CW24" s="191" t="str">
        <f t="shared" si="31"/>
        <v>Thấp hơn</v>
      </c>
      <c r="CX24" s="191" t="str">
        <f t="shared" si="32"/>
        <v>Thấp hơn</v>
      </c>
      <c r="CY24" s="213"/>
      <c r="CZ24" s="213"/>
      <c r="DA24" s="231"/>
      <c r="DB24" s="163"/>
      <c r="DD24" s="195"/>
      <c r="DE24" s="196"/>
      <c r="DF24" s="196"/>
      <c r="DG24" s="197"/>
      <c r="DH24" s="196"/>
      <c r="DI24" s="196"/>
      <c r="DJ24" s="196"/>
      <c r="DL24" s="199"/>
      <c r="DM24" s="200"/>
    </row>
    <row r="25" spans="1:121" ht="18" customHeight="1" x14ac:dyDescent="0.25">
      <c r="A25" s="191">
        <v>10</v>
      </c>
      <c r="B25" s="240" t="s">
        <v>389</v>
      </c>
      <c r="C25" s="240"/>
      <c r="D25" s="188">
        <v>3000</v>
      </c>
      <c r="E25" s="188">
        <v>0</v>
      </c>
      <c r="F25" s="188">
        <v>3000</v>
      </c>
      <c r="G25" s="188">
        <v>3000</v>
      </c>
      <c r="H25" s="188">
        <v>0</v>
      </c>
      <c r="I25" s="188">
        <v>0</v>
      </c>
      <c r="J25" s="188"/>
      <c r="K25" s="188">
        <v>0</v>
      </c>
      <c r="L25" s="188">
        <v>0</v>
      </c>
      <c r="M25" s="231"/>
      <c r="N25" s="231"/>
      <c r="O25" s="188">
        <v>3000</v>
      </c>
      <c r="P25" s="188">
        <v>0</v>
      </c>
      <c r="Q25" s="186">
        <v>0</v>
      </c>
      <c r="R25" s="188">
        <v>0</v>
      </c>
      <c r="S25" s="185">
        <v>0</v>
      </c>
      <c r="T25" s="185">
        <v>0</v>
      </c>
      <c r="U25" s="188">
        <v>0</v>
      </c>
      <c r="V25" s="185">
        <v>0</v>
      </c>
      <c r="W25" s="185">
        <v>0</v>
      </c>
      <c r="X25" s="188">
        <v>0</v>
      </c>
      <c r="Y25" s="185">
        <v>0</v>
      </c>
      <c r="Z25" s="185">
        <v>0</v>
      </c>
      <c r="AA25" s="188">
        <v>0</v>
      </c>
      <c r="AB25" s="185">
        <v>0</v>
      </c>
      <c r="AC25" s="185">
        <v>0</v>
      </c>
      <c r="AD25" s="188">
        <v>0</v>
      </c>
      <c r="AE25" s="185">
        <v>0</v>
      </c>
      <c r="AF25" s="185">
        <v>0</v>
      </c>
      <c r="AG25" s="188">
        <v>0</v>
      </c>
      <c r="AH25" s="185">
        <v>0</v>
      </c>
      <c r="AI25" s="185">
        <v>0</v>
      </c>
      <c r="AJ25" s="303">
        <v>0</v>
      </c>
      <c r="AK25" s="185">
        <v>0</v>
      </c>
      <c r="AL25" s="185">
        <v>0</v>
      </c>
      <c r="AM25" s="188">
        <v>0</v>
      </c>
      <c r="AN25" s="185">
        <v>0</v>
      </c>
      <c r="AO25" s="185">
        <v>0</v>
      </c>
      <c r="AP25" s="185"/>
      <c r="AQ25" s="188">
        <v>503.98</v>
      </c>
      <c r="AR25" s="185">
        <v>0.16799333333333333</v>
      </c>
      <c r="AS25" s="185">
        <v>0.17683508771929826</v>
      </c>
      <c r="AT25" s="188">
        <v>503.98</v>
      </c>
      <c r="AU25" s="185">
        <v>0.16799333333333333</v>
      </c>
      <c r="AV25" s="185">
        <v>0.17683508771929826</v>
      </c>
      <c r="AW25" s="185"/>
      <c r="AX25" s="185"/>
      <c r="AY25" s="185"/>
      <c r="AZ25" s="185"/>
      <c r="BA25" s="185"/>
      <c r="BB25" s="185"/>
      <c r="BC25" s="188">
        <v>503.98</v>
      </c>
      <c r="BD25" s="185">
        <v>0.16799333333333333</v>
      </c>
      <c r="BE25" s="185">
        <v>0.17683508771929826</v>
      </c>
      <c r="BF25" s="188"/>
      <c r="BG25" s="188">
        <v>1230.6559999999999</v>
      </c>
      <c r="BH25" s="185">
        <v>0.41021866666666668</v>
      </c>
      <c r="BI25" s="185">
        <v>0.43180912280701755</v>
      </c>
      <c r="BJ25" s="188">
        <v>2850</v>
      </c>
      <c r="BK25" s="188">
        <v>2618.4969999999998</v>
      </c>
      <c r="BL25" s="185">
        <v>0.87283233333333332</v>
      </c>
      <c r="BM25" s="185">
        <v>0.91877087719298245</v>
      </c>
      <c r="BN25" s="374">
        <v>2618.4969999999998</v>
      </c>
      <c r="BO25" s="185">
        <v>0.87283233333333332</v>
      </c>
      <c r="BP25" s="185">
        <v>0.91877087719298245</v>
      </c>
      <c r="BQ25" s="374">
        <v>2618.4969999999998</v>
      </c>
      <c r="BR25" s="185">
        <f t="shared" si="33"/>
        <v>0.87283233333333332</v>
      </c>
      <c r="BS25" s="185">
        <f t="shared" si="34"/>
        <v>0.91877087719298245</v>
      </c>
      <c r="BT25" s="205">
        <f t="shared" si="35"/>
        <v>2618.4969999999998</v>
      </c>
      <c r="BU25" s="205"/>
      <c r="BV25" s="189" t="e">
        <f>#REF!</f>
        <v>#REF!</v>
      </c>
      <c r="BW25" s="186" t="e">
        <f t="shared" si="36"/>
        <v>#REF!</v>
      </c>
      <c r="BX25" s="189" t="e">
        <f>#REF!</f>
        <v>#REF!</v>
      </c>
      <c r="BY25" s="186" t="e">
        <f t="shared" si="37"/>
        <v>#REF!</v>
      </c>
      <c r="BZ25" s="189" t="e">
        <f>#REF!</f>
        <v>#REF!</v>
      </c>
      <c r="CA25" s="186" t="e">
        <f t="shared" si="38"/>
        <v>#REF!</v>
      </c>
      <c r="CB25" s="189" t="e">
        <f>#REF!</f>
        <v>#REF!</v>
      </c>
      <c r="CC25" s="186" t="e">
        <f t="shared" si="39"/>
        <v>#REF!</v>
      </c>
      <c r="CD25" s="189" t="e">
        <f>#REF!</f>
        <v>#REF!</v>
      </c>
      <c r="CE25" s="186" t="e">
        <f t="shared" si="40"/>
        <v>#REF!</v>
      </c>
      <c r="CF25" s="189" t="e">
        <f>#REF!</f>
        <v>#REF!</v>
      </c>
      <c r="CG25" s="186" t="e">
        <f t="shared" si="41"/>
        <v>#REF!</v>
      </c>
      <c r="CH25" s="189" t="e">
        <f>#REF!</f>
        <v>#REF!</v>
      </c>
      <c r="CI25" s="186" t="e">
        <f t="shared" si="42"/>
        <v>#REF!</v>
      </c>
      <c r="CJ25" s="189" t="e">
        <f>#REF!</f>
        <v>#REF!</v>
      </c>
      <c r="CK25" s="186" t="e">
        <f t="shared" si="43"/>
        <v>#REF!</v>
      </c>
      <c r="CL25" s="189" t="e">
        <f>#REF!</f>
        <v>#REF!</v>
      </c>
      <c r="CM25" s="186" t="e">
        <f t="shared" si="44"/>
        <v>#REF!</v>
      </c>
      <c r="CN25" s="189" t="e">
        <f>#REF!</f>
        <v>#REF!</v>
      </c>
      <c r="CO25" s="186" t="e">
        <f t="shared" si="45"/>
        <v>#REF!</v>
      </c>
      <c r="CP25" s="189" t="e">
        <f>#REF!</f>
        <v>#REF!</v>
      </c>
      <c r="CQ25" s="186" t="e">
        <f t="shared" si="46"/>
        <v>#REF!</v>
      </c>
      <c r="CR25" s="189" t="e">
        <f>#REF!</f>
        <v>#REF!</v>
      </c>
      <c r="CS25" s="186" t="e">
        <f t="shared" si="47"/>
        <v>#REF!</v>
      </c>
      <c r="CT25" s="189" t="e">
        <f>#REF!</f>
        <v>#REF!</v>
      </c>
      <c r="CU25" s="186" t="e">
        <f t="shared" si="48"/>
        <v>#REF!</v>
      </c>
      <c r="CV25" s="416">
        <f t="shared" si="17"/>
        <v>0</v>
      </c>
      <c r="CW25" s="191" t="str">
        <f t="shared" si="31"/>
        <v>Cao hơn</v>
      </c>
      <c r="CX25" s="191" t="str">
        <f t="shared" si="32"/>
        <v>Cao hơn</v>
      </c>
      <c r="CY25" s="213"/>
      <c r="CZ25" s="213"/>
      <c r="DA25" s="231"/>
      <c r="DB25" s="163"/>
      <c r="DD25" s="195"/>
      <c r="DE25" s="196"/>
      <c r="DF25" s="196"/>
      <c r="DG25" s="197"/>
      <c r="DH25" s="196"/>
      <c r="DI25" s="196"/>
      <c r="DJ25" s="196"/>
      <c r="DL25" s="199"/>
      <c r="DM25" s="200"/>
    </row>
    <row r="26" spans="1:121" ht="18" customHeight="1" x14ac:dyDescent="0.25">
      <c r="A26" s="191">
        <v>11</v>
      </c>
      <c r="B26" s="240" t="s">
        <v>453</v>
      </c>
      <c r="C26" s="240"/>
      <c r="D26" s="188">
        <v>166907.22700000001</v>
      </c>
      <c r="E26" s="188">
        <v>0</v>
      </c>
      <c r="F26" s="188">
        <v>166907.22700000001</v>
      </c>
      <c r="G26" s="188">
        <v>3157.2269999999999</v>
      </c>
      <c r="H26" s="188">
        <v>163750</v>
      </c>
      <c r="I26" s="188">
        <v>0</v>
      </c>
      <c r="J26" s="188">
        <v>0</v>
      </c>
      <c r="K26" s="188">
        <v>0</v>
      </c>
      <c r="L26" s="188">
        <v>0</v>
      </c>
      <c r="M26" s="188">
        <v>0</v>
      </c>
      <c r="N26" s="188">
        <v>0</v>
      </c>
      <c r="O26" s="188">
        <v>3000</v>
      </c>
      <c r="P26" s="188">
        <v>0</v>
      </c>
      <c r="Q26" s="186">
        <v>0</v>
      </c>
      <c r="R26" s="188">
        <v>0</v>
      </c>
      <c r="S26" s="185">
        <v>0</v>
      </c>
      <c r="T26" s="185">
        <v>0</v>
      </c>
      <c r="U26" s="188">
        <v>173.05199999999999</v>
      </c>
      <c r="V26" s="185">
        <v>1.0377931034482757E-3</v>
      </c>
      <c r="W26" s="185">
        <v>1.0924137931034481E-3</v>
      </c>
      <c r="X26" s="188">
        <v>173.05199999999999</v>
      </c>
      <c r="Y26" s="185">
        <v>1.0377931034482757E-3</v>
      </c>
      <c r="Z26" s="185">
        <v>1.0924137931034481E-3</v>
      </c>
      <c r="AA26" s="188">
        <v>173.05199999999999</v>
      </c>
      <c r="AB26" s="185">
        <v>1.0377931034482757E-3</v>
      </c>
      <c r="AC26" s="185">
        <v>1.0924137931034481E-3</v>
      </c>
      <c r="AD26" s="188">
        <v>1998.8809999999999</v>
      </c>
      <c r="AE26" s="185">
        <v>1.1987292353823087E-2</v>
      </c>
      <c r="AF26" s="185">
        <v>1.2618202477708514E-2</v>
      </c>
      <c r="AG26" s="188">
        <v>1998.8809999999999</v>
      </c>
      <c r="AH26" s="185">
        <v>1.1987292353823087E-2</v>
      </c>
      <c r="AI26" s="185">
        <v>1.2618202477708514E-2</v>
      </c>
      <c r="AJ26" s="317">
        <v>1998.8809999999999</v>
      </c>
      <c r="AK26" s="185">
        <v>1.1987292353823087E-2</v>
      </c>
      <c r="AL26" s="185">
        <v>1.2618202477708514E-2</v>
      </c>
      <c r="AM26" s="188">
        <v>1998.8809999999999</v>
      </c>
      <c r="AN26" s="185">
        <v>1.1987292353823087E-2</v>
      </c>
      <c r="AO26" s="185">
        <v>1.2618202477708514E-2</v>
      </c>
      <c r="AP26" s="185"/>
      <c r="AQ26" s="188">
        <v>9490.0709999999999</v>
      </c>
      <c r="AR26" s="185">
        <v>5.6911970014992506E-2</v>
      </c>
      <c r="AS26" s="185">
        <v>5.9907336857886843E-2</v>
      </c>
      <c r="AT26" s="188">
        <v>9490.0709999999999</v>
      </c>
      <c r="AU26" s="185">
        <v>5.6911970014992506E-2</v>
      </c>
      <c r="AV26" s="185">
        <v>5.9907336857886843E-2</v>
      </c>
      <c r="AW26" s="185"/>
      <c r="AX26" s="185"/>
      <c r="AY26" s="185"/>
      <c r="AZ26" s="185"/>
      <c r="BA26" s="185"/>
      <c r="BB26" s="185"/>
      <c r="BC26" s="188">
        <v>9490.0709999999999</v>
      </c>
      <c r="BD26" s="185">
        <v>5.6911970014992506E-2</v>
      </c>
      <c r="BE26" s="185">
        <v>5.9907336857886843E-2</v>
      </c>
      <c r="BF26" s="188"/>
      <c r="BG26" s="188">
        <v>10699.332000000002</v>
      </c>
      <c r="BH26" s="185">
        <v>6.4103467490955329E-2</v>
      </c>
      <c r="BI26" s="185">
        <v>6.7477334201005615E-2</v>
      </c>
      <c r="BJ26" s="188">
        <v>158561.86564999999</v>
      </c>
      <c r="BK26" s="188">
        <v>20852.985000000001</v>
      </c>
      <c r="BL26" s="185">
        <v>0.12493757984487992</v>
      </c>
      <c r="BM26" s="185">
        <v>0.13151324194197889</v>
      </c>
      <c r="BN26" s="374">
        <v>20852.985000000001</v>
      </c>
      <c r="BO26" s="185">
        <v>0.12493757984487992</v>
      </c>
      <c r="BP26" s="185">
        <v>0.13151324194197889</v>
      </c>
      <c r="BQ26" s="374">
        <v>25278.927</v>
      </c>
      <c r="BR26" s="185">
        <f t="shared" si="33"/>
        <v>0.15145495766938838</v>
      </c>
      <c r="BS26" s="185">
        <f t="shared" si="34"/>
        <v>0.15942627123093517</v>
      </c>
      <c r="BT26" s="205">
        <f t="shared" si="35"/>
        <v>23280.045999999998</v>
      </c>
      <c r="BU26" s="205"/>
      <c r="BV26" s="189" t="e">
        <f>#REF!+#REF!+#REF!</f>
        <v>#REF!</v>
      </c>
      <c r="BW26" s="186" t="e">
        <f t="shared" si="36"/>
        <v>#REF!</v>
      </c>
      <c r="BX26" s="189" t="e">
        <f>#REF!+#REF!+#REF!</f>
        <v>#REF!</v>
      </c>
      <c r="BY26" s="186" t="e">
        <f t="shared" si="37"/>
        <v>#REF!</v>
      </c>
      <c r="BZ26" s="189" t="e">
        <f>#REF!+#REF!+#REF!</f>
        <v>#REF!</v>
      </c>
      <c r="CA26" s="186" t="e">
        <f t="shared" si="38"/>
        <v>#REF!</v>
      </c>
      <c r="CB26" s="189" t="e">
        <f>#REF!+#REF!+#REF!</f>
        <v>#REF!</v>
      </c>
      <c r="CC26" s="186" t="e">
        <f t="shared" si="39"/>
        <v>#REF!</v>
      </c>
      <c r="CD26" s="189" t="e">
        <f>#REF!+#REF!+#REF!</f>
        <v>#REF!</v>
      </c>
      <c r="CE26" s="186" t="e">
        <f t="shared" si="40"/>
        <v>#REF!</v>
      </c>
      <c r="CF26" s="189" t="e">
        <f>#REF!+#REF!+#REF!</f>
        <v>#REF!</v>
      </c>
      <c r="CG26" s="186" t="e">
        <f t="shared" si="41"/>
        <v>#REF!</v>
      </c>
      <c r="CH26" s="189" t="e">
        <f>#REF!+#REF!+#REF!</f>
        <v>#REF!</v>
      </c>
      <c r="CI26" s="186" t="e">
        <f t="shared" si="42"/>
        <v>#REF!</v>
      </c>
      <c r="CJ26" s="189" t="e">
        <f>#REF!+#REF!+#REF!</f>
        <v>#REF!</v>
      </c>
      <c r="CK26" s="186" t="e">
        <f t="shared" si="43"/>
        <v>#REF!</v>
      </c>
      <c r="CL26" s="189" t="e">
        <f>#REF!+#REF!+#REF!</f>
        <v>#REF!</v>
      </c>
      <c r="CM26" s="186" t="e">
        <f t="shared" si="44"/>
        <v>#REF!</v>
      </c>
      <c r="CN26" s="189" t="e">
        <f>#REF!+#REF!+#REF!</f>
        <v>#REF!</v>
      </c>
      <c r="CO26" s="186" t="e">
        <f t="shared" si="45"/>
        <v>#REF!</v>
      </c>
      <c r="CP26" s="189" t="e">
        <f>#REF!+#REF!+#REF!</f>
        <v>#REF!</v>
      </c>
      <c r="CQ26" s="186" t="e">
        <f t="shared" si="46"/>
        <v>#REF!</v>
      </c>
      <c r="CR26" s="189" t="e">
        <f>#REF!+#REF!+#REF!</f>
        <v>#REF!</v>
      </c>
      <c r="CS26" s="186" t="e">
        <f t="shared" si="47"/>
        <v>#REF!</v>
      </c>
      <c r="CT26" s="189" t="e">
        <f>#REF!+#REF!+#REF!</f>
        <v>#REF!</v>
      </c>
      <c r="CU26" s="186" t="e">
        <f t="shared" si="48"/>
        <v>#REF!</v>
      </c>
      <c r="CV26" s="416">
        <f t="shared" si="17"/>
        <v>4425.9419999999991</v>
      </c>
      <c r="CW26" s="191" t="str">
        <f t="shared" si="31"/>
        <v>Thấp hơn</v>
      </c>
      <c r="CX26" s="191" t="str">
        <f t="shared" si="32"/>
        <v>Thấp hơn</v>
      </c>
      <c r="CY26" s="213"/>
      <c r="CZ26" s="213"/>
      <c r="DA26" s="231"/>
      <c r="DB26" s="163"/>
      <c r="DD26" s="195"/>
      <c r="DE26" s="196"/>
      <c r="DF26" s="196"/>
      <c r="DG26" s="197"/>
      <c r="DH26" s="196"/>
      <c r="DI26" s="196"/>
      <c r="DJ26" s="196"/>
      <c r="DL26" s="199"/>
      <c r="DM26" s="200"/>
    </row>
    <row r="27" spans="1:121" ht="18" customHeight="1" x14ac:dyDescent="0.25">
      <c r="A27" s="191">
        <v>12</v>
      </c>
      <c r="B27" s="240" t="s">
        <v>456</v>
      </c>
      <c r="C27" s="240"/>
      <c r="D27" s="188">
        <v>3000</v>
      </c>
      <c r="E27" s="188">
        <v>0</v>
      </c>
      <c r="F27" s="188">
        <v>3000</v>
      </c>
      <c r="G27" s="188">
        <v>3000</v>
      </c>
      <c r="H27" s="188">
        <v>0</v>
      </c>
      <c r="I27" s="188">
        <v>0</v>
      </c>
      <c r="J27" s="188"/>
      <c r="K27" s="188">
        <v>0</v>
      </c>
      <c r="L27" s="188">
        <v>0</v>
      </c>
      <c r="M27" s="231"/>
      <c r="N27" s="231"/>
      <c r="O27" s="188">
        <v>3000</v>
      </c>
      <c r="P27" s="188">
        <v>0</v>
      </c>
      <c r="Q27" s="186">
        <v>0</v>
      </c>
      <c r="R27" s="188">
        <v>0</v>
      </c>
      <c r="S27" s="185">
        <v>0</v>
      </c>
      <c r="T27" s="185">
        <v>0</v>
      </c>
      <c r="U27" s="188">
        <v>722.93299999999999</v>
      </c>
      <c r="V27" s="185">
        <v>0.24097766666666667</v>
      </c>
      <c r="W27" s="185">
        <v>0.25366070175438599</v>
      </c>
      <c r="X27" s="188">
        <v>722.93299999999999</v>
      </c>
      <c r="Y27" s="185">
        <v>0.24097766666666667</v>
      </c>
      <c r="Z27" s="185">
        <v>0.25366070175438599</v>
      </c>
      <c r="AA27" s="188">
        <v>722.93299999999999</v>
      </c>
      <c r="AB27" s="185">
        <v>0.24097766666666667</v>
      </c>
      <c r="AC27" s="185">
        <v>0.25366070175438599</v>
      </c>
      <c r="AD27" s="188">
        <v>745.35299999999995</v>
      </c>
      <c r="AE27" s="185">
        <v>0.24845099999999998</v>
      </c>
      <c r="AF27" s="185">
        <v>0.26152736842105262</v>
      </c>
      <c r="AG27" s="188">
        <v>745.35299999999995</v>
      </c>
      <c r="AH27" s="185">
        <v>0.24845099999999998</v>
      </c>
      <c r="AI27" s="185">
        <v>0.26152736842105262</v>
      </c>
      <c r="AJ27" s="303">
        <v>745.35299999999995</v>
      </c>
      <c r="AK27" s="185">
        <v>0.24845099999999998</v>
      </c>
      <c r="AL27" s="185">
        <v>0.26152736842105262</v>
      </c>
      <c r="AM27" s="188">
        <v>745.35299999999995</v>
      </c>
      <c r="AN27" s="185">
        <v>0.24845099999999998</v>
      </c>
      <c r="AO27" s="185">
        <v>0.26152736842105262</v>
      </c>
      <c r="AP27" s="185"/>
      <c r="AQ27" s="188">
        <v>745.35299999999995</v>
      </c>
      <c r="AR27" s="185">
        <v>0.24845099999999998</v>
      </c>
      <c r="AS27" s="185">
        <v>0.26152736842105262</v>
      </c>
      <c r="AT27" s="188">
        <v>745.35299999999995</v>
      </c>
      <c r="AU27" s="185">
        <v>0.24845099999999998</v>
      </c>
      <c r="AV27" s="185">
        <v>0.26152736842105262</v>
      </c>
      <c r="AW27" s="185"/>
      <c r="AX27" s="185"/>
      <c r="AY27" s="185"/>
      <c r="AZ27" s="185"/>
      <c r="BA27" s="185"/>
      <c r="BB27" s="185"/>
      <c r="BC27" s="188">
        <v>745.35299999999995</v>
      </c>
      <c r="BD27" s="185">
        <v>0.24845099999999998</v>
      </c>
      <c r="BE27" s="185">
        <v>0.26152736842105262</v>
      </c>
      <c r="BF27" s="352"/>
      <c r="BG27" s="352">
        <v>1268</v>
      </c>
      <c r="BH27" s="185">
        <v>0.42266666666666669</v>
      </c>
      <c r="BI27" s="185">
        <v>0.44491228070175437</v>
      </c>
      <c r="BJ27" s="374">
        <v>2850</v>
      </c>
      <c r="BK27" s="374">
        <v>1746</v>
      </c>
      <c r="BL27" s="185">
        <v>0.58199999999999996</v>
      </c>
      <c r="BM27" s="185">
        <v>0.61263157894736842</v>
      </c>
      <c r="BN27" s="374">
        <v>1746</v>
      </c>
      <c r="BO27" s="185">
        <v>0.58199999999999996</v>
      </c>
      <c r="BP27" s="185">
        <v>0.61263157894736842</v>
      </c>
      <c r="BQ27" s="374">
        <v>1746</v>
      </c>
      <c r="BR27" s="185">
        <f t="shared" si="33"/>
        <v>0.58199999999999996</v>
      </c>
      <c r="BS27" s="185">
        <f t="shared" si="34"/>
        <v>0.61263157894736842</v>
      </c>
      <c r="BT27" s="205">
        <f t="shared" si="35"/>
        <v>1000.647</v>
      </c>
      <c r="BU27" s="205"/>
      <c r="BV27" s="189" t="e">
        <f>#REF!</f>
        <v>#REF!</v>
      </c>
      <c r="BW27" s="186" t="e">
        <f t="shared" si="36"/>
        <v>#REF!</v>
      </c>
      <c r="BX27" s="189" t="e">
        <f>#REF!</f>
        <v>#REF!</v>
      </c>
      <c r="BY27" s="186" t="e">
        <f t="shared" si="37"/>
        <v>#REF!</v>
      </c>
      <c r="BZ27" s="189" t="e">
        <f>#REF!</f>
        <v>#REF!</v>
      </c>
      <c r="CA27" s="186" t="e">
        <f t="shared" si="38"/>
        <v>#REF!</v>
      </c>
      <c r="CB27" s="189" t="e">
        <f>#REF!</f>
        <v>#REF!</v>
      </c>
      <c r="CC27" s="186" t="e">
        <f t="shared" si="39"/>
        <v>#REF!</v>
      </c>
      <c r="CD27" s="189" t="e">
        <f>#REF!</f>
        <v>#REF!</v>
      </c>
      <c r="CE27" s="186" t="e">
        <f t="shared" si="40"/>
        <v>#REF!</v>
      </c>
      <c r="CF27" s="189" t="e">
        <f>#REF!</f>
        <v>#REF!</v>
      </c>
      <c r="CG27" s="186" t="e">
        <f t="shared" si="41"/>
        <v>#REF!</v>
      </c>
      <c r="CH27" s="189" t="e">
        <f>#REF!</f>
        <v>#REF!</v>
      </c>
      <c r="CI27" s="186" t="e">
        <f t="shared" si="42"/>
        <v>#REF!</v>
      </c>
      <c r="CJ27" s="189" t="e">
        <f>#REF!</f>
        <v>#REF!</v>
      </c>
      <c r="CK27" s="186" t="e">
        <f t="shared" si="43"/>
        <v>#REF!</v>
      </c>
      <c r="CL27" s="189" t="e">
        <f>#REF!</f>
        <v>#REF!</v>
      </c>
      <c r="CM27" s="186" t="e">
        <f t="shared" si="44"/>
        <v>#REF!</v>
      </c>
      <c r="CN27" s="189" t="e">
        <f>#REF!</f>
        <v>#REF!</v>
      </c>
      <c r="CO27" s="186" t="e">
        <f t="shared" si="45"/>
        <v>#REF!</v>
      </c>
      <c r="CP27" s="189" t="e">
        <f>#REF!</f>
        <v>#REF!</v>
      </c>
      <c r="CQ27" s="186" t="e">
        <f t="shared" si="46"/>
        <v>#REF!</v>
      </c>
      <c r="CR27" s="189" t="e">
        <f>#REF!</f>
        <v>#REF!</v>
      </c>
      <c r="CS27" s="186" t="e">
        <f t="shared" si="47"/>
        <v>#REF!</v>
      </c>
      <c r="CT27" s="189" t="e">
        <f>#REF!</f>
        <v>#REF!</v>
      </c>
      <c r="CU27" s="186" t="e">
        <f t="shared" si="48"/>
        <v>#REF!</v>
      </c>
      <c r="CV27" s="416">
        <f t="shared" si="17"/>
        <v>0</v>
      </c>
      <c r="CW27" s="191" t="str">
        <f t="shared" si="31"/>
        <v>Cao hơn</v>
      </c>
      <c r="CX27" s="191" t="str">
        <f t="shared" si="32"/>
        <v>Cao hơn</v>
      </c>
      <c r="CY27" s="213"/>
      <c r="CZ27" s="213"/>
      <c r="DA27" s="231"/>
      <c r="DB27" s="163"/>
      <c r="DD27" s="195"/>
      <c r="DE27" s="196"/>
      <c r="DF27" s="196"/>
      <c r="DG27" s="197"/>
      <c r="DH27" s="196"/>
      <c r="DI27" s="196"/>
      <c r="DJ27" s="196"/>
      <c r="DL27" s="199"/>
      <c r="DM27" s="200"/>
    </row>
    <row r="28" spans="1:121" ht="18" customHeight="1" x14ac:dyDescent="0.25">
      <c r="A28" s="191">
        <v>13</v>
      </c>
      <c r="B28" s="240" t="s">
        <v>457</v>
      </c>
      <c r="C28" s="240"/>
      <c r="D28" s="188">
        <v>3255</v>
      </c>
      <c r="E28" s="188">
        <v>0</v>
      </c>
      <c r="F28" s="188">
        <v>3255</v>
      </c>
      <c r="G28" s="188">
        <v>3000</v>
      </c>
      <c r="H28" s="188">
        <v>255</v>
      </c>
      <c r="I28" s="188">
        <v>0</v>
      </c>
      <c r="J28" s="188"/>
      <c r="K28" s="188">
        <v>0</v>
      </c>
      <c r="L28" s="188">
        <v>0</v>
      </c>
      <c r="M28" s="188">
        <v>0</v>
      </c>
      <c r="N28" s="188">
        <v>0</v>
      </c>
      <c r="O28" s="188">
        <v>3000</v>
      </c>
      <c r="P28" s="188">
        <v>550</v>
      </c>
      <c r="Q28" s="186">
        <v>0.16897081413210446</v>
      </c>
      <c r="R28" s="189">
        <v>599.4</v>
      </c>
      <c r="S28" s="185">
        <v>0.18414746543778801</v>
      </c>
      <c r="T28" s="185">
        <v>0.19383943730293474</v>
      </c>
      <c r="U28" s="304">
        <v>2766.8240000000001</v>
      </c>
      <c r="V28" s="185">
        <v>0.85002273425499231</v>
      </c>
      <c r="W28" s="185">
        <v>0.8947607728999919</v>
      </c>
      <c r="X28" s="304">
        <v>2766.8240000000001</v>
      </c>
      <c r="Y28" s="185">
        <v>0.85002273425499231</v>
      </c>
      <c r="Z28" s="185">
        <v>0.8947607728999919</v>
      </c>
      <c r="AA28" s="304">
        <v>2766.8240000000001</v>
      </c>
      <c r="AB28" s="185">
        <v>0.85002273425499231</v>
      </c>
      <c r="AC28" s="185">
        <v>0.8947607728999919</v>
      </c>
      <c r="AD28" s="304">
        <v>2766.8240000000001</v>
      </c>
      <c r="AE28" s="185">
        <v>0.85002273425499231</v>
      </c>
      <c r="AF28" s="185">
        <v>0.8947607728999919</v>
      </c>
      <c r="AG28" s="304">
        <v>2766.8240000000001</v>
      </c>
      <c r="AH28" s="185">
        <v>0.85002273425499231</v>
      </c>
      <c r="AI28" s="185">
        <v>0.8947607728999919</v>
      </c>
      <c r="AJ28" s="303">
        <v>2766.8240000000001</v>
      </c>
      <c r="AK28" s="185">
        <v>0.85002273425499231</v>
      </c>
      <c r="AL28" s="185">
        <v>0.8947607728999919</v>
      </c>
      <c r="AM28" s="304">
        <v>2766.8240000000001</v>
      </c>
      <c r="AN28" s="185">
        <v>0.85002273425499231</v>
      </c>
      <c r="AO28" s="185">
        <v>0.8947607728999919</v>
      </c>
      <c r="AP28" s="185"/>
      <c r="AQ28" s="189">
        <v>2811.4720000000002</v>
      </c>
      <c r="AR28" s="185">
        <v>0.86373947772657456</v>
      </c>
      <c r="AS28" s="185">
        <v>0.90919945023849957</v>
      </c>
      <c r="AT28" s="189">
        <v>2811.4720000000002</v>
      </c>
      <c r="AU28" s="185">
        <v>0.86373947772657456</v>
      </c>
      <c r="AV28" s="185">
        <v>0.90919945023849957</v>
      </c>
      <c r="AW28" s="185"/>
      <c r="AX28" s="185"/>
      <c r="AY28" s="185"/>
      <c r="AZ28" s="185"/>
      <c r="BA28" s="185"/>
      <c r="BB28" s="185"/>
      <c r="BC28" s="189">
        <v>2811.4720000000002</v>
      </c>
      <c r="BD28" s="185">
        <v>0.86373947772657456</v>
      </c>
      <c r="BE28" s="185">
        <v>0.90919945023849957</v>
      </c>
      <c r="BF28" s="352"/>
      <c r="BG28" s="352">
        <v>2850.4720000000002</v>
      </c>
      <c r="BH28" s="185">
        <v>0.87572104454685107</v>
      </c>
      <c r="BI28" s="185">
        <v>0.92181162583879062</v>
      </c>
      <c r="BJ28" s="374">
        <v>3092.25</v>
      </c>
      <c r="BK28" s="374">
        <v>2850.4720000000002</v>
      </c>
      <c r="BL28" s="185">
        <v>0.87572104454685107</v>
      </c>
      <c r="BM28" s="185">
        <v>0.92181162583879062</v>
      </c>
      <c r="BN28" s="374">
        <v>2850.4720000000002</v>
      </c>
      <c r="BO28" s="185">
        <v>0.87572104454685107</v>
      </c>
      <c r="BP28" s="185">
        <v>0.92181162583879062</v>
      </c>
      <c r="BQ28" s="374">
        <v>2850.4720000000002</v>
      </c>
      <c r="BR28" s="185">
        <f t="shared" si="33"/>
        <v>0.87572104454685107</v>
      </c>
      <c r="BS28" s="185">
        <f t="shared" si="34"/>
        <v>0.92181162583879062</v>
      </c>
      <c r="BT28" s="205">
        <f t="shared" si="35"/>
        <v>83.648000000000138</v>
      </c>
      <c r="BU28" s="205"/>
      <c r="BV28" s="189" t="e">
        <f>#REF!+#REF!</f>
        <v>#REF!</v>
      </c>
      <c r="BW28" s="186" t="e">
        <f t="shared" si="36"/>
        <v>#REF!</v>
      </c>
      <c r="BX28" s="189" t="e">
        <f>#REF!+#REF!</f>
        <v>#REF!</v>
      </c>
      <c r="BY28" s="186" t="e">
        <f t="shared" si="37"/>
        <v>#REF!</v>
      </c>
      <c r="BZ28" s="189" t="e">
        <f>#REF!+#REF!</f>
        <v>#REF!</v>
      </c>
      <c r="CA28" s="186" t="e">
        <f t="shared" si="38"/>
        <v>#REF!</v>
      </c>
      <c r="CB28" s="189" t="e">
        <f>#REF!+#REF!</f>
        <v>#REF!</v>
      </c>
      <c r="CC28" s="186" t="e">
        <f t="shared" si="39"/>
        <v>#REF!</v>
      </c>
      <c r="CD28" s="189" t="e">
        <f>#REF!+#REF!</f>
        <v>#REF!</v>
      </c>
      <c r="CE28" s="186" t="e">
        <f t="shared" si="40"/>
        <v>#REF!</v>
      </c>
      <c r="CF28" s="189" t="e">
        <f>#REF!+#REF!</f>
        <v>#REF!</v>
      </c>
      <c r="CG28" s="186" t="e">
        <f t="shared" si="41"/>
        <v>#REF!</v>
      </c>
      <c r="CH28" s="189" t="e">
        <f>#REF!+#REF!</f>
        <v>#REF!</v>
      </c>
      <c r="CI28" s="186" t="e">
        <f t="shared" si="42"/>
        <v>#REF!</v>
      </c>
      <c r="CJ28" s="189" t="e">
        <f>#REF!+#REF!</f>
        <v>#REF!</v>
      </c>
      <c r="CK28" s="186" t="e">
        <f t="shared" si="43"/>
        <v>#REF!</v>
      </c>
      <c r="CL28" s="189" t="e">
        <f>#REF!+#REF!</f>
        <v>#REF!</v>
      </c>
      <c r="CM28" s="186" t="e">
        <f t="shared" si="44"/>
        <v>#REF!</v>
      </c>
      <c r="CN28" s="189" t="e">
        <f>#REF!+#REF!</f>
        <v>#REF!</v>
      </c>
      <c r="CO28" s="186" t="e">
        <f t="shared" si="45"/>
        <v>#REF!</v>
      </c>
      <c r="CP28" s="189" t="e">
        <f>#REF!+#REF!</f>
        <v>#REF!</v>
      </c>
      <c r="CQ28" s="186" t="e">
        <f t="shared" si="46"/>
        <v>#REF!</v>
      </c>
      <c r="CR28" s="189" t="e">
        <f>#REF!+#REF!</f>
        <v>#REF!</v>
      </c>
      <c r="CS28" s="186" t="e">
        <f t="shared" si="47"/>
        <v>#REF!</v>
      </c>
      <c r="CT28" s="189" t="e">
        <f>#REF!+#REF!</f>
        <v>#REF!</v>
      </c>
      <c r="CU28" s="186" t="e">
        <f t="shared" si="48"/>
        <v>#REF!</v>
      </c>
      <c r="CV28" s="416">
        <f t="shared" si="17"/>
        <v>0</v>
      </c>
      <c r="CW28" s="191" t="str">
        <f t="shared" si="31"/>
        <v>Cao hơn</v>
      </c>
      <c r="CX28" s="191" t="str">
        <f t="shared" si="32"/>
        <v>Cao hơn</v>
      </c>
      <c r="CY28" s="213"/>
      <c r="CZ28" s="213"/>
      <c r="DA28" s="231"/>
      <c r="DB28" s="163"/>
      <c r="DD28" s="195"/>
      <c r="DE28" s="196"/>
      <c r="DF28" s="196"/>
      <c r="DG28" s="197"/>
      <c r="DH28" s="196"/>
      <c r="DI28" s="196"/>
      <c r="DJ28" s="196"/>
      <c r="DL28" s="199"/>
      <c r="DM28" s="200"/>
    </row>
    <row r="29" spans="1:121" ht="18" customHeight="1" x14ac:dyDescent="0.25">
      <c r="A29" s="191">
        <v>14</v>
      </c>
      <c r="B29" s="240" t="s">
        <v>458</v>
      </c>
      <c r="C29" s="240"/>
      <c r="D29" s="188">
        <v>4275</v>
      </c>
      <c r="E29" s="188">
        <v>0</v>
      </c>
      <c r="F29" s="188">
        <v>4275</v>
      </c>
      <c r="G29" s="188">
        <v>3000</v>
      </c>
      <c r="H29" s="188">
        <v>1275</v>
      </c>
      <c r="I29" s="188">
        <v>0</v>
      </c>
      <c r="J29" s="188"/>
      <c r="K29" s="188">
        <v>0</v>
      </c>
      <c r="L29" s="188">
        <v>0</v>
      </c>
      <c r="M29" s="188">
        <v>0</v>
      </c>
      <c r="N29" s="188">
        <v>0</v>
      </c>
      <c r="O29" s="188">
        <v>3000</v>
      </c>
      <c r="P29" s="188">
        <v>1050</v>
      </c>
      <c r="Q29" s="186">
        <v>0.24561403508771928</v>
      </c>
      <c r="R29" s="189">
        <v>1050.48</v>
      </c>
      <c r="S29" s="185">
        <v>0.24572631578947368</v>
      </c>
      <c r="T29" s="185">
        <v>0.25865927977839337</v>
      </c>
      <c r="U29" s="304">
        <v>1050.4829999999999</v>
      </c>
      <c r="V29" s="185">
        <v>0.24572701754385964</v>
      </c>
      <c r="W29" s="185">
        <v>0.25866001846722064</v>
      </c>
      <c r="X29" s="304">
        <v>1050.4829999999999</v>
      </c>
      <c r="Y29" s="185">
        <v>0.24572701754385964</v>
      </c>
      <c r="Z29" s="185">
        <v>0.25866001846722064</v>
      </c>
      <c r="AA29" s="304">
        <v>1050.4829999999999</v>
      </c>
      <c r="AB29" s="185">
        <v>0.24572701754385964</v>
      </c>
      <c r="AC29" s="185">
        <v>0.25866001846722064</v>
      </c>
      <c r="AD29" s="304">
        <v>1050.4829999999999</v>
      </c>
      <c r="AE29" s="185">
        <v>0.24572701754385964</v>
      </c>
      <c r="AF29" s="185">
        <v>0.25866001846722064</v>
      </c>
      <c r="AG29" s="304">
        <v>1050.4829999999999</v>
      </c>
      <c r="AH29" s="185">
        <v>0.24572701754385964</v>
      </c>
      <c r="AI29" s="185">
        <v>0.25866001846722064</v>
      </c>
      <c r="AJ29" s="303">
        <v>1050.4829999999999</v>
      </c>
      <c r="AK29" s="185">
        <v>0.24572701754385964</v>
      </c>
      <c r="AL29" s="185">
        <v>0.25866001846722064</v>
      </c>
      <c r="AM29" s="304">
        <v>1050.4829999999999</v>
      </c>
      <c r="AN29" s="185">
        <v>0.24572701754385964</v>
      </c>
      <c r="AO29" s="185">
        <v>0.25866001846722064</v>
      </c>
      <c r="AP29" s="185"/>
      <c r="AQ29" s="189">
        <v>1847.99</v>
      </c>
      <c r="AR29" s="185">
        <v>0.43227836257309943</v>
      </c>
      <c r="AS29" s="185">
        <v>0.45502985534010465</v>
      </c>
      <c r="AT29" s="189">
        <v>1847.99</v>
      </c>
      <c r="AU29" s="185">
        <v>0.43227836257309943</v>
      </c>
      <c r="AV29" s="185">
        <v>0.45502985534010465</v>
      </c>
      <c r="AW29" s="185"/>
      <c r="AX29" s="185"/>
      <c r="AY29" s="185"/>
      <c r="AZ29" s="185"/>
      <c r="BA29" s="185"/>
      <c r="BB29" s="185"/>
      <c r="BC29" s="189">
        <v>1847.99</v>
      </c>
      <c r="BD29" s="185">
        <v>0.43227836257309943</v>
      </c>
      <c r="BE29" s="185">
        <v>0.45502985534010465</v>
      </c>
      <c r="BF29" s="352"/>
      <c r="BG29" s="352">
        <v>2841.99</v>
      </c>
      <c r="BH29" s="185">
        <v>0.66479298245614027</v>
      </c>
      <c r="BI29" s="185">
        <v>0.69978208679593712</v>
      </c>
      <c r="BJ29" s="374">
        <v>4061.25</v>
      </c>
      <c r="BK29" s="374">
        <v>2841.99</v>
      </c>
      <c r="BL29" s="185">
        <v>0.66479298245614027</v>
      </c>
      <c r="BM29" s="185">
        <v>0.69978208679593712</v>
      </c>
      <c r="BN29" s="374">
        <v>2841.99</v>
      </c>
      <c r="BO29" s="185">
        <v>0.66479298245614027</v>
      </c>
      <c r="BP29" s="185">
        <v>0.69978208679593712</v>
      </c>
      <c r="BQ29" s="374">
        <v>2841.99</v>
      </c>
      <c r="BR29" s="185">
        <f t="shared" si="33"/>
        <v>0.66479298245614027</v>
      </c>
      <c r="BS29" s="185">
        <f t="shared" si="34"/>
        <v>0.69978208679593712</v>
      </c>
      <c r="BT29" s="205">
        <f t="shared" si="35"/>
        <v>1791.5069999999998</v>
      </c>
      <c r="BU29" s="205"/>
      <c r="BV29" s="189" t="e">
        <f>#REF!+#REF!</f>
        <v>#REF!</v>
      </c>
      <c r="BW29" s="186" t="e">
        <f t="shared" si="36"/>
        <v>#REF!</v>
      </c>
      <c r="BX29" s="189" t="e">
        <f>#REF!+#REF!</f>
        <v>#REF!</v>
      </c>
      <c r="BY29" s="186" t="e">
        <f t="shared" si="37"/>
        <v>#REF!</v>
      </c>
      <c r="BZ29" s="189" t="e">
        <f>#REF!+#REF!</f>
        <v>#REF!</v>
      </c>
      <c r="CA29" s="186" t="e">
        <f t="shared" si="38"/>
        <v>#REF!</v>
      </c>
      <c r="CB29" s="189" t="e">
        <f>#REF!+#REF!</f>
        <v>#REF!</v>
      </c>
      <c r="CC29" s="186" t="e">
        <f t="shared" si="39"/>
        <v>#REF!</v>
      </c>
      <c r="CD29" s="189" t="e">
        <f>#REF!+#REF!</f>
        <v>#REF!</v>
      </c>
      <c r="CE29" s="186" t="e">
        <f t="shared" si="40"/>
        <v>#REF!</v>
      </c>
      <c r="CF29" s="189" t="e">
        <f>#REF!+#REF!</f>
        <v>#REF!</v>
      </c>
      <c r="CG29" s="186" t="e">
        <f t="shared" si="41"/>
        <v>#REF!</v>
      </c>
      <c r="CH29" s="189" t="e">
        <f>#REF!+#REF!</f>
        <v>#REF!</v>
      </c>
      <c r="CI29" s="186" t="e">
        <f t="shared" si="42"/>
        <v>#REF!</v>
      </c>
      <c r="CJ29" s="189" t="e">
        <f>#REF!+#REF!</f>
        <v>#REF!</v>
      </c>
      <c r="CK29" s="186" t="e">
        <f t="shared" si="43"/>
        <v>#REF!</v>
      </c>
      <c r="CL29" s="189" t="e">
        <f>#REF!+#REF!</f>
        <v>#REF!</v>
      </c>
      <c r="CM29" s="186" t="e">
        <f t="shared" si="44"/>
        <v>#REF!</v>
      </c>
      <c r="CN29" s="189" t="e">
        <f>#REF!+#REF!</f>
        <v>#REF!</v>
      </c>
      <c r="CO29" s="186" t="e">
        <f t="shared" si="45"/>
        <v>#REF!</v>
      </c>
      <c r="CP29" s="189" t="e">
        <f>#REF!+#REF!</f>
        <v>#REF!</v>
      </c>
      <c r="CQ29" s="186" t="e">
        <f t="shared" si="46"/>
        <v>#REF!</v>
      </c>
      <c r="CR29" s="189" t="e">
        <f>#REF!+#REF!</f>
        <v>#REF!</v>
      </c>
      <c r="CS29" s="186" t="e">
        <f t="shared" si="47"/>
        <v>#REF!</v>
      </c>
      <c r="CT29" s="189" t="e">
        <f>#REF!+#REF!</f>
        <v>#REF!</v>
      </c>
      <c r="CU29" s="186" t="e">
        <f t="shared" si="48"/>
        <v>#REF!</v>
      </c>
      <c r="CV29" s="416">
        <f t="shared" si="17"/>
        <v>0</v>
      </c>
      <c r="CW29" s="191" t="str">
        <f t="shared" si="31"/>
        <v>Cao hơn</v>
      </c>
      <c r="CX29" s="191" t="str">
        <f t="shared" si="32"/>
        <v>Cao hơn</v>
      </c>
      <c r="CY29" s="213"/>
      <c r="CZ29" s="213"/>
      <c r="DA29" s="231"/>
      <c r="DB29" s="163"/>
      <c r="DD29" s="195"/>
      <c r="DE29" s="196"/>
      <c r="DF29" s="196"/>
      <c r="DG29" s="197"/>
      <c r="DH29" s="196"/>
      <c r="DI29" s="196"/>
      <c r="DJ29" s="196"/>
      <c r="DL29" s="199"/>
      <c r="DM29" s="200"/>
    </row>
    <row r="30" spans="1:121" ht="18" customHeight="1" x14ac:dyDescent="0.25">
      <c r="A30" s="191">
        <v>15</v>
      </c>
      <c r="B30" s="240" t="s">
        <v>459</v>
      </c>
      <c r="C30" s="240"/>
      <c r="D30" s="188">
        <v>3510</v>
      </c>
      <c r="E30" s="188">
        <v>0</v>
      </c>
      <c r="F30" s="188">
        <v>3510</v>
      </c>
      <c r="G30" s="188">
        <v>3000</v>
      </c>
      <c r="H30" s="188">
        <v>510</v>
      </c>
      <c r="I30" s="188">
        <v>0</v>
      </c>
      <c r="J30" s="188"/>
      <c r="K30" s="188">
        <v>0</v>
      </c>
      <c r="L30" s="188">
        <v>0</v>
      </c>
      <c r="M30" s="188">
        <v>0</v>
      </c>
      <c r="N30" s="188">
        <v>0</v>
      </c>
      <c r="O30" s="188">
        <v>3000</v>
      </c>
      <c r="P30" s="188">
        <v>896.30200000000002</v>
      </c>
      <c r="Q30" s="186">
        <v>0.25535669515669518</v>
      </c>
      <c r="R30" s="189">
        <v>896.30200000000002</v>
      </c>
      <c r="S30" s="185">
        <v>0.25535669515669518</v>
      </c>
      <c r="T30" s="185">
        <v>0.26879652121757386</v>
      </c>
      <c r="U30" s="304">
        <v>896.30200000000002</v>
      </c>
      <c r="V30" s="185">
        <v>0.25535669515669518</v>
      </c>
      <c r="W30" s="185">
        <v>0.26879652121757386</v>
      </c>
      <c r="X30" s="304">
        <v>896.30200000000002</v>
      </c>
      <c r="Y30" s="185">
        <v>0.25535669515669518</v>
      </c>
      <c r="Z30" s="185">
        <v>0.26879652121757386</v>
      </c>
      <c r="AA30" s="304">
        <v>896.30200000000002</v>
      </c>
      <c r="AB30" s="185">
        <v>0.25535669515669518</v>
      </c>
      <c r="AC30" s="185">
        <v>0.26879652121757386</v>
      </c>
      <c r="AD30" s="304">
        <v>2382.6990000000001</v>
      </c>
      <c r="AE30" s="185">
        <v>0.678831623931624</v>
      </c>
      <c r="AF30" s="185">
        <v>0.71455960413855157</v>
      </c>
      <c r="AG30" s="304">
        <v>2382.6990000000001</v>
      </c>
      <c r="AH30" s="185">
        <v>0.678831623931624</v>
      </c>
      <c r="AI30" s="185">
        <v>0.71455960413855157</v>
      </c>
      <c r="AJ30" s="303">
        <v>2382.6990000000001</v>
      </c>
      <c r="AK30" s="185">
        <v>0.678831623931624</v>
      </c>
      <c r="AL30" s="185">
        <v>0.71455960413855157</v>
      </c>
      <c r="AM30" s="304">
        <v>2382.6990000000001</v>
      </c>
      <c r="AN30" s="185">
        <v>0.678831623931624</v>
      </c>
      <c r="AO30" s="185">
        <v>0.71455960413855157</v>
      </c>
      <c r="AP30" s="185"/>
      <c r="AQ30" s="189">
        <v>2779.7370000000001</v>
      </c>
      <c r="AR30" s="185">
        <v>0.79194786324786326</v>
      </c>
      <c r="AS30" s="185">
        <v>0.83362932973459292</v>
      </c>
      <c r="AT30" s="189">
        <v>2779.7370000000001</v>
      </c>
      <c r="AU30" s="185">
        <v>0.79194786324786326</v>
      </c>
      <c r="AV30" s="185">
        <v>0.83362932973459292</v>
      </c>
      <c r="AW30" s="185"/>
      <c r="AX30" s="185"/>
      <c r="AY30" s="185"/>
      <c r="AZ30" s="185"/>
      <c r="BA30" s="185"/>
      <c r="BB30" s="185"/>
      <c r="BC30" s="189">
        <v>2779.7370000000001</v>
      </c>
      <c r="BD30" s="185">
        <v>0.79194786324786326</v>
      </c>
      <c r="BE30" s="185">
        <v>0.83362932973459292</v>
      </c>
      <c r="BF30" s="352"/>
      <c r="BG30" s="352">
        <v>2827.9290000000001</v>
      </c>
      <c r="BH30" s="185">
        <v>0.80567777777777783</v>
      </c>
      <c r="BI30" s="185">
        <v>0.84808187134502921</v>
      </c>
      <c r="BJ30" s="374">
        <v>3334.5</v>
      </c>
      <c r="BK30" s="374">
        <v>2827.9290000000001</v>
      </c>
      <c r="BL30" s="185">
        <v>0.80567777777777783</v>
      </c>
      <c r="BM30" s="185">
        <v>0.84808187134502921</v>
      </c>
      <c r="BN30" s="374">
        <v>2827.9290000000001</v>
      </c>
      <c r="BO30" s="185">
        <v>0.80567777777777783</v>
      </c>
      <c r="BP30" s="185">
        <v>0.84808187134502921</v>
      </c>
      <c r="BQ30" s="374">
        <v>2827.9290000000001</v>
      </c>
      <c r="BR30" s="185">
        <f t="shared" si="33"/>
        <v>0.80567777777777783</v>
      </c>
      <c r="BS30" s="185">
        <f t="shared" si="34"/>
        <v>0.84808187134502921</v>
      </c>
      <c r="BT30" s="205">
        <f t="shared" si="35"/>
        <v>445.23</v>
      </c>
      <c r="BU30" s="205"/>
      <c r="BV30" s="189" t="e">
        <f>#REF!+#REF!</f>
        <v>#REF!</v>
      </c>
      <c r="BW30" s="186" t="e">
        <f t="shared" si="36"/>
        <v>#REF!</v>
      </c>
      <c r="BX30" s="189" t="e">
        <f>#REF!+#REF!</f>
        <v>#REF!</v>
      </c>
      <c r="BY30" s="186" t="e">
        <f t="shared" si="37"/>
        <v>#REF!</v>
      </c>
      <c r="BZ30" s="189" t="e">
        <f>#REF!+#REF!</f>
        <v>#REF!</v>
      </c>
      <c r="CA30" s="186" t="e">
        <f t="shared" si="38"/>
        <v>#REF!</v>
      </c>
      <c r="CB30" s="189" t="e">
        <f>#REF!+#REF!</f>
        <v>#REF!</v>
      </c>
      <c r="CC30" s="186" t="e">
        <f t="shared" si="39"/>
        <v>#REF!</v>
      </c>
      <c r="CD30" s="189" t="e">
        <f>#REF!+#REF!</f>
        <v>#REF!</v>
      </c>
      <c r="CE30" s="186" t="e">
        <f t="shared" si="40"/>
        <v>#REF!</v>
      </c>
      <c r="CF30" s="189" t="e">
        <f>#REF!+#REF!</f>
        <v>#REF!</v>
      </c>
      <c r="CG30" s="186" t="e">
        <f t="shared" si="41"/>
        <v>#REF!</v>
      </c>
      <c r="CH30" s="189" t="e">
        <f>#REF!+#REF!</f>
        <v>#REF!</v>
      </c>
      <c r="CI30" s="186" t="e">
        <f t="shared" si="42"/>
        <v>#REF!</v>
      </c>
      <c r="CJ30" s="189" t="e">
        <f>#REF!+#REF!</f>
        <v>#REF!</v>
      </c>
      <c r="CK30" s="186" t="e">
        <f t="shared" si="43"/>
        <v>#REF!</v>
      </c>
      <c r="CL30" s="189" t="e">
        <f>#REF!+#REF!</f>
        <v>#REF!</v>
      </c>
      <c r="CM30" s="186" t="e">
        <f t="shared" si="44"/>
        <v>#REF!</v>
      </c>
      <c r="CN30" s="189" t="e">
        <f>#REF!+#REF!</f>
        <v>#REF!</v>
      </c>
      <c r="CO30" s="186" t="e">
        <f t="shared" si="45"/>
        <v>#REF!</v>
      </c>
      <c r="CP30" s="189" t="e">
        <f>#REF!+#REF!</f>
        <v>#REF!</v>
      </c>
      <c r="CQ30" s="186" t="e">
        <f t="shared" si="46"/>
        <v>#REF!</v>
      </c>
      <c r="CR30" s="189" t="e">
        <f>#REF!+#REF!</f>
        <v>#REF!</v>
      </c>
      <c r="CS30" s="186" t="e">
        <f t="shared" si="47"/>
        <v>#REF!</v>
      </c>
      <c r="CT30" s="189" t="e">
        <f>#REF!+#REF!</f>
        <v>#REF!</v>
      </c>
      <c r="CU30" s="186" t="e">
        <f t="shared" si="48"/>
        <v>#REF!</v>
      </c>
      <c r="CV30" s="416">
        <f t="shared" si="17"/>
        <v>0</v>
      </c>
      <c r="CW30" s="191" t="str">
        <f t="shared" si="31"/>
        <v>Cao hơn</v>
      </c>
      <c r="CX30" s="191" t="str">
        <f t="shared" si="32"/>
        <v>Cao hơn</v>
      </c>
      <c r="CY30" s="213"/>
      <c r="CZ30" s="213"/>
      <c r="DA30" s="231"/>
      <c r="DB30" s="163"/>
      <c r="DD30" s="195"/>
      <c r="DE30" s="196"/>
      <c r="DF30" s="196"/>
      <c r="DG30" s="197"/>
      <c r="DH30" s="196"/>
      <c r="DI30" s="196"/>
      <c r="DJ30" s="196"/>
      <c r="DL30" s="199"/>
      <c r="DM30" s="200"/>
    </row>
    <row r="31" spans="1:121" ht="18" customHeight="1" x14ac:dyDescent="0.25">
      <c r="A31" s="191">
        <v>16</v>
      </c>
      <c r="B31" s="240" t="s">
        <v>460</v>
      </c>
      <c r="C31" s="240"/>
      <c r="D31" s="188">
        <v>174250</v>
      </c>
      <c r="E31" s="188">
        <v>0</v>
      </c>
      <c r="F31" s="188">
        <v>174250</v>
      </c>
      <c r="G31" s="188">
        <v>18000</v>
      </c>
      <c r="H31" s="188">
        <v>156250</v>
      </c>
      <c r="I31" s="188">
        <v>0</v>
      </c>
      <c r="J31" s="188"/>
      <c r="K31" s="188">
        <v>0</v>
      </c>
      <c r="L31" s="188">
        <v>0</v>
      </c>
      <c r="M31" s="188">
        <v>0</v>
      </c>
      <c r="N31" s="188">
        <v>0</v>
      </c>
      <c r="O31" s="188">
        <v>18000</v>
      </c>
      <c r="P31" s="188">
        <v>0</v>
      </c>
      <c r="Q31" s="186">
        <v>0</v>
      </c>
      <c r="R31" s="188">
        <v>0</v>
      </c>
      <c r="S31" s="185">
        <v>0</v>
      </c>
      <c r="T31" s="185">
        <v>0</v>
      </c>
      <c r="U31" s="188">
        <v>0</v>
      </c>
      <c r="V31" s="185">
        <v>0</v>
      </c>
      <c r="W31" s="185">
        <v>0</v>
      </c>
      <c r="X31" s="188">
        <v>0</v>
      </c>
      <c r="Y31" s="185">
        <v>0</v>
      </c>
      <c r="Z31" s="185">
        <v>0</v>
      </c>
      <c r="AA31" s="188">
        <v>0</v>
      </c>
      <c r="AB31" s="185">
        <v>0</v>
      </c>
      <c r="AC31" s="185">
        <v>0</v>
      </c>
      <c r="AD31" s="188">
        <v>320.11500000000001</v>
      </c>
      <c r="AE31" s="185">
        <v>1.8255774165953807E-3</v>
      </c>
      <c r="AF31" s="185">
        <v>1.9216604385214535E-3</v>
      </c>
      <c r="AG31" s="188">
        <v>320.11500000000001</v>
      </c>
      <c r="AH31" s="185">
        <v>1.8255774165953807E-3</v>
      </c>
      <c r="AI31" s="185">
        <v>1.9216604385214535E-3</v>
      </c>
      <c r="AJ31" s="317">
        <v>320.11500000000001</v>
      </c>
      <c r="AK31" s="185">
        <v>1.8255774165953807E-3</v>
      </c>
      <c r="AL31" s="185">
        <v>1.9216604385214535E-3</v>
      </c>
      <c r="AM31" s="188">
        <v>320.11500000000001</v>
      </c>
      <c r="AN31" s="185">
        <v>1.8255774165953807E-3</v>
      </c>
      <c r="AO31" s="185">
        <v>1.9216604385214535E-3</v>
      </c>
      <c r="AP31" s="185"/>
      <c r="AQ31" s="188">
        <v>320.11500000000001</v>
      </c>
      <c r="AR31" s="185">
        <v>1.8255774165953807E-3</v>
      </c>
      <c r="AS31" s="185">
        <v>1.9216604385214535E-3</v>
      </c>
      <c r="AT31" s="188">
        <v>320.11500000000001</v>
      </c>
      <c r="AU31" s="185">
        <v>1.8255774165953807E-3</v>
      </c>
      <c r="AV31" s="185">
        <v>1.9216604385214535E-3</v>
      </c>
      <c r="AW31" s="185"/>
      <c r="AX31" s="185"/>
      <c r="AY31" s="185"/>
      <c r="AZ31" s="185"/>
      <c r="BA31" s="185"/>
      <c r="BB31" s="185"/>
      <c r="BC31" s="188">
        <v>320.11500000000001</v>
      </c>
      <c r="BD31" s="185">
        <v>1.8255774165953807E-3</v>
      </c>
      <c r="BE31" s="185">
        <v>1.9216604385214535E-3</v>
      </c>
      <c r="BF31" s="352"/>
      <c r="BG31" s="352">
        <v>320.11500000000001</v>
      </c>
      <c r="BH31" s="185">
        <v>1.8371018651362984E-3</v>
      </c>
      <c r="BI31" s="185">
        <v>1.9337914369855773E-3</v>
      </c>
      <c r="BJ31" s="374">
        <v>165537.5</v>
      </c>
      <c r="BK31" s="374">
        <v>2241.4110000000001</v>
      </c>
      <c r="BL31" s="185">
        <v>1.2863190817790532E-2</v>
      </c>
      <c r="BM31" s="185">
        <v>1.3540200860832139E-2</v>
      </c>
      <c r="BN31" s="374">
        <v>2241.4110000000001</v>
      </c>
      <c r="BO31" s="185">
        <v>1.2863190817790532E-2</v>
      </c>
      <c r="BP31" s="185">
        <v>1.3540200860832139E-2</v>
      </c>
      <c r="BQ31" s="374">
        <v>7011.0609999999997</v>
      </c>
      <c r="BR31" s="185">
        <f t="shared" si="33"/>
        <v>4.0235644189383066E-2</v>
      </c>
      <c r="BS31" s="185">
        <f t="shared" si="34"/>
        <v>4.2353309673034807E-2</v>
      </c>
      <c r="BT31" s="205">
        <f t="shared" si="35"/>
        <v>6690.9459999999999</v>
      </c>
      <c r="BU31" s="205"/>
      <c r="BV31" s="189" t="e">
        <f>#REF!+#REF!+#REF!</f>
        <v>#REF!</v>
      </c>
      <c r="BW31" s="186" t="e">
        <f t="shared" si="36"/>
        <v>#REF!</v>
      </c>
      <c r="BX31" s="189" t="e">
        <f>#REF!+#REF!+#REF!</f>
        <v>#REF!</v>
      </c>
      <c r="BY31" s="186" t="e">
        <f t="shared" si="37"/>
        <v>#REF!</v>
      </c>
      <c r="BZ31" s="189" t="e">
        <f>#REF!+#REF!+#REF!</f>
        <v>#REF!</v>
      </c>
      <c r="CA31" s="186" t="e">
        <f t="shared" si="38"/>
        <v>#REF!</v>
      </c>
      <c r="CB31" s="189" t="e">
        <f>#REF!+#REF!+#REF!</f>
        <v>#REF!</v>
      </c>
      <c r="CC31" s="186" t="e">
        <f t="shared" si="39"/>
        <v>#REF!</v>
      </c>
      <c r="CD31" s="189" t="e">
        <f>#REF!+#REF!+#REF!</f>
        <v>#REF!</v>
      </c>
      <c r="CE31" s="186" t="e">
        <f t="shared" si="40"/>
        <v>#REF!</v>
      </c>
      <c r="CF31" s="189" t="e">
        <f>#REF!+#REF!+#REF!</f>
        <v>#REF!</v>
      </c>
      <c r="CG31" s="186" t="e">
        <f t="shared" si="41"/>
        <v>#REF!</v>
      </c>
      <c r="CH31" s="189" t="e">
        <f>#REF!+#REF!+#REF!</f>
        <v>#REF!</v>
      </c>
      <c r="CI31" s="186" t="e">
        <f t="shared" si="42"/>
        <v>#REF!</v>
      </c>
      <c r="CJ31" s="189" t="e">
        <f>#REF!+#REF!+#REF!</f>
        <v>#REF!</v>
      </c>
      <c r="CK31" s="186" t="e">
        <f t="shared" si="43"/>
        <v>#REF!</v>
      </c>
      <c r="CL31" s="189" t="e">
        <f>#REF!+#REF!+#REF!</f>
        <v>#REF!</v>
      </c>
      <c r="CM31" s="186" t="e">
        <f t="shared" si="44"/>
        <v>#REF!</v>
      </c>
      <c r="CN31" s="189" t="e">
        <f>#REF!+#REF!+#REF!</f>
        <v>#REF!</v>
      </c>
      <c r="CO31" s="186" t="e">
        <f t="shared" si="45"/>
        <v>#REF!</v>
      </c>
      <c r="CP31" s="189" t="e">
        <f>#REF!+#REF!+#REF!</f>
        <v>#REF!</v>
      </c>
      <c r="CQ31" s="186" t="e">
        <f t="shared" si="46"/>
        <v>#REF!</v>
      </c>
      <c r="CR31" s="189" t="e">
        <f>#REF!+#REF!+#REF!</f>
        <v>#REF!</v>
      </c>
      <c r="CS31" s="186" t="e">
        <f t="shared" si="47"/>
        <v>#REF!</v>
      </c>
      <c r="CT31" s="189" t="e">
        <f>#REF!+#REF!+#REF!</f>
        <v>#REF!</v>
      </c>
      <c r="CU31" s="186" t="e">
        <f t="shared" si="48"/>
        <v>#REF!</v>
      </c>
      <c r="CV31" s="416">
        <f t="shared" si="17"/>
        <v>4769.6499999999996</v>
      </c>
      <c r="CW31" s="191" t="str">
        <f t="shared" si="31"/>
        <v>Thấp hơn</v>
      </c>
      <c r="CX31" s="191" t="str">
        <f t="shared" si="32"/>
        <v>Thấp hơn</v>
      </c>
      <c r="CY31" s="213"/>
      <c r="CZ31" s="213"/>
      <c r="DA31" s="231"/>
      <c r="DB31" s="163"/>
      <c r="DD31" s="195"/>
      <c r="DE31" s="196"/>
      <c r="DF31" s="196"/>
      <c r="DG31" s="197"/>
      <c r="DH31" s="196"/>
      <c r="DI31" s="196"/>
      <c r="DJ31" s="196"/>
      <c r="DL31" s="199"/>
      <c r="DM31" s="200"/>
    </row>
    <row r="32" spans="1:121" ht="18" customHeight="1" x14ac:dyDescent="0.25">
      <c r="A32" s="191">
        <v>17</v>
      </c>
      <c r="B32" s="240" t="s">
        <v>468</v>
      </c>
      <c r="C32" s="240"/>
      <c r="D32" s="188">
        <v>49950</v>
      </c>
      <c r="E32" s="188">
        <v>0</v>
      </c>
      <c r="F32" s="188">
        <v>49950</v>
      </c>
      <c r="G32" s="188">
        <v>3000</v>
      </c>
      <c r="H32" s="188">
        <v>46950</v>
      </c>
      <c r="I32" s="188">
        <v>0</v>
      </c>
      <c r="J32" s="188"/>
      <c r="K32" s="188">
        <v>0</v>
      </c>
      <c r="L32" s="188">
        <v>0</v>
      </c>
      <c r="M32" s="188">
        <v>0</v>
      </c>
      <c r="N32" s="188">
        <v>0</v>
      </c>
      <c r="O32" s="188">
        <v>3000</v>
      </c>
      <c r="P32" s="188">
        <v>0</v>
      </c>
      <c r="Q32" s="186">
        <v>0</v>
      </c>
      <c r="R32" s="188">
        <v>0</v>
      </c>
      <c r="S32" s="185">
        <v>0</v>
      </c>
      <c r="T32" s="185">
        <v>0</v>
      </c>
      <c r="U32" s="188">
        <v>1131.7998460000001</v>
      </c>
      <c r="V32" s="185">
        <v>2.2658655575575577E-2</v>
      </c>
      <c r="W32" s="185">
        <v>2.3851216395342715E-2</v>
      </c>
      <c r="X32" s="188">
        <v>1131.7998460000001</v>
      </c>
      <c r="Y32" s="185">
        <v>2.2658655575575577E-2</v>
      </c>
      <c r="Z32" s="185">
        <v>2.3851216395342715E-2</v>
      </c>
      <c r="AA32" s="188">
        <v>1131.7998460000001</v>
      </c>
      <c r="AB32" s="185">
        <v>2.2658655575575577E-2</v>
      </c>
      <c r="AC32" s="185">
        <v>2.3851216395342715E-2</v>
      </c>
      <c r="AD32" s="188">
        <v>221</v>
      </c>
      <c r="AE32" s="185">
        <v>4.4244244244244241E-3</v>
      </c>
      <c r="AF32" s="185">
        <v>4.6572888678151833E-3</v>
      </c>
      <c r="AG32" s="188">
        <v>221</v>
      </c>
      <c r="AH32" s="185">
        <v>4.4244244244244241E-3</v>
      </c>
      <c r="AI32" s="185">
        <v>4.6572888678151833E-3</v>
      </c>
      <c r="AJ32" s="317">
        <v>221</v>
      </c>
      <c r="AK32" s="185">
        <v>4.4244244244244241E-3</v>
      </c>
      <c r="AL32" s="185">
        <v>4.6572888678151833E-3</v>
      </c>
      <c r="AM32" s="188">
        <v>221</v>
      </c>
      <c r="AN32" s="185">
        <v>4.4244244244244241E-3</v>
      </c>
      <c r="AO32" s="185">
        <v>4.6572888678151833E-3</v>
      </c>
      <c r="AP32" s="185"/>
      <c r="AQ32" s="188">
        <v>563.69200000000001</v>
      </c>
      <c r="AR32" s="185">
        <v>1.1285125125125126E-2</v>
      </c>
      <c r="AS32" s="185">
        <v>1.1879079079079079E-2</v>
      </c>
      <c r="AT32" s="188">
        <v>563.69200000000001</v>
      </c>
      <c r="AU32" s="185">
        <v>1.1285125125125126E-2</v>
      </c>
      <c r="AV32" s="185">
        <v>1.1879079079079079E-2</v>
      </c>
      <c r="AW32" s="185"/>
      <c r="AX32" s="185"/>
      <c r="AY32" s="185"/>
      <c r="AZ32" s="185"/>
      <c r="BA32" s="185"/>
      <c r="BB32" s="185"/>
      <c r="BC32" s="188">
        <v>563.69200000000001</v>
      </c>
      <c r="BD32" s="185">
        <v>1.1285125125125126E-2</v>
      </c>
      <c r="BE32" s="185">
        <v>1.1879079079079079E-2</v>
      </c>
      <c r="BF32" s="352"/>
      <c r="BG32" s="352">
        <v>3030.692</v>
      </c>
      <c r="BH32" s="185">
        <v>6.0674514514514513E-2</v>
      </c>
      <c r="BI32" s="185">
        <v>6.3867910015278431E-2</v>
      </c>
      <c r="BJ32" s="374">
        <v>47452.5</v>
      </c>
      <c r="BK32" s="374">
        <v>3117.692</v>
      </c>
      <c r="BL32" s="185">
        <v>6.2416256256256256E-2</v>
      </c>
      <c r="BM32" s="185">
        <v>6.5701322375006588E-2</v>
      </c>
      <c r="BN32" s="374">
        <v>3117.692</v>
      </c>
      <c r="BO32" s="185">
        <v>6.2416256256256256E-2</v>
      </c>
      <c r="BP32" s="185">
        <v>6.5701322375006588E-2</v>
      </c>
      <c r="BQ32" s="374">
        <v>3117.692</v>
      </c>
      <c r="BR32" s="185">
        <f t="shared" si="33"/>
        <v>6.2416256256256256E-2</v>
      </c>
      <c r="BS32" s="185">
        <f t="shared" si="34"/>
        <v>6.5701322375006588E-2</v>
      </c>
      <c r="BT32" s="205">
        <f t="shared" si="35"/>
        <v>2896.692</v>
      </c>
      <c r="BU32" s="205"/>
      <c r="BV32" s="189" t="e">
        <f>#REF!+#REF!+#REF!</f>
        <v>#REF!</v>
      </c>
      <c r="BW32" s="186" t="e">
        <f t="shared" si="36"/>
        <v>#REF!</v>
      </c>
      <c r="BX32" s="189" t="e">
        <f>#REF!+#REF!+#REF!</f>
        <v>#REF!</v>
      </c>
      <c r="BY32" s="186" t="e">
        <f t="shared" si="37"/>
        <v>#REF!</v>
      </c>
      <c r="BZ32" s="189" t="e">
        <f>#REF!+#REF!+#REF!</f>
        <v>#REF!</v>
      </c>
      <c r="CA32" s="186" t="e">
        <f t="shared" si="38"/>
        <v>#REF!</v>
      </c>
      <c r="CB32" s="189" t="e">
        <f>#REF!+#REF!+#REF!</f>
        <v>#REF!</v>
      </c>
      <c r="CC32" s="186" t="e">
        <f t="shared" si="39"/>
        <v>#REF!</v>
      </c>
      <c r="CD32" s="189" t="e">
        <f>#REF!+#REF!+#REF!</f>
        <v>#REF!</v>
      </c>
      <c r="CE32" s="186" t="e">
        <f t="shared" si="40"/>
        <v>#REF!</v>
      </c>
      <c r="CF32" s="189" t="e">
        <f>#REF!+#REF!+#REF!</f>
        <v>#REF!</v>
      </c>
      <c r="CG32" s="186" t="e">
        <f t="shared" si="41"/>
        <v>#REF!</v>
      </c>
      <c r="CH32" s="189" t="e">
        <f>#REF!+#REF!+#REF!</f>
        <v>#REF!</v>
      </c>
      <c r="CI32" s="186" t="e">
        <f t="shared" si="42"/>
        <v>#REF!</v>
      </c>
      <c r="CJ32" s="189" t="e">
        <f>#REF!+#REF!+#REF!</f>
        <v>#REF!</v>
      </c>
      <c r="CK32" s="186" t="e">
        <f t="shared" si="43"/>
        <v>#REF!</v>
      </c>
      <c r="CL32" s="189" t="e">
        <f>#REF!+#REF!+#REF!</f>
        <v>#REF!</v>
      </c>
      <c r="CM32" s="186" t="e">
        <f t="shared" si="44"/>
        <v>#REF!</v>
      </c>
      <c r="CN32" s="189" t="e">
        <f>#REF!+#REF!+#REF!</f>
        <v>#REF!</v>
      </c>
      <c r="CO32" s="186" t="e">
        <f t="shared" si="45"/>
        <v>#REF!</v>
      </c>
      <c r="CP32" s="189" t="e">
        <f>#REF!+#REF!+#REF!</f>
        <v>#REF!</v>
      </c>
      <c r="CQ32" s="186" t="e">
        <f t="shared" si="46"/>
        <v>#REF!</v>
      </c>
      <c r="CR32" s="189" t="e">
        <f>#REF!+#REF!+#REF!</f>
        <v>#REF!</v>
      </c>
      <c r="CS32" s="186" t="e">
        <f t="shared" si="47"/>
        <v>#REF!</v>
      </c>
      <c r="CT32" s="189" t="e">
        <f>#REF!+#REF!+#REF!</f>
        <v>#REF!</v>
      </c>
      <c r="CU32" s="186" t="e">
        <f t="shared" si="48"/>
        <v>#REF!</v>
      </c>
      <c r="CV32" s="416">
        <f t="shared" si="17"/>
        <v>0</v>
      </c>
      <c r="CW32" s="191" t="str">
        <f t="shared" si="31"/>
        <v>Thấp hơn</v>
      </c>
      <c r="CX32" s="191" t="str">
        <f t="shared" si="32"/>
        <v>Thấp hơn</v>
      </c>
      <c r="CY32" s="213"/>
      <c r="CZ32" s="213"/>
      <c r="DA32" s="231"/>
      <c r="DB32" s="163"/>
      <c r="DD32" s="195"/>
      <c r="DE32" s="196"/>
      <c r="DF32" s="196"/>
      <c r="DG32" s="197"/>
      <c r="DH32" s="196"/>
      <c r="DI32" s="196"/>
      <c r="DJ32" s="196"/>
      <c r="DL32" s="199"/>
      <c r="DM32" s="200"/>
    </row>
    <row r="33" spans="1:117" ht="18" customHeight="1" x14ac:dyDescent="0.25">
      <c r="A33" s="191">
        <v>18</v>
      </c>
      <c r="B33" s="240" t="s">
        <v>470</v>
      </c>
      <c r="C33" s="240"/>
      <c r="D33" s="188">
        <v>7675</v>
      </c>
      <c r="E33" s="188">
        <v>0</v>
      </c>
      <c r="F33" s="188">
        <v>7675</v>
      </c>
      <c r="G33" s="188">
        <v>3000</v>
      </c>
      <c r="H33" s="188">
        <v>4675</v>
      </c>
      <c r="I33" s="188">
        <v>0</v>
      </c>
      <c r="J33" s="188"/>
      <c r="K33" s="188">
        <v>0</v>
      </c>
      <c r="L33" s="188">
        <v>0</v>
      </c>
      <c r="M33" s="188">
        <v>0</v>
      </c>
      <c r="N33" s="188">
        <v>0</v>
      </c>
      <c r="O33" s="188">
        <v>3000</v>
      </c>
      <c r="P33" s="188">
        <v>0</v>
      </c>
      <c r="Q33" s="186">
        <v>0</v>
      </c>
      <c r="R33" s="189">
        <v>1088.7765999999999</v>
      </c>
      <c r="S33" s="185">
        <v>0.14186058631921825</v>
      </c>
      <c r="T33" s="185">
        <v>0.14932693296759814</v>
      </c>
      <c r="U33" s="189">
        <v>1088.7765999999999</v>
      </c>
      <c r="V33" s="185">
        <v>0.14186014332247557</v>
      </c>
      <c r="W33" s="185">
        <v>0.14932646665523744</v>
      </c>
      <c r="X33" s="189">
        <v>1088.7765999999999</v>
      </c>
      <c r="Y33" s="185">
        <v>0.14186014332247557</v>
      </c>
      <c r="Z33" s="185">
        <v>0.14932646665523744</v>
      </c>
      <c r="AA33" s="189">
        <v>1088.7765999999999</v>
      </c>
      <c r="AB33" s="185">
        <v>0.14186014332247557</v>
      </c>
      <c r="AC33" s="185">
        <v>0.14932646665523744</v>
      </c>
      <c r="AD33" s="189">
        <v>1158</v>
      </c>
      <c r="AE33" s="185">
        <v>0.15087947882736155</v>
      </c>
      <c r="AF33" s="185">
        <v>0.15882050402880166</v>
      </c>
      <c r="AG33" s="189">
        <v>1158</v>
      </c>
      <c r="AH33" s="185">
        <v>0.15087947882736155</v>
      </c>
      <c r="AI33" s="185">
        <v>0.15882050402880166</v>
      </c>
      <c r="AJ33" s="307">
        <v>1158</v>
      </c>
      <c r="AK33" s="185">
        <v>0.15087947882736155</v>
      </c>
      <c r="AL33" s="185">
        <v>0.15882050402880166</v>
      </c>
      <c r="AM33" s="189">
        <v>1158</v>
      </c>
      <c r="AN33" s="185">
        <v>0.15087947882736155</v>
      </c>
      <c r="AO33" s="185">
        <v>0.15882050402880166</v>
      </c>
      <c r="AP33" s="185"/>
      <c r="AQ33" s="189">
        <v>2191.6206950000001</v>
      </c>
      <c r="AR33" s="185">
        <v>0.28555318501628668</v>
      </c>
      <c r="AS33" s="185">
        <v>0.30058230001714387</v>
      </c>
      <c r="AT33" s="189">
        <v>2191.6206950000001</v>
      </c>
      <c r="AU33" s="185">
        <v>0.28555318501628668</v>
      </c>
      <c r="AV33" s="185">
        <v>0.30058230001714387</v>
      </c>
      <c r="AW33" s="185"/>
      <c r="AX33" s="185"/>
      <c r="AY33" s="185"/>
      <c r="AZ33" s="185"/>
      <c r="BA33" s="185"/>
      <c r="BB33" s="185"/>
      <c r="BC33" s="189">
        <v>2191.6206950000001</v>
      </c>
      <c r="BD33" s="185">
        <v>0.28555318501628668</v>
      </c>
      <c r="BE33" s="185">
        <v>0.30058230001714387</v>
      </c>
      <c r="BF33" s="352"/>
      <c r="BG33" s="352">
        <v>2717.8388570000002</v>
      </c>
      <c r="BH33" s="185">
        <v>0.35411581198697073</v>
      </c>
      <c r="BI33" s="185">
        <v>0.37275348630207444</v>
      </c>
      <c r="BJ33" s="374">
        <v>7291.25</v>
      </c>
      <c r="BK33" s="374">
        <v>4724.6591100000005</v>
      </c>
      <c r="BL33" s="185">
        <v>0.61559076351791542</v>
      </c>
      <c r="BM33" s="185">
        <v>0.64799027738727932</v>
      </c>
      <c r="BN33" s="374">
        <v>4724.6591100000005</v>
      </c>
      <c r="BO33" s="185">
        <v>0.61559076351791542</v>
      </c>
      <c r="BP33" s="185">
        <v>0.64799027738727932</v>
      </c>
      <c r="BQ33" s="374">
        <v>4724.6591100000005</v>
      </c>
      <c r="BR33" s="185">
        <f t="shared" si="33"/>
        <v>0.61559076351791542</v>
      </c>
      <c r="BS33" s="185">
        <f t="shared" si="34"/>
        <v>0.64799027738727932</v>
      </c>
      <c r="BT33" s="205">
        <f t="shared" si="35"/>
        <v>3566.6591100000005</v>
      </c>
      <c r="BU33" s="205"/>
      <c r="BV33" s="189" t="e">
        <f>#REF!+#REF!</f>
        <v>#REF!</v>
      </c>
      <c r="BW33" s="186" t="e">
        <f t="shared" si="36"/>
        <v>#REF!</v>
      </c>
      <c r="BX33" s="189" t="e">
        <f>#REF!+#REF!</f>
        <v>#REF!</v>
      </c>
      <c r="BY33" s="186" t="e">
        <f t="shared" si="37"/>
        <v>#REF!</v>
      </c>
      <c r="BZ33" s="189" t="e">
        <f>#REF!+#REF!</f>
        <v>#REF!</v>
      </c>
      <c r="CA33" s="186" t="e">
        <f t="shared" si="38"/>
        <v>#REF!</v>
      </c>
      <c r="CB33" s="189" t="e">
        <f>#REF!+#REF!</f>
        <v>#REF!</v>
      </c>
      <c r="CC33" s="186" t="e">
        <f t="shared" si="39"/>
        <v>#REF!</v>
      </c>
      <c r="CD33" s="189" t="e">
        <f>#REF!+#REF!</f>
        <v>#REF!</v>
      </c>
      <c r="CE33" s="186" t="e">
        <f t="shared" si="40"/>
        <v>#REF!</v>
      </c>
      <c r="CF33" s="189" t="e">
        <f>#REF!+#REF!</f>
        <v>#REF!</v>
      </c>
      <c r="CG33" s="186" t="e">
        <f t="shared" si="41"/>
        <v>#REF!</v>
      </c>
      <c r="CH33" s="189" t="e">
        <f>#REF!+#REF!</f>
        <v>#REF!</v>
      </c>
      <c r="CI33" s="186" t="e">
        <f t="shared" si="42"/>
        <v>#REF!</v>
      </c>
      <c r="CJ33" s="189" t="e">
        <f>#REF!+#REF!</f>
        <v>#REF!</v>
      </c>
      <c r="CK33" s="186" t="e">
        <f t="shared" si="43"/>
        <v>#REF!</v>
      </c>
      <c r="CL33" s="189" t="e">
        <f>#REF!+#REF!</f>
        <v>#REF!</v>
      </c>
      <c r="CM33" s="186" t="e">
        <f t="shared" si="44"/>
        <v>#REF!</v>
      </c>
      <c r="CN33" s="189" t="e">
        <f>#REF!+#REF!</f>
        <v>#REF!</v>
      </c>
      <c r="CO33" s="186" t="e">
        <f t="shared" si="45"/>
        <v>#REF!</v>
      </c>
      <c r="CP33" s="189" t="e">
        <f>#REF!+#REF!</f>
        <v>#REF!</v>
      </c>
      <c r="CQ33" s="186" t="e">
        <f t="shared" si="46"/>
        <v>#REF!</v>
      </c>
      <c r="CR33" s="189" t="e">
        <f>#REF!+#REF!</f>
        <v>#REF!</v>
      </c>
      <c r="CS33" s="186" t="e">
        <f t="shared" si="47"/>
        <v>#REF!</v>
      </c>
      <c r="CT33" s="189" t="e">
        <f>#REF!+#REF!</f>
        <v>#REF!</v>
      </c>
      <c r="CU33" s="186" t="e">
        <f t="shared" si="48"/>
        <v>#REF!</v>
      </c>
      <c r="CV33" s="416">
        <f t="shared" si="17"/>
        <v>0</v>
      </c>
      <c r="CW33" s="191" t="str">
        <f t="shared" si="31"/>
        <v>Cao hơn</v>
      </c>
      <c r="CX33" s="191" t="str">
        <f t="shared" si="32"/>
        <v>Cao hơn</v>
      </c>
      <c r="CY33" s="213"/>
      <c r="CZ33" s="213"/>
      <c r="DA33" s="231"/>
      <c r="DB33" s="163"/>
      <c r="DD33" s="195"/>
      <c r="DE33" s="196"/>
      <c r="DF33" s="196"/>
      <c r="DG33" s="197"/>
      <c r="DH33" s="196"/>
      <c r="DI33" s="196"/>
      <c r="DJ33" s="196"/>
      <c r="DL33" s="199"/>
      <c r="DM33" s="200"/>
    </row>
    <row r="34" spans="1:117" ht="18" customHeight="1" x14ac:dyDescent="0.25">
      <c r="A34" s="191">
        <v>19</v>
      </c>
      <c r="B34" s="240" t="s">
        <v>471</v>
      </c>
      <c r="C34" s="240"/>
      <c r="D34" s="188">
        <v>10975</v>
      </c>
      <c r="E34" s="188">
        <v>0</v>
      </c>
      <c r="F34" s="188">
        <v>10975</v>
      </c>
      <c r="G34" s="188">
        <v>8000</v>
      </c>
      <c r="H34" s="188">
        <v>2975</v>
      </c>
      <c r="I34" s="188">
        <v>0</v>
      </c>
      <c r="J34" s="188"/>
      <c r="K34" s="188">
        <v>0</v>
      </c>
      <c r="L34" s="188">
        <v>0</v>
      </c>
      <c r="M34" s="188">
        <v>0</v>
      </c>
      <c r="N34" s="188">
        <v>0</v>
      </c>
      <c r="O34" s="188">
        <v>8000</v>
      </c>
      <c r="P34" s="188">
        <v>0</v>
      </c>
      <c r="Q34" s="186">
        <v>0</v>
      </c>
      <c r="R34" s="188">
        <v>0</v>
      </c>
      <c r="S34" s="185">
        <v>0</v>
      </c>
      <c r="T34" s="185">
        <v>0</v>
      </c>
      <c r="U34" s="188">
        <v>0</v>
      </c>
      <c r="V34" s="185">
        <v>0</v>
      </c>
      <c r="W34" s="185">
        <v>0</v>
      </c>
      <c r="X34" s="188">
        <v>0</v>
      </c>
      <c r="Y34" s="185">
        <v>0</v>
      </c>
      <c r="Z34" s="185">
        <v>0</v>
      </c>
      <c r="AA34" s="188">
        <v>0</v>
      </c>
      <c r="AB34" s="185">
        <v>0</v>
      </c>
      <c r="AC34" s="185">
        <v>0</v>
      </c>
      <c r="AD34" s="188">
        <v>872.75300000000004</v>
      </c>
      <c r="AE34" s="185">
        <v>7.9521913439635536E-2</v>
      </c>
      <c r="AF34" s="185">
        <v>8.3707277304879521E-2</v>
      </c>
      <c r="AG34" s="188">
        <v>872.75300000000004</v>
      </c>
      <c r="AH34" s="185">
        <v>7.9521913439635536E-2</v>
      </c>
      <c r="AI34" s="185">
        <v>8.3707277304879521E-2</v>
      </c>
      <c r="AJ34" s="317">
        <v>872.75300000000004</v>
      </c>
      <c r="AK34" s="185">
        <v>7.9521913439635536E-2</v>
      </c>
      <c r="AL34" s="185">
        <v>8.3707277304879521E-2</v>
      </c>
      <c r="AM34" s="188">
        <v>872.75300000000004</v>
      </c>
      <c r="AN34" s="185">
        <v>7.9521913439635536E-2</v>
      </c>
      <c r="AO34" s="185">
        <v>8.3707277304879521E-2</v>
      </c>
      <c r="AP34" s="185"/>
      <c r="AQ34" s="188">
        <v>872.75300000000004</v>
      </c>
      <c r="AR34" s="185">
        <v>7.9521913439635536E-2</v>
      </c>
      <c r="AS34" s="185">
        <v>8.3707277304879521E-2</v>
      </c>
      <c r="AT34" s="188">
        <v>872.75300000000004</v>
      </c>
      <c r="AU34" s="185">
        <v>7.9521913439635536E-2</v>
      </c>
      <c r="AV34" s="185">
        <v>8.3707277304879521E-2</v>
      </c>
      <c r="AW34" s="185"/>
      <c r="AX34" s="185"/>
      <c r="AY34" s="185"/>
      <c r="AZ34" s="185"/>
      <c r="BA34" s="185"/>
      <c r="BB34" s="185"/>
      <c r="BC34" s="188">
        <v>872.75300000000004</v>
      </c>
      <c r="BD34" s="185">
        <v>7.9521913439635536E-2</v>
      </c>
      <c r="BE34" s="185">
        <v>8.3707277304879521E-2</v>
      </c>
      <c r="BF34" s="352"/>
      <c r="BG34" s="352">
        <v>962.173</v>
      </c>
      <c r="BH34" s="185">
        <v>8.7669521640091119E-2</v>
      </c>
      <c r="BI34" s="185">
        <v>9.22837069895696E-2</v>
      </c>
      <c r="BJ34" s="374">
        <v>10426.25</v>
      </c>
      <c r="BK34" s="374">
        <v>1012.143</v>
      </c>
      <c r="BL34" s="185">
        <v>9.2222596810933949E-2</v>
      </c>
      <c r="BM34" s="185">
        <v>9.7076417695719938E-2</v>
      </c>
      <c r="BN34" s="374">
        <v>1012.143</v>
      </c>
      <c r="BO34" s="185">
        <v>9.2222596810933949E-2</v>
      </c>
      <c r="BP34" s="185">
        <v>9.7076417695719938E-2</v>
      </c>
      <c r="BQ34" s="374">
        <v>1238.734457</v>
      </c>
      <c r="BR34" s="185">
        <f t="shared" si="33"/>
        <v>0.11286874323462415</v>
      </c>
      <c r="BS34" s="185">
        <f t="shared" si="34"/>
        <v>0.11880920340486753</v>
      </c>
      <c r="BT34" s="205">
        <f t="shared" si="35"/>
        <v>365.98145699999998</v>
      </c>
      <c r="BU34" s="205"/>
      <c r="BV34" s="189" t="e">
        <f>#REF!+#REF!+#REF!</f>
        <v>#REF!</v>
      </c>
      <c r="BW34" s="186" t="e">
        <f t="shared" si="36"/>
        <v>#REF!</v>
      </c>
      <c r="BX34" s="189" t="e">
        <f>#REF!+#REF!+#REF!</f>
        <v>#REF!</v>
      </c>
      <c r="BY34" s="186" t="e">
        <f t="shared" si="37"/>
        <v>#REF!</v>
      </c>
      <c r="BZ34" s="189" t="e">
        <f>#REF!+#REF!+#REF!</f>
        <v>#REF!</v>
      </c>
      <c r="CA34" s="186" t="e">
        <f t="shared" si="38"/>
        <v>#REF!</v>
      </c>
      <c r="CB34" s="189" t="e">
        <f>#REF!+#REF!+#REF!</f>
        <v>#REF!</v>
      </c>
      <c r="CC34" s="186" t="e">
        <f t="shared" si="39"/>
        <v>#REF!</v>
      </c>
      <c r="CD34" s="189" t="e">
        <f>#REF!+#REF!+#REF!</f>
        <v>#REF!</v>
      </c>
      <c r="CE34" s="186" t="e">
        <f t="shared" si="40"/>
        <v>#REF!</v>
      </c>
      <c r="CF34" s="189" t="e">
        <f>#REF!+#REF!+#REF!</f>
        <v>#REF!</v>
      </c>
      <c r="CG34" s="186" t="e">
        <f t="shared" si="41"/>
        <v>#REF!</v>
      </c>
      <c r="CH34" s="189" t="e">
        <f>#REF!+#REF!+#REF!</f>
        <v>#REF!</v>
      </c>
      <c r="CI34" s="186" t="e">
        <f t="shared" si="42"/>
        <v>#REF!</v>
      </c>
      <c r="CJ34" s="189" t="e">
        <f>#REF!+#REF!+#REF!</f>
        <v>#REF!</v>
      </c>
      <c r="CK34" s="186" t="e">
        <f t="shared" si="43"/>
        <v>#REF!</v>
      </c>
      <c r="CL34" s="189" t="e">
        <f>#REF!+#REF!+#REF!</f>
        <v>#REF!</v>
      </c>
      <c r="CM34" s="186" t="e">
        <f t="shared" si="44"/>
        <v>#REF!</v>
      </c>
      <c r="CN34" s="189" t="e">
        <f>#REF!+#REF!+#REF!</f>
        <v>#REF!</v>
      </c>
      <c r="CO34" s="186" t="e">
        <f t="shared" si="45"/>
        <v>#REF!</v>
      </c>
      <c r="CP34" s="189" t="e">
        <f>#REF!+#REF!+#REF!</f>
        <v>#REF!</v>
      </c>
      <c r="CQ34" s="186" t="e">
        <f t="shared" si="46"/>
        <v>#REF!</v>
      </c>
      <c r="CR34" s="189" t="e">
        <f>#REF!+#REF!+#REF!</f>
        <v>#REF!</v>
      </c>
      <c r="CS34" s="186" t="e">
        <f t="shared" si="47"/>
        <v>#REF!</v>
      </c>
      <c r="CT34" s="189" t="e">
        <f>#REF!+#REF!+#REF!</f>
        <v>#REF!</v>
      </c>
      <c r="CU34" s="186" t="e">
        <f t="shared" si="48"/>
        <v>#REF!</v>
      </c>
      <c r="CV34" s="416">
        <f t="shared" si="17"/>
        <v>226.59145699999999</v>
      </c>
      <c r="CW34" s="191" t="str">
        <f t="shared" si="31"/>
        <v>Thấp hơn</v>
      </c>
      <c r="CX34" s="191" t="str">
        <f t="shared" si="32"/>
        <v>Thấp hơn</v>
      </c>
      <c r="CY34" s="213"/>
      <c r="CZ34" s="213"/>
      <c r="DA34" s="231"/>
      <c r="DB34" s="163"/>
      <c r="DD34" s="195"/>
      <c r="DE34" s="196"/>
      <c r="DF34" s="196"/>
      <c r="DG34" s="197"/>
      <c r="DH34" s="196"/>
      <c r="DI34" s="196"/>
      <c r="DJ34" s="196"/>
      <c r="DL34" s="199"/>
      <c r="DM34" s="200"/>
    </row>
    <row r="35" spans="1:117" ht="18" customHeight="1" x14ac:dyDescent="0.25">
      <c r="A35" s="191">
        <v>20</v>
      </c>
      <c r="B35" s="240" t="s">
        <v>473</v>
      </c>
      <c r="C35" s="240"/>
      <c r="D35" s="188">
        <v>77750</v>
      </c>
      <c r="E35" s="188">
        <v>0</v>
      </c>
      <c r="F35" s="188">
        <v>77750</v>
      </c>
      <c r="G35" s="188">
        <v>3000</v>
      </c>
      <c r="H35" s="188">
        <v>74750</v>
      </c>
      <c r="I35" s="188">
        <v>52250</v>
      </c>
      <c r="J35" s="188"/>
      <c r="K35" s="188">
        <v>0</v>
      </c>
      <c r="L35" s="188">
        <v>0</v>
      </c>
      <c r="M35" s="188">
        <v>0</v>
      </c>
      <c r="N35" s="188">
        <v>0</v>
      </c>
      <c r="O35" s="188">
        <v>55250</v>
      </c>
      <c r="P35" s="188">
        <v>0</v>
      </c>
      <c r="Q35" s="186">
        <v>0</v>
      </c>
      <c r="R35" s="188">
        <v>0</v>
      </c>
      <c r="S35" s="185">
        <v>0</v>
      </c>
      <c r="T35" s="185">
        <v>0</v>
      </c>
      <c r="U35" s="314">
        <v>1131.7998460000001</v>
      </c>
      <c r="V35" s="185">
        <v>1.4556911202572348E-2</v>
      </c>
      <c r="W35" s="185">
        <v>1.5323064423760368E-2</v>
      </c>
      <c r="X35" s="314">
        <v>1131.7998460000001</v>
      </c>
      <c r="Y35" s="185">
        <v>1.4556911202572348E-2</v>
      </c>
      <c r="Z35" s="185">
        <v>1.5323064423760368E-2</v>
      </c>
      <c r="AA35" s="314">
        <v>1131.7998460000001</v>
      </c>
      <c r="AB35" s="185">
        <v>1.4556911202572348E-2</v>
      </c>
      <c r="AC35" s="185">
        <v>1.5323064423760368E-2</v>
      </c>
      <c r="AD35" s="314">
        <v>1648</v>
      </c>
      <c r="AE35" s="185">
        <v>2.1196141479099678E-2</v>
      </c>
      <c r="AF35" s="185">
        <v>2.2311727872736505E-2</v>
      </c>
      <c r="AG35" s="314">
        <v>1648</v>
      </c>
      <c r="AH35" s="185">
        <v>2.1196141479099678E-2</v>
      </c>
      <c r="AI35" s="185">
        <v>2.2311727872736505E-2</v>
      </c>
      <c r="AJ35" s="317">
        <v>1648</v>
      </c>
      <c r="AK35" s="185">
        <v>2.1196141479099678E-2</v>
      </c>
      <c r="AL35" s="185">
        <v>2.2311727872736505E-2</v>
      </c>
      <c r="AM35" s="314">
        <v>1648</v>
      </c>
      <c r="AN35" s="185">
        <v>2.1196141479099678E-2</v>
      </c>
      <c r="AO35" s="185">
        <v>2.2311727872736505E-2</v>
      </c>
      <c r="AP35" s="185"/>
      <c r="AQ35" s="188">
        <v>53953</v>
      </c>
      <c r="AR35" s="185">
        <v>0.69392926045016079</v>
      </c>
      <c r="AS35" s="185">
        <v>0.73045185310543237</v>
      </c>
      <c r="AT35" s="188">
        <v>53953</v>
      </c>
      <c r="AU35" s="185">
        <v>0.69392926045016079</v>
      </c>
      <c r="AV35" s="185">
        <v>0.73045185310543237</v>
      </c>
      <c r="AW35" s="185"/>
      <c r="AX35" s="185"/>
      <c r="AY35" s="185"/>
      <c r="AZ35" s="185"/>
      <c r="BA35" s="185"/>
      <c r="BB35" s="185"/>
      <c r="BC35" s="188">
        <v>53953</v>
      </c>
      <c r="BD35" s="185">
        <v>0.69392926045016079</v>
      </c>
      <c r="BE35" s="185">
        <v>0.73045185310543237</v>
      </c>
      <c r="BF35" s="352"/>
      <c r="BG35" s="352">
        <v>55953</v>
      </c>
      <c r="BH35" s="185">
        <v>0.71965273311897104</v>
      </c>
      <c r="BI35" s="185">
        <v>0.75752919275681163</v>
      </c>
      <c r="BJ35" s="374">
        <v>73862.5</v>
      </c>
      <c r="BK35" s="374">
        <v>55953</v>
      </c>
      <c r="BL35" s="185">
        <v>0.71965273311897104</v>
      </c>
      <c r="BM35" s="185">
        <v>0.75752919275681163</v>
      </c>
      <c r="BN35" s="374">
        <v>55953</v>
      </c>
      <c r="BO35" s="185">
        <v>0.71965273311897104</v>
      </c>
      <c r="BP35" s="185">
        <v>0.75752919275681163</v>
      </c>
      <c r="BQ35" s="374">
        <v>55953</v>
      </c>
      <c r="BR35" s="185">
        <f t="shared" si="33"/>
        <v>0.71965273311897104</v>
      </c>
      <c r="BS35" s="185">
        <f t="shared" si="34"/>
        <v>0.75752919275681163</v>
      </c>
      <c r="BT35" s="205">
        <f t="shared" si="35"/>
        <v>54305</v>
      </c>
      <c r="BU35" s="205"/>
      <c r="BV35" s="189" t="e">
        <f>#REF!+#REF!+#REF!</f>
        <v>#REF!</v>
      </c>
      <c r="BW35" s="186" t="e">
        <f t="shared" si="36"/>
        <v>#REF!</v>
      </c>
      <c r="BX35" s="189" t="e">
        <f>#REF!+#REF!+#REF!</f>
        <v>#REF!</v>
      </c>
      <c r="BY35" s="186" t="e">
        <f t="shared" si="37"/>
        <v>#REF!</v>
      </c>
      <c r="BZ35" s="189" t="e">
        <f>#REF!+#REF!+#REF!</f>
        <v>#REF!</v>
      </c>
      <c r="CA35" s="186" t="e">
        <f t="shared" si="38"/>
        <v>#REF!</v>
      </c>
      <c r="CB35" s="189" t="e">
        <f>#REF!+#REF!+#REF!</f>
        <v>#REF!</v>
      </c>
      <c r="CC35" s="186" t="e">
        <f t="shared" si="39"/>
        <v>#REF!</v>
      </c>
      <c r="CD35" s="189" t="e">
        <f>#REF!+#REF!+#REF!</f>
        <v>#REF!</v>
      </c>
      <c r="CE35" s="186" t="e">
        <f t="shared" si="40"/>
        <v>#REF!</v>
      </c>
      <c r="CF35" s="189" t="e">
        <f>#REF!+#REF!+#REF!</f>
        <v>#REF!</v>
      </c>
      <c r="CG35" s="186" t="e">
        <f t="shared" si="41"/>
        <v>#REF!</v>
      </c>
      <c r="CH35" s="189" t="e">
        <f>#REF!+#REF!+#REF!</f>
        <v>#REF!</v>
      </c>
      <c r="CI35" s="186" t="e">
        <f t="shared" si="42"/>
        <v>#REF!</v>
      </c>
      <c r="CJ35" s="189" t="e">
        <f>#REF!+#REF!+#REF!</f>
        <v>#REF!</v>
      </c>
      <c r="CK35" s="186" t="e">
        <f t="shared" si="43"/>
        <v>#REF!</v>
      </c>
      <c r="CL35" s="189" t="e">
        <f>#REF!+#REF!+#REF!</f>
        <v>#REF!</v>
      </c>
      <c r="CM35" s="186" t="e">
        <f t="shared" si="44"/>
        <v>#REF!</v>
      </c>
      <c r="CN35" s="189" t="e">
        <f>#REF!+#REF!+#REF!</f>
        <v>#REF!</v>
      </c>
      <c r="CO35" s="186" t="e">
        <f t="shared" si="45"/>
        <v>#REF!</v>
      </c>
      <c r="CP35" s="189" t="e">
        <f>#REF!+#REF!+#REF!</f>
        <v>#REF!</v>
      </c>
      <c r="CQ35" s="186" t="e">
        <f t="shared" si="46"/>
        <v>#REF!</v>
      </c>
      <c r="CR35" s="189" t="e">
        <f>#REF!+#REF!+#REF!</f>
        <v>#REF!</v>
      </c>
      <c r="CS35" s="186" t="e">
        <f t="shared" si="47"/>
        <v>#REF!</v>
      </c>
      <c r="CT35" s="189" t="e">
        <f>#REF!+#REF!+#REF!</f>
        <v>#REF!</v>
      </c>
      <c r="CU35" s="186" t="e">
        <f t="shared" si="48"/>
        <v>#REF!</v>
      </c>
      <c r="CV35" s="416">
        <f t="shared" si="17"/>
        <v>0</v>
      </c>
      <c r="CW35" s="191" t="str">
        <f t="shared" si="31"/>
        <v>Cao hơn</v>
      </c>
      <c r="CX35" s="191" t="str">
        <f t="shared" si="32"/>
        <v>Cao hơn</v>
      </c>
      <c r="CY35" s="213"/>
      <c r="CZ35" s="213"/>
      <c r="DA35" s="231"/>
      <c r="DB35" s="163"/>
      <c r="DD35" s="195"/>
      <c r="DE35" s="196"/>
      <c r="DF35" s="196"/>
      <c r="DG35" s="197"/>
      <c r="DH35" s="196"/>
      <c r="DI35" s="196"/>
      <c r="DJ35" s="196"/>
      <c r="DL35" s="199"/>
      <c r="DM35" s="200"/>
    </row>
    <row r="36" spans="1:117" ht="18" customHeight="1" x14ac:dyDescent="0.25">
      <c r="A36" s="191">
        <v>21</v>
      </c>
      <c r="B36" s="240" t="s">
        <v>476</v>
      </c>
      <c r="C36" s="240"/>
      <c r="D36" s="188">
        <v>25550</v>
      </c>
      <c r="E36" s="188">
        <v>0</v>
      </c>
      <c r="F36" s="188">
        <v>25550</v>
      </c>
      <c r="G36" s="188">
        <v>3000</v>
      </c>
      <c r="H36" s="188">
        <v>22550</v>
      </c>
      <c r="I36" s="188">
        <v>19000</v>
      </c>
      <c r="J36" s="188"/>
      <c r="K36" s="188">
        <v>0</v>
      </c>
      <c r="L36" s="188">
        <v>0</v>
      </c>
      <c r="M36" s="188">
        <v>0</v>
      </c>
      <c r="N36" s="188">
        <v>0</v>
      </c>
      <c r="O36" s="188">
        <v>22000</v>
      </c>
      <c r="P36" s="189">
        <v>0</v>
      </c>
      <c r="Q36" s="186">
        <v>0</v>
      </c>
      <c r="R36" s="189">
        <v>400</v>
      </c>
      <c r="S36" s="185">
        <v>1.5655577299412915E-2</v>
      </c>
      <c r="T36" s="185">
        <v>1.6479555052013595E-2</v>
      </c>
      <c r="U36" s="189">
        <v>4554.8379999999997</v>
      </c>
      <c r="V36" s="185">
        <v>0.17827154598825831</v>
      </c>
      <c r="W36" s="185">
        <v>0.18765425893500876</v>
      </c>
      <c r="X36" s="189">
        <v>4554.8379999999997</v>
      </c>
      <c r="Y36" s="185">
        <v>0.17827154598825831</v>
      </c>
      <c r="Z36" s="185">
        <v>0.18765425893500876</v>
      </c>
      <c r="AA36" s="189">
        <v>4554.8379999999997</v>
      </c>
      <c r="AB36" s="185">
        <v>0.17827154598825831</v>
      </c>
      <c r="AC36" s="185">
        <v>0.18765425893500876</v>
      </c>
      <c r="AD36" s="189">
        <v>19493.257999999998</v>
      </c>
      <c r="AE36" s="185">
        <v>0.76294551859099802</v>
      </c>
      <c r="AF36" s="185">
        <v>0.80310054588526103</v>
      </c>
      <c r="AG36" s="189">
        <v>19493.257999999998</v>
      </c>
      <c r="AH36" s="185">
        <v>0.76294551859099802</v>
      </c>
      <c r="AI36" s="185">
        <v>0.80310054588526103</v>
      </c>
      <c r="AJ36" s="317">
        <v>19493.257999999998</v>
      </c>
      <c r="AK36" s="185">
        <v>0.76294551859099802</v>
      </c>
      <c r="AL36" s="185">
        <v>0.80310054588526103</v>
      </c>
      <c r="AM36" s="189">
        <v>19493.257999999998</v>
      </c>
      <c r="AN36" s="185">
        <v>0.76294551859099802</v>
      </c>
      <c r="AO36" s="185">
        <v>0.80310054588526103</v>
      </c>
      <c r="AP36" s="185"/>
      <c r="AQ36" s="189">
        <v>21625.846999999998</v>
      </c>
      <c r="AR36" s="185">
        <v>0.84641279843444217</v>
      </c>
      <c r="AS36" s="185">
        <v>0.89096084045730761</v>
      </c>
      <c r="AT36" s="189">
        <v>21625.846999999998</v>
      </c>
      <c r="AU36" s="185">
        <v>0.84641279843444217</v>
      </c>
      <c r="AV36" s="185">
        <v>0.89096084045730761</v>
      </c>
      <c r="AW36" s="185"/>
      <c r="AX36" s="185"/>
      <c r="AY36" s="185"/>
      <c r="AZ36" s="185"/>
      <c r="BA36" s="185"/>
      <c r="BB36" s="185"/>
      <c r="BC36" s="189">
        <v>21625.846999999998</v>
      </c>
      <c r="BD36" s="185">
        <v>0.84641279843444217</v>
      </c>
      <c r="BE36" s="185">
        <v>0.89096084045730761</v>
      </c>
      <c r="BF36" s="352"/>
      <c r="BG36" s="352">
        <v>23046.42</v>
      </c>
      <c r="BH36" s="185">
        <v>0.90201252446183944</v>
      </c>
      <c r="BI36" s="185">
        <v>0.94948686785456782</v>
      </c>
      <c r="BJ36" s="374">
        <v>24272.5</v>
      </c>
      <c r="BK36" s="374">
        <v>23289.327000000001</v>
      </c>
      <c r="BL36" s="185">
        <v>0.91151964774951078</v>
      </c>
      <c r="BM36" s="185">
        <v>0.95949436605211669</v>
      </c>
      <c r="BN36" s="374">
        <v>23289.327000000001</v>
      </c>
      <c r="BO36" s="185">
        <v>0.91151964774951078</v>
      </c>
      <c r="BP36" s="185">
        <v>0.95949436605211669</v>
      </c>
      <c r="BQ36" s="374">
        <v>23289.1</v>
      </c>
      <c r="BR36" s="185">
        <f t="shared" si="33"/>
        <v>0.91151076320939328</v>
      </c>
      <c r="BS36" s="185">
        <f t="shared" si="34"/>
        <v>0.95948501390462448</v>
      </c>
      <c r="BT36" s="205">
        <f t="shared" si="35"/>
        <v>3795.8420000000006</v>
      </c>
      <c r="BU36" s="205"/>
      <c r="BV36" s="189" t="e">
        <f>#REF!+#REF!+#REF!</f>
        <v>#REF!</v>
      </c>
      <c r="BW36" s="186" t="e">
        <f t="shared" si="36"/>
        <v>#REF!</v>
      </c>
      <c r="BX36" s="189" t="e">
        <f>#REF!+#REF!+#REF!</f>
        <v>#REF!</v>
      </c>
      <c r="BY36" s="186" t="e">
        <f t="shared" si="37"/>
        <v>#REF!</v>
      </c>
      <c r="BZ36" s="189" t="e">
        <f>#REF!+#REF!+#REF!</f>
        <v>#REF!</v>
      </c>
      <c r="CA36" s="186" t="e">
        <f t="shared" si="38"/>
        <v>#REF!</v>
      </c>
      <c r="CB36" s="189" t="e">
        <f>#REF!+#REF!+#REF!</f>
        <v>#REF!</v>
      </c>
      <c r="CC36" s="186" t="e">
        <f t="shared" si="39"/>
        <v>#REF!</v>
      </c>
      <c r="CD36" s="189" t="e">
        <f>#REF!+#REF!+#REF!</f>
        <v>#REF!</v>
      </c>
      <c r="CE36" s="186" t="e">
        <f t="shared" si="40"/>
        <v>#REF!</v>
      </c>
      <c r="CF36" s="189" t="e">
        <f>#REF!+#REF!+#REF!</f>
        <v>#REF!</v>
      </c>
      <c r="CG36" s="186" t="e">
        <f t="shared" si="41"/>
        <v>#REF!</v>
      </c>
      <c r="CH36" s="189" t="e">
        <f>#REF!+#REF!+#REF!</f>
        <v>#REF!</v>
      </c>
      <c r="CI36" s="186" t="e">
        <f t="shared" si="42"/>
        <v>#REF!</v>
      </c>
      <c r="CJ36" s="189" t="e">
        <f>#REF!+#REF!+#REF!</f>
        <v>#REF!</v>
      </c>
      <c r="CK36" s="186" t="e">
        <f t="shared" si="43"/>
        <v>#REF!</v>
      </c>
      <c r="CL36" s="189" t="e">
        <f>#REF!+#REF!+#REF!</f>
        <v>#REF!</v>
      </c>
      <c r="CM36" s="186" t="e">
        <f t="shared" si="44"/>
        <v>#REF!</v>
      </c>
      <c r="CN36" s="189" t="e">
        <f>#REF!+#REF!+#REF!</f>
        <v>#REF!</v>
      </c>
      <c r="CO36" s="186" t="e">
        <f t="shared" si="45"/>
        <v>#REF!</v>
      </c>
      <c r="CP36" s="189" t="e">
        <f>#REF!+#REF!+#REF!</f>
        <v>#REF!</v>
      </c>
      <c r="CQ36" s="186" t="e">
        <f t="shared" si="46"/>
        <v>#REF!</v>
      </c>
      <c r="CR36" s="189" t="e">
        <f>#REF!+#REF!+#REF!</f>
        <v>#REF!</v>
      </c>
      <c r="CS36" s="186" t="e">
        <f t="shared" si="47"/>
        <v>#REF!</v>
      </c>
      <c r="CT36" s="189" t="e">
        <f>#REF!+#REF!+#REF!</f>
        <v>#REF!</v>
      </c>
      <c r="CU36" s="186" t="e">
        <f t="shared" si="48"/>
        <v>#REF!</v>
      </c>
      <c r="CV36" s="416">
        <f t="shared" si="17"/>
        <v>-0.22700000000259024</v>
      </c>
      <c r="CW36" s="191" t="str">
        <f t="shared" si="31"/>
        <v>Cao hơn</v>
      </c>
      <c r="CX36" s="191" t="str">
        <f t="shared" si="32"/>
        <v>Cao hơn</v>
      </c>
      <c r="CY36" s="213"/>
      <c r="CZ36" s="213"/>
      <c r="DA36" s="231"/>
      <c r="DB36" s="163"/>
      <c r="DD36" s="195"/>
      <c r="DE36" s="196"/>
      <c r="DF36" s="196"/>
      <c r="DG36" s="197"/>
      <c r="DH36" s="196"/>
      <c r="DI36" s="196"/>
      <c r="DJ36" s="196"/>
      <c r="DL36" s="199"/>
      <c r="DM36" s="200"/>
    </row>
    <row r="37" spans="1:117" ht="18" customHeight="1" x14ac:dyDescent="0.25">
      <c r="A37" s="191">
        <v>22</v>
      </c>
      <c r="B37" s="240" t="s">
        <v>478</v>
      </c>
      <c r="C37" s="240"/>
      <c r="D37" s="188">
        <v>4700</v>
      </c>
      <c r="E37" s="188">
        <v>0</v>
      </c>
      <c r="F37" s="188">
        <v>4700</v>
      </c>
      <c r="G37" s="188">
        <v>3000</v>
      </c>
      <c r="H37" s="188">
        <v>1700</v>
      </c>
      <c r="I37" s="188">
        <v>0</v>
      </c>
      <c r="J37" s="188"/>
      <c r="K37" s="188">
        <v>0</v>
      </c>
      <c r="L37" s="188">
        <v>0</v>
      </c>
      <c r="M37" s="188">
        <v>0</v>
      </c>
      <c r="N37" s="188">
        <v>0</v>
      </c>
      <c r="O37" s="188">
        <v>3000</v>
      </c>
      <c r="P37" s="188">
        <v>0</v>
      </c>
      <c r="Q37" s="186">
        <v>0</v>
      </c>
      <c r="R37" s="188">
        <v>0</v>
      </c>
      <c r="S37" s="185">
        <v>0</v>
      </c>
      <c r="T37" s="185">
        <v>0</v>
      </c>
      <c r="U37" s="188">
        <v>0</v>
      </c>
      <c r="V37" s="185">
        <v>0</v>
      </c>
      <c r="W37" s="185">
        <v>0</v>
      </c>
      <c r="X37" s="188">
        <v>0</v>
      </c>
      <c r="Y37" s="185">
        <v>0</v>
      </c>
      <c r="Z37" s="185">
        <v>0</v>
      </c>
      <c r="AA37" s="188">
        <v>0</v>
      </c>
      <c r="AB37" s="185">
        <v>0</v>
      </c>
      <c r="AC37" s="185">
        <v>0</v>
      </c>
      <c r="AD37" s="188">
        <v>323.27699999999999</v>
      </c>
      <c r="AE37" s="185">
        <v>6.8782340425531913E-2</v>
      </c>
      <c r="AF37" s="185">
        <v>7.2402463605823059E-2</v>
      </c>
      <c r="AG37" s="188">
        <v>323.27699999999999</v>
      </c>
      <c r="AH37" s="185">
        <v>6.8782340425531913E-2</v>
      </c>
      <c r="AI37" s="185">
        <v>7.2402463605823059E-2</v>
      </c>
      <c r="AJ37" s="307">
        <v>323.27699999999999</v>
      </c>
      <c r="AK37" s="185">
        <v>6.8782340425531913E-2</v>
      </c>
      <c r="AL37" s="185">
        <v>7.2402463605823059E-2</v>
      </c>
      <c r="AM37" s="188">
        <v>323.27699999999999</v>
      </c>
      <c r="AN37" s="185">
        <v>6.8782340425531913E-2</v>
      </c>
      <c r="AO37" s="185">
        <v>7.2402463605823059E-2</v>
      </c>
      <c r="AP37" s="185"/>
      <c r="AQ37" s="188">
        <v>1369.3629000000001</v>
      </c>
      <c r="AR37" s="185">
        <v>0.2913538085106383</v>
      </c>
      <c r="AS37" s="185">
        <v>0.30668821948488245</v>
      </c>
      <c r="AT37" s="188">
        <v>1369.3629000000001</v>
      </c>
      <c r="AU37" s="185">
        <v>0.2913538085106383</v>
      </c>
      <c r="AV37" s="185">
        <v>0.30668821948488245</v>
      </c>
      <c r="AW37" s="185"/>
      <c r="AX37" s="185"/>
      <c r="AY37" s="185"/>
      <c r="AZ37" s="185"/>
      <c r="BA37" s="185"/>
      <c r="BB37" s="185"/>
      <c r="BC37" s="188">
        <v>1369.3629000000001</v>
      </c>
      <c r="BD37" s="185">
        <v>0.2913538085106383</v>
      </c>
      <c r="BE37" s="185">
        <v>0.30668821948488245</v>
      </c>
      <c r="BF37" s="352"/>
      <c r="BG37" s="352">
        <v>1369.3629000000001</v>
      </c>
      <c r="BH37" s="185">
        <v>0.2913538085106383</v>
      </c>
      <c r="BI37" s="185">
        <v>0.30668821948488245</v>
      </c>
      <c r="BJ37" s="374">
        <v>4465</v>
      </c>
      <c r="BK37" s="374">
        <v>1369.3629000000001</v>
      </c>
      <c r="BL37" s="185">
        <v>0.2913538085106383</v>
      </c>
      <c r="BM37" s="185">
        <v>0.30668821948488245</v>
      </c>
      <c r="BN37" s="374">
        <v>1369.3629000000001</v>
      </c>
      <c r="BO37" s="185">
        <v>0.2913538085106383</v>
      </c>
      <c r="BP37" s="185">
        <v>0.30668821948488245</v>
      </c>
      <c r="BQ37" s="374">
        <v>1369.3629000000001</v>
      </c>
      <c r="BR37" s="185">
        <f t="shared" si="33"/>
        <v>0.2913538085106383</v>
      </c>
      <c r="BS37" s="185">
        <f t="shared" si="34"/>
        <v>0.30668821948488245</v>
      </c>
      <c r="BT37" s="205">
        <f t="shared" si="35"/>
        <v>1046.0859</v>
      </c>
      <c r="BU37" s="205"/>
      <c r="BV37" s="189" t="e">
        <f>#REF!+#REF!</f>
        <v>#REF!</v>
      </c>
      <c r="BW37" s="186" t="e">
        <f t="shared" si="36"/>
        <v>#REF!</v>
      </c>
      <c r="BX37" s="189" t="e">
        <f>#REF!+#REF!</f>
        <v>#REF!</v>
      </c>
      <c r="BY37" s="186" t="e">
        <f t="shared" si="37"/>
        <v>#REF!</v>
      </c>
      <c r="BZ37" s="189" t="e">
        <f>#REF!+#REF!</f>
        <v>#REF!</v>
      </c>
      <c r="CA37" s="186" t="e">
        <f t="shared" si="38"/>
        <v>#REF!</v>
      </c>
      <c r="CB37" s="189" t="e">
        <f>#REF!+#REF!</f>
        <v>#REF!</v>
      </c>
      <c r="CC37" s="186" t="e">
        <f t="shared" si="39"/>
        <v>#REF!</v>
      </c>
      <c r="CD37" s="189" t="e">
        <f>#REF!+#REF!</f>
        <v>#REF!</v>
      </c>
      <c r="CE37" s="186" t="e">
        <f t="shared" si="40"/>
        <v>#REF!</v>
      </c>
      <c r="CF37" s="189" t="e">
        <f>#REF!+#REF!</f>
        <v>#REF!</v>
      </c>
      <c r="CG37" s="186" t="e">
        <f t="shared" si="41"/>
        <v>#REF!</v>
      </c>
      <c r="CH37" s="189" t="e">
        <f>#REF!+#REF!</f>
        <v>#REF!</v>
      </c>
      <c r="CI37" s="186" t="e">
        <f t="shared" si="42"/>
        <v>#REF!</v>
      </c>
      <c r="CJ37" s="189" t="e">
        <f>#REF!+#REF!</f>
        <v>#REF!</v>
      </c>
      <c r="CK37" s="186" t="e">
        <f t="shared" si="43"/>
        <v>#REF!</v>
      </c>
      <c r="CL37" s="189" t="e">
        <f>#REF!+#REF!</f>
        <v>#REF!</v>
      </c>
      <c r="CM37" s="186" t="e">
        <f t="shared" si="44"/>
        <v>#REF!</v>
      </c>
      <c r="CN37" s="189" t="e">
        <f>#REF!+#REF!</f>
        <v>#REF!</v>
      </c>
      <c r="CO37" s="186" t="e">
        <f t="shared" si="45"/>
        <v>#REF!</v>
      </c>
      <c r="CP37" s="189" t="e">
        <f>#REF!+#REF!</f>
        <v>#REF!</v>
      </c>
      <c r="CQ37" s="186" t="e">
        <f t="shared" si="46"/>
        <v>#REF!</v>
      </c>
      <c r="CR37" s="189" t="e">
        <f>#REF!+#REF!</f>
        <v>#REF!</v>
      </c>
      <c r="CS37" s="186" t="e">
        <f t="shared" si="47"/>
        <v>#REF!</v>
      </c>
      <c r="CT37" s="189" t="e">
        <f>#REF!+#REF!</f>
        <v>#REF!</v>
      </c>
      <c r="CU37" s="186" t="e">
        <f t="shared" si="48"/>
        <v>#REF!</v>
      </c>
      <c r="CV37" s="416">
        <f t="shared" si="17"/>
        <v>0</v>
      </c>
      <c r="CW37" s="191" t="str">
        <f t="shared" si="31"/>
        <v>Thấp hơn</v>
      </c>
      <c r="CX37" s="191" t="str">
        <f t="shared" si="32"/>
        <v>Thấp hơn</v>
      </c>
      <c r="CY37" s="213"/>
      <c r="CZ37" s="213"/>
      <c r="DA37" s="231"/>
      <c r="DB37" s="163"/>
      <c r="DD37" s="195"/>
      <c r="DE37" s="196"/>
      <c r="DF37" s="196"/>
      <c r="DG37" s="197"/>
      <c r="DH37" s="196"/>
      <c r="DI37" s="196"/>
      <c r="DJ37" s="196"/>
      <c r="DL37" s="199"/>
      <c r="DM37" s="200"/>
    </row>
    <row r="38" spans="1:117" ht="18" customHeight="1" x14ac:dyDescent="0.25">
      <c r="A38" s="191">
        <v>23</v>
      </c>
      <c r="B38" s="240" t="s">
        <v>479</v>
      </c>
      <c r="C38" s="240"/>
      <c r="D38" s="188">
        <v>3850</v>
      </c>
      <c r="E38" s="188">
        <v>0</v>
      </c>
      <c r="F38" s="188">
        <v>3850</v>
      </c>
      <c r="G38" s="188">
        <v>3000</v>
      </c>
      <c r="H38" s="188">
        <v>850</v>
      </c>
      <c r="I38" s="188">
        <v>0</v>
      </c>
      <c r="J38" s="188"/>
      <c r="K38" s="188">
        <v>0</v>
      </c>
      <c r="L38" s="188">
        <v>0</v>
      </c>
      <c r="M38" s="188">
        <v>0</v>
      </c>
      <c r="N38" s="188">
        <v>0</v>
      </c>
      <c r="O38" s="188">
        <v>3000</v>
      </c>
      <c r="P38" s="188">
        <v>0</v>
      </c>
      <c r="Q38" s="186">
        <v>0</v>
      </c>
      <c r="R38" s="188">
        <v>0</v>
      </c>
      <c r="S38" s="185">
        <v>0</v>
      </c>
      <c r="T38" s="185">
        <v>0</v>
      </c>
      <c r="U38" s="188">
        <v>0</v>
      </c>
      <c r="V38" s="185">
        <v>0</v>
      </c>
      <c r="W38" s="185">
        <v>0</v>
      </c>
      <c r="X38" s="188">
        <v>0</v>
      </c>
      <c r="Y38" s="185">
        <v>0</v>
      </c>
      <c r="Z38" s="185">
        <v>0</v>
      </c>
      <c r="AA38" s="188">
        <v>0</v>
      </c>
      <c r="AB38" s="185">
        <v>0</v>
      </c>
      <c r="AC38" s="185">
        <v>0</v>
      </c>
      <c r="AD38" s="188">
        <v>0</v>
      </c>
      <c r="AE38" s="185">
        <v>0</v>
      </c>
      <c r="AF38" s="185">
        <v>0</v>
      </c>
      <c r="AG38" s="188">
        <v>0</v>
      </c>
      <c r="AH38" s="185">
        <v>0</v>
      </c>
      <c r="AI38" s="185">
        <v>0</v>
      </c>
      <c r="AJ38" s="307">
        <v>0</v>
      </c>
      <c r="AK38" s="185">
        <v>0</v>
      </c>
      <c r="AL38" s="185">
        <v>0</v>
      </c>
      <c r="AM38" s="188">
        <v>0</v>
      </c>
      <c r="AN38" s="185">
        <v>0</v>
      </c>
      <c r="AO38" s="185">
        <v>0</v>
      </c>
      <c r="AP38" s="185"/>
      <c r="AQ38" s="188">
        <v>1201.6199999999999</v>
      </c>
      <c r="AR38" s="185">
        <v>0.31210909090909089</v>
      </c>
      <c r="AS38" s="185">
        <v>0.32853588516746407</v>
      </c>
      <c r="AT38" s="188">
        <v>1201.6199999999999</v>
      </c>
      <c r="AU38" s="185">
        <v>0.31210909090909089</v>
      </c>
      <c r="AV38" s="185">
        <v>0.32853588516746407</v>
      </c>
      <c r="AW38" s="185"/>
      <c r="AX38" s="185"/>
      <c r="AY38" s="185"/>
      <c r="AZ38" s="185"/>
      <c r="BA38" s="185"/>
      <c r="BB38" s="185"/>
      <c r="BC38" s="188">
        <v>1201.6199999999999</v>
      </c>
      <c r="BD38" s="185">
        <v>0.31210909090909089</v>
      </c>
      <c r="BE38" s="185">
        <v>0.32853588516746407</v>
      </c>
      <c r="BF38" s="352"/>
      <c r="BG38" s="352">
        <v>1410.17</v>
      </c>
      <c r="BH38" s="185">
        <v>0.36627792207792209</v>
      </c>
      <c r="BI38" s="185">
        <v>0.38555570745044432</v>
      </c>
      <c r="BJ38" s="374">
        <v>3657.5</v>
      </c>
      <c r="BK38" s="374">
        <v>2429.11</v>
      </c>
      <c r="BL38" s="185">
        <v>0.63093766233766235</v>
      </c>
      <c r="BM38" s="185">
        <v>0.66414490772385515</v>
      </c>
      <c r="BN38" s="374">
        <v>2429.11</v>
      </c>
      <c r="BO38" s="185">
        <v>0.63093766233766235</v>
      </c>
      <c r="BP38" s="185">
        <v>0.66414490772385515</v>
      </c>
      <c r="BQ38" s="374">
        <v>2429.11</v>
      </c>
      <c r="BR38" s="185">
        <f t="shared" si="33"/>
        <v>0.63093766233766235</v>
      </c>
      <c r="BS38" s="185">
        <f t="shared" si="34"/>
        <v>0.66414490772385515</v>
      </c>
      <c r="BT38" s="205">
        <f t="shared" si="35"/>
        <v>2429.11</v>
      </c>
      <c r="BU38" s="205"/>
      <c r="BV38" s="189" t="e">
        <f>#REF!+#REF!</f>
        <v>#REF!</v>
      </c>
      <c r="BW38" s="186" t="e">
        <f t="shared" si="36"/>
        <v>#REF!</v>
      </c>
      <c r="BX38" s="189" t="e">
        <f>#REF!+#REF!</f>
        <v>#REF!</v>
      </c>
      <c r="BY38" s="186" t="e">
        <f t="shared" si="37"/>
        <v>#REF!</v>
      </c>
      <c r="BZ38" s="189" t="e">
        <f>#REF!+#REF!</f>
        <v>#REF!</v>
      </c>
      <c r="CA38" s="186" t="e">
        <f t="shared" si="38"/>
        <v>#REF!</v>
      </c>
      <c r="CB38" s="189" t="e">
        <f>#REF!+#REF!</f>
        <v>#REF!</v>
      </c>
      <c r="CC38" s="186" t="e">
        <f t="shared" si="39"/>
        <v>#REF!</v>
      </c>
      <c r="CD38" s="189" t="e">
        <f>#REF!+#REF!</f>
        <v>#REF!</v>
      </c>
      <c r="CE38" s="186" t="e">
        <f t="shared" si="40"/>
        <v>#REF!</v>
      </c>
      <c r="CF38" s="189" t="e">
        <f>#REF!+#REF!</f>
        <v>#REF!</v>
      </c>
      <c r="CG38" s="186" t="e">
        <f t="shared" si="41"/>
        <v>#REF!</v>
      </c>
      <c r="CH38" s="189" t="e">
        <f>#REF!+#REF!</f>
        <v>#REF!</v>
      </c>
      <c r="CI38" s="186" t="e">
        <f t="shared" si="42"/>
        <v>#REF!</v>
      </c>
      <c r="CJ38" s="189" t="e">
        <f>#REF!+#REF!</f>
        <v>#REF!</v>
      </c>
      <c r="CK38" s="186" t="e">
        <f t="shared" si="43"/>
        <v>#REF!</v>
      </c>
      <c r="CL38" s="189" t="e">
        <f>#REF!+#REF!</f>
        <v>#REF!</v>
      </c>
      <c r="CM38" s="186" t="e">
        <f t="shared" si="44"/>
        <v>#REF!</v>
      </c>
      <c r="CN38" s="189" t="e">
        <f>#REF!+#REF!</f>
        <v>#REF!</v>
      </c>
      <c r="CO38" s="186" t="e">
        <f t="shared" si="45"/>
        <v>#REF!</v>
      </c>
      <c r="CP38" s="189" t="e">
        <f>#REF!+#REF!</f>
        <v>#REF!</v>
      </c>
      <c r="CQ38" s="186" t="e">
        <f t="shared" si="46"/>
        <v>#REF!</v>
      </c>
      <c r="CR38" s="189" t="e">
        <f>#REF!+#REF!</f>
        <v>#REF!</v>
      </c>
      <c r="CS38" s="186" t="e">
        <f t="shared" si="47"/>
        <v>#REF!</v>
      </c>
      <c r="CT38" s="189" t="e">
        <f>#REF!+#REF!</f>
        <v>#REF!</v>
      </c>
      <c r="CU38" s="186" t="e">
        <f t="shared" si="48"/>
        <v>#REF!</v>
      </c>
      <c r="CV38" s="416">
        <f t="shared" si="17"/>
        <v>0</v>
      </c>
      <c r="CW38" s="191" t="str">
        <f t="shared" si="31"/>
        <v>Cao hơn</v>
      </c>
      <c r="CX38" s="191" t="str">
        <f t="shared" si="32"/>
        <v>Cao hơn</v>
      </c>
      <c r="CY38" s="213"/>
      <c r="CZ38" s="213"/>
      <c r="DA38" s="231"/>
      <c r="DB38" s="163"/>
      <c r="DD38" s="195"/>
      <c r="DE38" s="196"/>
      <c r="DF38" s="196"/>
      <c r="DG38" s="197"/>
      <c r="DH38" s="196"/>
      <c r="DI38" s="196"/>
      <c r="DJ38" s="196"/>
      <c r="DL38" s="199"/>
      <c r="DM38" s="200"/>
    </row>
    <row r="39" spans="1:117" ht="18" customHeight="1" x14ac:dyDescent="0.25">
      <c r="A39" s="191">
        <v>24</v>
      </c>
      <c r="B39" s="240" t="s">
        <v>480</v>
      </c>
      <c r="C39" s="240"/>
      <c r="D39" s="188">
        <v>3127</v>
      </c>
      <c r="E39" s="188">
        <v>0</v>
      </c>
      <c r="F39" s="188">
        <v>3127</v>
      </c>
      <c r="G39" s="188">
        <v>3000</v>
      </c>
      <c r="H39" s="188">
        <v>127</v>
      </c>
      <c r="I39" s="188">
        <v>0</v>
      </c>
      <c r="J39" s="188"/>
      <c r="K39" s="188">
        <v>0</v>
      </c>
      <c r="L39" s="188">
        <v>0</v>
      </c>
      <c r="M39" s="188">
        <v>0</v>
      </c>
      <c r="N39" s="188">
        <v>0</v>
      </c>
      <c r="O39" s="188">
        <v>3000</v>
      </c>
      <c r="P39" s="188">
        <v>0</v>
      </c>
      <c r="Q39" s="186">
        <v>0</v>
      </c>
      <c r="R39" s="188">
        <v>0</v>
      </c>
      <c r="S39" s="185">
        <v>0</v>
      </c>
      <c r="T39" s="185">
        <v>0</v>
      </c>
      <c r="U39" s="188">
        <v>0</v>
      </c>
      <c r="V39" s="185">
        <v>0</v>
      </c>
      <c r="W39" s="185">
        <v>0</v>
      </c>
      <c r="X39" s="188">
        <v>0</v>
      </c>
      <c r="Y39" s="185">
        <v>0</v>
      </c>
      <c r="Z39" s="185">
        <v>0</v>
      </c>
      <c r="AA39" s="188">
        <v>0</v>
      </c>
      <c r="AB39" s="185">
        <v>0</v>
      </c>
      <c r="AC39" s="185">
        <v>0</v>
      </c>
      <c r="AD39" s="188">
        <v>909.61500000000001</v>
      </c>
      <c r="AE39" s="185">
        <v>0.29089062999680204</v>
      </c>
      <c r="AF39" s="185">
        <v>0.30620066315452849</v>
      </c>
      <c r="AG39" s="188">
        <v>909.61500000000001</v>
      </c>
      <c r="AH39" s="185">
        <v>0.29089062999680204</v>
      </c>
      <c r="AI39" s="185">
        <v>0.30620066315452849</v>
      </c>
      <c r="AJ39" s="307">
        <v>909.61500000000001</v>
      </c>
      <c r="AK39" s="185">
        <v>0.29089062999680204</v>
      </c>
      <c r="AL39" s="185">
        <v>0.30620066315452849</v>
      </c>
      <c r="AM39" s="188">
        <v>909.61500000000001</v>
      </c>
      <c r="AN39" s="185">
        <v>0.29089062999680204</v>
      </c>
      <c r="AO39" s="185">
        <v>0.30620066315452849</v>
      </c>
      <c r="AP39" s="185"/>
      <c r="AQ39" s="188">
        <v>909.61500000000001</v>
      </c>
      <c r="AR39" s="185">
        <v>0.29089062999680204</v>
      </c>
      <c r="AS39" s="185">
        <v>0.30620066315452849</v>
      </c>
      <c r="AT39" s="188">
        <v>909.61500000000001</v>
      </c>
      <c r="AU39" s="185">
        <v>0.29089062999680204</v>
      </c>
      <c r="AV39" s="185">
        <v>0.30620066315452849</v>
      </c>
      <c r="AW39" s="185"/>
      <c r="AX39" s="185"/>
      <c r="AY39" s="185"/>
      <c r="AZ39" s="185"/>
      <c r="BA39" s="185"/>
      <c r="BB39" s="185"/>
      <c r="BC39" s="188">
        <v>909.61500000000001</v>
      </c>
      <c r="BD39" s="185">
        <v>0.29089062999680204</v>
      </c>
      <c r="BE39" s="185">
        <v>0.30620066315452849</v>
      </c>
      <c r="BF39" s="352"/>
      <c r="BG39" s="352">
        <v>1444.26</v>
      </c>
      <c r="BH39" s="185">
        <v>0.46186760473297089</v>
      </c>
      <c r="BI39" s="185">
        <v>0.48617642603470629</v>
      </c>
      <c r="BJ39" s="374">
        <v>2970.6499999999996</v>
      </c>
      <c r="BK39" s="374">
        <v>2142.123</v>
      </c>
      <c r="BL39" s="185">
        <v>0.68504093380236653</v>
      </c>
      <c r="BM39" s="185">
        <v>0.72109571979196485</v>
      </c>
      <c r="BN39" s="374">
        <v>2142.123</v>
      </c>
      <c r="BO39" s="185">
        <v>0.68504093380236653</v>
      </c>
      <c r="BP39" s="185">
        <v>0.72109571979196485</v>
      </c>
      <c r="BQ39" s="374">
        <v>2142.123</v>
      </c>
      <c r="BR39" s="185">
        <f t="shared" si="33"/>
        <v>0.68504093380236653</v>
      </c>
      <c r="BS39" s="185">
        <f t="shared" si="34"/>
        <v>0.72109571979196485</v>
      </c>
      <c r="BT39" s="205">
        <f t="shared" si="35"/>
        <v>1232.508</v>
      </c>
      <c r="BU39" s="205"/>
      <c r="BV39" s="189" t="e">
        <f>#REF!+#REF!</f>
        <v>#REF!</v>
      </c>
      <c r="BW39" s="186" t="e">
        <f t="shared" si="36"/>
        <v>#REF!</v>
      </c>
      <c r="BX39" s="189" t="e">
        <f>#REF!+#REF!</f>
        <v>#REF!</v>
      </c>
      <c r="BY39" s="186" t="e">
        <f t="shared" si="37"/>
        <v>#REF!</v>
      </c>
      <c r="BZ39" s="189" t="e">
        <f>#REF!+#REF!</f>
        <v>#REF!</v>
      </c>
      <c r="CA39" s="186" t="e">
        <f t="shared" si="38"/>
        <v>#REF!</v>
      </c>
      <c r="CB39" s="189" t="e">
        <f>#REF!+#REF!</f>
        <v>#REF!</v>
      </c>
      <c r="CC39" s="186" t="e">
        <f t="shared" si="39"/>
        <v>#REF!</v>
      </c>
      <c r="CD39" s="189" t="e">
        <f>#REF!+#REF!</f>
        <v>#REF!</v>
      </c>
      <c r="CE39" s="186" t="e">
        <f t="shared" si="40"/>
        <v>#REF!</v>
      </c>
      <c r="CF39" s="189" t="e">
        <f>#REF!+#REF!</f>
        <v>#REF!</v>
      </c>
      <c r="CG39" s="186" t="e">
        <f t="shared" si="41"/>
        <v>#REF!</v>
      </c>
      <c r="CH39" s="189" t="e">
        <f>#REF!+#REF!</f>
        <v>#REF!</v>
      </c>
      <c r="CI39" s="186" t="e">
        <f t="shared" si="42"/>
        <v>#REF!</v>
      </c>
      <c r="CJ39" s="189" t="e">
        <f>#REF!+#REF!</f>
        <v>#REF!</v>
      </c>
      <c r="CK39" s="186" t="e">
        <f t="shared" si="43"/>
        <v>#REF!</v>
      </c>
      <c r="CL39" s="189" t="e">
        <f>#REF!+#REF!</f>
        <v>#REF!</v>
      </c>
      <c r="CM39" s="186" t="e">
        <f t="shared" si="44"/>
        <v>#REF!</v>
      </c>
      <c r="CN39" s="189" t="e">
        <f>#REF!+#REF!</f>
        <v>#REF!</v>
      </c>
      <c r="CO39" s="186" t="e">
        <f t="shared" si="45"/>
        <v>#REF!</v>
      </c>
      <c r="CP39" s="189" t="e">
        <f>#REF!+#REF!</f>
        <v>#REF!</v>
      </c>
      <c r="CQ39" s="186" t="e">
        <f t="shared" si="46"/>
        <v>#REF!</v>
      </c>
      <c r="CR39" s="189" t="e">
        <f>#REF!+#REF!</f>
        <v>#REF!</v>
      </c>
      <c r="CS39" s="186" t="e">
        <f t="shared" si="47"/>
        <v>#REF!</v>
      </c>
      <c r="CT39" s="189" t="e">
        <f>#REF!+#REF!</f>
        <v>#REF!</v>
      </c>
      <c r="CU39" s="186" t="e">
        <f t="shared" si="48"/>
        <v>#REF!</v>
      </c>
      <c r="CV39" s="416">
        <f t="shared" si="17"/>
        <v>0</v>
      </c>
      <c r="CW39" s="191" t="str">
        <f t="shared" si="31"/>
        <v>Cao hơn</v>
      </c>
      <c r="CX39" s="191" t="str">
        <f t="shared" si="32"/>
        <v>Cao hơn</v>
      </c>
      <c r="CY39" s="213"/>
      <c r="CZ39" s="213"/>
      <c r="DA39" s="231"/>
      <c r="DB39" s="163"/>
      <c r="DD39" s="195"/>
      <c r="DE39" s="196"/>
      <c r="DF39" s="196"/>
      <c r="DG39" s="197"/>
      <c r="DH39" s="196"/>
      <c r="DI39" s="196"/>
      <c r="DJ39" s="196"/>
      <c r="DL39" s="199"/>
      <c r="DM39" s="200"/>
    </row>
    <row r="40" spans="1:117" ht="18" customHeight="1" x14ac:dyDescent="0.25">
      <c r="A40" s="191">
        <v>25</v>
      </c>
      <c r="B40" s="240" t="s">
        <v>481</v>
      </c>
      <c r="C40" s="240"/>
      <c r="D40" s="188">
        <v>38425</v>
      </c>
      <c r="E40" s="188">
        <v>0</v>
      </c>
      <c r="F40" s="188">
        <v>38425</v>
      </c>
      <c r="G40" s="188">
        <v>13000</v>
      </c>
      <c r="H40" s="188">
        <v>25425</v>
      </c>
      <c r="I40" s="188">
        <v>0</v>
      </c>
      <c r="J40" s="188"/>
      <c r="K40" s="188">
        <v>0</v>
      </c>
      <c r="L40" s="188">
        <v>0</v>
      </c>
      <c r="M40" s="188">
        <v>0</v>
      </c>
      <c r="N40" s="188">
        <v>0</v>
      </c>
      <c r="O40" s="188">
        <v>13000</v>
      </c>
      <c r="P40" s="188">
        <v>0</v>
      </c>
      <c r="Q40" s="186">
        <v>0</v>
      </c>
      <c r="R40" s="188">
        <v>0</v>
      </c>
      <c r="S40" s="185">
        <v>0</v>
      </c>
      <c r="T40" s="185">
        <v>0</v>
      </c>
      <c r="U40" s="188">
        <v>501.61723599999999</v>
      </c>
      <c r="V40" s="185">
        <v>1.3054449863370201E-2</v>
      </c>
      <c r="W40" s="185">
        <v>1.3741526171968632E-2</v>
      </c>
      <c r="X40" s="188">
        <v>501.61723599999999</v>
      </c>
      <c r="Y40" s="185">
        <v>1.3054449863370201E-2</v>
      </c>
      <c r="Z40" s="185">
        <v>1.3741526171968632E-2</v>
      </c>
      <c r="AA40" s="188">
        <v>501.61723599999999</v>
      </c>
      <c r="AB40" s="185">
        <v>1.3054449863370201E-2</v>
      </c>
      <c r="AC40" s="185">
        <v>1.3741526171968632E-2</v>
      </c>
      <c r="AD40" s="188">
        <v>2020.509648</v>
      </c>
      <c r="AE40" s="185">
        <v>5.2583204892648013E-2</v>
      </c>
      <c r="AF40" s="185">
        <v>5.5350741992261067E-2</v>
      </c>
      <c r="AG40" s="188">
        <v>2020.509648</v>
      </c>
      <c r="AH40" s="185">
        <v>5.2583204892648013E-2</v>
      </c>
      <c r="AI40" s="185">
        <v>5.5350741992261067E-2</v>
      </c>
      <c r="AJ40" s="317">
        <v>2020.509648</v>
      </c>
      <c r="AK40" s="185">
        <v>5.2583204892648013E-2</v>
      </c>
      <c r="AL40" s="185">
        <v>5.5350741992261067E-2</v>
      </c>
      <c r="AM40" s="188">
        <v>2020.509648</v>
      </c>
      <c r="AN40" s="185">
        <v>5.2583204892648013E-2</v>
      </c>
      <c r="AO40" s="185">
        <v>5.5350741992261067E-2</v>
      </c>
      <c r="AP40" s="185"/>
      <c r="AQ40" s="188">
        <v>7299.8275509999994</v>
      </c>
      <c r="AR40" s="185">
        <v>0.18997599351984384</v>
      </c>
      <c r="AS40" s="185">
        <v>0.19997473002088825</v>
      </c>
      <c r="AT40" s="188">
        <v>7299.8275509999994</v>
      </c>
      <c r="AU40" s="185">
        <v>0.18997599351984384</v>
      </c>
      <c r="AV40" s="185">
        <v>0.19997473002088825</v>
      </c>
      <c r="AW40" s="185"/>
      <c r="AX40" s="185"/>
      <c r="AY40" s="185"/>
      <c r="AZ40" s="185"/>
      <c r="BA40" s="185"/>
      <c r="BB40" s="185"/>
      <c r="BC40" s="188">
        <v>7299.8275509999994</v>
      </c>
      <c r="BD40" s="185">
        <v>0.18997599351984384</v>
      </c>
      <c r="BE40" s="185">
        <v>0.19997473002088825</v>
      </c>
      <c r="BF40" s="352"/>
      <c r="BG40" s="352">
        <v>11335.739648000001</v>
      </c>
      <c r="BH40" s="185">
        <v>0.29500948986337022</v>
      </c>
      <c r="BI40" s="185">
        <v>0.31053630511933705</v>
      </c>
      <c r="BJ40" s="374">
        <v>36503.75</v>
      </c>
      <c r="BK40" s="374">
        <v>11622.739647999999</v>
      </c>
      <c r="BL40" s="185">
        <v>0.30247858550422901</v>
      </c>
      <c r="BM40" s="185">
        <v>0.31839851105708317</v>
      </c>
      <c r="BN40" s="374">
        <v>11622.739647999999</v>
      </c>
      <c r="BO40" s="185">
        <v>0.30247858550422901</v>
      </c>
      <c r="BP40" s="185">
        <v>0.31839851105708317</v>
      </c>
      <c r="BQ40" s="374">
        <v>11622.739647999999</v>
      </c>
      <c r="BR40" s="185">
        <f t="shared" si="33"/>
        <v>0.30247858550422901</v>
      </c>
      <c r="BS40" s="185">
        <f t="shared" si="34"/>
        <v>0.31839851105708317</v>
      </c>
      <c r="BT40" s="205">
        <f t="shared" si="35"/>
        <v>9602.23</v>
      </c>
      <c r="BU40" s="205"/>
      <c r="BV40" s="189" t="e">
        <f>#REF!+#REF!+#REF!</f>
        <v>#REF!</v>
      </c>
      <c r="BW40" s="186" t="e">
        <f t="shared" si="36"/>
        <v>#REF!</v>
      </c>
      <c r="BX40" s="189" t="e">
        <f>#REF!+#REF!+#REF!</f>
        <v>#REF!</v>
      </c>
      <c r="BY40" s="186" t="e">
        <f t="shared" si="37"/>
        <v>#REF!</v>
      </c>
      <c r="BZ40" s="189" t="e">
        <f>#REF!+#REF!+#REF!</f>
        <v>#REF!</v>
      </c>
      <c r="CA40" s="186" t="e">
        <f t="shared" si="38"/>
        <v>#REF!</v>
      </c>
      <c r="CB40" s="189" t="e">
        <f>#REF!+#REF!+#REF!</f>
        <v>#REF!</v>
      </c>
      <c r="CC40" s="186" t="e">
        <f t="shared" si="39"/>
        <v>#REF!</v>
      </c>
      <c r="CD40" s="189" t="e">
        <f>#REF!+#REF!+#REF!</f>
        <v>#REF!</v>
      </c>
      <c r="CE40" s="186" t="e">
        <f t="shared" si="40"/>
        <v>#REF!</v>
      </c>
      <c r="CF40" s="189" t="e">
        <f>#REF!+#REF!+#REF!</f>
        <v>#REF!</v>
      </c>
      <c r="CG40" s="186" t="e">
        <f t="shared" si="41"/>
        <v>#REF!</v>
      </c>
      <c r="CH40" s="189" t="e">
        <f>#REF!+#REF!+#REF!</f>
        <v>#REF!</v>
      </c>
      <c r="CI40" s="186" t="e">
        <f t="shared" si="42"/>
        <v>#REF!</v>
      </c>
      <c r="CJ40" s="189" t="e">
        <f>#REF!+#REF!+#REF!</f>
        <v>#REF!</v>
      </c>
      <c r="CK40" s="186" t="e">
        <f t="shared" si="43"/>
        <v>#REF!</v>
      </c>
      <c r="CL40" s="189" t="e">
        <f>#REF!+#REF!+#REF!</f>
        <v>#REF!</v>
      </c>
      <c r="CM40" s="186" t="e">
        <f t="shared" si="44"/>
        <v>#REF!</v>
      </c>
      <c r="CN40" s="189" t="e">
        <f>#REF!+#REF!+#REF!</f>
        <v>#REF!</v>
      </c>
      <c r="CO40" s="186" t="e">
        <f t="shared" si="45"/>
        <v>#REF!</v>
      </c>
      <c r="CP40" s="189" t="e">
        <f>#REF!+#REF!+#REF!</f>
        <v>#REF!</v>
      </c>
      <c r="CQ40" s="186" t="e">
        <f t="shared" si="46"/>
        <v>#REF!</v>
      </c>
      <c r="CR40" s="189" t="e">
        <f>#REF!+#REF!+#REF!</f>
        <v>#REF!</v>
      </c>
      <c r="CS40" s="186" t="e">
        <f t="shared" si="47"/>
        <v>#REF!</v>
      </c>
      <c r="CT40" s="189" t="e">
        <f>#REF!+#REF!+#REF!</f>
        <v>#REF!</v>
      </c>
      <c r="CU40" s="186" t="e">
        <f t="shared" si="48"/>
        <v>#REF!</v>
      </c>
      <c r="CV40" s="416">
        <f t="shared" si="17"/>
        <v>0</v>
      </c>
      <c r="CW40" s="191" t="str">
        <f t="shared" si="31"/>
        <v>Thấp hơn</v>
      </c>
      <c r="CX40" s="191" t="str">
        <f t="shared" si="32"/>
        <v>Thấp hơn</v>
      </c>
      <c r="CY40" s="213"/>
      <c r="CZ40" s="213"/>
      <c r="DA40" s="231"/>
      <c r="DB40" s="163"/>
      <c r="DD40" s="195"/>
      <c r="DE40" s="196"/>
      <c r="DF40" s="196"/>
      <c r="DG40" s="197"/>
      <c r="DH40" s="196"/>
      <c r="DI40" s="196"/>
      <c r="DJ40" s="196"/>
      <c r="DL40" s="199"/>
      <c r="DM40" s="200"/>
    </row>
    <row r="41" spans="1:117" ht="18" customHeight="1" x14ac:dyDescent="0.25">
      <c r="A41" s="191">
        <v>26</v>
      </c>
      <c r="B41" s="240" t="s">
        <v>483</v>
      </c>
      <c r="C41" s="240"/>
      <c r="D41" s="188">
        <v>54700</v>
      </c>
      <c r="E41" s="188">
        <v>50000</v>
      </c>
      <c r="F41" s="188">
        <v>4700</v>
      </c>
      <c r="G41" s="188">
        <v>3000</v>
      </c>
      <c r="H41" s="188">
        <v>1700</v>
      </c>
      <c r="I41" s="188">
        <v>0</v>
      </c>
      <c r="J41" s="188"/>
      <c r="K41" s="188">
        <v>0</v>
      </c>
      <c r="L41" s="188">
        <v>0</v>
      </c>
      <c r="M41" s="188">
        <v>0</v>
      </c>
      <c r="N41" s="188">
        <v>0</v>
      </c>
      <c r="O41" s="188">
        <v>3000</v>
      </c>
      <c r="P41" s="188">
        <v>215</v>
      </c>
      <c r="Q41" s="186">
        <v>3.9305301645338213E-3</v>
      </c>
      <c r="R41" s="189">
        <v>370.13300000000004</v>
      </c>
      <c r="S41" s="185">
        <v>6.7665996343692879E-3</v>
      </c>
      <c r="T41" s="185">
        <v>6.7957954649775091E-3</v>
      </c>
      <c r="U41" s="189">
        <v>10395.552453999999</v>
      </c>
      <c r="V41" s="185">
        <v>0.1900466627787934</v>
      </c>
      <c r="W41" s="185">
        <v>0.19086665664188007</v>
      </c>
      <c r="X41" s="189">
        <v>10395.552453999999</v>
      </c>
      <c r="Y41" s="185">
        <v>0.1900466627787934</v>
      </c>
      <c r="Z41" s="185">
        <v>0.19086665664188007</v>
      </c>
      <c r="AA41" s="189">
        <v>10395.552453999999</v>
      </c>
      <c r="AB41" s="185">
        <v>0.1900466627787934</v>
      </c>
      <c r="AC41" s="185">
        <v>0.19086665664188007</v>
      </c>
      <c r="AD41" s="189">
        <v>10959</v>
      </c>
      <c r="AE41" s="185">
        <v>0.20034734917733091</v>
      </c>
      <c r="AF41" s="185">
        <v>0.20121178738639492</v>
      </c>
      <c r="AG41" s="189">
        <v>11144</v>
      </c>
      <c r="AH41" s="185">
        <v>0.20372943327239487</v>
      </c>
      <c r="AI41" s="185">
        <v>0.20460846415128983</v>
      </c>
      <c r="AJ41" s="188">
        <v>11144</v>
      </c>
      <c r="AK41" s="185">
        <v>0.20372943327239487</v>
      </c>
      <c r="AL41" s="185">
        <v>0.20460846415128983</v>
      </c>
      <c r="AM41" s="189">
        <v>11144</v>
      </c>
      <c r="AN41" s="185">
        <v>0.20372943327239487</v>
      </c>
      <c r="AO41" s="185">
        <v>0.20460846415128983</v>
      </c>
      <c r="AP41" s="185"/>
      <c r="AQ41" s="189">
        <v>14444</v>
      </c>
      <c r="AR41" s="185">
        <v>0.26405850091407679</v>
      </c>
      <c r="AS41" s="185">
        <v>0.26519783347103643</v>
      </c>
      <c r="AT41" s="189">
        <v>14444</v>
      </c>
      <c r="AU41" s="185">
        <v>0.26405850091407679</v>
      </c>
      <c r="AV41" s="185">
        <v>0.26519783347103643</v>
      </c>
      <c r="AW41" s="185"/>
      <c r="AX41" s="185"/>
      <c r="AY41" s="185"/>
      <c r="AZ41" s="185"/>
      <c r="BA41" s="185"/>
      <c r="BB41" s="185"/>
      <c r="BC41" s="189">
        <v>14444</v>
      </c>
      <c r="BD41" s="185">
        <v>0.26405850091407679</v>
      </c>
      <c r="BE41" s="185">
        <v>0.26519783347103643</v>
      </c>
      <c r="BF41" s="352"/>
      <c r="BG41" s="352">
        <v>16688.655409999999</v>
      </c>
      <c r="BH41" s="185">
        <v>0.30509424881170016</v>
      </c>
      <c r="BI41" s="185">
        <v>0.3064106382080235</v>
      </c>
      <c r="BJ41" s="374">
        <v>54465</v>
      </c>
      <c r="BK41" s="374">
        <v>22955.228465</v>
      </c>
      <c r="BL41" s="185">
        <v>0.41965682751371114</v>
      </c>
      <c r="BM41" s="185">
        <v>0.42146751978334712</v>
      </c>
      <c r="BN41" s="374">
        <v>23082.592885999999</v>
      </c>
      <c r="BO41" s="185">
        <v>0.42198524471663618</v>
      </c>
      <c r="BP41" s="185">
        <v>0.42380598340218484</v>
      </c>
      <c r="BQ41" s="374">
        <v>24035.982339999999</v>
      </c>
      <c r="BR41" s="185">
        <f t="shared" si="33"/>
        <v>0.4394146680073126</v>
      </c>
      <c r="BS41" s="185">
        <f t="shared" si="34"/>
        <v>0.44131060938217204</v>
      </c>
      <c r="BT41" s="205">
        <f t="shared" si="35"/>
        <v>13076.982339999999</v>
      </c>
      <c r="BU41" s="205"/>
      <c r="BV41" s="189" t="e">
        <f>#REF!+#REF!</f>
        <v>#REF!</v>
      </c>
      <c r="BW41" s="186" t="e">
        <f t="shared" si="36"/>
        <v>#REF!</v>
      </c>
      <c r="BX41" s="189" t="e">
        <f>#REF!+#REF!</f>
        <v>#REF!</v>
      </c>
      <c r="BY41" s="186" t="e">
        <f t="shared" si="37"/>
        <v>#REF!</v>
      </c>
      <c r="BZ41" s="189" t="e">
        <f>#REF!+#REF!</f>
        <v>#REF!</v>
      </c>
      <c r="CA41" s="186" t="e">
        <f t="shared" si="38"/>
        <v>#REF!</v>
      </c>
      <c r="CB41" s="189" t="e">
        <f>#REF!+#REF!</f>
        <v>#REF!</v>
      </c>
      <c r="CC41" s="186" t="e">
        <f t="shared" si="39"/>
        <v>#REF!</v>
      </c>
      <c r="CD41" s="189" t="e">
        <f>#REF!+#REF!</f>
        <v>#REF!</v>
      </c>
      <c r="CE41" s="186" t="e">
        <f t="shared" si="40"/>
        <v>#REF!</v>
      </c>
      <c r="CF41" s="189" t="e">
        <f>#REF!+#REF!</f>
        <v>#REF!</v>
      </c>
      <c r="CG41" s="186" t="e">
        <f t="shared" si="41"/>
        <v>#REF!</v>
      </c>
      <c r="CH41" s="189" t="e">
        <f>#REF!+#REF!</f>
        <v>#REF!</v>
      </c>
      <c r="CI41" s="186" t="e">
        <f t="shared" si="42"/>
        <v>#REF!</v>
      </c>
      <c r="CJ41" s="189" t="e">
        <f>#REF!+#REF!</f>
        <v>#REF!</v>
      </c>
      <c r="CK41" s="186" t="e">
        <f t="shared" si="43"/>
        <v>#REF!</v>
      </c>
      <c r="CL41" s="189" t="e">
        <f>#REF!+#REF!</f>
        <v>#REF!</v>
      </c>
      <c r="CM41" s="186" t="e">
        <f t="shared" si="44"/>
        <v>#REF!</v>
      </c>
      <c r="CN41" s="189" t="e">
        <f>#REF!+#REF!</f>
        <v>#REF!</v>
      </c>
      <c r="CO41" s="186" t="e">
        <f t="shared" si="45"/>
        <v>#REF!</v>
      </c>
      <c r="CP41" s="189" t="e">
        <f>#REF!+#REF!</f>
        <v>#REF!</v>
      </c>
      <c r="CQ41" s="186" t="e">
        <f t="shared" si="46"/>
        <v>#REF!</v>
      </c>
      <c r="CR41" s="189" t="e">
        <f>#REF!+#REF!</f>
        <v>#REF!</v>
      </c>
      <c r="CS41" s="186" t="e">
        <f t="shared" si="47"/>
        <v>#REF!</v>
      </c>
      <c r="CT41" s="189" t="e">
        <f>#REF!+#REF!</f>
        <v>#REF!</v>
      </c>
      <c r="CU41" s="186" t="e">
        <f t="shared" si="48"/>
        <v>#REF!</v>
      </c>
      <c r="CV41" s="416">
        <f t="shared" si="17"/>
        <v>953.38945400000011</v>
      </c>
      <c r="CW41" s="191" t="str">
        <f t="shared" si="31"/>
        <v>Cao hơn</v>
      </c>
      <c r="CX41" s="191" t="str">
        <f t="shared" si="32"/>
        <v>Cao hơn</v>
      </c>
      <c r="CY41" s="213"/>
      <c r="CZ41" s="213"/>
      <c r="DA41" s="231"/>
      <c r="DB41" s="163"/>
      <c r="DD41" s="195"/>
      <c r="DE41" s="196"/>
      <c r="DF41" s="196"/>
      <c r="DG41" s="197"/>
      <c r="DH41" s="196"/>
      <c r="DI41" s="196"/>
      <c r="DJ41" s="196"/>
      <c r="DL41" s="199"/>
      <c r="DM41" s="200"/>
    </row>
    <row r="42" spans="1:117" ht="18" customHeight="1" x14ac:dyDescent="0.25">
      <c r="A42" s="191">
        <v>27</v>
      </c>
      <c r="B42" s="240" t="s">
        <v>486</v>
      </c>
      <c r="C42" s="240"/>
      <c r="D42" s="188">
        <v>3000</v>
      </c>
      <c r="E42" s="188">
        <v>0</v>
      </c>
      <c r="F42" s="188">
        <v>3000</v>
      </c>
      <c r="G42" s="188">
        <v>3000</v>
      </c>
      <c r="H42" s="188">
        <v>0</v>
      </c>
      <c r="I42" s="188">
        <v>0</v>
      </c>
      <c r="J42" s="188"/>
      <c r="K42" s="188">
        <v>0</v>
      </c>
      <c r="L42" s="188">
        <v>0</v>
      </c>
      <c r="M42" s="231"/>
      <c r="N42" s="231"/>
      <c r="O42" s="188">
        <v>3000</v>
      </c>
      <c r="P42" s="188">
        <v>0</v>
      </c>
      <c r="Q42" s="186">
        <v>0</v>
      </c>
      <c r="R42" s="188">
        <v>0</v>
      </c>
      <c r="S42" s="185">
        <v>0</v>
      </c>
      <c r="T42" s="185">
        <v>0</v>
      </c>
      <c r="U42" s="188">
        <v>29.387</v>
      </c>
      <c r="V42" s="185">
        <v>9.7956666666666661E-3</v>
      </c>
      <c r="W42" s="185">
        <v>1.0311228070175439E-2</v>
      </c>
      <c r="X42" s="188">
        <v>29.387</v>
      </c>
      <c r="Y42" s="185">
        <v>9.7956666666666661E-3</v>
      </c>
      <c r="Z42" s="185">
        <v>1.0311228070175439E-2</v>
      </c>
      <c r="AA42" s="188">
        <v>29.387</v>
      </c>
      <c r="AB42" s="185">
        <v>9.7956666666666661E-3</v>
      </c>
      <c r="AC42" s="185">
        <v>1.0311228070175439E-2</v>
      </c>
      <c r="AD42" s="188">
        <v>1156.492</v>
      </c>
      <c r="AE42" s="185">
        <v>0.3854973333333333</v>
      </c>
      <c r="AF42" s="185">
        <v>0.40578666666666663</v>
      </c>
      <c r="AG42" s="188">
        <v>1156.492</v>
      </c>
      <c r="AH42" s="185">
        <v>0.3854973333333333</v>
      </c>
      <c r="AI42" s="185">
        <v>0.40578666666666663</v>
      </c>
      <c r="AJ42" s="307">
        <v>1156.492</v>
      </c>
      <c r="AK42" s="185">
        <v>0.3854973333333333</v>
      </c>
      <c r="AL42" s="185">
        <v>0.40578666666666663</v>
      </c>
      <c r="AM42" s="188">
        <v>1156.492</v>
      </c>
      <c r="AN42" s="185">
        <v>0.3854973333333333</v>
      </c>
      <c r="AO42" s="185">
        <v>0.40578666666666663</v>
      </c>
      <c r="AP42" s="185"/>
      <c r="AQ42" s="188">
        <v>1281.7329999999999</v>
      </c>
      <c r="AR42" s="185">
        <v>0.42724433333333334</v>
      </c>
      <c r="AS42" s="185">
        <v>0.44973087719298244</v>
      </c>
      <c r="AT42" s="188">
        <v>1281.7329999999999</v>
      </c>
      <c r="AU42" s="185">
        <v>0.42724433333333334</v>
      </c>
      <c r="AV42" s="185">
        <v>0.44973087719298244</v>
      </c>
      <c r="AW42" s="185"/>
      <c r="AX42" s="185"/>
      <c r="AY42" s="185"/>
      <c r="AZ42" s="185"/>
      <c r="BA42" s="185"/>
      <c r="BB42" s="185"/>
      <c r="BC42" s="188">
        <v>1281.7329999999999</v>
      </c>
      <c r="BD42" s="185">
        <v>0.42724433333333334</v>
      </c>
      <c r="BE42" s="185">
        <v>0.44973087719298244</v>
      </c>
      <c r="BF42" s="352"/>
      <c r="BG42" s="352">
        <v>1742.1120000000001</v>
      </c>
      <c r="BH42" s="185">
        <v>0.580704</v>
      </c>
      <c r="BI42" s="185">
        <v>0.61126736842105267</v>
      </c>
      <c r="BJ42" s="374">
        <v>2850</v>
      </c>
      <c r="BK42" s="374">
        <v>1742.1120000000001</v>
      </c>
      <c r="BL42" s="185">
        <v>0.580704</v>
      </c>
      <c r="BM42" s="185">
        <v>0.61126736842105267</v>
      </c>
      <c r="BN42" s="374">
        <v>1742.1120000000001</v>
      </c>
      <c r="BO42" s="185">
        <v>0.580704</v>
      </c>
      <c r="BP42" s="185">
        <v>0.61126736842105267</v>
      </c>
      <c r="BQ42" s="374">
        <v>1742.1120000000001</v>
      </c>
      <c r="BR42" s="185">
        <f t="shared" si="33"/>
        <v>0.580704</v>
      </c>
      <c r="BS42" s="185">
        <f t="shared" si="34"/>
        <v>0.61126736842105267</v>
      </c>
      <c r="BT42" s="205">
        <f t="shared" si="35"/>
        <v>585.62000000000012</v>
      </c>
      <c r="BU42" s="205"/>
      <c r="BV42" s="189" t="e">
        <f>#REF!</f>
        <v>#REF!</v>
      </c>
      <c r="BW42" s="186" t="e">
        <f t="shared" si="36"/>
        <v>#REF!</v>
      </c>
      <c r="BX42" s="189" t="e">
        <f>#REF!</f>
        <v>#REF!</v>
      </c>
      <c r="BY42" s="186" t="e">
        <f t="shared" si="37"/>
        <v>#REF!</v>
      </c>
      <c r="BZ42" s="189" t="e">
        <f>#REF!</f>
        <v>#REF!</v>
      </c>
      <c r="CA42" s="186" t="e">
        <f t="shared" si="38"/>
        <v>#REF!</v>
      </c>
      <c r="CB42" s="189" t="e">
        <f>#REF!</f>
        <v>#REF!</v>
      </c>
      <c r="CC42" s="186" t="e">
        <f t="shared" si="39"/>
        <v>#REF!</v>
      </c>
      <c r="CD42" s="189" t="e">
        <f>#REF!</f>
        <v>#REF!</v>
      </c>
      <c r="CE42" s="186" t="e">
        <f t="shared" si="40"/>
        <v>#REF!</v>
      </c>
      <c r="CF42" s="189" t="e">
        <f>#REF!</f>
        <v>#REF!</v>
      </c>
      <c r="CG42" s="186" t="e">
        <f t="shared" si="41"/>
        <v>#REF!</v>
      </c>
      <c r="CH42" s="189" t="e">
        <f>#REF!</f>
        <v>#REF!</v>
      </c>
      <c r="CI42" s="186" t="e">
        <f t="shared" si="42"/>
        <v>#REF!</v>
      </c>
      <c r="CJ42" s="189" t="e">
        <f>#REF!</f>
        <v>#REF!</v>
      </c>
      <c r="CK42" s="186" t="e">
        <f t="shared" si="43"/>
        <v>#REF!</v>
      </c>
      <c r="CL42" s="189" t="e">
        <f>#REF!</f>
        <v>#REF!</v>
      </c>
      <c r="CM42" s="186" t="e">
        <f t="shared" si="44"/>
        <v>#REF!</v>
      </c>
      <c r="CN42" s="189" t="e">
        <f>#REF!</f>
        <v>#REF!</v>
      </c>
      <c r="CO42" s="186" t="e">
        <f t="shared" si="45"/>
        <v>#REF!</v>
      </c>
      <c r="CP42" s="189" t="e">
        <f>#REF!</f>
        <v>#REF!</v>
      </c>
      <c r="CQ42" s="186" t="e">
        <f t="shared" si="46"/>
        <v>#REF!</v>
      </c>
      <c r="CR42" s="189" t="e">
        <f>#REF!</f>
        <v>#REF!</v>
      </c>
      <c r="CS42" s="186" t="e">
        <f t="shared" si="47"/>
        <v>#REF!</v>
      </c>
      <c r="CT42" s="189" t="e">
        <f>#REF!</f>
        <v>#REF!</v>
      </c>
      <c r="CU42" s="186" t="e">
        <f t="shared" si="48"/>
        <v>#REF!</v>
      </c>
      <c r="CV42" s="416">
        <f t="shared" si="17"/>
        <v>0</v>
      </c>
      <c r="CW42" s="191" t="str">
        <f t="shared" si="31"/>
        <v>Cao hơn</v>
      </c>
      <c r="CX42" s="191" t="str">
        <f t="shared" si="32"/>
        <v>Cao hơn</v>
      </c>
      <c r="CY42" s="213"/>
      <c r="CZ42" s="213"/>
      <c r="DA42" s="231"/>
      <c r="DB42" s="163"/>
      <c r="DD42" s="195"/>
      <c r="DE42" s="196"/>
      <c r="DF42" s="196"/>
      <c r="DG42" s="197"/>
      <c r="DH42" s="196"/>
      <c r="DI42" s="196"/>
      <c r="DJ42" s="196"/>
      <c r="DL42" s="199"/>
      <c r="DM42" s="200"/>
    </row>
    <row r="43" spans="1:117" ht="18" customHeight="1" x14ac:dyDescent="0.25">
      <c r="A43" s="191">
        <v>28</v>
      </c>
      <c r="B43" s="240" t="s">
        <v>487</v>
      </c>
      <c r="C43" s="240"/>
      <c r="D43" s="188">
        <v>74559</v>
      </c>
      <c r="E43" s="188">
        <v>71525</v>
      </c>
      <c r="F43" s="188">
        <v>3034</v>
      </c>
      <c r="G43" s="188">
        <v>3000</v>
      </c>
      <c r="H43" s="188">
        <v>34</v>
      </c>
      <c r="I43" s="188">
        <v>0</v>
      </c>
      <c r="J43" s="188"/>
      <c r="K43" s="188">
        <v>0</v>
      </c>
      <c r="L43" s="188">
        <v>0</v>
      </c>
      <c r="M43" s="188">
        <v>0</v>
      </c>
      <c r="N43" s="188">
        <v>0</v>
      </c>
      <c r="O43" s="188">
        <v>3000</v>
      </c>
      <c r="P43" s="188">
        <v>311.01900000000001</v>
      </c>
      <c r="Q43" s="186">
        <v>3.2052579508213617E-3</v>
      </c>
      <c r="R43" s="189">
        <v>311.01900000000001</v>
      </c>
      <c r="S43" s="185">
        <v>3.2052579508213617E-3</v>
      </c>
      <c r="T43" s="185">
        <v>3.2102767997869578E-3</v>
      </c>
      <c r="U43" s="189">
        <v>5849.2040260000003</v>
      </c>
      <c r="V43" s="185">
        <v>6.0279943380670699E-2</v>
      </c>
      <c r="W43" s="185">
        <v>6.0374330770429689E-2</v>
      </c>
      <c r="X43" s="189">
        <v>5849.2040260000003</v>
      </c>
      <c r="Y43" s="185">
        <v>6.0279943380670699E-2</v>
      </c>
      <c r="Z43" s="185">
        <v>6.0374330770429689E-2</v>
      </c>
      <c r="AA43" s="189">
        <v>5849.2040260000003</v>
      </c>
      <c r="AB43" s="185">
        <v>6.0279943380670699E-2</v>
      </c>
      <c r="AC43" s="185">
        <v>6.0374330770429689E-2</v>
      </c>
      <c r="AD43" s="189">
        <v>6156.2858109999997</v>
      </c>
      <c r="AE43" s="185">
        <v>6.3444625708514543E-2</v>
      </c>
      <c r="AF43" s="185">
        <v>6.3543968413218924E-2</v>
      </c>
      <c r="AG43" s="189">
        <v>6156.2858109999997</v>
      </c>
      <c r="AH43" s="185">
        <v>6.3444625708514543E-2</v>
      </c>
      <c r="AI43" s="185">
        <v>6.3543968413218924E-2</v>
      </c>
      <c r="AJ43" s="188">
        <v>6156.2858109999997</v>
      </c>
      <c r="AK43" s="185">
        <v>6.3444625708514543E-2</v>
      </c>
      <c r="AL43" s="185">
        <v>6.3543968413218924E-2</v>
      </c>
      <c r="AM43" s="189">
        <v>6156.2858109999997</v>
      </c>
      <c r="AN43" s="185">
        <v>6.3444625708514543E-2</v>
      </c>
      <c r="AO43" s="185">
        <v>6.3543968413218924E-2</v>
      </c>
      <c r="AP43" s="185"/>
      <c r="AQ43" s="189">
        <v>7421.4766479999998</v>
      </c>
      <c r="AR43" s="185">
        <v>7.6483259970731909E-2</v>
      </c>
      <c r="AS43" s="185">
        <v>7.6603018797035155E-2</v>
      </c>
      <c r="AT43" s="189">
        <v>7421.4766479999998</v>
      </c>
      <c r="AU43" s="185">
        <v>7.6483259970731909E-2</v>
      </c>
      <c r="AV43" s="185">
        <v>7.6603018797035155E-2</v>
      </c>
      <c r="AW43" s="185"/>
      <c r="AX43" s="185"/>
      <c r="AY43" s="185"/>
      <c r="AZ43" s="185"/>
      <c r="BA43" s="185"/>
      <c r="BB43" s="185"/>
      <c r="BC43" s="189">
        <v>7421.4766479999998</v>
      </c>
      <c r="BD43" s="185">
        <v>7.6483259970731909E-2</v>
      </c>
      <c r="BE43" s="185">
        <v>7.6603018797035155E-2</v>
      </c>
      <c r="BF43" s="352"/>
      <c r="BG43" s="352">
        <v>14336.176648000001</v>
      </c>
      <c r="BH43" s="185">
        <v>0.14774384904260363</v>
      </c>
      <c r="BI43" s="185">
        <v>0.14797518894576203</v>
      </c>
      <c r="BJ43" s="374">
        <v>96882.3</v>
      </c>
      <c r="BK43" s="374">
        <v>14336.176648000001</v>
      </c>
      <c r="BL43" s="185">
        <v>0.14774384904260363</v>
      </c>
      <c r="BM43" s="185">
        <v>0.14797518894576203</v>
      </c>
      <c r="BN43" s="374">
        <v>14336.176648000001</v>
      </c>
      <c r="BO43" s="185">
        <v>0.14774384904260363</v>
      </c>
      <c r="BP43" s="185">
        <v>0.14797518894576203</v>
      </c>
      <c r="BQ43" s="374">
        <v>14928.041707</v>
      </c>
      <c r="BR43" s="185">
        <f t="shared" si="33"/>
        <v>0.20021783697474485</v>
      </c>
      <c r="BS43" s="185">
        <f t="shared" si="34"/>
        <v>0.20062603678671312</v>
      </c>
      <c r="BT43" s="205">
        <f t="shared" si="35"/>
        <v>8771.7558960000006</v>
      </c>
      <c r="BU43" s="205"/>
      <c r="BV43" s="189" t="e">
        <f>#REF!+#REF!</f>
        <v>#REF!</v>
      </c>
      <c r="BW43" s="186" t="e">
        <f t="shared" si="36"/>
        <v>#REF!</v>
      </c>
      <c r="BX43" s="189" t="e">
        <f>#REF!+#REF!</f>
        <v>#REF!</v>
      </c>
      <c r="BY43" s="186" t="e">
        <f t="shared" si="37"/>
        <v>#REF!</v>
      </c>
      <c r="BZ43" s="189" t="e">
        <f>#REF!+#REF!</f>
        <v>#REF!</v>
      </c>
      <c r="CA43" s="186" t="e">
        <f t="shared" si="38"/>
        <v>#REF!</v>
      </c>
      <c r="CB43" s="189" t="e">
        <f>#REF!+#REF!</f>
        <v>#REF!</v>
      </c>
      <c r="CC43" s="186" t="e">
        <f t="shared" si="39"/>
        <v>#REF!</v>
      </c>
      <c r="CD43" s="189" t="e">
        <f>#REF!+#REF!</f>
        <v>#REF!</v>
      </c>
      <c r="CE43" s="186" t="e">
        <f t="shared" si="40"/>
        <v>#REF!</v>
      </c>
      <c r="CF43" s="189" t="e">
        <f>#REF!+#REF!</f>
        <v>#REF!</v>
      </c>
      <c r="CG43" s="186" t="e">
        <f t="shared" si="41"/>
        <v>#REF!</v>
      </c>
      <c r="CH43" s="189" t="e">
        <f>#REF!+#REF!</f>
        <v>#REF!</v>
      </c>
      <c r="CI43" s="186" t="e">
        <f t="shared" si="42"/>
        <v>#REF!</v>
      </c>
      <c r="CJ43" s="189" t="e">
        <f>#REF!+#REF!</f>
        <v>#REF!</v>
      </c>
      <c r="CK43" s="186" t="e">
        <f t="shared" si="43"/>
        <v>#REF!</v>
      </c>
      <c r="CL43" s="189" t="e">
        <f>#REF!+#REF!</f>
        <v>#REF!</v>
      </c>
      <c r="CM43" s="186" t="e">
        <f t="shared" si="44"/>
        <v>#REF!</v>
      </c>
      <c r="CN43" s="189" t="e">
        <f>#REF!+#REF!</f>
        <v>#REF!</v>
      </c>
      <c r="CO43" s="186" t="e">
        <f t="shared" si="45"/>
        <v>#REF!</v>
      </c>
      <c r="CP43" s="189" t="e">
        <f>#REF!+#REF!</f>
        <v>#REF!</v>
      </c>
      <c r="CQ43" s="186" t="e">
        <f t="shared" si="46"/>
        <v>#REF!</v>
      </c>
      <c r="CR43" s="189" t="e">
        <f>#REF!+#REF!</f>
        <v>#REF!</v>
      </c>
      <c r="CS43" s="186" t="e">
        <f t="shared" si="47"/>
        <v>#REF!</v>
      </c>
      <c r="CT43" s="189" t="e">
        <f>#REF!+#REF!</f>
        <v>#REF!</v>
      </c>
      <c r="CU43" s="186" t="e">
        <f t="shared" si="48"/>
        <v>#REF!</v>
      </c>
      <c r="CV43" s="416">
        <f t="shared" si="17"/>
        <v>591.86505899999975</v>
      </c>
      <c r="CW43" s="191" t="str">
        <f t="shared" si="31"/>
        <v>Thấp hơn</v>
      </c>
      <c r="CX43" s="191" t="str">
        <f t="shared" si="32"/>
        <v>Thấp hơn</v>
      </c>
      <c r="CY43" s="213"/>
      <c r="CZ43" s="213"/>
      <c r="DA43" s="231"/>
      <c r="DB43" s="163"/>
      <c r="DD43" s="195"/>
      <c r="DE43" s="196"/>
      <c r="DF43" s="196"/>
      <c r="DG43" s="197"/>
      <c r="DH43" s="196"/>
      <c r="DI43" s="196"/>
      <c r="DJ43" s="196"/>
      <c r="DL43" s="199"/>
      <c r="DM43" s="200"/>
    </row>
    <row r="44" spans="1:117" ht="18" customHeight="1" x14ac:dyDescent="0.25">
      <c r="A44" s="191">
        <v>29</v>
      </c>
      <c r="B44" s="240" t="s">
        <v>489</v>
      </c>
      <c r="C44" s="240"/>
      <c r="D44" s="188">
        <v>7250</v>
      </c>
      <c r="E44" s="188">
        <v>0</v>
      </c>
      <c r="F44" s="188">
        <v>7250</v>
      </c>
      <c r="G44" s="188">
        <v>3000</v>
      </c>
      <c r="H44" s="188">
        <v>4250</v>
      </c>
      <c r="I44" s="188">
        <v>0</v>
      </c>
      <c r="J44" s="188"/>
      <c r="K44" s="188">
        <v>0</v>
      </c>
      <c r="L44" s="188">
        <v>0</v>
      </c>
      <c r="M44" s="188">
        <v>0</v>
      </c>
      <c r="N44" s="188">
        <v>0</v>
      </c>
      <c r="O44" s="188">
        <v>3000</v>
      </c>
      <c r="P44" s="188">
        <v>0</v>
      </c>
      <c r="Q44" s="186">
        <v>0</v>
      </c>
      <c r="R44" s="188">
        <v>0</v>
      </c>
      <c r="S44" s="185">
        <v>0</v>
      </c>
      <c r="T44" s="185">
        <v>0</v>
      </c>
      <c r="U44" s="188">
        <v>0</v>
      </c>
      <c r="V44" s="185">
        <v>0</v>
      </c>
      <c r="W44" s="185">
        <v>0</v>
      </c>
      <c r="X44" s="188">
        <v>0</v>
      </c>
      <c r="Y44" s="185">
        <v>0</v>
      </c>
      <c r="Z44" s="185">
        <v>0</v>
      </c>
      <c r="AA44" s="188">
        <v>0</v>
      </c>
      <c r="AB44" s="185">
        <v>0</v>
      </c>
      <c r="AC44" s="185">
        <v>0</v>
      </c>
      <c r="AD44" s="188">
        <v>0</v>
      </c>
      <c r="AE44" s="185">
        <v>0</v>
      </c>
      <c r="AF44" s="185">
        <v>0</v>
      </c>
      <c r="AG44" s="188">
        <v>0</v>
      </c>
      <c r="AH44" s="185">
        <v>0</v>
      </c>
      <c r="AI44" s="185">
        <v>0</v>
      </c>
      <c r="AJ44" s="303">
        <v>0</v>
      </c>
      <c r="AK44" s="185">
        <v>0</v>
      </c>
      <c r="AL44" s="185">
        <v>0</v>
      </c>
      <c r="AM44" s="188">
        <v>0</v>
      </c>
      <c r="AN44" s="185">
        <v>0</v>
      </c>
      <c r="AO44" s="185">
        <v>0</v>
      </c>
      <c r="AP44" s="185"/>
      <c r="AQ44" s="188">
        <v>384.464</v>
      </c>
      <c r="AR44" s="185">
        <v>5.3029517241379311E-2</v>
      </c>
      <c r="AS44" s="185">
        <v>5.5820544464609802E-2</v>
      </c>
      <c r="AT44" s="188">
        <v>384.464</v>
      </c>
      <c r="AU44" s="185">
        <v>5.3029517241379311E-2</v>
      </c>
      <c r="AV44" s="185">
        <v>5.5820544464609802E-2</v>
      </c>
      <c r="AW44" s="185"/>
      <c r="AX44" s="185"/>
      <c r="AY44" s="185"/>
      <c r="AZ44" s="185"/>
      <c r="BA44" s="185"/>
      <c r="BB44" s="185"/>
      <c r="BC44" s="188">
        <v>384.464</v>
      </c>
      <c r="BD44" s="185">
        <v>5.3029517241379311E-2</v>
      </c>
      <c r="BE44" s="185">
        <v>5.5820544464609802E-2</v>
      </c>
      <c r="BF44" s="352"/>
      <c r="BG44" s="352">
        <v>664</v>
      </c>
      <c r="BH44" s="185">
        <v>9.1586206896551725E-2</v>
      </c>
      <c r="BI44" s="185">
        <v>9.6406533575317602E-2</v>
      </c>
      <c r="BJ44" s="374">
        <v>6887.5</v>
      </c>
      <c r="BK44" s="374">
        <v>2394.5</v>
      </c>
      <c r="BL44" s="185">
        <v>0.33027586206896553</v>
      </c>
      <c r="BM44" s="185">
        <v>0.34765880217785844</v>
      </c>
      <c r="BN44" s="374">
        <v>2394.5</v>
      </c>
      <c r="BO44" s="185">
        <v>0.33027586206896553</v>
      </c>
      <c r="BP44" s="185">
        <v>0.34765880217785844</v>
      </c>
      <c r="BQ44" s="374">
        <v>2394.5</v>
      </c>
      <c r="BR44" s="185">
        <f t="shared" si="33"/>
        <v>0.33027586206896553</v>
      </c>
      <c r="BS44" s="185">
        <f t="shared" si="34"/>
        <v>0.34765880217785844</v>
      </c>
      <c r="BT44" s="205">
        <f t="shared" si="35"/>
        <v>2394.5</v>
      </c>
      <c r="BU44" s="205"/>
      <c r="BV44" s="189" t="e">
        <f>#REF!+#REF!</f>
        <v>#REF!</v>
      </c>
      <c r="BW44" s="186" t="e">
        <f t="shared" si="36"/>
        <v>#REF!</v>
      </c>
      <c r="BX44" s="189" t="e">
        <f>#REF!+#REF!</f>
        <v>#REF!</v>
      </c>
      <c r="BY44" s="186" t="e">
        <f t="shared" si="37"/>
        <v>#REF!</v>
      </c>
      <c r="BZ44" s="189" t="e">
        <f>#REF!+#REF!</f>
        <v>#REF!</v>
      </c>
      <c r="CA44" s="186" t="e">
        <f t="shared" si="38"/>
        <v>#REF!</v>
      </c>
      <c r="CB44" s="189" t="e">
        <f>#REF!+#REF!</f>
        <v>#REF!</v>
      </c>
      <c r="CC44" s="186" t="e">
        <f t="shared" si="39"/>
        <v>#REF!</v>
      </c>
      <c r="CD44" s="189" t="e">
        <f>#REF!+#REF!</f>
        <v>#REF!</v>
      </c>
      <c r="CE44" s="186" t="e">
        <f t="shared" si="40"/>
        <v>#REF!</v>
      </c>
      <c r="CF44" s="189" t="e">
        <f>#REF!+#REF!</f>
        <v>#REF!</v>
      </c>
      <c r="CG44" s="186" t="e">
        <f t="shared" si="41"/>
        <v>#REF!</v>
      </c>
      <c r="CH44" s="189" t="e">
        <f>#REF!+#REF!</f>
        <v>#REF!</v>
      </c>
      <c r="CI44" s="186" t="e">
        <f t="shared" si="42"/>
        <v>#REF!</v>
      </c>
      <c r="CJ44" s="189" t="e">
        <f>#REF!+#REF!</f>
        <v>#REF!</v>
      </c>
      <c r="CK44" s="186" t="e">
        <f t="shared" si="43"/>
        <v>#REF!</v>
      </c>
      <c r="CL44" s="189" t="e">
        <f>#REF!+#REF!</f>
        <v>#REF!</v>
      </c>
      <c r="CM44" s="186" t="e">
        <f t="shared" si="44"/>
        <v>#REF!</v>
      </c>
      <c r="CN44" s="189" t="e">
        <f>#REF!+#REF!</f>
        <v>#REF!</v>
      </c>
      <c r="CO44" s="186" t="e">
        <f t="shared" si="45"/>
        <v>#REF!</v>
      </c>
      <c r="CP44" s="189" t="e">
        <f>#REF!+#REF!</f>
        <v>#REF!</v>
      </c>
      <c r="CQ44" s="186" t="e">
        <f t="shared" si="46"/>
        <v>#REF!</v>
      </c>
      <c r="CR44" s="189" t="e">
        <f>#REF!+#REF!</f>
        <v>#REF!</v>
      </c>
      <c r="CS44" s="186" t="e">
        <f t="shared" si="47"/>
        <v>#REF!</v>
      </c>
      <c r="CT44" s="189" t="e">
        <f>#REF!+#REF!</f>
        <v>#REF!</v>
      </c>
      <c r="CU44" s="186" t="e">
        <f t="shared" si="48"/>
        <v>#REF!</v>
      </c>
      <c r="CV44" s="416">
        <f t="shared" si="17"/>
        <v>0</v>
      </c>
      <c r="CW44" s="191" t="str">
        <f t="shared" si="31"/>
        <v>Thấp hơn</v>
      </c>
      <c r="CX44" s="191" t="str">
        <f t="shared" si="32"/>
        <v>Thấp hơn</v>
      </c>
      <c r="CY44" s="213"/>
      <c r="CZ44" s="213"/>
      <c r="DA44" s="231"/>
      <c r="DB44" s="163"/>
      <c r="DD44" s="195"/>
      <c r="DE44" s="196"/>
      <c r="DF44" s="196"/>
      <c r="DG44" s="197"/>
      <c r="DH44" s="196"/>
      <c r="DI44" s="196"/>
      <c r="DJ44" s="196"/>
      <c r="DL44" s="199"/>
      <c r="DM44" s="200"/>
    </row>
    <row r="45" spans="1:117" ht="18" customHeight="1" x14ac:dyDescent="0.25">
      <c r="A45" s="191">
        <v>30</v>
      </c>
      <c r="B45" s="240" t="s">
        <v>490</v>
      </c>
      <c r="C45" s="240"/>
      <c r="D45" s="188">
        <v>3170</v>
      </c>
      <c r="E45" s="188">
        <v>0</v>
      </c>
      <c r="F45" s="188">
        <v>3170</v>
      </c>
      <c r="G45" s="188">
        <v>3000</v>
      </c>
      <c r="H45" s="188">
        <v>170</v>
      </c>
      <c r="I45" s="188">
        <v>0</v>
      </c>
      <c r="J45" s="188"/>
      <c r="K45" s="188">
        <v>0</v>
      </c>
      <c r="L45" s="188">
        <v>0</v>
      </c>
      <c r="M45" s="188">
        <v>0</v>
      </c>
      <c r="N45" s="188">
        <v>0</v>
      </c>
      <c r="O45" s="188">
        <v>3000</v>
      </c>
      <c r="P45" s="188">
        <v>0</v>
      </c>
      <c r="Q45" s="186">
        <v>0</v>
      </c>
      <c r="R45" s="188">
        <v>0</v>
      </c>
      <c r="S45" s="185">
        <v>0</v>
      </c>
      <c r="T45" s="185">
        <v>0</v>
      </c>
      <c r="U45" s="188">
        <v>0</v>
      </c>
      <c r="V45" s="185">
        <v>0</v>
      </c>
      <c r="W45" s="185">
        <v>0</v>
      </c>
      <c r="X45" s="188">
        <v>0</v>
      </c>
      <c r="Y45" s="185">
        <v>0</v>
      </c>
      <c r="Z45" s="185">
        <v>0</v>
      </c>
      <c r="AA45" s="188">
        <v>0</v>
      </c>
      <c r="AB45" s="185">
        <v>0</v>
      </c>
      <c r="AC45" s="185">
        <v>0</v>
      </c>
      <c r="AD45" s="188">
        <v>0</v>
      </c>
      <c r="AE45" s="185">
        <v>0</v>
      </c>
      <c r="AF45" s="185">
        <v>0</v>
      </c>
      <c r="AG45" s="188">
        <v>0</v>
      </c>
      <c r="AH45" s="185">
        <v>0</v>
      </c>
      <c r="AI45" s="185">
        <v>0</v>
      </c>
      <c r="AJ45" s="303">
        <v>0</v>
      </c>
      <c r="AK45" s="185">
        <v>0</v>
      </c>
      <c r="AL45" s="185">
        <v>0</v>
      </c>
      <c r="AM45" s="188">
        <v>0</v>
      </c>
      <c r="AN45" s="185">
        <v>0</v>
      </c>
      <c r="AO45" s="185">
        <v>0</v>
      </c>
      <c r="AP45" s="185"/>
      <c r="AQ45" s="188">
        <v>946.72699999999998</v>
      </c>
      <c r="AR45" s="185">
        <v>0.2986520504731861</v>
      </c>
      <c r="AS45" s="185">
        <v>0.31437057944545904</v>
      </c>
      <c r="AT45" s="188">
        <v>946.72699999999998</v>
      </c>
      <c r="AU45" s="185">
        <v>0.2986520504731861</v>
      </c>
      <c r="AV45" s="185">
        <v>0.31437057944545904</v>
      </c>
      <c r="AW45" s="185"/>
      <c r="AX45" s="185"/>
      <c r="AY45" s="185"/>
      <c r="AZ45" s="185"/>
      <c r="BA45" s="185"/>
      <c r="BB45" s="185"/>
      <c r="BC45" s="188">
        <v>946.72699999999998</v>
      </c>
      <c r="BD45" s="185">
        <v>0.2986520504731861</v>
      </c>
      <c r="BE45" s="185">
        <v>0.31437057944545904</v>
      </c>
      <c r="BF45" s="352"/>
      <c r="BG45" s="352">
        <v>946.72699999999998</v>
      </c>
      <c r="BH45" s="185">
        <v>0.2986520504731861</v>
      </c>
      <c r="BI45" s="185">
        <v>0.31437057944545904</v>
      </c>
      <c r="BJ45" s="374">
        <v>3011.5</v>
      </c>
      <c r="BK45" s="374">
        <v>2822.491</v>
      </c>
      <c r="BL45" s="185">
        <v>0.89037570977917979</v>
      </c>
      <c r="BM45" s="185">
        <v>0.9372375892412419</v>
      </c>
      <c r="BN45" s="374">
        <v>2822.491</v>
      </c>
      <c r="BO45" s="185">
        <v>0.89037570977917979</v>
      </c>
      <c r="BP45" s="185">
        <v>0.9372375892412419</v>
      </c>
      <c r="BQ45" s="374">
        <v>2822.491</v>
      </c>
      <c r="BR45" s="185">
        <f t="shared" si="33"/>
        <v>0.89037570977917979</v>
      </c>
      <c r="BS45" s="185">
        <f t="shared" si="34"/>
        <v>0.9372375892412419</v>
      </c>
      <c r="BT45" s="205">
        <f t="shared" si="35"/>
        <v>2822.491</v>
      </c>
      <c r="BU45" s="205"/>
      <c r="BV45" s="189" t="e">
        <f>#REF!+#REF!</f>
        <v>#REF!</v>
      </c>
      <c r="BW45" s="186" t="e">
        <f t="shared" si="36"/>
        <v>#REF!</v>
      </c>
      <c r="BX45" s="189" t="e">
        <f>#REF!+#REF!</f>
        <v>#REF!</v>
      </c>
      <c r="BY45" s="186" t="e">
        <f t="shared" si="37"/>
        <v>#REF!</v>
      </c>
      <c r="BZ45" s="189" t="e">
        <f>#REF!+#REF!</f>
        <v>#REF!</v>
      </c>
      <c r="CA45" s="186" t="e">
        <f t="shared" si="38"/>
        <v>#REF!</v>
      </c>
      <c r="CB45" s="189" t="e">
        <f>#REF!+#REF!</f>
        <v>#REF!</v>
      </c>
      <c r="CC45" s="186" t="e">
        <f t="shared" si="39"/>
        <v>#REF!</v>
      </c>
      <c r="CD45" s="189" t="e">
        <f>#REF!+#REF!</f>
        <v>#REF!</v>
      </c>
      <c r="CE45" s="186" t="e">
        <f t="shared" si="40"/>
        <v>#REF!</v>
      </c>
      <c r="CF45" s="189" t="e">
        <f>#REF!+#REF!</f>
        <v>#REF!</v>
      </c>
      <c r="CG45" s="186" t="e">
        <f t="shared" si="41"/>
        <v>#REF!</v>
      </c>
      <c r="CH45" s="189" t="e">
        <f>#REF!+#REF!</f>
        <v>#REF!</v>
      </c>
      <c r="CI45" s="186" t="e">
        <f t="shared" si="42"/>
        <v>#REF!</v>
      </c>
      <c r="CJ45" s="189" t="e">
        <f>#REF!+#REF!</f>
        <v>#REF!</v>
      </c>
      <c r="CK45" s="186" t="e">
        <f t="shared" si="43"/>
        <v>#REF!</v>
      </c>
      <c r="CL45" s="189" t="e">
        <f>#REF!+#REF!</f>
        <v>#REF!</v>
      </c>
      <c r="CM45" s="186" t="e">
        <f t="shared" si="44"/>
        <v>#REF!</v>
      </c>
      <c r="CN45" s="189" t="e">
        <f>#REF!+#REF!</f>
        <v>#REF!</v>
      </c>
      <c r="CO45" s="186" t="e">
        <f t="shared" si="45"/>
        <v>#REF!</v>
      </c>
      <c r="CP45" s="189" t="e">
        <f>#REF!+#REF!</f>
        <v>#REF!</v>
      </c>
      <c r="CQ45" s="186" t="e">
        <f t="shared" si="46"/>
        <v>#REF!</v>
      </c>
      <c r="CR45" s="189" t="e">
        <f>#REF!+#REF!</f>
        <v>#REF!</v>
      </c>
      <c r="CS45" s="186" t="e">
        <f t="shared" si="47"/>
        <v>#REF!</v>
      </c>
      <c r="CT45" s="189" t="e">
        <f>#REF!+#REF!</f>
        <v>#REF!</v>
      </c>
      <c r="CU45" s="186" t="e">
        <f t="shared" si="48"/>
        <v>#REF!</v>
      </c>
      <c r="CV45" s="416">
        <f t="shared" si="17"/>
        <v>0</v>
      </c>
      <c r="CW45" s="191" t="str">
        <f t="shared" si="31"/>
        <v>Cao hơn</v>
      </c>
      <c r="CX45" s="191" t="str">
        <f t="shared" si="32"/>
        <v>Cao hơn</v>
      </c>
      <c r="CY45" s="213"/>
      <c r="CZ45" s="213"/>
      <c r="DA45" s="231"/>
      <c r="DB45" s="163"/>
      <c r="DD45" s="195"/>
      <c r="DE45" s="196"/>
      <c r="DF45" s="196"/>
      <c r="DG45" s="197"/>
      <c r="DH45" s="196"/>
      <c r="DI45" s="196"/>
      <c r="DJ45" s="196"/>
      <c r="DL45" s="199"/>
      <c r="DM45" s="200"/>
    </row>
    <row r="46" spans="1:117" ht="18" customHeight="1" x14ac:dyDescent="0.25">
      <c r="A46" s="191">
        <v>31</v>
      </c>
      <c r="B46" s="240" t="s">
        <v>491</v>
      </c>
      <c r="C46" s="240"/>
      <c r="D46" s="188">
        <v>3043</v>
      </c>
      <c r="E46" s="188">
        <v>0</v>
      </c>
      <c r="F46" s="188">
        <v>3043</v>
      </c>
      <c r="G46" s="188">
        <v>3000</v>
      </c>
      <c r="H46" s="188">
        <v>43</v>
      </c>
      <c r="I46" s="188">
        <v>0</v>
      </c>
      <c r="J46" s="188"/>
      <c r="K46" s="188">
        <v>0</v>
      </c>
      <c r="L46" s="188">
        <v>0</v>
      </c>
      <c r="M46" s="188">
        <v>0</v>
      </c>
      <c r="N46" s="188">
        <v>0</v>
      </c>
      <c r="O46" s="188">
        <v>3000</v>
      </c>
      <c r="P46" s="188">
        <v>0</v>
      </c>
      <c r="Q46" s="186">
        <v>0</v>
      </c>
      <c r="R46" s="189">
        <v>589.83000000000004</v>
      </c>
      <c r="S46" s="185">
        <v>0.1938317449884982</v>
      </c>
      <c r="T46" s="185">
        <v>0.20403341577736653</v>
      </c>
      <c r="U46" s="304">
        <v>589.83000000000004</v>
      </c>
      <c r="V46" s="185">
        <v>0.1938317449884982</v>
      </c>
      <c r="W46" s="185">
        <v>0.20403341577736653</v>
      </c>
      <c r="X46" s="304">
        <v>589.83000000000004</v>
      </c>
      <c r="Y46" s="185">
        <v>0.1938317449884982</v>
      </c>
      <c r="Z46" s="185">
        <v>0.20403341577736653</v>
      </c>
      <c r="AA46" s="304">
        <v>589.83000000000004</v>
      </c>
      <c r="AB46" s="185">
        <v>0.1938317449884982</v>
      </c>
      <c r="AC46" s="185">
        <v>0.20403341577736653</v>
      </c>
      <c r="AD46" s="304">
        <v>1840.24</v>
      </c>
      <c r="AE46" s="185">
        <v>0.60474531712126189</v>
      </c>
      <c r="AF46" s="185">
        <v>0.63657401802238101</v>
      </c>
      <c r="AG46" s="304">
        <v>1840.24</v>
      </c>
      <c r="AH46" s="185">
        <v>0.60474531712126189</v>
      </c>
      <c r="AI46" s="185">
        <v>0.63657401802238101</v>
      </c>
      <c r="AJ46" s="307">
        <v>1840.24</v>
      </c>
      <c r="AK46" s="185">
        <v>0.60474531712126189</v>
      </c>
      <c r="AL46" s="185">
        <v>0.63657401802238101</v>
      </c>
      <c r="AM46" s="304">
        <v>1840.24</v>
      </c>
      <c r="AN46" s="185">
        <v>0.60474531712126189</v>
      </c>
      <c r="AO46" s="185">
        <v>0.63657401802238101</v>
      </c>
      <c r="AP46" s="185"/>
      <c r="AQ46" s="189">
        <v>2793</v>
      </c>
      <c r="AR46" s="185">
        <v>0.91784423266513304</v>
      </c>
      <c r="AS46" s="185">
        <v>0.96615182385803489</v>
      </c>
      <c r="AT46" s="189">
        <v>2793</v>
      </c>
      <c r="AU46" s="185">
        <v>0.91784423266513304</v>
      </c>
      <c r="AV46" s="185">
        <v>0.96615182385803489</v>
      </c>
      <c r="AW46" s="185"/>
      <c r="AX46" s="185"/>
      <c r="AY46" s="185"/>
      <c r="AZ46" s="185"/>
      <c r="BA46" s="185"/>
      <c r="BB46" s="185"/>
      <c r="BC46" s="189">
        <v>2793</v>
      </c>
      <c r="BD46" s="185">
        <v>0.91784423266513304</v>
      </c>
      <c r="BE46" s="185">
        <v>0.96615182385803489</v>
      </c>
      <c r="BF46" s="352"/>
      <c r="BG46" s="352">
        <v>2793</v>
      </c>
      <c r="BH46" s="185">
        <v>0.91784423266513304</v>
      </c>
      <c r="BI46" s="185">
        <v>0.96615182385803489</v>
      </c>
      <c r="BJ46" s="374">
        <v>2890.85</v>
      </c>
      <c r="BK46" s="374">
        <v>2833.85</v>
      </c>
      <c r="BL46" s="185">
        <v>0.93126848504765036</v>
      </c>
      <c r="BM46" s="185">
        <v>0.98028261583963194</v>
      </c>
      <c r="BN46" s="374">
        <v>2833.85</v>
      </c>
      <c r="BO46" s="185">
        <v>0.93126848504765036</v>
      </c>
      <c r="BP46" s="185">
        <v>0.98028261583963194</v>
      </c>
      <c r="BQ46" s="374">
        <v>2833.85</v>
      </c>
      <c r="BR46" s="185">
        <f t="shared" si="33"/>
        <v>0.93126848504765036</v>
      </c>
      <c r="BS46" s="185">
        <f t="shared" si="34"/>
        <v>0.98028261583963194</v>
      </c>
      <c r="BT46" s="205">
        <f t="shared" si="35"/>
        <v>993.6099999999999</v>
      </c>
      <c r="BU46" s="205"/>
      <c r="BV46" s="189" t="e">
        <f>#REF!+#REF!</f>
        <v>#REF!</v>
      </c>
      <c r="BW46" s="186" t="e">
        <f t="shared" si="36"/>
        <v>#REF!</v>
      </c>
      <c r="BX46" s="189" t="e">
        <f>#REF!+#REF!</f>
        <v>#REF!</v>
      </c>
      <c r="BY46" s="186" t="e">
        <f t="shared" si="37"/>
        <v>#REF!</v>
      </c>
      <c r="BZ46" s="189" t="e">
        <f>#REF!+#REF!</f>
        <v>#REF!</v>
      </c>
      <c r="CA46" s="186" t="e">
        <f t="shared" si="38"/>
        <v>#REF!</v>
      </c>
      <c r="CB46" s="189" t="e">
        <f>#REF!+#REF!</f>
        <v>#REF!</v>
      </c>
      <c r="CC46" s="186" t="e">
        <f t="shared" si="39"/>
        <v>#REF!</v>
      </c>
      <c r="CD46" s="189" t="e">
        <f>#REF!+#REF!</f>
        <v>#REF!</v>
      </c>
      <c r="CE46" s="186" t="e">
        <f t="shared" si="40"/>
        <v>#REF!</v>
      </c>
      <c r="CF46" s="189" t="e">
        <f>#REF!+#REF!</f>
        <v>#REF!</v>
      </c>
      <c r="CG46" s="186" t="e">
        <f t="shared" si="41"/>
        <v>#REF!</v>
      </c>
      <c r="CH46" s="189" t="e">
        <f>#REF!+#REF!</f>
        <v>#REF!</v>
      </c>
      <c r="CI46" s="186" t="e">
        <f t="shared" si="42"/>
        <v>#REF!</v>
      </c>
      <c r="CJ46" s="189" t="e">
        <f>#REF!+#REF!</f>
        <v>#REF!</v>
      </c>
      <c r="CK46" s="186" t="e">
        <f t="shared" si="43"/>
        <v>#REF!</v>
      </c>
      <c r="CL46" s="189" t="e">
        <f>#REF!+#REF!</f>
        <v>#REF!</v>
      </c>
      <c r="CM46" s="186" t="e">
        <f t="shared" si="44"/>
        <v>#REF!</v>
      </c>
      <c r="CN46" s="189" t="e">
        <f>#REF!+#REF!</f>
        <v>#REF!</v>
      </c>
      <c r="CO46" s="186" t="e">
        <f t="shared" si="45"/>
        <v>#REF!</v>
      </c>
      <c r="CP46" s="189" t="e">
        <f>#REF!+#REF!</f>
        <v>#REF!</v>
      </c>
      <c r="CQ46" s="186" t="e">
        <f t="shared" si="46"/>
        <v>#REF!</v>
      </c>
      <c r="CR46" s="189" t="e">
        <f>#REF!+#REF!</f>
        <v>#REF!</v>
      </c>
      <c r="CS46" s="186" t="e">
        <f t="shared" si="47"/>
        <v>#REF!</v>
      </c>
      <c r="CT46" s="189" t="e">
        <f>#REF!+#REF!</f>
        <v>#REF!</v>
      </c>
      <c r="CU46" s="186" t="e">
        <f t="shared" si="48"/>
        <v>#REF!</v>
      </c>
      <c r="CV46" s="416">
        <f t="shared" si="17"/>
        <v>0</v>
      </c>
      <c r="CW46" s="191" t="str">
        <f t="shared" si="31"/>
        <v>Cao hơn</v>
      </c>
      <c r="CX46" s="191" t="str">
        <f t="shared" si="32"/>
        <v>Cao hơn</v>
      </c>
      <c r="CY46" s="213"/>
      <c r="CZ46" s="213"/>
      <c r="DA46" s="231"/>
      <c r="DB46" s="163"/>
      <c r="DD46" s="195"/>
      <c r="DE46" s="196"/>
      <c r="DF46" s="196"/>
      <c r="DG46" s="197"/>
      <c r="DH46" s="196"/>
      <c r="DI46" s="196"/>
      <c r="DJ46" s="196"/>
      <c r="DL46" s="199"/>
      <c r="DM46" s="200"/>
    </row>
    <row r="47" spans="1:117" ht="18" customHeight="1" x14ac:dyDescent="0.25">
      <c r="A47" s="191">
        <v>32</v>
      </c>
      <c r="B47" s="240" t="s">
        <v>492</v>
      </c>
      <c r="C47" s="240"/>
      <c r="D47" s="188">
        <v>9400</v>
      </c>
      <c r="E47" s="188">
        <v>0</v>
      </c>
      <c r="F47" s="188">
        <v>9400</v>
      </c>
      <c r="G47" s="188">
        <v>3000</v>
      </c>
      <c r="H47" s="188">
        <v>6400</v>
      </c>
      <c r="I47" s="188">
        <v>2850</v>
      </c>
      <c r="J47" s="188"/>
      <c r="K47" s="188">
        <v>0</v>
      </c>
      <c r="L47" s="188">
        <v>0</v>
      </c>
      <c r="M47" s="188">
        <v>0</v>
      </c>
      <c r="N47" s="188">
        <v>0</v>
      </c>
      <c r="O47" s="188">
        <v>5850</v>
      </c>
      <c r="P47" s="188">
        <v>0</v>
      </c>
      <c r="Q47" s="186">
        <v>0</v>
      </c>
      <c r="R47" s="189">
        <v>0</v>
      </c>
      <c r="S47" s="185">
        <v>0</v>
      </c>
      <c r="T47" s="185">
        <v>0</v>
      </c>
      <c r="U47" s="189">
        <v>1735.1679999999999</v>
      </c>
      <c r="V47" s="185">
        <v>0.18459234042553191</v>
      </c>
      <c r="W47" s="185">
        <v>0.1943077267637178</v>
      </c>
      <c r="X47" s="189">
        <v>1735.1679999999999</v>
      </c>
      <c r="Y47" s="185">
        <v>0.18459234042553191</v>
      </c>
      <c r="Z47" s="185">
        <v>0.1943077267637178</v>
      </c>
      <c r="AA47" s="189">
        <v>1735.1679999999999</v>
      </c>
      <c r="AB47" s="185">
        <v>0.18459234042553191</v>
      </c>
      <c r="AC47" s="185">
        <v>0.1943077267637178</v>
      </c>
      <c r="AD47" s="189">
        <v>1995.5416319999999</v>
      </c>
      <c r="AE47" s="185">
        <v>0.2122916629787234</v>
      </c>
      <c r="AF47" s="185">
        <v>0.22346490839865621</v>
      </c>
      <c r="AG47" s="189">
        <v>1995.5416319999999</v>
      </c>
      <c r="AH47" s="185">
        <v>0.2122916629787234</v>
      </c>
      <c r="AI47" s="185">
        <v>0.22346490839865621</v>
      </c>
      <c r="AJ47" s="317">
        <v>1995.5416319999999</v>
      </c>
      <c r="AK47" s="185">
        <v>0.2122916629787234</v>
      </c>
      <c r="AL47" s="185">
        <v>0.22346490839865621</v>
      </c>
      <c r="AM47" s="189">
        <v>1995.5416319999999</v>
      </c>
      <c r="AN47" s="185">
        <v>0.2122916629787234</v>
      </c>
      <c r="AO47" s="185">
        <v>0.22346490839865621</v>
      </c>
      <c r="AP47" s="185"/>
      <c r="AQ47" s="189">
        <v>5147.5380409999998</v>
      </c>
      <c r="AR47" s="185">
        <v>0.54761042989361697</v>
      </c>
      <c r="AS47" s="185">
        <v>0.57643203146696531</v>
      </c>
      <c r="AT47" s="189">
        <v>5147.5380409999998</v>
      </c>
      <c r="AU47" s="185">
        <v>0.54761042989361697</v>
      </c>
      <c r="AV47" s="185">
        <v>0.57643203146696531</v>
      </c>
      <c r="AW47" s="185"/>
      <c r="AX47" s="185"/>
      <c r="AY47" s="185"/>
      <c r="AZ47" s="185"/>
      <c r="BA47" s="185"/>
      <c r="BB47" s="185"/>
      <c r="BC47" s="189">
        <v>5147.5380409999998</v>
      </c>
      <c r="BD47" s="185">
        <v>0.54761042989361697</v>
      </c>
      <c r="BE47" s="185">
        <v>0.57643203146696531</v>
      </c>
      <c r="BF47" s="352"/>
      <c r="BG47" s="352">
        <v>8208</v>
      </c>
      <c r="BH47" s="185">
        <v>0.8731914893617021</v>
      </c>
      <c r="BI47" s="185">
        <v>0.91914893617021276</v>
      </c>
      <c r="BJ47" s="374">
        <v>8930</v>
      </c>
      <c r="BK47" s="374">
        <v>8588</v>
      </c>
      <c r="BL47" s="185">
        <v>0.91361702127659572</v>
      </c>
      <c r="BM47" s="185">
        <v>0.96170212765957441</v>
      </c>
      <c r="BN47" s="374">
        <v>8588</v>
      </c>
      <c r="BO47" s="185">
        <v>0.91361702127659572</v>
      </c>
      <c r="BP47" s="185">
        <v>0.96170212765957441</v>
      </c>
      <c r="BQ47" s="374">
        <v>8588</v>
      </c>
      <c r="BR47" s="185">
        <f t="shared" si="33"/>
        <v>0.91361702127659572</v>
      </c>
      <c r="BS47" s="185">
        <f t="shared" si="34"/>
        <v>0.96170212765957441</v>
      </c>
      <c r="BT47" s="205">
        <f t="shared" si="35"/>
        <v>6592.4583679999996</v>
      </c>
      <c r="BU47" s="205"/>
      <c r="BV47" s="189" t="e">
        <f>#REF!+#REF!+#REF!</f>
        <v>#REF!</v>
      </c>
      <c r="BW47" s="186" t="e">
        <f t="shared" si="36"/>
        <v>#REF!</v>
      </c>
      <c r="BX47" s="189" t="e">
        <f>#REF!+#REF!+#REF!</f>
        <v>#REF!</v>
      </c>
      <c r="BY47" s="186" t="e">
        <f t="shared" si="37"/>
        <v>#REF!</v>
      </c>
      <c r="BZ47" s="189" t="e">
        <f>#REF!+#REF!+#REF!</f>
        <v>#REF!</v>
      </c>
      <c r="CA47" s="186" t="e">
        <f t="shared" si="38"/>
        <v>#REF!</v>
      </c>
      <c r="CB47" s="189" t="e">
        <f>#REF!+#REF!+#REF!</f>
        <v>#REF!</v>
      </c>
      <c r="CC47" s="186" t="e">
        <f t="shared" si="39"/>
        <v>#REF!</v>
      </c>
      <c r="CD47" s="189" t="e">
        <f>#REF!+#REF!+#REF!</f>
        <v>#REF!</v>
      </c>
      <c r="CE47" s="186" t="e">
        <f t="shared" si="40"/>
        <v>#REF!</v>
      </c>
      <c r="CF47" s="189" t="e">
        <f>#REF!+#REF!+#REF!</f>
        <v>#REF!</v>
      </c>
      <c r="CG47" s="186" t="e">
        <f t="shared" si="41"/>
        <v>#REF!</v>
      </c>
      <c r="CH47" s="189" t="e">
        <f>#REF!+#REF!+#REF!</f>
        <v>#REF!</v>
      </c>
      <c r="CI47" s="186" t="e">
        <f t="shared" si="42"/>
        <v>#REF!</v>
      </c>
      <c r="CJ47" s="189" t="e">
        <f>#REF!+#REF!+#REF!</f>
        <v>#REF!</v>
      </c>
      <c r="CK47" s="186" t="e">
        <f t="shared" si="43"/>
        <v>#REF!</v>
      </c>
      <c r="CL47" s="189" t="e">
        <f>#REF!+#REF!+#REF!</f>
        <v>#REF!</v>
      </c>
      <c r="CM47" s="186" t="e">
        <f t="shared" si="44"/>
        <v>#REF!</v>
      </c>
      <c r="CN47" s="189" t="e">
        <f>#REF!+#REF!+#REF!</f>
        <v>#REF!</v>
      </c>
      <c r="CO47" s="186" t="e">
        <f t="shared" si="45"/>
        <v>#REF!</v>
      </c>
      <c r="CP47" s="189" t="e">
        <f>#REF!+#REF!+#REF!</f>
        <v>#REF!</v>
      </c>
      <c r="CQ47" s="186" t="e">
        <f t="shared" si="46"/>
        <v>#REF!</v>
      </c>
      <c r="CR47" s="189" t="e">
        <f>#REF!+#REF!+#REF!</f>
        <v>#REF!</v>
      </c>
      <c r="CS47" s="186" t="e">
        <f t="shared" si="47"/>
        <v>#REF!</v>
      </c>
      <c r="CT47" s="189" t="e">
        <f>#REF!+#REF!+#REF!</f>
        <v>#REF!</v>
      </c>
      <c r="CU47" s="186" t="e">
        <f t="shared" si="48"/>
        <v>#REF!</v>
      </c>
      <c r="CV47" s="416">
        <f t="shared" si="17"/>
        <v>0</v>
      </c>
      <c r="CW47" s="191" t="str">
        <f t="shared" si="31"/>
        <v>Cao hơn</v>
      </c>
      <c r="CX47" s="191" t="str">
        <f t="shared" si="32"/>
        <v>Cao hơn</v>
      </c>
      <c r="CY47" s="213"/>
      <c r="CZ47" s="213"/>
      <c r="DA47" s="231"/>
      <c r="DB47" s="163"/>
      <c r="DD47" s="195"/>
      <c r="DE47" s="196"/>
      <c r="DF47" s="196"/>
      <c r="DG47" s="197"/>
      <c r="DH47" s="196"/>
      <c r="DI47" s="196"/>
      <c r="DJ47" s="196"/>
      <c r="DL47" s="199"/>
      <c r="DM47" s="200"/>
    </row>
    <row r="48" spans="1:117" ht="18" customHeight="1" x14ac:dyDescent="0.25">
      <c r="A48" s="191">
        <v>33</v>
      </c>
      <c r="B48" s="240" t="s">
        <v>494</v>
      </c>
      <c r="C48" s="240"/>
      <c r="D48" s="188">
        <v>3212</v>
      </c>
      <c r="E48" s="188">
        <v>0</v>
      </c>
      <c r="F48" s="188">
        <v>3212</v>
      </c>
      <c r="G48" s="188">
        <v>3000</v>
      </c>
      <c r="H48" s="188">
        <v>212</v>
      </c>
      <c r="I48" s="188">
        <v>0</v>
      </c>
      <c r="J48" s="188"/>
      <c r="K48" s="188">
        <v>0</v>
      </c>
      <c r="L48" s="188">
        <v>0</v>
      </c>
      <c r="M48" s="188">
        <v>0</v>
      </c>
      <c r="N48" s="188">
        <v>0</v>
      </c>
      <c r="O48" s="188">
        <v>3000</v>
      </c>
      <c r="P48" s="188">
        <v>268</v>
      </c>
      <c r="Q48" s="186">
        <v>8.3437110834371109E-2</v>
      </c>
      <c r="R48" s="189">
        <v>383.27215000000001</v>
      </c>
      <c r="S48" s="185">
        <v>0.11932507783312578</v>
      </c>
      <c r="T48" s="185">
        <v>0.12560534508750085</v>
      </c>
      <c r="U48" s="189">
        <v>383.27215000000001</v>
      </c>
      <c r="V48" s="185">
        <v>0.11932507783312578</v>
      </c>
      <c r="W48" s="185">
        <v>0.12560534508750085</v>
      </c>
      <c r="X48" s="189">
        <v>383.27215000000001</v>
      </c>
      <c r="Y48" s="185">
        <v>0.11932507783312578</v>
      </c>
      <c r="Z48" s="185">
        <v>0.12560534508750085</v>
      </c>
      <c r="AA48" s="189">
        <v>383.27215000000001</v>
      </c>
      <c r="AB48" s="185">
        <v>0.11932507783312578</v>
      </c>
      <c r="AC48" s="185">
        <v>0.12560534508750085</v>
      </c>
      <c r="AD48" s="189">
        <v>593</v>
      </c>
      <c r="AE48" s="185">
        <v>0.18462017434620173</v>
      </c>
      <c r="AF48" s="185">
        <v>0.19433702562758082</v>
      </c>
      <c r="AG48" s="189">
        <v>593</v>
      </c>
      <c r="AH48" s="185">
        <v>0.18462017434620173</v>
      </c>
      <c r="AI48" s="185">
        <v>0.19433702562758082</v>
      </c>
      <c r="AJ48" s="307">
        <v>593</v>
      </c>
      <c r="AK48" s="185">
        <v>0.18462017434620173</v>
      </c>
      <c r="AL48" s="185">
        <v>0.19433702562758082</v>
      </c>
      <c r="AM48" s="189">
        <v>593</v>
      </c>
      <c r="AN48" s="185">
        <v>0.18462017434620173</v>
      </c>
      <c r="AO48" s="185">
        <v>0.19433702562758082</v>
      </c>
      <c r="AP48" s="185"/>
      <c r="AQ48" s="189">
        <v>1406</v>
      </c>
      <c r="AR48" s="185">
        <v>0.43773349937733497</v>
      </c>
      <c r="AS48" s="185">
        <v>0.46077210460772111</v>
      </c>
      <c r="AT48" s="189">
        <v>1406</v>
      </c>
      <c r="AU48" s="185">
        <v>0.43773349937733497</v>
      </c>
      <c r="AV48" s="185">
        <v>0.46077210460772111</v>
      </c>
      <c r="AW48" s="185"/>
      <c r="AX48" s="185"/>
      <c r="AY48" s="185"/>
      <c r="AZ48" s="185"/>
      <c r="BA48" s="185"/>
      <c r="BB48" s="185"/>
      <c r="BC48" s="189">
        <v>1406</v>
      </c>
      <c r="BD48" s="185">
        <v>0.43773349937733497</v>
      </c>
      <c r="BE48" s="185">
        <v>0.46077210460772111</v>
      </c>
      <c r="BF48" s="352"/>
      <c r="BG48" s="352">
        <v>1937.8</v>
      </c>
      <c r="BH48" s="185">
        <v>0.60330012453300119</v>
      </c>
      <c r="BI48" s="185">
        <v>0.63505276266631716</v>
      </c>
      <c r="BJ48" s="374">
        <v>3051.3999999999996</v>
      </c>
      <c r="BK48" s="374">
        <v>1937.8</v>
      </c>
      <c r="BL48" s="185">
        <v>0.60330012453300119</v>
      </c>
      <c r="BM48" s="185">
        <v>0.63505276266631716</v>
      </c>
      <c r="BN48" s="374">
        <v>1937.8</v>
      </c>
      <c r="BO48" s="185">
        <v>0.60330012453300119</v>
      </c>
      <c r="BP48" s="185">
        <v>0.63505276266631716</v>
      </c>
      <c r="BQ48" s="374">
        <v>1937.8</v>
      </c>
      <c r="BR48" s="185">
        <f t="shared" si="33"/>
        <v>0.60330012453300119</v>
      </c>
      <c r="BS48" s="185">
        <f t="shared" si="34"/>
        <v>0.63505276266631716</v>
      </c>
      <c r="BT48" s="205">
        <f t="shared" si="35"/>
        <v>1344.8</v>
      </c>
      <c r="BU48" s="205"/>
      <c r="BV48" s="189" t="e">
        <f>#REF!+#REF!</f>
        <v>#REF!</v>
      </c>
      <c r="BW48" s="186" t="e">
        <f t="shared" si="36"/>
        <v>#REF!</v>
      </c>
      <c r="BX48" s="189" t="e">
        <f>#REF!+#REF!</f>
        <v>#REF!</v>
      </c>
      <c r="BY48" s="186" t="e">
        <f t="shared" si="37"/>
        <v>#REF!</v>
      </c>
      <c r="BZ48" s="189" t="e">
        <f>#REF!+#REF!</f>
        <v>#REF!</v>
      </c>
      <c r="CA48" s="186" t="e">
        <f t="shared" si="38"/>
        <v>#REF!</v>
      </c>
      <c r="CB48" s="189" t="e">
        <f>#REF!+#REF!</f>
        <v>#REF!</v>
      </c>
      <c r="CC48" s="186" t="e">
        <f t="shared" si="39"/>
        <v>#REF!</v>
      </c>
      <c r="CD48" s="189" t="e">
        <f>#REF!+#REF!</f>
        <v>#REF!</v>
      </c>
      <c r="CE48" s="186" t="e">
        <f t="shared" si="40"/>
        <v>#REF!</v>
      </c>
      <c r="CF48" s="189" t="e">
        <f>#REF!+#REF!</f>
        <v>#REF!</v>
      </c>
      <c r="CG48" s="186" t="e">
        <f t="shared" si="41"/>
        <v>#REF!</v>
      </c>
      <c r="CH48" s="189" t="e">
        <f>#REF!+#REF!</f>
        <v>#REF!</v>
      </c>
      <c r="CI48" s="186" t="e">
        <f t="shared" si="42"/>
        <v>#REF!</v>
      </c>
      <c r="CJ48" s="189" t="e">
        <f>#REF!+#REF!</f>
        <v>#REF!</v>
      </c>
      <c r="CK48" s="186" t="e">
        <f t="shared" si="43"/>
        <v>#REF!</v>
      </c>
      <c r="CL48" s="189" t="e">
        <f>#REF!+#REF!</f>
        <v>#REF!</v>
      </c>
      <c r="CM48" s="186" t="e">
        <f t="shared" si="44"/>
        <v>#REF!</v>
      </c>
      <c r="CN48" s="189" t="e">
        <f>#REF!+#REF!</f>
        <v>#REF!</v>
      </c>
      <c r="CO48" s="186" t="e">
        <f t="shared" si="45"/>
        <v>#REF!</v>
      </c>
      <c r="CP48" s="189" t="e">
        <f>#REF!+#REF!</f>
        <v>#REF!</v>
      </c>
      <c r="CQ48" s="186" t="e">
        <f t="shared" si="46"/>
        <v>#REF!</v>
      </c>
      <c r="CR48" s="189" t="e">
        <f>#REF!+#REF!</f>
        <v>#REF!</v>
      </c>
      <c r="CS48" s="186" t="e">
        <f t="shared" si="47"/>
        <v>#REF!</v>
      </c>
      <c r="CT48" s="189" t="e">
        <f>#REF!+#REF!</f>
        <v>#REF!</v>
      </c>
      <c r="CU48" s="186" t="e">
        <f t="shared" si="48"/>
        <v>#REF!</v>
      </c>
      <c r="CV48" s="416">
        <f t="shared" si="17"/>
        <v>0</v>
      </c>
      <c r="CW48" s="191" t="str">
        <f t="shared" si="31"/>
        <v>Cao hơn</v>
      </c>
      <c r="CX48" s="191" t="str">
        <f t="shared" si="32"/>
        <v>Cao hơn</v>
      </c>
      <c r="CY48" s="213"/>
      <c r="CZ48" s="213"/>
      <c r="DA48" s="231"/>
      <c r="DB48" s="163"/>
      <c r="DD48" s="195"/>
      <c r="DE48" s="196"/>
      <c r="DF48" s="196"/>
      <c r="DG48" s="197"/>
      <c r="DH48" s="196"/>
      <c r="DI48" s="196"/>
      <c r="DJ48" s="196"/>
      <c r="DL48" s="199"/>
      <c r="DM48" s="200"/>
    </row>
    <row r="49" spans="1:117" ht="18" customHeight="1" x14ac:dyDescent="0.25">
      <c r="A49" s="191">
        <v>34</v>
      </c>
      <c r="B49" s="240" t="s">
        <v>495</v>
      </c>
      <c r="C49" s="240"/>
      <c r="D49" s="188">
        <v>62459.608999999997</v>
      </c>
      <c r="E49" s="188">
        <v>50000</v>
      </c>
      <c r="F49" s="188">
        <v>12459.609</v>
      </c>
      <c r="G49" s="188">
        <v>3000</v>
      </c>
      <c r="H49" s="188">
        <v>9459.6090000000004</v>
      </c>
      <c r="I49" s="188">
        <v>912</v>
      </c>
      <c r="J49" s="188"/>
      <c r="K49" s="188">
        <v>0</v>
      </c>
      <c r="L49" s="188">
        <v>0</v>
      </c>
      <c r="M49" s="231">
        <v>0</v>
      </c>
      <c r="N49" s="231">
        <v>0</v>
      </c>
      <c r="O49" s="188">
        <v>3912</v>
      </c>
      <c r="P49" s="188">
        <v>1255</v>
      </c>
      <c r="Q49" s="186">
        <v>2.0092985212251328E-2</v>
      </c>
      <c r="R49" s="189">
        <v>1675.37</v>
      </c>
      <c r="S49" s="185">
        <v>2.6823254689282476E-2</v>
      </c>
      <c r="T49" s="185">
        <v>2.7093488750689655E-2</v>
      </c>
      <c r="U49" s="304">
        <v>2049.7483080000002</v>
      </c>
      <c r="V49" s="185">
        <v>3.2817181228271861E-2</v>
      </c>
      <c r="W49" s="185">
        <v>3.3147801813654995E-2</v>
      </c>
      <c r="X49" s="304">
        <v>2049.7483080000002</v>
      </c>
      <c r="Y49" s="185">
        <v>3.2817181228271861E-2</v>
      </c>
      <c r="Z49" s="185">
        <v>3.3147801813654995E-2</v>
      </c>
      <c r="AA49" s="304">
        <v>2049.7483080000002</v>
      </c>
      <c r="AB49" s="185">
        <v>3.2817181228271861E-2</v>
      </c>
      <c r="AC49" s="185">
        <v>3.3147801813654995E-2</v>
      </c>
      <c r="AD49" s="304">
        <v>5368.8553080000002</v>
      </c>
      <c r="AE49" s="185">
        <v>8.5957235307060606E-2</v>
      </c>
      <c r="AF49" s="185">
        <v>8.6823221671259762E-2</v>
      </c>
      <c r="AG49" s="304">
        <v>5368.8553080000002</v>
      </c>
      <c r="AH49" s="185">
        <v>8.5957235307060606E-2</v>
      </c>
      <c r="AI49" s="185">
        <v>8.6823221671259762E-2</v>
      </c>
      <c r="AJ49" s="189">
        <v>5368.8553080000002</v>
      </c>
      <c r="AK49" s="185">
        <v>8.5957235307060606E-2</v>
      </c>
      <c r="AL49" s="185">
        <v>8.6823221671259762E-2</v>
      </c>
      <c r="AM49" s="304">
        <v>5368.8553080000002</v>
      </c>
      <c r="AN49" s="185">
        <v>8.5957235307060606E-2</v>
      </c>
      <c r="AO49" s="185">
        <v>8.6823221671259762E-2</v>
      </c>
      <c r="AP49" s="185"/>
      <c r="AQ49" s="189">
        <v>6422.8553080000002</v>
      </c>
      <c r="AR49" s="185">
        <v>0.10283214081599519</v>
      </c>
      <c r="AS49" s="185">
        <v>0.10386813541761244</v>
      </c>
      <c r="AT49" s="189">
        <v>6422.8553080000002</v>
      </c>
      <c r="AU49" s="185">
        <v>0.10283214081599519</v>
      </c>
      <c r="AV49" s="185">
        <v>0.10386813541761244</v>
      </c>
      <c r="AW49" s="185"/>
      <c r="AX49" s="185"/>
      <c r="AY49" s="185"/>
      <c r="AZ49" s="185"/>
      <c r="BA49" s="185"/>
      <c r="BB49" s="185"/>
      <c r="BC49" s="189">
        <v>6422.8553080000002</v>
      </c>
      <c r="BD49" s="185">
        <v>0.10283214081599519</v>
      </c>
      <c r="BE49" s="185">
        <v>0.10386813541761244</v>
      </c>
      <c r="BF49" s="352"/>
      <c r="BG49" s="352">
        <v>33262.727057999997</v>
      </c>
      <c r="BH49" s="185">
        <v>0.53254779513589334</v>
      </c>
      <c r="BI49" s="185">
        <v>0.53791301107408118</v>
      </c>
      <c r="BJ49" s="374">
        <v>61836.628550000001</v>
      </c>
      <c r="BK49" s="374">
        <v>34692.044057999999</v>
      </c>
      <c r="BL49" s="185">
        <v>0.5554316559682595</v>
      </c>
      <c r="BM49" s="185">
        <v>0.56102741807711309</v>
      </c>
      <c r="BN49" s="374">
        <v>34692.044057999999</v>
      </c>
      <c r="BO49" s="185">
        <v>0.5554316559682595</v>
      </c>
      <c r="BP49" s="185">
        <v>0.56102741807711309</v>
      </c>
      <c r="BQ49" s="374">
        <v>34692.044057999999</v>
      </c>
      <c r="BR49" s="185">
        <f t="shared" si="33"/>
        <v>0.5554316559682595</v>
      </c>
      <c r="BS49" s="185">
        <f t="shared" si="34"/>
        <v>0.56102741807711309</v>
      </c>
      <c r="BT49" s="205">
        <f t="shared" si="35"/>
        <v>29323.188750000001</v>
      </c>
      <c r="BU49" s="205"/>
      <c r="BV49" s="189" t="e">
        <f>#REF!+#REF!</f>
        <v>#REF!</v>
      </c>
      <c r="BW49" s="186" t="e">
        <f t="shared" si="36"/>
        <v>#REF!</v>
      </c>
      <c r="BX49" s="189" t="e">
        <f>#REF!+#REF!</f>
        <v>#REF!</v>
      </c>
      <c r="BY49" s="186" t="e">
        <f t="shared" si="37"/>
        <v>#REF!</v>
      </c>
      <c r="BZ49" s="189" t="e">
        <f>#REF!+#REF!</f>
        <v>#REF!</v>
      </c>
      <c r="CA49" s="186" t="e">
        <f t="shared" si="38"/>
        <v>#REF!</v>
      </c>
      <c r="CB49" s="189" t="e">
        <f>#REF!+#REF!</f>
        <v>#REF!</v>
      </c>
      <c r="CC49" s="186" t="e">
        <f t="shared" si="39"/>
        <v>#REF!</v>
      </c>
      <c r="CD49" s="189" t="e">
        <f>#REF!+#REF!</f>
        <v>#REF!</v>
      </c>
      <c r="CE49" s="186" t="e">
        <f t="shared" si="40"/>
        <v>#REF!</v>
      </c>
      <c r="CF49" s="189" t="e">
        <f>#REF!+#REF!</f>
        <v>#REF!</v>
      </c>
      <c r="CG49" s="186" t="e">
        <f t="shared" si="41"/>
        <v>#REF!</v>
      </c>
      <c r="CH49" s="189" t="e">
        <f>#REF!+#REF!</f>
        <v>#REF!</v>
      </c>
      <c r="CI49" s="186" t="e">
        <f t="shared" si="42"/>
        <v>#REF!</v>
      </c>
      <c r="CJ49" s="189" t="e">
        <f>#REF!+#REF!</f>
        <v>#REF!</v>
      </c>
      <c r="CK49" s="186" t="e">
        <f t="shared" si="43"/>
        <v>#REF!</v>
      </c>
      <c r="CL49" s="189" t="e">
        <f>#REF!+#REF!</f>
        <v>#REF!</v>
      </c>
      <c r="CM49" s="186" t="e">
        <f t="shared" si="44"/>
        <v>#REF!</v>
      </c>
      <c r="CN49" s="189" t="e">
        <f>#REF!+#REF!</f>
        <v>#REF!</v>
      </c>
      <c r="CO49" s="186" t="e">
        <f t="shared" si="45"/>
        <v>#REF!</v>
      </c>
      <c r="CP49" s="189" t="e">
        <f>#REF!+#REF!</f>
        <v>#REF!</v>
      </c>
      <c r="CQ49" s="186" t="e">
        <f t="shared" si="46"/>
        <v>#REF!</v>
      </c>
      <c r="CR49" s="189" t="e">
        <f>#REF!+#REF!</f>
        <v>#REF!</v>
      </c>
      <c r="CS49" s="186" t="e">
        <f t="shared" si="47"/>
        <v>#REF!</v>
      </c>
      <c r="CT49" s="189" t="e">
        <f>#REF!+#REF!</f>
        <v>#REF!</v>
      </c>
      <c r="CU49" s="186" t="e">
        <f t="shared" si="48"/>
        <v>#REF!</v>
      </c>
      <c r="CV49" s="416">
        <f t="shared" si="17"/>
        <v>0</v>
      </c>
      <c r="CW49" s="191" t="str">
        <f t="shared" si="31"/>
        <v>Cao hơn</v>
      </c>
      <c r="CX49" s="191" t="str">
        <f t="shared" si="32"/>
        <v>Cao hơn</v>
      </c>
      <c r="CY49" s="213"/>
      <c r="CZ49" s="213"/>
      <c r="DA49" s="231"/>
      <c r="DB49" s="163"/>
      <c r="DD49" s="195"/>
      <c r="DE49" s="196"/>
      <c r="DF49" s="196"/>
      <c r="DG49" s="197"/>
      <c r="DH49" s="196"/>
      <c r="DI49" s="196"/>
      <c r="DJ49" s="196"/>
      <c r="DL49" s="199"/>
      <c r="DM49" s="200"/>
    </row>
    <row r="50" spans="1:117" ht="18" customHeight="1" x14ac:dyDescent="0.25">
      <c r="A50" s="191">
        <v>35</v>
      </c>
      <c r="B50" s="240" t="s">
        <v>498</v>
      </c>
      <c r="C50" s="240"/>
      <c r="D50" s="188">
        <v>33255</v>
      </c>
      <c r="E50" s="188">
        <v>0</v>
      </c>
      <c r="F50" s="188">
        <v>33255</v>
      </c>
      <c r="G50" s="188">
        <v>33000</v>
      </c>
      <c r="H50" s="188">
        <v>255</v>
      </c>
      <c r="I50" s="188">
        <v>0</v>
      </c>
      <c r="J50" s="188"/>
      <c r="K50" s="188">
        <v>0</v>
      </c>
      <c r="L50" s="188">
        <v>0</v>
      </c>
      <c r="M50" s="188">
        <v>0</v>
      </c>
      <c r="N50" s="188">
        <v>0</v>
      </c>
      <c r="O50" s="188">
        <v>33000</v>
      </c>
      <c r="P50" s="188">
        <v>465</v>
      </c>
      <c r="Q50" s="186">
        <v>1.3982859720342805E-2</v>
      </c>
      <c r="R50" s="188">
        <v>465</v>
      </c>
      <c r="S50" s="185">
        <v>1.3982859720342805E-2</v>
      </c>
      <c r="T50" s="185">
        <v>1.4718799705624007E-2</v>
      </c>
      <c r="U50" s="314">
        <v>1722.4680000000001</v>
      </c>
      <c r="V50" s="185">
        <v>5.1795760036084798E-2</v>
      </c>
      <c r="W50" s="185">
        <v>5.4521852669562949E-2</v>
      </c>
      <c r="X50" s="314">
        <v>1722.4680000000001</v>
      </c>
      <c r="Y50" s="185">
        <v>5.1795760036084798E-2</v>
      </c>
      <c r="Z50" s="185">
        <v>5.4521852669562949E-2</v>
      </c>
      <c r="AA50" s="314">
        <v>1722.4680000000001</v>
      </c>
      <c r="AB50" s="185">
        <v>5.1795760036084798E-2</v>
      </c>
      <c r="AC50" s="185">
        <v>5.4521852669562949E-2</v>
      </c>
      <c r="AD50" s="314">
        <v>2783.596</v>
      </c>
      <c r="AE50" s="185">
        <v>8.3704585776574955E-2</v>
      </c>
      <c r="AF50" s="185">
        <v>8.8110090291131524E-2</v>
      </c>
      <c r="AG50" s="314">
        <v>2783.596</v>
      </c>
      <c r="AH50" s="185">
        <v>8.3704585776574955E-2</v>
      </c>
      <c r="AI50" s="185">
        <v>8.8110090291131524E-2</v>
      </c>
      <c r="AJ50" s="317">
        <v>2783.596</v>
      </c>
      <c r="AK50" s="185">
        <v>8.3704585776574955E-2</v>
      </c>
      <c r="AL50" s="185">
        <v>8.8110090291131524E-2</v>
      </c>
      <c r="AM50" s="314">
        <v>2783.596</v>
      </c>
      <c r="AN50" s="185">
        <v>8.3704585776574955E-2</v>
      </c>
      <c r="AO50" s="185">
        <v>8.8110090291131524E-2</v>
      </c>
      <c r="AP50" s="185"/>
      <c r="AQ50" s="188">
        <v>5189.0480000000007</v>
      </c>
      <c r="AR50" s="185">
        <v>0.15603812960457075</v>
      </c>
      <c r="AS50" s="185">
        <v>0.16425066274165342</v>
      </c>
      <c r="AT50" s="188">
        <v>5189.0480000000007</v>
      </c>
      <c r="AU50" s="185">
        <v>0.15603812960457075</v>
      </c>
      <c r="AV50" s="185">
        <v>0.16425066274165342</v>
      </c>
      <c r="AW50" s="185"/>
      <c r="AX50" s="185"/>
      <c r="AY50" s="185"/>
      <c r="AZ50" s="185"/>
      <c r="BA50" s="185"/>
      <c r="BB50" s="185"/>
      <c r="BC50" s="188">
        <v>5189.0480000000007</v>
      </c>
      <c r="BD50" s="185">
        <v>0.15603812960457075</v>
      </c>
      <c r="BE50" s="185">
        <v>0.16425066274165342</v>
      </c>
      <c r="BF50" s="352"/>
      <c r="BG50" s="352">
        <v>28182.587</v>
      </c>
      <c r="BH50" s="185">
        <v>0.84746916253195004</v>
      </c>
      <c r="BI50" s="185">
        <v>0.89207280266521061</v>
      </c>
      <c r="BJ50" s="374">
        <v>31592.25</v>
      </c>
      <c r="BK50" s="374">
        <v>28280.459000000003</v>
      </c>
      <c r="BL50" s="185">
        <v>0.85041223876108862</v>
      </c>
      <c r="BM50" s="185">
        <v>0.89517077764325115</v>
      </c>
      <c r="BN50" s="374">
        <v>28280.459000000003</v>
      </c>
      <c r="BO50" s="185">
        <v>0.85041223876108862</v>
      </c>
      <c r="BP50" s="185">
        <v>0.89517077764325115</v>
      </c>
      <c r="BQ50" s="374">
        <v>28280.459000000003</v>
      </c>
      <c r="BR50" s="185">
        <f t="shared" si="33"/>
        <v>0.85041223876108862</v>
      </c>
      <c r="BS50" s="185">
        <f t="shared" si="34"/>
        <v>0.89517077764325115</v>
      </c>
      <c r="BT50" s="205">
        <f t="shared" si="35"/>
        <v>25496.863000000001</v>
      </c>
      <c r="BU50" s="205"/>
      <c r="BV50" s="189" t="e">
        <f>#REF!+#REF!+#REF!</f>
        <v>#REF!</v>
      </c>
      <c r="BW50" s="186" t="e">
        <f t="shared" si="36"/>
        <v>#REF!</v>
      </c>
      <c r="BX50" s="189" t="e">
        <f>#REF!+#REF!+#REF!</f>
        <v>#REF!</v>
      </c>
      <c r="BY50" s="186" t="e">
        <f t="shared" si="37"/>
        <v>#REF!</v>
      </c>
      <c r="BZ50" s="189" t="e">
        <f>#REF!+#REF!+#REF!</f>
        <v>#REF!</v>
      </c>
      <c r="CA50" s="186" t="e">
        <f t="shared" si="38"/>
        <v>#REF!</v>
      </c>
      <c r="CB50" s="189" t="e">
        <f>#REF!+#REF!+#REF!</f>
        <v>#REF!</v>
      </c>
      <c r="CC50" s="186" t="e">
        <f t="shared" si="39"/>
        <v>#REF!</v>
      </c>
      <c r="CD50" s="189" t="e">
        <f>#REF!+#REF!+#REF!</f>
        <v>#REF!</v>
      </c>
      <c r="CE50" s="186" t="e">
        <f t="shared" si="40"/>
        <v>#REF!</v>
      </c>
      <c r="CF50" s="189" t="e">
        <f>#REF!+#REF!+#REF!</f>
        <v>#REF!</v>
      </c>
      <c r="CG50" s="186" t="e">
        <f t="shared" si="41"/>
        <v>#REF!</v>
      </c>
      <c r="CH50" s="189" t="e">
        <f>#REF!+#REF!+#REF!</f>
        <v>#REF!</v>
      </c>
      <c r="CI50" s="186" t="e">
        <f t="shared" si="42"/>
        <v>#REF!</v>
      </c>
      <c r="CJ50" s="189" t="e">
        <f>#REF!+#REF!+#REF!</f>
        <v>#REF!</v>
      </c>
      <c r="CK50" s="186" t="e">
        <f t="shared" si="43"/>
        <v>#REF!</v>
      </c>
      <c r="CL50" s="189" t="e">
        <f>#REF!+#REF!+#REF!</f>
        <v>#REF!</v>
      </c>
      <c r="CM50" s="186" t="e">
        <f t="shared" si="44"/>
        <v>#REF!</v>
      </c>
      <c r="CN50" s="189" t="e">
        <f>#REF!+#REF!+#REF!</f>
        <v>#REF!</v>
      </c>
      <c r="CO50" s="186" t="e">
        <f t="shared" si="45"/>
        <v>#REF!</v>
      </c>
      <c r="CP50" s="189" t="e">
        <f>#REF!+#REF!+#REF!</f>
        <v>#REF!</v>
      </c>
      <c r="CQ50" s="186" t="e">
        <f t="shared" si="46"/>
        <v>#REF!</v>
      </c>
      <c r="CR50" s="189" t="e">
        <f>#REF!+#REF!+#REF!</f>
        <v>#REF!</v>
      </c>
      <c r="CS50" s="186" t="e">
        <f t="shared" si="47"/>
        <v>#REF!</v>
      </c>
      <c r="CT50" s="189" t="e">
        <f>#REF!+#REF!+#REF!</f>
        <v>#REF!</v>
      </c>
      <c r="CU50" s="186" t="e">
        <f t="shared" si="48"/>
        <v>#REF!</v>
      </c>
      <c r="CV50" s="416">
        <f t="shared" si="17"/>
        <v>0</v>
      </c>
      <c r="CW50" s="191" t="str">
        <f t="shared" si="31"/>
        <v>Cao hơn</v>
      </c>
      <c r="CX50" s="191" t="str">
        <f t="shared" si="32"/>
        <v>Cao hơn</v>
      </c>
      <c r="CY50" s="213"/>
      <c r="CZ50" s="213"/>
      <c r="DA50" s="231"/>
      <c r="DB50" s="163"/>
      <c r="DD50" s="195"/>
      <c r="DE50" s="196"/>
      <c r="DF50" s="196"/>
      <c r="DG50" s="197"/>
      <c r="DH50" s="196"/>
      <c r="DI50" s="196"/>
      <c r="DJ50" s="196"/>
      <c r="DL50" s="199"/>
      <c r="DM50" s="200"/>
    </row>
    <row r="51" spans="1:117" ht="18" customHeight="1" x14ac:dyDescent="0.25">
      <c r="A51" s="191">
        <v>36</v>
      </c>
      <c r="B51" s="240" t="s">
        <v>500</v>
      </c>
      <c r="C51" s="240"/>
      <c r="D51" s="188">
        <v>3000</v>
      </c>
      <c r="E51" s="188">
        <v>0</v>
      </c>
      <c r="F51" s="188">
        <v>3000</v>
      </c>
      <c r="G51" s="188">
        <v>3000</v>
      </c>
      <c r="H51" s="188">
        <v>0</v>
      </c>
      <c r="I51" s="188">
        <v>0</v>
      </c>
      <c r="J51" s="188"/>
      <c r="K51" s="188">
        <v>0</v>
      </c>
      <c r="L51" s="188">
        <v>0</v>
      </c>
      <c r="M51" s="231"/>
      <c r="N51" s="231"/>
      <c r="O51" s="188">
        <v>3000</v>
      </c>
      <c r="P51" s="188">
        <v>0</v>
      </c>
      <c r="Q51" s="186">
        <v>0</v>
      </c>
      <c r="R51" s="188">
        <v>0</v>
      </c>
      <c r="S51" s="185">
        <v>0</v>
      </c>
      <c r="T51" s="185">
        <v>0</v>
      </c>
      <c r="U51" s="188">
        <v>0</v>
      </c>
      <c r="V51" s="185">
        <v>0</v>
      </c>
      <c r="W51" s="185">
        <v>0</v>
      </c>
      <c r="X51" s="188">
        <v>0</v>
      </c>
      <c r="Y51" s="185">
        <v>0</v>
      </c>
      <c r="Z51" s="185">
        <v>0</v>
      </c>
      <c r="AA51" s="188">
        <v>0</v>
      </c>
      <c r="AB51" s="185">
        <v>0</v>
      </c>
      <c r="AC51" s="185">
        <v>0</v>
      </c>
      <c r="AD51" s="188">
        <v>0</v>
      </c>
      <c r="AE51" s="185">
        <v>0</v>
      </c>
      <c r="AF51" s="185">
        <v>0</v>
      </c>
      <c r="AG51" s="188">
        <v>0</v>
      </c>
      <c r="AH51" s="185">
        <v>0</v>
      </c>
      <c r="AI51" s="185">
        <v>0</v>
      </c>
      <c r="AJ51" s="303">
        <v>0</v>
      </c>
      <c r="AK51" s="185">
        <v>0</v>
      </c>
      <c r="AL51" s="185">
        <v>0</v>
      </c>
      <c r="AM51" s="188">
        <v>0</v>
      </c>
      <c r="AN51" s="185">
        <v>0</v>
      </c>
      <c r="AO51" s="185">
        <v>0</v>
      </c>
      <c r="AP51" s="185"/>
      <c r="AQ51" s="188">
        <v>281.41300000000001</v>
      </c>
      <c r="AR51" s="185">
        <v>9.3804333333333337E-2</v>
      </c>
      <c r="AS51" s="185">
        <v>9.8741403508771933E-2</v>
      </c>
      <c r="AT51" s="188">
        <v>281.41300000000001</v>
      </c>
      <c r="AU51" s="185">
        <v>9.3804333333333337E-2</v>
      </c>
      <c r="AV51" s="185">
        <v>9.8741403508771933E-2</v>
      </c>
      <c r="AW51" s="185"/>
      <c r="AX51" s="185"/>
      <c r="AY51" s="185"/>
      <c r="AZ51" s="185"/>
      <c r="BA51" s="185"/>
      <c r="BB51" s="185"/>
      <c r="BC51" s="188">
        <v>281.41300000000001</v>
      </c>
      <c r="BD51" s="185">
        <v>9.3804333333333337E-2</v>
      </c>
      <c r="BE51" s="185">
        <v>9.8741403508771933E-2</v>
      </c>
      <c r="BF51" s="352"/>
      <c r="BG51" s="352">
        <v>1369</v>
      </c>
      <c r="BH51" s="185">
        <v>0.45633333333333331</v>
      </c>
      <c r="BI51" s="185">
        <v>0.48035087719298247</v>
      </c>
      <c r="BJ51" s="374">
        <v>2850</v>
      </c>
      <c r="BK51" s="374">
        <v>1369</v>
      </c>
      <c r="BL51" s="185">
        <v>0.45633333333333331</v>
      </c>
      <c r="BM51" s="185">
        <v>0.48035087719298247</v>
      </c>
      <c r="BN51" s="374">
        <v>1369</v>
      </c>
      <c r="BO51" s="185">
        <v>0.45633333333333331</v>
      </c>
      <c r="BP51" s="185">
        <v>0.48035087719298247</v>
      </c>
      <c r="BQ51" s="374">
        <v>1369</v>
      </c>
      <c r="BR51" s="185">
        <f t="shared" si="33"/>
        <v>0.45633333333333331</v>
      </c>
      <c r="BS51" s="185">
        <f t="shared" ref="BS51:BS82" si="49">BQ51/(E51+0.95*F51)</f>
        <v>0.48035087719298247</v>
      </c>
      <c r="BT51" s="205">
        <f t="shared" si="35"/>
        <v>1369</v>
      </c>
      <c r="BU51" s="205"/>
      <c r="BV51" s="189" t="e">
        <f>#REF!</f>
        <v>#REF!</v>
      </c>
      <c r="BW51" s="186" t="e">
        <f t="shared" si="36"/>
        <v>#REF!</v>
      </c>
      <c r="BX51" s="189" t="e">
        <f>#REF!</f>
        <v>#REF!</v>
      </c>
      <c r="BY51" s="186" t="e">
        <f t="shared" si="37"/>
        <v>#REF!</v>
      </c>
      <c r="BZ51" s="189" t="e">
        <f>#REF!</f>
        <v>#REF!</v>
      </c>
      <c r="CA51" s="186" t="e">
        <f t="shared" si="38"/>
        <v>#REF!</v>
      </c>
      <c r="CB51" s="189" t="e">
        <f>#REF!</f>
        <v>#REF!</v>
      </c>
      <c r="CC51" s="186" t="e">
        <f t="shared" si="39"/>
        <v>#REF!</v>
      </c>
      <c r="CD51" s="189" t="e">
        <f>#REF!</f>
        <v>#REF!</v>
      </c>
      <c r="CE51" s="186" t="e">
        <f t="shared" si="40"/>
        <v>#REF!</v>
      </c>
      <c r="CF51" s="189" t="e">
        <f>#REF!</f>
        <v>#REF!</v>
      </c>
      <c r="CG51" s="186" t="e">
        <f t="shared" si="41"/>
        <v>#REF!</v>
      </c>
      <c r="CH51" s="189" t="e">
        <f>#REF!</f>
        <v>#REF!</v>
      </c>
      <c r="CI51" s="186" t="e">
        <f t="shared" si="42"/>
        <v>#REF!</v>
      </c>
      <c r="CJ51" s="189" t="e">
        <f>#REF!</f>
        <v>#REF!</v>
      </c>
      <c r="CK51" s="186" t="e">
        <f t="shared" si="43"/>
        <v>#REF!</v>
      </c>
      <c r="CL51" s="189" t="e">
        <f>#REF!</f>
        <v>#REF!</v>
      </c>
      <c r="CM51" s="186" t="e">
        <f t="shared" si="44"/>
        <v>#REF!</v>
      </c>
      <c r="CN51" s="189" t="e">
        <f>#REF!</f>
        <v>#REF!</v>
      </c>
      <c r="CO51" s="186" t="e">
        <f t="shared" si="45"/>
        <v>#REF!</v>
      </c>
      <c r="CP51" s="189" t="e">
        <f>#REF!</f>
        <v>#REF!</v>
      </c>
      <c r="CQ51" s="186" t="e">
        <f t="shared" si="46"/>
        <v>#REF!</v>
      </c>
      <c r="CR51" s="189" t="e">
        <f>#REF!</f>
        <v>#REF!</v>
      </c>
      <c r="CS51" s="186" t="e">
        <f t="shared" si="47"/>
        <v>#REF!</v>
      </c>
      <c r="CT51" s="189" t="e">
        <f>#REF!</f>
        <v>#REF!</v>
      </c>
      <c r="CU51" s="186" t="e">
        <f t="shared" si="48"/>
        <v>#REF!</v>
      </c>
      <c r="CV51" s="416">
        <f t="shared" si="17"/>
        <v>0</v>
      </c>
      <c r="CW51" s="191" t="str">
        <f t="shared" si="31"/>
        <v>Cao hơn</v>
      </c>
      <c r="CX51" s="191" t="str">
        <f t="shared" si="32"/>
        <v>Cao hơn</v>
      </c>
      <c r="CY51" s="213"/>
      <c r="CZ51" s="213"/>
      <c r="DA51" s="231"/>
      <c r="DB51" s="163"/>
      <c r="DD51" s="195"/>
      <c r="DE51" s="196"/>
      <c r="DF51" s="196"/>
      <c r="DG51" s="197"/>
      <c r="DH51" s="196"/>
      <c r="DI51" s="196"/>
      <c r="DJ51" s="196"/>
      <c r="DL51" s="199"/>
      <c r="DM51" s="200"/>
    </row>
    <row r="52" spans="1:117" ht="18" customHeight="1" x14ac:dyDescent="0.25">
      <c r="A52" s="191">
        <v>37</v>
      </c>
      <c r="B52" s="240" t="s">
        <v>501</v>
      </c>
      <c r="C52" s="240"/>
      <c r="D52" s="188">
        <v>3000</v>
      </c>
      <c r="E52" s="188">
        <v>0</v>
      </c>
      <c r="F52" s="188">
        <v>3000</v>
      </c>
      <c r="G52" s="188">
        <v>3000</v>
      </c>
      <c r="H52" s="188">
        <v>0</v>
      </c>
      <c r="I52" s="188">
        <v>0</v>
      </c>
      <c r="J52" s="188"/>
      <c r="K52" s="188">
        <v>0</v>
      </c>
      <c r="L52" s="188">
        <v>0</v>
      </c>
      <c r="M52" s="231"/>
      <c r="N52" s="231"/>
      <c r="O52" s="188">
        <v>3000</v>
      </c>
      <c r="P52" s="188">
        <v>0</v>
      </c>
      <c r="Q52" s="186">
        <v>0</v>
      </c>
      <c r="R52" s="188">
        <v>0</v>
      </c>
      <c r="S52" s="185">
        <v>0</v>
      </c>
      <c r="T52" s="185">
        <v>0</v>
      </c>
      <c r="U52" s="188">
        <v>0</v>
      </c>
      <c r="V52" s="185">
        <v>0</v>
      </c>
      <c r="W52" s="185">
        <v>0</v>
      </c>
      <c r="X52" s="188">
        <v>0</v>
      </c>
      <c r="Y52" s="185">
        <v>0</v>
      </c>
      <c r="Z52" s="185">
        <v>0</v>
      </c>
      <c r="AA52" s="188">
        <v>0</v>
      </c>
      <c r="AB52" s="185">
        <v>0</v>
      </c>
      <c r="AC52" s="185">
        <v>0</v>
      </c>
      <c r="AD52" s="188">
        <v>0</v>
      </c>
      <c r="AE52" s="185">
        <v>0</v>
      </c>
      <c r="AF52" s="185">
        <v>0</v>
      </c>
      <c r="AG52" s="188">
        <v>0</v>
      </c>
      <c r="AH52" s="185">
        <v>0</v>
      </c>
      <c r="AI52" s="185">
        <v>0</v>
      </c>
      <c r="AJ52" s="303">
        <v>0</v>
      </c>
      <c r="AK52" s="185">
        <v>0</v>
      </c>
      <c r="AL52" s="185">
        <v>0</v>
      </c>
      <c r="AM52" s="188">
        <v>0</v>
      </c>
      <c r="AN52" s="185">
        <v>0</v>
      </c>
      <c r="AO52" s="185">
        <v>0</v>
      </c>
      <c r="AP52" s="185"/>
      <c r="AQ52" s="188">
        <v>0</v>
      </c>
      <c r="AR52" s="185">
        <v>0</v>
      </c>
      <c r="AS52" s="185">
        <v>0</v>
      </c>
      <c r="AT52" s="188">
        <v>0</v>
      </c>
      <c r="AU52" s="185">
        <v>0</v>
      </c>
      <c r="AV52" s="185">
        <v>0</v>
      </c>
      <c r="AW52" s="185"/>
      <c r="AX52" s="185"/>
      <c r="AY52" s="185"/>
      <c r="AZ52" s="185"/>
      <c r="BA52" s="185"/>
      <c r="BB52" s="185"/>
      <c r="BC52" s="188">
        <v>0</v>
      </c>
      <c r="BD52" s="185">
        <v>0</v>
      </c>
      <c r="BE52" s="185">
        <v>0</v>
      </c>
      <c r="BF52" s="352"/>
      <c r="BG52" s="352">
        <v>908.36689999999999</v>
      </c>
      <c r="BH52" s="185">
        <v>0.30278896666666666</v>
      </c>
      <c r="BI52" s="185">
        <v>0.31872522807017545</v>
      </c>
      <c r="BJ52" s="374">
        <v>2850</v>
      </c>
      <c r="BK52" s="374">
        <v>1325.541817</v>
      </c>
      <c r="BL52" s="185">
        <v>0.44184727233333332</v>
      </c>
      <c r="BM52" s="185">
        <v>0.46510239192982455</v>
      </c>
      <c r="BN52" s="374">
        <v>1325.541817</v>
      </c>
      <c r="BO52" s="185">
        <v>0.44184727233333332</v>
      </c>
      <c r="BP52" s="185">
        <v>0.46510239192982455</v>
      </c>
      <c r="BQ52" s="374">
        <v>1325.541817</v>
      </c>
      <c r="BR52" s="185">
        <f t="shared" si="33"/>
        <v>0.44184727233333332</v>
      </c>
      <c r="BS52" s="185">
        <f t="shared" si="49"/>
        <v>0.46510239192982455</v>
      </c>
      <c r="BT52" s="205">
        <f t="shared" si="35"/>
        <v>1325.541817</v>
      </c>
      <c r="BU52" s="205"/>
      <c r="BV52" s="189" t="e">
        <f>#REF!</f>
        <v>#REF!</v>
      </c>
      <c r="BW52" s="186" t="e">
        <f t="shared" si="36"/>
        <v>#REF!</v>
      </c>
      <c r="BX52" s="189" t="e">
        <f>#REF!</f>
        <v>#REF!</v>
      </c>
      <c r="BY52" s="186" t="e">
        <f t="shared" si="37"/>
        <v>#REF!</v>
      </c>
      <c r="BZ52" s="189" t="e">
        <f>#REF!</f>
        <v>#REF!</v>
      </c>
      <c r="CA52" s="186" t="e">
        <f t="shared" si="38"/>
        <v>#REF!</v>
      </c>
      <c r="CB52" s="189" t="e">
        <f>#REF!</f>
        <v>#REF!</v>
      </c>
      <c r="CC52" s="186" t="e">
        <f t="shared" si="39"/>
        <v>#REF!</v>
      </c>
      <c r="CD52" s="189" t="e">
        <f>#REF!</f>
        <v>#REF!</v>
      </c>
      <c r="CE52" s="186" t="e">
        <f t="shared" si="40"/>
        <v>#REF!</v>
      </c>
      <c r="CF52" s="189" t="e">
        <f>#REF!</f>
        <v>#REF!</v>
      </c>
      <c r="CG52" s="186" t="e">
        <f t="shared" si="41"/>
        <v>#REF!</v>
      </c>
      <c r="CH52" s="189" t="e">
        <f>#REF!</f>
        <v>#REF!</v>
      </c>
      <c r="CI52" s="186" t="e">
        <f t="shared" si="42"/>
        <v>#REF!</v>
      </c>
      <c r="CJ52" s="189" t="e">
        <f>#REF!</f>
        <v>#REF!</v>
      </c>
      <c r="CK52" s="186" t="e">
        <f t="shared" si="43"/>
        <v>#REF!</v>
      </c>
      <c r="CL52" s="189" t="e">
        <f>#REF!</f>
        <v>#REF!</v>
      </c>
      <c r="CM52" s="186" t="e">
        <f t="shared" si="44"/>
        <v>#REF!</v>
      </c>
      <c r="CN52" s="189" t="e">
        <f>#REF!</f>
        <v>#REF!</v>
      </c>
      <c r="CO52" s="186" t="e">
        <f t="shared" si="45"/>
        <v>#REF!</v>
      </c>
      <c r="CP52" s="189" t="e">
        <f>#REF!</f>
        <v>#REF!</v>
      </c>
      <c r="CQ52" s="186" t="e">
        <f t="shared" si="46"/>
        <v>#REF!</v>
      </c>
      <c r="CR52" s="189" t="e">
        <f>#REF!</f>
        <v>#REF!</v>
      </c>
      <c r="CS52" s="186" t="e">
        <f t="shared" si="47"/>
        <v>#REF!</v>
      </c>
      <c r="CT52" s="189" t="e">
        <f>#REF!</f>
        <v>#REF!</v>
      </c>
      <c r="CU52" s="186" t="e">
        <f t="shared" si="48"/>
        <v>#REF!</v>
      </c>
      <c r="CV52" s="416">
        <f t="shared" si="17"/>
        <v>0</v>
      </c>
      <c r="CW52" s="191" t="str">
        <f t="shared" si="31"/>
        <v>Cao hơn</v>
      </c>
      <c r="CX52" s="191" t="str">
        <f t="shared" si="32"/>
        <v>Cao hơn</v>
      </c>
      <c r="CY52" s="213"/>
      <c r="CZ52" s="213"/>
      <c r="DA52" s="231"/>
      <c r="DB52" s="163"/>
      <c r="DD52" s="195"/>
      <c r="DE52" s="196"/>
      <c r="DF52" s="196"/>
      <c r="DG52" s="197"/>
      <c r="DH52" s="196"/>
      <c r="DI52" s="196"/>
      <c r="DJ52" s="196"/>
      <c r="DL52" s="199"/>
      <c r="DM52" s="200"/>
    </row>
    <row r="53" spans="1:117" ht="18" customHeight="1" x14ac:dyDescent="0.25">
      <c r="A53" s="191">
        <v>38</v>
      </c>
      <c r="B53" s="240" t="s">
        <v>502</v>
      </c>
      <c r="C53" s="240"/>
      <c r="D53" s="188">
        <v>60870</v>
      </c>
      <c r="E53" s="188">
        <v>57700</v>
      </c>
      <c r="F53" s="188">
        <v>3170</v>
      </c>
      <c r="G53" s="188">
        <v>3000</v>
      </c>
      <c r="H53" s="188">
        <v>170</v>
      </c>
      <c r="I53" s="188">
        <v>0</v>
      </c>
      <c r="J53" s="188"/>
      <c r="K53" s="188">
        <v>0</v>
      </c>
      <c r="L53" s="188">
        <v>0</v>
      </c>
      <c r="M53" s="188">
        <v>0</v>
      </c>
      <c r="N53" s="188">
        <v>0</v>
      </c>
      <c r="O53" s="188">
        <v>3000</v>
      </c>
      <c r="P53" s="188">
        <v>14122</v>
      </c>
      <c r="Q53" s="186">
        <v>0.11683627037312816</v>
      </c>
      <c r="R53" s="189">
        <v>15608.609871999999</v>
      </c>
      <c r="S53" s="185">
        <v>0.1291355164391495</v>
      </c>
      <c r="T53" s="185">
        <v>0.12930507757752988</v>
      </c>
      <c r="U53" s="189">
        <v>15608.609871999999</v>
      </c>
      <c r="V53" s="185">
        <v>0.1291355164391495</v>
      </c>
      <c r="W53" s="185">
        <v>0.12930507757752988</v>
      </c>
      <c r="X53" s="189">
        <v>15718.071671999998</v>
      </c>
      <c r="Y53" s="185">
        <v>0.13004113239017123</v>
      </c>
      <c r="Z53" s="185">
        <v>0.13021188264581252</v>
      </c>
      <c r="AA53" s="189">
        <v>15718.071671999998</v>
      </c>
      <c r="AB53" s="185">
        <v>0.13004113239017123</v>
      </c>
      <c r="AC53" s="185">
        <v>0.13021188264581252</v>
      </c>
      <c r="AD53" s="189">
        <v>15718.071671999998</v>
      </c>
      <c r="AE53" s="185">
        <v>0.13004113239017123</v>
      </c>
      <c r="AF53" s="185">
        <v>0.13021188264581252</v>
      </c>
      <c r="AG53" s="189">
        <v>15718.071671999998</v>
      </c>
      <c r="AH53" s="185">
        <v>0.13004113239017123</v>
      </c>
      <c r="AI53" s="185">
        <v>0.13021188264581252</v>
      </c>
      <c r="AJ53" s="189">
        <v>15718.071671999998</v>
      </c>
      <c r="AK53" s="185">
        <v>0.13004113239017123</v>
      </c>
      <c r="AL53" s="185">
        <v>0.13021188264581252</v>
      </c>
      <c r="AM53" s="189">
        <v>15718.071671999998</v>
      </c>
      <c r="AN53" s="185">
        <v>0.13004113239017123</v>
      </c>
      <c r="AO53" s="185">
        <v>0.13021188264581252</v>
      </c>
      <c r="AP53" s="185"/>
      <c r="AQ53" s="189">
        <v>16888.754000000001</v>
      </c>
      <c r="AR53" s="185">
        <v>0.1397265988251841</v>
      </c>
      <c r="AS53" s="185">
        <v>0.13991006656366628</v>
      </c>
      <c r="AT53" s="189">
        <v>16888.754000000001</v>
      </c>
      <c r="AU53" s="185">
        <v>0.1397265988251841</v>
      </c>
      <c r="AV53" s="185">
        <v>0.13991006656366628</v>
      </c>
      <c r="AW53" s="185"/>
      <c r="AX53" s="185"/>
      <c r="AY53" s="185"/>
      <c r="AZ53" s="185"/>
      <c r="BA53" s="185"/>
      <c r="BB53" s="185"/>
      <c r="BC53" s="189">
        <v>16888.754000000001</v>
      </c>
      <c r="BD53" s="185">
        <v>0.1397265988251841</v>
      </c>
      <c r="BE53" s="185">
        <v>0.13991006656366628</v>
      </c>
      <c r="BF53" s="352"/>
      <c r="BG53" s="352">
        <v>28644.607699</v>
      </c>
      <c r="BH53" s="185">
        <v>0.23698690906759329</v>
      </c>
      <c r="BI53" s="185">
        <v>0.23729808426703339</v>
      </c>
      <c r="BJ53" s="374">
        <v>120711.5</v>
      </c>
      <c r="BK53" s="374">
        <v>29120.607699</v>
      </c>
      <c r="BL53" s="185">
        <v>0.24092502439811367</v>
      </c>
      <c r="BM53" s="185">
        <v>0.24124137053221939</v>
      </c>
      <c r="BN53" s="374">
        <v>29120.607699</v>
      </c>
      <c r="BO53" s="185">
        <v>0.24092502439811367</v>
      </c>
      <c r="BP53" s="185">
        <v>0.24124137053221939</v>
      </c>
      <c r="BQ53" s="374">
        <v>29120.607699</v>
      </c>
      <c r="BR53" s="185">
        <f t="shared" si="33"/>
        <v>0.47840656643666829</v>
      </c>
      <c r="BS53" s="185">
        <f t="shared" si="49"/>
        <v>0.4796555462968301</v>
      </c>
      <c r="BT53" s="205">
        <f t="shared" si="35"/>
        <v>13402.536027000002</v>
      </c>
      <c r="BU53" s="205"/>
      <c r="BV53" s="189" t="e">
        <f>#REF!+#REF!</f>
        <v>#REF!</v>
      </c>
      <c r="BW53" s="186" t="e">
        <f t="shared" si="36"/>
        <v>#REF!</v>
      </c>
      <c r="BX53" s="189" t="e">
        <f>#REF!+#REF!</f>
        <v>#REF!</v>
      </c>
      <c r="BY53" s="186" t="e">
        <f t="shared" si="37"/>
        <v>#REF!</v>
      </c>
      <c r="BZ53" s="189" t="e">
        <f>#REF!+#REF!</f>
        <v>#REF!</v>
      </c>
      <c r="CA53" s="186" t="e">
        <f t="shared" si="38"/>
        <v>#REF!</v>
      </c>
      <c r="CB53" s="189" t="e">
        <f>#REF!+#REF!</f>
        <v>#REF!</v>
      </c>
      <c r="CC53" s="186" t="e">
        <f t="shared" si="39"/>
        <v>#REF!</v>
      </c>
      <c r="CD53" s="189" t="e">
        <f>#REF!+#REF!</f>
        <v>#REF!</v>
      </c>
      <c r="CE53" s="186" t="e">
        <f t="shared" si="40"/>
        <v>#REF!</v>
      </c>
      <c r="CF53" s="189" t="e">
        <f>#REF!+#REF!</f>
        <v>#REF!</v>
      </c>
      <c r="CG53" s="186" t="e">
        <f t="shared" si="41"/>
        <v>#REF!</v>
      </c>
      <c r="CH53" s="189" t="e">
        <f>#REF!+#REF!</f>
        <v>#REF!</v>
      </c>
      <c r="CI53" s="186" t="e">
        <f t="shared" si="42"/>
        <v>#REF!</v>
      </c>
      <c r="CJ53" s="189" t="e">
        <f>#REF!+#REF!</f>
        <v>#REF!</v>
      </c>
      <c r="CK53" s="186" t="e">
        <f t="shared" si="43"/>
        <v>#REF!</v>
      </c>
      <c r="CL53" s="189" t="e">
        <f>#REF!+#REF!</f>
        <v>#REF!</v>
      </c>
      <c r="CM53" s="186" t="e">
        <f t="shared" si="44"/>
        <v>#REF!</v>
      </c>
      <c r="CN53" s="189" t="e">
        <f>#REF!+#REF!</f>
        <v>#REF!</v>
      </c>
      <c r="CO53" s="186" t="e">
        <f t="shared" si="45"/>
        <v>#REF!</v>
      </c>
      <c r="CP53" s="189" t="e">
        <f>#REF!+#REF!</f>
        <v>#REF!</v>
      </c>
      <c r="CQ53" s="186" t="e">
        <f t="shared" si="46"/>
        <v>#REF!</v>
      </c>
      <c r="CR53" s="189" t="e">
        <f>#REF!+#REF!</f>
        <v>#REF!</v>
      </c>
      <c r="CS53" s="186" t="e">
        <f t="shared" si="47"/>
        <v>#REF!</v>
      </c>
      <c r="CT53" s="189" t="e">
        <f>#REF!+#REF!</f>
        <v>#REF!</v>
      </c>
      <c r="CU53" s="186" t="e">
        <f t="shared" si="48"/>
        <v>#REF!</v>
      </c>
      <c r="CV53" s="416">
        <f t="shared" si="17"/>
        <v>0</v>
      </c>
      <c r="CW53" s="191" t="str">
        <f t="shared" si="31"/>
        <v>Cao hơn</v>
      </c>
      <c r="CX53" s="191" t="str">
        <f t="shared" si="32"/>
        <v>Cao hơn</v>
      </c>
      <c r="CY53" s="213"/>
      <c r="CZ53" s="213"/>
      <c r="DA53" s="231"/>
      <c r="DB53" s="163"/>
      <c r="DD53" s="195"/>
      <c r="DE53" s="196"/>
      <c r="DF53" s="196"/>
      <c r="DG53" s="197"/>
      <c r="DH53" s="196"/>
      <c r="DI53" s="196"/>
      <c r="DJ53" s="196"/>
      <c r="DL53" s="199"/>
      <c r="DM53" s="200"/>
    </row>
    <row r="54" spans="1:117" ht="18" customHeight="1" x14ac:dyDescent="0.25">
      <c r="A54" s="191">
        <v>39</v>
      </c>
      <c r="B54" s="240" t="s">
        <v>504</v>
      </c>
      <c r="C54" s="240"/>
      <c r="D54" s="188">
        <v>3000</v>
      </c>
      <c r="E54" s="188">
        <v>0</v>
      </c>
      <c r="F54" s="188">
        <v>3000</v>
      </c>
      <c r="G54" s="188">
        <v>3000</v>
      </c>
      <c r="H54" s="188">
        <v>0</v>
      </c>
      <c r="I54" s="188">
        <v>0</v>
      </c>
      <c r="J54" s="188"/>
      <c r="K54" s="188">
        <v>0</v>
      </c>
      <c r="L54" s="188">
        <v>0</v>
      </c>
      <c r="M54" s="231"/>
      <c r="N54" s="231"/>
      <c r="O54" s="188">
        <v>3000</v>
      </c>
      <c r="P54" s="188">
        <v>0</v>
      </c>
      <c r="Q54" s="186">
        <v>0</v>
      </c>
      <c r="R54" s="188">
        <v>0</v>
      </c>
      <c r="S54" s="185">
        <v>0</v>
      </c>
      <c r="T54" s="185">
        <v>0</v>
      </c>
      <c r="U54" s="188">
        <v>0</v>
      </c>
      <c r="V54" s="185">
        <v>0</v>
      </c>
      <c r="W54" s="185">
        <v>0</v>
      </c>
      <c r="X54" s="188">
        <v>0</v>
      </c>
      <c r="Y54" s="185">
        <v>0</v>
      </c>
      <c r="Z54" s="185">
        <v>0</v>
      </c>
      <c r="AA54" s="188">
        <v>0</v>
      </c>
      <c r="AB54" s="185">
        <v>0</v>
      </c>
      <c r="AC54" s="185">
        <v>0</v>
      </c>
      <c r="AD54" s="188">
        <v>0</v>
      </c>
      <c r="AE54" s="185">
        <v>0</v>
      </c>
      <c r="AF54" s="185">
        <v>0</v>
      </c>
      <c r="AG54" s="188">
        <v>0</v>
      </c>
      <c r="AH54" s="185">
        <v>0</v>
      </c>
      <c r="AI54" s="185">
        <v>0</v>
      </c>
      <c r="AJ54" s="303">
        <v>0</v>
      </c>
      <c r="AK54" s="185">
        <v>0</v>
      </c>
      <c r="AL54" s="185">
        <v>0</v>
      </c>
      <c r="AM54" s="188">
        <v>0</v>
      </c>
      <c r="AN54" s="185">
        <v>0</v>
      </c>
      <c r="AO54" s="185">
        <v>0</v>
      </c>
      <c r="AP54" s="185"/>
      <c r="AQ54" s="188">
        <v>181.1216</v>
      </c>
      <c r="AR54" s="185">
        <v>6.0373866666666665E-2</v>
      </c>
      <c r="AS54" s="185">
        <v>6.3551438596491233E-2</v>
      </c>
      <c r="AT54" s="188">
        <v>181.1216</v>
      </c>
      <c r="AU54" s="185">
        <v>6.0373866666666665E-2</v>
      </c>
      <c r="AV54" s="185">
        <v>6.3551438596491233E-2</v>
      </c>
      <c r="AW54" s="185"/>
      <c r="AX54" s="185"/>
      <c r="AY54" s="185"/>
      <c r="AZ54" s="185"/>
      <c r="BA54" s="185"/>
      <c r="BB54" s="185"/>
      <c r="BC54" s="188">
        <v>181.1216</v>
      </c>
      <c r="BD54" s="185">
        <v>6.0373866666666665E-2</v>
      </c>
      <c r="BE54" s="185">
        <v>6.3551438596491233E-2</v>
      </c>
      <c r="BF54" s="352"/>
      <c r="BG54" s="352">
        <v>953.25559999999996</v>
      </c>
      <c r="BH54" s="185">
        <v>0.31775186666666666</v>
      </c>
      <c r="BI54" s="185">
        <v>0.33447564912280703</v>
      </c>
      <c r="BJ54" s="374">
        <v>2850</v>
      </c>
      <c r="BK54" s="374">
        <v>963.98059999999998</v>
      </c>
      <c r="BL54" s="185">
        <v>0.32132686666666666</v>
      </c>
      <c r="BM54" s="185">
        <v>0.33823880701754383</v>
      </c>
      <c r="BN54" s="374">
        <v>963.98059999999998</v>
      </c>
      <c r="BO54" s="185">
        <v>0.32132686666666666</v>
      </c>
      <c r="BP54" s="185">
        <v>0.33823880701754383</v>
      </c>
      <c r="BQ54" s="374">
        <v>2130.1156000000001</v>
      </c>
      <c r="BR54" s="185">
        <f t="shared" si="33"/>
        <v>0.71003853333333333</v>
      </c>
      <c r="BS54" s="185">
        <f t="shared" si="49"/>
        <v>0.7474089824561404</v>
      </c>
      <c r="BT54" s="205">
        <f t="shared" si="35"/>
        <v>2130.1156000000001</v>
      </c>
      <c r="BU54" s="205"/>
      <c r="BV54" s="189" t="e">
        <f>#REF!</f>
        <v>#REF!</v>
      </c>
      <c r="BW54" s="186" t="e">
        <f t="shared" si="36"/>
        <v>#REF!</v>
      </c>
      <c r="BX54" s="189" t="e">
        <f>#REF!</f>
        <v>#REF!</v>
      </c>
      <c r="BY54" s="186" t="e">
        <f t="shared" si="37"/>
        <v>#REF!</v>
      </c>
      <c r="BZ54" s="189" t="e">
        <f>#REF!</f>
        <v>#REF!</v>
      </c>
      <c r="CA54" s="186" t="e">
        <f t="shared" si="38"/>
        <v>#REF!</v>
      </c>
      <c r="CB54" s="189" t="e">
        <f>#REF!</f>
        <v>#REF!</v>
      </c>
      <c r="CC54" s="186" t="e">
        <f t="shared" si="39"/>
        <v>#REF!</v>
      </c>
      <c r="CD54" s="189" t="e">
        <f>#REF!</f>
        <v>#REF!</v>
      </c>
      <c r="CE54" s="186" t="e">
        <f t="shared" si="40"/>
        <v>#REF!</v>
      </c>
      <c r="CF54" s="189" t="e">
        <f>#REF!</f>
        <v>#REF!</v>
      </c>
      <c r="CG54" s="186" t="e">
        <f t="shared" si="41"/>
        <v>#REF!</v>
      </c>
      <c r="CH54" s="189" t="e">
        <f>#REF!</f>
        <v>#REF!</v>
      </c>
      <c r="CI54" s="186" t="e">
        <f t="shared" si="42"/>
        <v>#REF!</v>
      </c>
      <c r="CJ54" s="189" t="e">
        <f>#REF!</f>
        <v>#REF!</v>
      </c>
      <c r="CK54" s="186" t="e">
        <f t="shared" si="43"/>
        <v>#REF!</v>
      </c>
      <c r="CL54" s="189" t="e">
        <f>#REF!</f>
        <v>#REF!</v>
      </c>
      <c r="CM54" s="186" t="e">
        <f t="shared" si="44"/>
        <v>#REF!</v>
      </c>
      <c r="CN54" s="189" t="e">
        <f>#REF!</f>
        <v>#REF!</v>
      </c>
      <c r="CO54" s="186" t="e">
        <f t="shared" si="45"/>
        <v>#REF!</v>
      </c>
      <c r="CP54" s="189" t="e">
        <f>#REF!</f>
        <v>#REF!</v>
      </c>
      <c r="CQ54" s="186" t="e">
        <f t="shared" si="46"/>
        <v>#REF!</v>
      </c>
      <c r="CR54" s="189" t="e">
        <f>#REF!</f>
        <v>#REF!</v>
      </c>
      <c r="CS54" s="186" t="e">
        <f t="shared" si="47"/>
        <v>#REF!</v>
      </c>
      <c r="CT54" s="189" t="e">
        <f>#REF!</f>
        <v>#REF!</v>
      </c>
      <c r="CU54" s="186" t="e">
        <f t="shared" si="48"/>
        <v>#REF!</v>
      </c>
      <c r="CV54" s="416">
        <f t="shared" si="17"/>
        <v>1166.1350000000002</v>
      </c>
      <c r="CW54" s="191" t="str">
        <f t="shared" si="31"/>
        <v>Cao hơn</v>
      </c>
      <c r="CX54" s="191" t="str">
        <f t="shared" si="32"/>
        <v>Cao hơn</v>
      </c>
      <c r="CY54" s="213"/>
      <c r="CZ54" s="213"/>
      <c r="DA54" s="231"/>
      <c r="DB54" s="163"/>
      <c r="DD54" s="195"/>
      <c r="DE54" s="196"/>
      <c r="DF54" s="196"/>
      <c r="DG54" s="197"/>
      <c r="DH54" s="196"/>
      <c r="DI54" s="196"/>
      <c r="DJ54" s="196"/>
      <c r="DL54" s="199"/>
      <c r="DM54" s="200"/>
    </row>
    <row r="55" spans="1:117" ht="18" customHeight="1" x14ac:dyDescent="0.25">
      <c r="A55" s="191">
        <v>40</v>
      </c>
      <c r="B55" s="240" t="s">
        <v>505</v>
      </c>
      <c r="C55" s="240"/>
      <c r="D55" s="188">
        <v>15750</v>
      </c>
      <c r="E55" s="188">
        <v>0</v>
      </c>
      <c r="F55" s="188">
        <v>15750</v>
      </c>
      <c r="G55" s="188">
        <v>3000</v>
      </c>
      <c r="H55" s="188">
        <v>12750</v>
      </c>
      <c r="I55" s="188">
        <v>0</v>
      </c>
      <c r="J55" s="188"/>
      <c r="K55" s="188">
        <v>0</v>
      </c>
      <c r="L55" s="188">
        <v>0</v>
      </c>
      <c r="M55" s="188">
        <v>0</v>
      </c>
      <c r="N55" s="188">
        <v>0</v>
      </c>
      <c r="O55" s="188">
        <v>3000</v>
      </c>
      <c r="P55" s="188">
        <v>0</v>
      </c>
      <c r="Q55" s="186">
        <v>0</v>
      </c>
      <c r="R55" s="188">
        <v>0</v>
      </c>
      <c r="S55" s="185">
        <v>0</v>
      </c>
      <c r="T55" s="185">
        <v>0</v>
      </c>
      <c r="U55" s="188">
        <v>0</v>
      </c>
      <c r="V55" s="185">
        <v>0</v>
      </c>
      <c r="W55" s="185">
        <v>0</v>
      </c>
      <c r="X55" s="188">
        <v>0</v>
      </c>
      <c r="Y55" s="185">
        <v>0</v>
      </c>
      <c r="Z55" s="185">
        <v>0</v>
      </c>
      <c r="AA55" s="188">
        <v>0</v>
      </c>
      <c r="AB55" s="185">
        <v>0</v>
      </c>
      <c r="AC55" s="185">
        <v>0</v>
      </c>
      <c r="AD55" s="188">
        <v>0</v>
      </c>
      <c r="AE55" s="185">
        <v>0</v>
      </c>
      <c r="AF55" s="185">
        <v>0</v>
      </c>
      <c r="AG55" s="188">
        <v>0</v>
      </c>
      <c r="AH55" s="185">
        <v>0</v>
      </c>
      <c r="AI55" s="185">
        <v>0</v>
      </c>
      <c r="AJ55" s="303">
        <v>0</v>
      </c>
      <c r="AK55" s="185">
        <v>0</v>
      </c>
      <c r="AL55" s="185">
        <v>0</v>
      </c>
      <c r="AM55" s="188">
        <v>0</v>
      </c>
      <c r="AN55" s="185">
        <v>0</v>
      </c>
      <c r="AO55" s="185">
        <v>0</v>
      </c>
      <c r="AP55" s="185"/>
      <c r="AQ55" s="188">
        <v>3028.9780000000001</v>
      </c>
      <c r="AR55" s="185">
        <v>0.19231606349206348</v>
      </c>
      <c r="AS55" s="185">
        <v>0.20243796157059316</v>
      </c>
      <c r="AT55" s="188">
        <v>3028.9780000000001</v>
      </c>
      <c r="AU55" s="185">
        <v>0.19231606349206348</v>
      </c>
      <c r="AV55" s="185">
        <v>0.20243796157059316</v>
      </c>
      <c r="AW55" s="185"/>
      <c r="AX55" s="185"/>
      <c r="AY55" s="185"/>
      <c r="AZ55" s="185"/>
      <c r="BA55" s="185"/>
      <c r="BB55" s="185"/>
      <c r="BC55" s="188">
        <v>3028.9780000000001</v>
      </c>
      <c r="BD55" s="185">
        <v>0.19231606349206348</v>
      </c>
      <c r="BE55" s="185">
        <v>0.20243796157059316</v>
      </c>
      <c r="BF55" s="352"/>
      <c r="BG55" s="352">
        <v>4081.3980000000001</v>
      </c>
      <c r="BH55" s="185">
        <v>0.25913638095238095</v>
      </c>
      <c r="BI55" s="185">
        <v>0.27277513784461155</v>
      </c>
      <c r="BJ55" s="374">
        <v>14962.5</v>
      </c>
      <c r="BK55" s="374">
        <v>7355.6360000000004</v>
      </c>
      <c r="BL55" s="185">
        <v>0.46702450793650796</v>
      </c>
      <c r="BM55" s="185">
        <v>0.49160474519632419</v>
      </c>
      <c r="BN55" s="374">
        <v>7355.6360000000004</v>
      </c>
      <c r="BO55" s="185">
        <v>0.46702450793650796</v>
      </c>
      <c r="BP55" s="185">
        <v>0.49160474519632419</v>
      </c>
      <c r="BQ55" s="374">
        <v>7355.6360000000004</v>
      </c>
      <c r="BR55" s="185">
        <f t="shared" si="33"/>
        <v>0.46702450793650796</v>
      </c>
      <c r="BS55" s="185">
        <f t="shared" si="49"/>
        <v>0.49160474519632419</v>
      </c>
      <c r="BT55" s="205">
        <f t="shared" si="35"/>
        <v>7355.6360000000004</v>
      </c>
      <c r="BU55" s="205"/>
      <c r="BV55" s="189" t="e">
        <f>#REF!+#REF!</f>
        <v>#REF!</v>
      </c>
      <c r="BW55" s="186" t="e">
        <f t="shared" si="36"/>
        <v>#REF!</v>
      </c>
      <c r="BX55" s="189" t="e">
        <f>#REF!+#REF!</f>
        <v>#REF!</v>
      </c>
      <c r="BY55" s="186" t="e">
        <f t="shared" si="37"/>
        <v>#REF!</v>
      </c>
      <c r="BZ55" s="189" t="e">
        <f>#REF!+#REF!</f>
        <v>#REF!</v>
      </c>
      <c r="CA55" s="186" t="e">
        <f t="shared" si="38"/>
        <v>#REF!</v>
      </c>
      <c r="CB55" s="189" t="e">
        <f>#REF!+#REF!</f>
        <v>#REF!</v>
      </c>
      <c r="CC55" s="186" t="e">
        <f t="shared" si="39"/>
        <v>#REF!</v>
      </c>
      <c r="CD55" s="189" t="e">
        <f>#REF!+#REF!</f>
        <v>#REF!</v>
      </c>
      <c r="CE55" s="186" t="e">
        <f t="shared" si="40"/>
        <v>#REF!</v>
      </c>
      <c r="CF55" s="189" t="e">
        <f>#REF!+#REF!</f>
        <v>#REF!</v>
      </c>
      <c r="CG55" s="186" t="e">
        <f t="shared" si="41"/>
        <v>#REF!</v>
      </c>
      <c r="CH55" s="189" t="e">
        <f>#REF!+#REF!</f>
        <v>#REF!</v>
      </c>
      <c r="CI55" s="186" t="e">
        <f t="shared" si="42"/>
        <v>#REF!</v>
      </c>
      <c r="CJ55" s="189" t="e">
        <f>#REF!+#REF!</f>
        <v>#REF!</v>
      </c>
      <c r="CK55" s="186" t="e">
        <f t="shared" si="43"/>
        <v>#REF!</v>
      </c>
      <c r="CL55" s="189" t="e">
        <f>#REF!+#REF!</f>
        <v>#REF!</v>
      </c>
      <c r="CM55" s="186" t="e">
        <f t="shared" si="44"/>
        <v>#REF!</v>
      </c>
      <c r="CN55" s="189" t="e">
        <f>#REF!+#REF!</f>
        <v>#REF!</v>
      </c>
      <c r="CO55" s="186" t="e">
        <f t="shared" si="45"/>
        <v>#REF!</v>
      </c>
      <c r="CP55" s="189" t="e">
        <f>#REF!+#REF!</f>
        <v>#REF!</v>
      </c>
      <c r="CQ55" s="186" t="e">
        <f t="shared" si="46"/>
        <v>#REF!</v>
      </c>
      <c r="CR55" s="189" t="e">
        <f>#REF!+#REF!</f>
        <v>#REF!</v>
      </c>
      <c r="CS55" s="186" t="e">
        <f t="shared" si="47"/>
        <v>#REF!</v>
      </c>
      <c r="CT55" s="189" t="e">
        <f>#REF!+#REF!</f>
        <v>#REF!</v>
      </c>
      <c r="CU55" s="186" t="e">
        <f t="shared" si="48"/>
        <v>#REF!</v>
      </c>
      <c r="CV55" s="416">
        <f t="shared" si="17"/>
        <v>0</v>
      </c>
      <c r="CW55" s="191" t="str">
        <f t="shared" si="31"/>
        <v>Cao hơn</v>
      </c>
      <c r="CX55" s="191" t="str">
        <f t="shared" si="32"/>
        <v>Cao hơn</v>
      </c>
      <c r="CY55" s="213"/>
      <c r="CZ55" s="213"/>
      <c r="DA55" s="231"/>
      <c r="DB55" s="163"/>
      <c r="DD55" s="195"/>
      <c r="DE55" s="196"/>
      <c r="DF55" s="196"/>
      <c r="DG55" s="197"/>
      <c r="DH55" s="196"/>
      <c r="DI55" s="196"/>
      <c r="DJ55" s="196"/>
      <c r="DL55" s="199"/>
      <c r="DM55" s="200"/>
    </row>
    <row r="56" spans="1:117" ht="18" customHeight="1" x14ac:dyDescent="0.25">
      <c r="A56" s="191">
        <v>41</v>
      </c>
      <c r="B56" s="240" t="s">
        <v>506</v>
      </c>
      <c r="C56" s="240"/>
      <c r="D56" s="188">
        <v>3425</v>
      </c>
      <c r="E56" s="188">
        <v>0</v>
      </c>
      <c r="F56" s="188">
        <v>3425</v>
      </c>
      <c r="G56" s="188">
        <v>3000</v>
      </c>
      <c r="H56" s="188">
        <v>425</v>
      </c>
      <c r="I56" s="188">
        <v>0</v>
      </c>
      <c r="J56" s="188"/>
      <c r="K56" s="188">
        <v>0</v>
      </c>
      <c r="L56" s="188">
        <v>0</v>
      </c>
      <c r="M56" s="188">
        <v>0</v>
      </c>
      <c r="N56" s="188">
        <v>0</v>
      </c>
      <c r="O56" s="188">
        <v>3000</v>
      </c>
      <c r="P56" s="188">
        <v>0</v>
      </c>
      <c r="Q56" s="186">
        <v>0</v>
      </c>
      <c r="R56" s="189">
        <v>160.94300000000001</v>
      </c>
      <c r="S56" s="185">
        <v>4.6990656934306575E-2</v>
      </c>
      <c r="T56" s="185">
        <v>4.9463849404533237E-2</v>
      </c>
      <c r="U56" s="189">
        <v>1153.056</v>
      </c>
      <c r="V56" s="185">
        <v>0.33665868613138689</v>
      </c>
      <c r="W56" s="185">
        <v>0.35437756434882828</v>
      </c>
      <c r="X56" s="189">
        <v>1153.056</v>
      </c>
      <c r="Y56" s="185">
        <v>0.33665868613138689</v>
      </c>
      <c r="Z56" s="185">
        <v>0.35437756434882828</v>
      </c>
      <c r="AA56" s="189">
        <v>1153.056</v>
      </c>
      <c r="AB56" s="185">
        <v>0.33665868613138689</v>
      </c>
      <c r="AC56" s="185">
        <v>0.35437756434882828</v>
      </c>
      <c r="AD56" s="189">
        <v>1153.056</v>
      </c>
      <c r="AE56" s="185">
        <v>0.33665868613138689</v>
      </c>
      <c r="AF56" s="185">
        <v>0.35437756434882828</v>
      </c>
      <c r="AG56" s="189">
        <v>1153.056</v>
      </c>
      <c r="AH56" s="185">
        <v>0.33665868613138689</v>
      </c>
      <c r="AI56" s="185">
        <v>0.35437756434882828</v>
      </c>
      <c r="AJ56" s="303">
        <v>1153.056</v>
      </c>
      <c r="AK56" s="185">
        <v>0.33665868613138689</v>
      </c>
      <c r="AL56" s="185">
        <v>0.35437756434882828</v>
      </c>
      <c r="AM56" s="189">
        <v>1153.056</v>
      </c>
      <c r="AN56" s="185">
        <v>0.33665868613138689</v>
      </c>
      <c r="AO56" s="185">
        <v>0.35437756434882828</v>
      </c>
      <c r="AP56" s="185"/>
      <c r="AQ56" s="189">
        <v>1327.8910000000001</v>
      </c>
      <c r="AR56" s="185">
        <v>0.38770540145985405</v>
      </c>
      <c r="AS56" s="185">
        <v>0.40811094890510952</v>
      </c>
      <c r="AT56" s="189">
        <v>1327.8910000000001</v>
      </c>
      <c r="AU56" s="185">
        <v>0.38770540145985405</v>
      </c>
      <c r="AV56" s="185">
        <v>0.40811094890510952</v>
      </c>
      <c r="AW56" s="185"/>
      <c r="AX56" s="185"/>
      <c r="AY56" s="185"/>
      <c r="AZ56" s="185"/>
      <c r="BA56" s="185"/>
      <c r="BB56" s="185"/>
      <c r="BC56" s="189">
        <v>1327.8910000000001</v>
      </c>
      <c r="BD56" s="185">
        <v>0.38770540145985405</v>
      </c>
      <c r="BE56" s="185">
        <v>0.40811094890510952</v>
      </c>
      <c r="BF56" s="352"/>
      <c r="BG56" s="352">
        <v>2116.9480000000003</v>
      </c>
      <c r="BH56" s="185">
        <v>0.61808700729927013</v>
      </c>
      <c r="BI56" s="185">
        <v>0.65061790242028439</v>
      </c>
      <c r="BJ56" s="374">
        <v>3253.75</v>
      </c>
      <c r="BK56" s="374">
        <v>2116.9480000000003</v>
      </c>
      <c r="BL56" s="185">
        <v>0.61808700729927013</v>
      </c>
      <c r="BM56" s="185">
        <v>0.65061790242028439</v>
      </c>
      <c r="BN56" s="374">
        <v>2116.9480000000003</v>
      </c>
      <c r="BO56" s="185">
        <v>0.61808700729927013</v>
      </c>
      <c r="BP56" s="185">
        <v>0.65061790242028439</v>
      </c>
      <c r="BQ56" s="374">
        <v>2116.9480000000003</v>
      </c>
      <c r="BR56" s="185">
        <f t="shared" si="33"/>
        <v>0.61808700729927013</v>
      </c>
      <c r="BS56" s="185">
        <f t="shared" si="49"/>
        <v>0.65061790242028439</v>
      </c>
      <c r="BT56" s="205">
        <f t="shared" ref="BT56:BT87" si="50">BQ56-AD56</f>
        <v>963.89200000000028</v>
      </c>
      <c r="BU56" s="205"/>
      <c r="BV56" s="189" t="e">
        <f>#REF!+#REF!</f>
        <v>#REF!</v>
      </c>
      <c r="BW56" s="186" t="e">
        <f t="shared" si="36"/>
        <v>#REF!</v>
      </c>
      <c r="BX56" s="189" t="e">
        <f>#REF!+#REF!</f>
        <v>#REF!</v>
      </c>
      <c r="BY56" s="186" t="e">
        <f t="shared" si="37"/>
        <v>#REF!</v>
      </c>
      <c r="BZ56" s="189" t="e">
        <f>#REF!+#REF!</f>
        <v>#REF!</v>
      </c>
      <c r="CA56" s="186" t="e">
        <f t="shared" si="38"/>
        <v>#REF!</v>
      </c>
      <c r="CB56" s="189" t="e">
        <f>#REF!+#REF!</f>
        <v>#REF!</v>
      </c>
      <c r="CC56" s="186" t="e">
        <f t="shared" si="39"/>
        <v>#REF!</v>
      </c>
      <c r="CD56" s="189" t="e">
        <f>#REF!+#REF!</f>
        <v>#REF!</v>
      </c>
      <c r="CE56" s="186" t="e">
        <f t="shared" si="40"/>
        <v>#REF!</v>
      </c>
      <c r="CF56" s="189" t="e">
        <f>#REF!+#REF!</f>
        <v>#REF!</v>
      </c>
      <c r="CG56" s="186" t="e">
        <f t="shared" si="41"/>
        <v>#REF!</v>
      </c>
      <c r="CH56" s="189" t="e">
        <f>#REF!+#REF!</f>
        <v>#REF!</v>
      </c>
      <c r="CI56" s="186" t="e">
        <f t="shared" si="42"/>
        <v>#REF!</v>
      </c>
      <c r="CJ56" s="189" t="e">
        <f>#REF!+#REF!</f>
        <v>#REF!</v>
      </c>
      <c r="CK56" s="186" t="e">
        <f t="shared" si="43"/>
        <v>#REF!</v>
      </c>
      <c r="CL56" s="189" t="e">
        <f>#REF!+#REF!</f>
        <v>#REF!</v>
      </c>
      <c r="CM56" s="186" t="e">
        <f t="shared" si="44"/>
        <v>#REF!</v>
      </c>
      <c r="CN56" s="189" t="e">
        <f>#REF!+#REF!</f>
        <v>#REF!</v>
      </c>
      <c r="CO56" s="186" t="e">
        <f t="shared" si="45"/>
        <v>#REF!</v>
      </c>
      <c r="CP56" s="189" t="e">
        <f>#REF!+#REF!</f>
        <v>#REF!</v>
      </c>
      <c r="CQ56" s="186" t="e">
        <f t="shared" si="46"/>
        <v>#REF!</v>
      </c>
      <c r="CR56" s="189" t="e">
        <f>#REF!+#REF!</f>
        <v>#REF!</v>
      </c>
      <c r="CS56" s="186" t="e">
        <f t="shared" si="47"/>
        <v>#REF!</v>
      </c>
      <c r="CT56" s="189" t="e">
        <f>#REF!+#REF!</f>
        <v>#REF!</v>
      </c>
      <c r="CU56" s="186" t="e">
        <f t="shared" si="48"/>
        <v>#REF!</v>
      </c>
      <c r="CV56" s="416">
        <f t="shared" si="17"/>
        <v>0</v>
      </c>
      <c r="CW56" s="191" t="str">
        <f t="shared" si="31"/>
        <v>Cao hơn</v>
      </c>
      <c r="CX56" s="191" t="str">
        <f t="shared" si="32"/>
        <v>Cao hơn</v>
      </c>
      <c r="CY56" s="213"/>
      <c r="CZ56" s="213"/>
      <c r="DA56" s="231"/>
      <c r="DB56" s="163"/>
      <c r="DD56" s="195"/>
      <c r="DE56" s="196"/>
      <c r="DF56" s="196"/>
      <c r="DG56" s="197"/>
      <c r="DH56" s="196"/>
      <c r="DI56" s="196"/>
      <c r="DJ56" s="196"/>
      <c r="DL56" s="199"/>
      <c r="DM56" s="200"/>
    </row>
    <row r="57" spans="1:117" ht="18" customHeight="1" x14ac:dyDescent="0.25">
      <c r="A57" s="191">
        <v>42</v>
      </c>
      <c r="B57" s="240" t="s">
        <v>507</v>
      </c>
      <c r="C57" s="240"/>
      <c r="D57" s="188">
        <v>3425</v>
      </c>
      <c r="E57" s="188">
        <v>0</v>
      </c>
      <c r="F57" s="188">
        <v>3425</v>
      </c>
      <c r="G57" s="188">
        <v>3000</v>
      </c>
      <c r="H57" s="188">
        <v>425</v>
      </c>
      <c r="I57" s="188">
        <v>0</v>
      </c>
      <c r="J57" s="188"/>
      <c r="K57" s="188">
        <v>0</v>
      </c>
      <c r="L57" s="188">
        <v>0</v>
      </c>
      <c r="M57" s="188">
        <v>0</v>
      </c>
      <c r="N57" s="188">
        <v>0</v>
      </c>
      <c r="O57" s="188">
        <v>3000</v>
      </c>
      <c r="P57" s="188">
        <v>0</v>
      </c>
      <c r="Q57" s="186">
        <v>0</v>
      </c>
      <c r="R57" s="188">
        <v>0</v>
      </c>
      <c r="S57" s="185">
        <v>0</v>
      </c>
      <c r="T57" s="185">
        <v>0</v>
      </c>
      <c r="U57" s="188">
        <v>0</v>
      </c>
      <c r="V57" s="185">
        <v>0</v>
      </c>
      <c r="W57" s="185">
        <v>0</v>
      </c>
      <c r="X57" s="188">
        <v>0</v>
      </c>
      <c r="Y57" s="185">
        <v>0</v>
      </c>
      <c r="Z57" s="185">
        <v>0</v>
      </c>
      <c r="AA57" s="188">
        <v>0</v>
      </c>
      <c r="AB57" s="185">
        <v>0</v>
      </c>
      <c r="AC57" s="185">
        <v>0</v>
      </c>
      <c r="AD57" s="188">
        <v>73.599999999999994</v>
      </c>
      <c r="AE57" s="185">
        <v>2.1489051094890511E-2</v>
      </c>
      <c r="AF57" s="185">
        <v>2.2620053784095272E-2</v>
      </c>
      <c r="AG57" s="188">
        <v>73.599999999999994</v>
      </c>
      <c r="AH57" s="185">
        <v>2.1489051094890511E-2</v>
      </c>
      <c r="AI57" s="185">
        <v>2.2620053784095272E-2</v>
      </c>
      <c r="AJ57" s="307">
        <v>73.599999999999994</v>
      </c>
      <c r="AK57" s="185">
        <v>2.1489051094890511E-2</v>
      </c>
      <c r="AL57" s="185">
        <v>2.2620053784095272E-2</v>
      </c>
      <c r="AM57" s="188">
        <v>73.599999999999994</v>
      </c>
      <c r="AN57" s="185">
        <v>2.1489051094890511E-2</v>
      </c>
      <c r="AO57" s="185">
        <v>2.2620053784095272E-2</v>
      </c>
      <c r="AP57" s="185"/>
      <c r="AQ57" s="188">
        <v>1406.2</v>
      </c>
      <c r="AR57" s="185">
        <v>0.41056934306569343</v>
      </c>
      <c r="AS57" s="185">
        <v>0.43217825585862468</v>
      </c>
      <c r="AT57" s="188">
        <v>1406.2</v>
      </c>
      <c r="AU57" s="185">
        <v>0.41056934306569343</v>
      </c>
      <c r="AV57" s="185">
        <v>0.43217825585862468</v>
      </c>
      <c r="AW57" s="185"/>
      <c r="AX57" s="185"/>
      <c r="AY57" s="185"/>
      <c r="AZ57" s="185"/>
      <c r="BA57" s="185"/>
      <c r="BB57" s="185"/>
      <c r="BC57" s="188">
        <v>1406.2</v>
      </c>
      <c r="BD57" s="185">
        <v>0.41056934306569343</v>
      </c>
      <c r="BE57" s="185">
        <v>0.43217825585862468</v>
      </c>
      <c r="BF57" s="352"/>
      <c r="BG57" s="352">
        <v>1406.2</v>
      </c>
      <c r="BH57" s="185">
        <v>0.41056934306569343</v>
      </c>
      <c r="BI57" s="185">
        <v>0.43217825585862468</v>
      </c>
      <c r="BJ57" s="374">
        <v>3253.75</v>
      </c>
      <c r="BK57" s="374">
        <v>2188.1999999999998</v>
      </c>
      <c r="BL57" s="185">
        <v>0.63889051094890503</v>
      </c>
      <c r="BM57" s="185">
        <v>0.67251632731463695</v>
      </c>
      <c r="BN57" s="374">
        <v>2188.1999999999998</v>
      </c>
      <c r="BO57" s="185">
        <v>0.63889051094890503</v>
      </c>
      <c r="BP57" s="185">
        <v>0.67251632731463695</v>
      </c>
      <c r="BQ57" s="374">
        <v>2188.1999999999998</v>
      </c>
      <c r="BR57" s="185">
        <f t="shared" si="33"/>
        <v>0.63889051094890503</v>
      </c>
      <c r="BS57" s="185">
        <f t="shared" si="49"/>
        <v>0.67251632731463695</v>
      </c>
      <c r="BT57" s="205">
        <f t="shared" si="50"/>
        <v>2114.6</v>
      </c>
      <c r="BU57" s="205"/>
      <c r="BV57" s="189" t="e">
        <f>#REF!+#REF!</f>
        <v>#REF!</v>
      </c>
      <c r="BW57" s="186" t="e">
        <f t="shared" si="36"/>
        <v>#REF!</v>
      </c>
      <c r="BX57" s="189" t="e">
        <f>#REF!+#REF!</f>
        <v>#REF!</v>
      </c>
      <c r="BY57" s="186" t="e">
        <f t="shared" si="37"/>
        <v>#REF!</v>
      </c>
      <c r="BZ57" s="189" t="e">
        <f>#REF!+#REF!</f>
        <v>#REF!</v>
      </c>
      <c r="CA57" s="186" t="e">
        <f t="shared" si="38"/>
        <v>#REF!</v>
      </c>
      <c r="CB57" s="189" t="e">
        <f>#REF!+#REF!</f>
        <v>#REF!</v>
      </c>
      <c r="CC57" s="186" t="e">
        <f t="shared" si="39"/>
        <v>#REF!</v>
      </c>
      <c r="CD57" s="189" t="e">
        <f>#REF!+#REF!</f>
        <v>#REF!</v>
      </c>
      <c r="CE57" s="186" t="e">
        <f t="shared" si="40"/>
        <v>#REF!</v>
      </c>
      <c r="CF57" s="189" t="e">
        <f>#REF!+#REF!</f>
        <v>#REF!</v>
      </c>
      <c r="CG57" s="186" t="e">
        <f t="shared" si="41"/>
        <v>#REF!</v>
      </c>
      <c r="CH57" s="189" t="e">
        <f>#REF!+#REF!</f>
        <v>#REF!</v>
      </c>
      <c r="CI57" s="186" t="e">
        <f t="shared" si="42"/>
        <v>#REF!</v>
      </c>
      <c r="CJ57" s="189" t="e">
        <f>#REF!+#REF!</f>
        <v>#REF!</v>
      </c>
      <c r="CK57" s="186" t="e">
        <f t="shared" si="43"/>
        <v>#REF!</v>
      </c>
      <c r="CL57" s="189" t="e">
        <f>#REF!+#REF!</f>
        <v>#REF!</v>
      </c>
      <c r="CM57" s="186" t="e">
        <f t="shared" si="44"/>
        <v>#REF!</v>
      </c>
      <c r="CN57" s="189" t="e">
        <f>#REF!+#REF!</f>
        <v>#REF!</v>
      </c>
      <c r="CO57" s="186" t="e">
        <f t="shared" si="45"/>
        <v>#REF!</v>
      </c>
      <c r="CP57" s="189" t="e">
        <f>#REF!+#REF!</f>
        <v>#REF!</v>
      </c>
      <c r="CQ57" s="186" t="e">
        <f t="shared" si="46"/>
        <v>#REF!</v>
      </c>
      <c r="CR57" s="189" t="e">
        <f>#REF!+#REF!</f>
        <v>#REF!</v>
      </c>
      <c r="CS57" s="186" t="e">
        <f t="shared" si="47"/>
        <v>#REF!</v>
      </c>
      <c r="CT57" s="189" t="e">
        <f>#REF!+#REF!</f>
        <v>#REF!</v>
      </c>
      <c r="CU57" s="186" t="e">
        <f t="shared" si="48"/>
        <v>#REF!</v>
      </c>
      <c r="CV57" s="416">
        <f t="shared" si="17"/>
        <v>0</v>
      </c>
      <c r="CW57" s="191" t="str">
        <f t="shared" si="31"/>
        <v>Cao hơn</v>
      </c>
      <c r="CX57" s="191" t="str">
        <f t="shared" si="32"/>
        <v>Cao hơn</v>
      </c>
      <c r="CY57" s="213"/>
      <c r="CZ57" s="213"/>
      <c r="DA57" s="231"/>
      <c r="DB57" s="163"/>
      <c r="DD57" s="195"/>
      <c r="DE57" s="196"/>
      <c r="DF57" s="196"/>
      <c r="DG57" s="197"/>
      <c r="DH57" s="196"/>
      <c r="DI57" s="196"/>
      <c r="DJ57" s="196"/>
      <c r="DL57" s="199"/>
      <c r="DM57" s="200"/>
    </row>
    <row r="58" spans="1:117" ht="18" customHeight="1" x14ac:dyDescent="0.25">
      <c r="A58" s="191">
        <v>43</v>
      </c>
      <c r="B58" s="240" t="s">
        <v>508</v>
      </c>
      <c r="C58" s="240"/>
      <c r="D58" s="188">
        <v>3085</v>
      </c>
      <c r="E58" s="188">
        <v>0</v>
      </c>
      <c r="F58" s="188">
        <v>3085</v>
      </c>
      <c r="G58" s="188">
        <v>3000</v>
      </c>
      <c r="H58" s="188">
        <v>85</v>
      </c>
      <c r="I58" s="188">
        <v>0</v>
      </c>
      <c r="J58" s="188"/>
      <c r="K58" s="188">
        <v>0</v>
      </c>
      <c r="L58" s="188">
        <v>0</v>
      </c>
      <c r="M58" s="188">
        <v>0</v>
      </c>
      <c r="N58" s="188">
        <v>0</v>
      </c>
      <c r="O58" s="188">
        <v>3000</v>
      </c>
      <c r="P58" s="188">
        <v>0</v>
      </c>
      <c r="Q58" s="186">
        <v>0</v>
      </c>
      <c r="R58" s="189">
        <v>0</v>
      </c>
      <c r="S58" s="185">
        <v>0</v>
      </c>
      <c r="T58" s="185">
        <v>0</v>
      </c>
      <c r="U58" s="189">
        <v>0</v>
      </c>
      <c r="V58" s="185">
        <v>0</v>
      </c>
      <c r="W58" s="185">
        <v>0</v>
      </c>
      <c r="X58" s="189">
        <v>0</v>
      </c>
      <c r="Y58" s="185">
        <v>0</v>
      </c>
      <c r="Z58" s="185">
        <v>0</v>
      </c>
      <c r="AA58" s="189">
        <v>0</v>
      </c>
      <c r="AB58" s="185">
        <v>0</v>
      </c>
      <c r="AC58" s="185">
        <v>0</v>
      </c>
      <c r="AD58" s="189">
        <v>300</v>
      </c>
      <c r="AE58" s="185">
        <v>9.7244732576985418E-2</v>
      </c>
      <c r="AF58" s="185">
        <v>0.10236287639682676</v>
      </c>
      <c r="AG58" s="188">
        <v>300</v>
      </c>
      <c r="AH58" s="185">
        <v>9.7244732576985418E-2</v>
      </c>
      <c r="AI58" s="185">
        <v>0.10236287639682676</v>
      </c>
      <c r="AJ58" s="303">
        <v>300</v>
      </c>
      <c r="AK58" s="185">
        <v>9.7244732576985418E-2</v>
      </c>
      <c r="AL58" s="185">
        <v>0.10236287639682676</v>
      </c>
      <c r="AM58" s="188">
        <v>300</v>
      </c>
      <c r="AN58" s="185">
        <v>9.7244732576985418E-2</v>
      </c>
      <c r="AO58" s="185">
        <v>0.10236287639682676</v>
      </c>
      <c r="AP58" s="185"/>
      <c r="AQ58" s="188">
        <v>485</v>
      </c>
      <c r="AR58" s="185">
        <v>0.15721231766612642</v>
      </c>
      <c r="AS58" s="185">
        <v>0.16548665017486991</v>
      </c>
      <c r="AT58" s="188">
        <v>485</v>
      </c>
      <c r="AU58" s="185">
        <v>0.15721231766612642</v>
      </c>
      <c r="AV58" s="185">
        <v>0.16548665017486991</v>
      </c>
      <c r="AW58" s="185"/>
      <c r="AX58" s="185"/>
      <c r="AY58" s="185"/>
      <c r="AZ58" s="185"/>
      <c r="BA58" s="185"/>
      <c r="BB58" s="185"/>
      <c r="BC58" s="188">
        <v>485</v>
      </c>
      <c r="BD58" s="185">
        <v>0.15721231766612642</v>
      </c>
      <c r="BE58" s="185">
        <v>0.16548665017486991</v>
      </c>
      <c r="BF58" s="352"/>
      <c r="BG58" s="352">
        <v>1436</v>
      </c>
      <c r="BH58" s="185">
        <v>0.46547811993517019</v>
      </c>
      <c r="BI58" s="185">
        <v>0.48997696835281074</v>
      </c>
      <c r="BJ58" s="374">
        <v>2930.75</v>
      </c>
      <c r="BK58" s="374">
        <v>1436</v>
      </c>
      <c r="BL58" s="185">
        <v>0.46547811993517019</v>
      </c>
      <c r="BM58" s="185">
        <v>0.48997696835281074</v>
      </c>
      <c r="BN58" s="374">
        <v>1436</v>
      </c>
      <c r="BO58" s="185">
        <v>0.46547811993517019</v>
      </c>
      <c r="BP58" s="185">
        <v>0.48997696835281074</v>
      </c>
      <c r="BQ58" s="374">
        <v>1436</v>
      </c>
      <c r="BR58" s="185">
        <f t="shared" si="33"/>
        <v>0.46547811993517019</v>
      </c>
      <c r="BS58" s="185">
        <f t="shared" si="49"/>
        <v>0.48997696835281074</v>
      </c>
      <c r="BT58" s="205">
        <f t="shared" si="50"/>
        <v>1136</v>
      </c>
      <c r="BU58" s="205"/>
      <c r="BV58" s="189" t="e">
        <f>#REF!+#REF!</f>
        <v>#REF!</v>
      </c>
      <c r="BW58" s="186" t="e">
        <f t="shared" si="36"/>
        <v>#REF!</v>
      </c>
      <c r="BX58" s="189" t="e">
        <f>#REF!+#REF!</f>
        <v>#REF!</v>
      </c>
      <c r="BY58" s="186" t="e">
        <f t="shared" si="37"/>
        <v>#REF!</v>
      </c>
      <c r="BZ58" s="189" t="e">
        <f>#REF!+#REF!</f>
        <v>#REF!</v>
      </c>
      <c r="CA58" s="186" t="e">
        <f t="shared" si="38"/>
        <v>#REF!</v>
      </c>
      <c r="CB58" s="189" t="e">
        <f>#REF!+#REF!</f>
        <v>#REF!</v>
      </c>
      <c r="CC58" s="186" t="e">
        <f t="shared" si="39"/>
        <v>#REF!</v>
      </c>
      <c r="CD58" s="189" t="e">
        <f>#REF!+#REF!</f>
        <v>#REF!</v>
      </c>
      <c r="CE58" s="186" t="e">
        <f t="shared" si="40"/>
        <v>#REF!</v>
      </c>
      <c r="CF58" s="189" t="e">
        <f>#REF!+#REF!</f>
        <v>#REF!</v>
      </c>
      <c r="CG58" s="186" t="e">
        <f t="shared" si="41"/>
        <v>#REF!</v>
      </c>
      <c r="CH58" s="189" t="e">
        <f>#REF!+#REF!</f>
        <v>#REF!</v>
      </c>
      <c r="CI58" s="186" t="e">
        <f t="shared" si="42"/>
        <v>#REF!</v>
      </c>
      <c r="CJ58" s="189" t="e">
        <f>#REF!+#REF!</f>
        <v>#REF!</v>
      </c>
      <c r="CK58" s="186" t="e">
        <f t="shared" si="43"/>
        <v>#REF!</v>
      </c>
      <c r="CL58" s="189" t="e">
        <f>#REF!+#REF!</f>
        <v>#REF!</v>
      </c>
      <c r="CM58" s="186" t="e">
        <f t="shared" si="44"/>
        <v>#REF!</v>
      </c>
      <c r="CN58" s="189" t="e">
        <f>#REF!+#REF!</f>
        <v>#REF!</v>
      </c>
      <c r="CO58" s="186" t="e">
        <f t="shared" si="45"/>
        <v>#REF!</v>
      </c>
      <c r="CP58" s="189" t="e">
        <f>#REF!+#REF!</f>
        <v>#REF!</v>
      </c>
      <c r="CQ58" s="186" t="e">
        <f t="shared" si="46"/>
        <v>#REF!</v>
      </c>
      <c r="CR58" s="189" t="e">
        <f>#REF!+#REF!</f>
        <v>#REF!</v>
      </c>
      <c r="CS58" s="186" t="e">
        <f t="shared" si="47"/>
        <v>#REF!</v>
      </c>
      <c r="CT58" s="189" t="e">
        <f>#REF!+#REF!</f>
        <v>#REF!</v>
      </c>
      <c r="CU58" s="186" t="e">
        <f t="shared" si="48"/>
        <v>#REF!</v>
      </c>
      <c r="CV58" s="416">
        <f t="shared" si="17"/>
        <v>0</v>
      </c>
      <c r="CW58" s="191" t="str">
        <f t="shared" si="31"/>
        <v>Cao hơn</v>
      </c>
      <c r="CX58" s="191" t="str">
        <f t="shared" si="32"/>
        <v>Cao hơn</v>
      </c>
      <c r="CY58" s="213"/>
      <c r="CZ58" s="213"/>
      <c r="DA58" s="231"/>
      <c r="DB58" s="163"/>
      <c r="DD58" s="195"/>
      <c r="DE58" s="196"/>
      <c r="DF58" s="196"/>
      <c r="DG58" s="197"/>
      <c r="DH58" s="196"/>
      <c r="DI58" s="196"/>
      <c r="DJ58" s="196"/>
      <c r="DL58" s="199"/>
      <c r="DM58" s="200"/>
    </row>
    <row r="59" spans="1:117" ht="18" customHeight="1" x14ac:dyDescent="0.25">
      <c r="A59" s="191">
        <v>44</v>
      </c>
      <c r="B59" s="240" t="s">
        <v>509</v>
      </c>
      <c r="C59" s="240"/>
      <c r="D59" s="188">
        <v>3000</v>
      </c>
      <c r="E59" s="188">
        <v>0</v>
      </c>
      <c r="F59" s="188">
        <v>3000</v>
      </c>
      <c r="G59" s="188">
        <v>3000</v>
      </c>
      <c r="H59" s="188">
        <v>0</v>
      </c>
      <c r="I59" s="188">
        <v>0</v>
      </c>
      <c r="J59" s="188"/>
      <c r="K59" s="188">
        <v>0</v>
      </c>
      <c r="L59" s="188">
        <v>0</v>
      </c>
      <c r="M59" s="231"/>
      <c r="N59" s="231"/>
      <c r="O59" s="188">
        <v>3000</v>
      </c>
      <c r="P59" s="188">
        <v>0</v>
      </c>
      <c r="Q59" s="186">
        <v>0</v>
      </c>
      <c r="R59" s="188">
        <v>0</v>
      </c>
      <c r="S59" s="185">
        <v>0</v>
      </c>
      <c r="T59" s="185">
        <v>0</v>
      </c>
      <c r="U59" s="188">
        <v>0</v>
      </c>
      <c r="V59" s="185">
        <v>0</v>
      </c>
      <c r="W59" s="185">
        <v>0</v>
      </c>
      <c r="X59" s="188">
        <v>0</v>
      </c>
      <c r="Y59" s="185">
        <v>0</v>
      </c>
      <c r="Z59" s="185">
        <v>0</v>
      </c>
      <c r="AA59" s="188">
        <v>0</v>
      </c>
      <c r="AB59" s="185">
        <v>0</v>
      </c>
      <c r="AC59" s="185">
        <v>0</v>
      </c>
      <c r="AD59" s="188">
        <v>0</v>
      </c>
      <c r="AE59" s="185">
        <v>0</v>
      </c>
      <c r="AF59" s="185">
        <v>0</v>
      </c>
      <c r="AG59" s="188">
        <v>0</v>
      </c>
      <c r="AH59" s="185">
        <v>0</v>
      </c>
      <c r="AI59" s="185">
        <v>0</v>
      </c>
      <c r="AJ59" s="303">
        <v>0</v>
      </c>
      <c r="AK59" s="185">
        <v>0</v>
      </c>
      <c r="AL59" s="185">
        <v>0</v>
      </c>
      <c r="AM59" s="188">
        <v>0</v>
      </c>
      <c r="AN59" s="185">
        <v>0</v>
      </c>
      <c r="AO59" s="185">
        <v>0</v>
      </c>
      <c r="AP59" s="185"/>
      <c r="AQ59" s="188">
        <v>0</v>
      </c>
      <c r="AR59" s="185">
        <v>0</v>
      </c>
      <c r="AS59" s="185">
        <v>0</v>
      </c>
      <c r="AT59" s="188">
        <v>0</v>
      </c>
      <c r="AU59" s="185">
        <v>0</v>
      </c>
      <c r="AV59" s="185">
        <v>0</v>
      </c>
      <c r="AW59" s="185"/>
      <c r="AX59" s="185"/>
      <c r="AY59" s="185"/>
      <c r="AZ59" s="185"/>
      <c r="BA59" s="185"/>
      <c r="BB59" s="185"/>
      <c r="BC59" s="188">
        <v>0</v>
      </c>
      <c r="BD59" s="185">
        <v>0</v>
      </c>
      <c r="BE59" s="185">
        <v>0</v>
      </c>
      <c r="BF59" s="352"/>
      <c r="BG59" s="352">
        <v>184</v>
      </c>
      <c r="BH59" s="185">
        <v>6.133333333333333E-2</v>
      </c>
      <c r="BI59" s="185">
        <v>6.4561403508771931E-2</v>
      </c>
      <c r="BJ59" s="374">
        <v>2850</v>
      </c>
      <c r="BK59" s="374">
        <v>2494.114</v>
      </c>
      <c r="BL59" s="185">
        <v>0.83137133333333335</v>
      </c>
      <c r="BM59" s="185">
        <v>0.87512771929824562</v>
      </c>
      <c r="BN59" s="374">
        <v>2494.114</v>
      </c>
      <c r="BO59" s="185">
        <v>0.83137133333333335</v>
      </c>
      <c r="BP59" s="185">
        <v>0.87512771929824562</v>
      </c>
      <c r="BQ59" s="374">
        <v>2494.114</v>
      </c>
      <c r="BR59" s="185">
        <f t="shared" si="33"/>
        <v>0.83137133333333335</v>
      </c>
      <c r="BS59" s="185">
        <f t="shared" si="49"/>
        <v>0.87512771929824562</v>
      </c>
      <c r="BT59" s="205">
        <f t="shared" si="50"/>
        <v>2494.114</v>
      </c>
      <c r="BU59" s="205"/>
      <c r="BV59" s="189" t="e">
        <f>#REF!</f>
        <v>#REF!</v>
      </c>
      <c r="BW59" s="186" t="e">
        <f t="shared" si="36"/>
        <v>#REF!</v>
      </c>
      <c r="BX59" s="189" t="e">
        <f>#REF!</f>
        <v>#REF!</v>
      </c>
      <c r="BY59" s="186" t="e">
        <f t="shared" si="37"/>
        <v>#REF!</v>
      </c>
      <c r="BZ59" s="189" t="e">
        <f>#REF!</f>
        <v>#REF!</v>
      </c>
      <c r="CA59" s="186" t="e">
        <f t="shared" si="38"/>
        <v>#REF!</v>
      </c>
      <c r="CB59" s="189" t="e">
        <f>#REF!</f>
        <v>#REF!</v>
      </c>
      <c r="CC59" s="186" t="e">
        <f t="shared" si="39"/>
        <v>#REF!</v>
      </c>
      <c r="CD59" s="189" t="e">
        <f>#REF!</f>
        <v>#REF!</v>
      </c>
      <c r="CE59" s="186" t="e">
        <f t="shared" si="40"/>
        <v>#REF!</v>
      </c>
      <c r="CF59" s="189" t="e">
        <f>#REF!</f>
        <v>#REF!</v>
      </c>
      <c r="CG59" s="186" t="e">
        <f t="shared" si="41"/>
        <v>#REF!</v>
      </c>
      <c r="CH59" s="189" t="e">
        <f>#REF!</f>
        <v>#REF!</v>
      </c>
      <c r="CI59" s="186" t="e">
        <f t="shared" si="42"/>
        <v>#REF!</v>
      </c>
      <c r="CJ59" s="189" t="e">
        <f>#REF!</f>
        <v>#REF!</v>
      </c>
      <c r="CK59" s="186" t="e">
        <f t="shared" si="43"/>
        <v>#REF!</v>
      </c>
      <c r="CL59" s="189" t="e">
        <f>#REF!</f>
        <v>#REF!</v>
      </c>
      <c r="CM59" s="186" t="e">
        <f t="shared" si="44"/>
        <v>#REF!</v>
      </c>
      <c r="CN59" s="189" t="e">
        <f>#REF!</f>
        <v>#REF!</v>
      </c>
      <c r="CO59" s="186" t="e">
        <f t="shared" si="45"/>
        <v>#REF!</v>
      </c>
      <c r="CP59" s="189" t="e">
        <f>#REF!</f>
        <v>#REF!</v>
      </c>
      <c r="CQ59" s="186" t="e">
        <f t="shared" si="46"/>
        <v>#REF!</v>
      </c>
      <c r="CR59" s="189" t="e">
        <f>#REF!</f>
        <v>#REF!</v>
      </c>
      <c r="CS59" s="186" t="e">
        <f t="shared" si="47"/>
        <v>#REF!</v>
      </c>
      <c r="CT59" s="189" t="e">
        <f>#REF!</f>
        <v>#REF!</v>
      </c>
      <c r="CU59" s="186" t="e">
        <f t="shared" si="48"/>
        <v>#REF!</v>
      </c>
      <c r="CV59" s="416">
        <f t="shared" si="17"/>
        <v>0</v>
      </c>
      <c r="CW59" s="191" t="str">
        <f t="shared" si="31"/>
        <v>Cao hơn</v>
      </c>
      <c r="CX59" s="191" t="str">
        <f t="shared" si="32"/>
        <v>Cao hơn</v>
      </c>
      <c r="CY59" s="213"/>
      <c r="CZ59" s="213"/>
      <c r="DA59" s="231"/>
      <c r="DB59" s="163"/>
      <c r="DD59" s="195"/>
      <c r="DE59" s="196"/>
      <c r="DF59" s="196"/>
      <c r="DG59" s="197"/>
      <c r="DH59" s="196"/>
      <c r="DI59" s="196"/>
      <c r="DJ59" s="196"/>
      <c r="DL59" s="199"/>
      <c r="DM59" s="200"/>
    </row>
    <row r="60" spans="1:117" ht="18" customHeight="1" x14ac:dyDescent="0.25">
      <c r="A60" s="191">
        <v>45</v>
      </c>
      <c r="B60" s="240" t="s">
        <v>510</v>
      </c>
      <c r="C60" s="240"/>
      <c r="D60" s="188">
        <v>3000</v>
      </c>
      <c r="E60" s="188">
        <v>0</v>
      </c>
      <c r="F60" s="188">
        <v>3000</v>
      </c>
      <c r="G60" s="188">
        <v>3000</v>
      </c>
      <c r="H60" s="188">
        <v>0</v>
      </c>
      <c r="I60" s="188">
        <v>0</v>
      </c>
      <c r="J60" s="188"/>
      <c r="K60" s="188">
        <v>0</v>
      </c>
      <c r="L60" s="188">
        <v>0</v>
      </c>
      <c r="M60" s="231"/>
      <c r="N60" s="231"/>
      <c r="O60" s="188">
        <v>3000</v>
      </c>
      <c r="P60" s="188">
        <v>0</v>
      </c>
      <c r="Q60" s="186">
        <v>0</v>
      </c>
      <c r="R60" s="188">
        <v>0</v>
      </c>
      <c r="S60" s="185">
        <v>0</v>
      </c>
      <c r="T60" s="185">
        <v>0</v>
      </c>
      <c r="U60" s="188">
        <v>725.32400000000007</v>
      </c>
      <c r="V60" s="185">
        <v>0.24177466666666669</v>
      </c>
      <c r="W60" s="185">
        <v>0.25449964912280704</v>
      </c>
      <c r="X60" s="188">
        <v>725.32400000000007</v>
      </c>
      <c r="Y60" s="185">
        <v>0.24177466666666669</v>
      </c>
      <c r="Z60" s="185">
        <v>0.25449964912280704</v>
      </c>
      <c r="AA60" s="188">
        <v>725.32400000000007</v>
      </c>
      <c r="AB60" s="185">
        <v>0.24177466666666669</v>
      </c>
      <c r="AC60" s="185">
        <v>0.25449964912280704</v>
      </c>
      <c r="AD60" s="188">
        <v>725.32400000000007</v>
      </c>
      <c r="AE60" s="185">
        <v>0.24177466666666669</v>
      </c>
      <c r="AF60" s="185">
        <v>0.25449964912280704</v>
      </c>
      <c r="AG60" s="188">
        <v>725.32400000000007</v>
      </c>
      <c r="AH60" s="185">
        <v>0.24177466666666669</v>
      </c>
      <c r="AI60" s="185">
        <v>0.25449964912280704</v>
      </c>
      <c r="AJ60" s="303">
        <v>725.32400000000007</v>
      </c>
      <c r="AK60" s="185">
        <v>0.24177466666666669</v>
      </c>
      <c r="AL60" s="185">
        <v>0.25449964912280704</v>
      </c>
      <c r="AM60" s="188">
        <v>725.32400000000007</v>
      </c>
      <c r="AN60" s="185">
        <v>0.24177466666666669</v>
      </c>
      <c r="AO60" s="185">
        <v>0.25449964912280704</v>
      </c>
      <c r="AP60" s="185"/>
      <c r="AQ60" s="188">
        <v>725.32400000000007</v>
      </c>
      <c r="AR60" s="185">
        <v>0.24177466666666669</v>
      </c>
      <c r="AS60" s="185">
        <v>0.25449964912280704</v>
      </c>
      <c r="AT60" s="188">
        <v>725.32400000000007</v>
      </c>
      <c r="AU60" s="185">
        <v>0.24177466666666669</v>
      </c>
      <c r="AV60" s="185">
        <v>0.25449964912280704</v>
      </c>
      <c r="AW60" s="185"/>
      <c r="AX60" s="185"/>
      <c r="AY60" s="185"/>
      <c r="AZ60" s="185"/>
      <c r="BA60" s="185"/>
      <c r="BB60" s="185"/>
      <c r="BC60" s="188">
        <v>725.32400000000007</v>
      </c>
      <c r="BD60" s="185">
        <v>0.24177466666666669</v>
      </c>
      <c r="BE60" s="185">
        <v>0.25449964912280704</v>
      </c>
      <c r="BF60" s="352"/>
      <c r="BG60" s="352">
        <v>1237.441</v>
      </c>
      <c r="BH60" s="185">
        <v>0.41248033333333334</v>
      </c>
      <c r="BI60" s="185">
        <v>0.43418982456140354</v>
      </c>
      <c r="BJ60" s="374">
        <v>2850</v>
      </c>
      <c r="BK60" s="374">
        <v>2307.9</v>
      </c>
      <c r="BL60" s="185">
        <v>0.76929999999999998</v>
      </c>
      <c r="BM60" s="185">
        <v>0.8097894736842105</v>
      </c>
      <c r="BN60" s="374">
        <v>2307.9</v>
      </c>
      <c r="BO60" s="185">
        <v>0.76929999999999998</v>
      </c>
      <c r="BP60" s="185">
        <v>0.8097894736842105</v>
      </c>
      <c r="BQ60" s="374">
        <v>2307.9</v>
      </c>
      <c r="BR60" s="185">
        <f t="shared" si="33"/>
        <v>0.76929999999999998</v>
      </c>
      <c r="BS60" s="185">
        <f t="shared" si="49"/>
        <v>0.8097894736842105</v>
      </c>
      <c r="BT60" s="205">
        <f t="shared" si="50"/>
        <v>1582.576</v>
      </c>
      <c r="BU60" s="205"/>
      <c r="BV60" s="189" t="e">
        <f>#REF!</f>
        <v>#REF!</v>
      </c>
      <c r="BW60" s="186" t="e">
        <f t="shared" si="36"/>
        <v>#REF!</v>
      </c>
      <c r="BX60" s="189" t="e">
        <f>#REF!</f>
        <v>#REF!</v>
      </c>
      <c r="BY60" s="186" t="e">
        <f t="shared" si="37"/>
        <v>#REF!</v>
      </c>
      <c r="BZ60" s="189" t="e">
        <f>#REF!</f>
        <v>#REF!</v>
      </c>
      <c r="CA60" s="186" t="e">
        <f t="shared" si="38"/>
        <v>#REF!</v>
      </c>
      <c r="CB60" s="189" t="e">
        <f>#REF!</f>
        <v>#REF!</v>
      </c>
      <c r="CC60" s="186" t="e">
        <f t="shared" si="39"/>
        <v>#REF!</v>
      </c>
      <c r="CD60" s="189" t="e">
        <f>#REF!</f>
        <v>#REF!</v>
      </c>
      <c r="CE60" s="186" t="e">
        <f t="shared" si="40"/>
        <v>#REF!</v>
      </c>
      <c r="CF60" s="189" t="e">
        <f>#REF!</f>
        <v>#REF!</v>
      </c>
      <c r="CG60" s="186" t="e">
        <f t="shared" si="41"/>
        <v>#REF!</v>
      </c>
      <c r="CH60" s="189" t="e">
        <f>#REF!</f>
        <v>#REF!</v>
      </c>
      <c r="CI60" s="186" t="e">
        <f t="shared" si="42"/>
        <v>#REF!</v>
      </c>
      <c r="CJ60" s="189" t="e">
        <f>#REF!</f>
        <v>#REF!</v>
      </c>
      <c r="CK60" s="186" t="e">
        <f t="shared" si="43"/>
        <v>#REF!</v>
      </c>
      <c r="CL60" s="189" t="e">
        <f>#REF!</f>
        <v>#REF!</v>
      </c>
      <c r="CM60" s="186" t="e">
        <f t="shared" si="44"/>
        <v>#REF!</v>
      </c>
      <c r="CN60" s="189" t="e">
        <f>#REF!</f>
        <v>#REF!</v>
      </c>
      <c r="CO60" s="186" t="e">
        <f t="shared" si="45"/>
        <v>#REF!</v>
      </c>
      <c r="CP60" s="189" t="e">
        <f>#REF!</f>
        <v>#REF!</v>
      </c>
      <c r="CQ60" s="186" t="e">
        <f t="shared" si="46"/>
        <v>#REF!</v>
      </c>
      <c r="CR60" s="189" t="e">
        <f>#REF!</f>
        <v>#REF!</v>
      </c>
      <c r="CS60" s="186" t="e">
        <f t="shared" si="47"/>
        <v>#REF!</v>
      </c>
      <c r="CT60" s="189" t="e">
        <f>#REF!</f>
        <v>#REF!</v>
      </c>
      <c r="CU60" s="186" t="e">
        <f t="shared" si="48"/>
        <v>#REF!</v>
      </c>
      <c r="CV60" s="416">
        <f t="shared" si="17"/>
        <v>0</v>
      </c>
      <c r="CW60" s="191" t="str">
        <f t="shared" si="31"/>
        <v>Cao hơn</v>
      </c>
      <c r="CX60" s="191" t="str">
        <f t="shared" si="32"/>
        <v>Cao hơn</v>
      </c>
      <c r="CY60" s="213"/>
      <c r="CZ60" s="213"/>
      <c r="DA60" s="231"/>
      <c r="DB60" s="163"/>
      <c r="DD60" s="195"/>
      <c r="DE60" s="196"/>
      <c r="DF60" s="196"/>
      <c r="DG60" s="197"/>
      <c r="DH60" s="196"/>
      <c r="DI60" s="196"/>
      <c r="DJ60" s="196"/>
      <c r="DL60" s="199"/>
      <c r="DM60" s="200"/>
    </row>
    <row r="61" spans="1:117" ht="18" customHeight="1" x14ac:dyDescent="0.25">
      <c r="A61" s="191">
        <v>46</v>
      </c>
      <c r="B61" s="240" t="s">
        <v>511</v>
      </c>
      <c r="C61" s="240"/>
      <c r="D61" s="188">
        <v>38550</v>
      </c>
      <c r="E61" s="188">
        <v>10000</v>
      </c>
      <c r="F61" s="188">
        <v>28550</v>
      </c>
      <c r="G61" s="188">
        <v>26000</v>
      </c>
      <c r="H61" s="188">
        <v>2550</v>
      </c>
      <c r="I61" s="188">
        <v>0</v>
      </c>
      <c r="J61" s="188"/>
      <c r="K61" s="188">
        <v>0</v>
      </c>
      <c r="L61" s="188">
        <v>0</v>
      </c>
      <c r="M61" s="188">
        <v>0</v>
      </c>
      <c r="N61" s="188">
        <v>0</v>
      </c>
      <c r="O61" s="188">
        <v>26000</v>
      </c>
      <c r="P61" s="188">
        <v>2439</v>
      </c>
      <c r="Q61" s="186">
        <v>8.5429071803852896E-2</v>
      </c>
      <c r="R61" s="189">
        <v>7463.9420440000004</v>
      </c>
      <c r="S61" s="185">
        <v>0.26143404707530649</v>
      </c>
      <c r="T61" s="185">
        <v>0.2751937337634805</v>
      </c>
      <c r="U61" s="189">
        <v>7463.9420440000004</v>
      </c>
      <c r="V61" s="185">
        <v>0.26143404707530649</v>
      </c>
      <c r="W61" s="185">
        <v>0.2751937337634805</v>
      </c>
      <c r="X61" s="189">
        <v>7463.9420440000004</v>
      </c>
      <c r="Y61" s="185">
        <v>0.26143404707530649</v>
      </c>
      <c r="Z61" s="185">
        <v>0.2751937337634805</v>
      </c>
      <c r="AA61" s="189">
        <v>7463.9420440000004</v>
      </c>
      <c r="AB61" s="185">
        <v>0.26143404707530649</v>
      </c>
      <c r="AC61" s="185">
        <v>0.2751937337634805</v>
      </c>
      <c r="AD61" s="189">
        <v>8400</v>
      </c>
      <c r="AE61" s="185">
        <v>0.29422066549912435</v>
      </c>
      <c r="AF61" s="185">
        <v>0.30970596368328879</v>
      </c>
      <c r="AG61" s="189">
        <v>8400</v>
      </c>
      <c r="AH61" s="185">
        <v>0.29422066549912435</v>
      </c>
      <c r="AI61" s="185">
        <v>0.30970596368328879</v>
      </c>
      <c r="AJ61" s="307">
        <v>8400</v>
      </c>
      <c r="AK61" s="185">
        <v>0.29422066549912435</v>
      </c>
      <c r="AL61" s="185">
        <v>0.30970596368328879</v>
      </c>
      <c r="AM61" s="189">
        <v>8400</v>
      </c>
      <c r="AN61" s="185">
        <v>0.29422066549912435</v>
      </c>
      <c r="AO61" s="185">
        <v>0.30970596368328879</v>
      </c>
      <c r="AP61" s="185"/>
      <c r="AQ61" s="189">
        <v>11326</v>
      </c>
      <c r="AR61" s="185">
        <v>0.39670753064798597</v>
      </c>
      <c r="AS61" s="185">
        <v>0.41758687436630104</v>
      </c>
      <c r="AT61" s="189">
        <v>11326</v>
      </c>
      <c r="AU61" s="185">
        <v>0.39670753064798597</v>
      </c>
      <c r="AV61" s="185">
        <v>0.41758687436630104</v>
      </c>
      <c r="AW61" s="185"/>
      <c r="AX61" s="185"/>
      <c r="AY61" s="185"/>
      <c r="AZ61" s="185"/>
      <c r="BA61" s="185"/>
      <c r="BB61" s="185"/>
      <c r="BC61" s="189">
        <v>11326</v>
      </c>
      <c r="BD61" s="185">
        <v>0.39670753064798597</v>
      </c>
      <c r="BE61" s="185">
        <v>0.41758687436630104</v>
      </c>
      <c r="BF61" s="352"/>
      <c r="BG61" s="352">
        <v>12293</v>
      </c>
      <c r="BH61" s="185">
        <v>0.43057793345008755</v>
      </c>
      <c r="BI61" s="185">
        <v>0.4532399299474606</v>
      </c>
      <c r="BJ61" s="374">
        <v>27122.5</v>
      </c>
      <c r="BK61" s="374">
        <v>16808</v>
      </c>
      <c r="BL61" s="185">
        <v>0.58872154115586695</v>
      </c>
      <c r="BM61" s="185">
        <v>0.61970688542722829</v>
      </c>
      <c r="BN61" s="374">
        <v>16808</v>
      </c>
      <c r="BO61" s="185">
        <v>0.58872154115586695</v>
      </c>
      <c r="BP61" s="185">
        <v>0.61970688542722829</v>
      </c>
      <c r="BQ61" s="374">
        <v>16808</v>
      </c>
      <c r="BR61" s="185">
        <f t="shared" si="33"/>
        <v>0.43600518806744487</v>
      </c>
      <c r="BS61" s="185">
        <f t="shared" si="49"/>
        <v>0.45277123038588457</v>
      </c>
      <c r="BT61" s="205">
        <f t="shared" si="50"/>
        <v>8408</v>
      </c>
      <c r="BU61" s="205"/>
      <c r="BV61" s="189" t="e">
        <f>#REF!+#REF!+#REF!</f>
        <v>#REF!</v>
      </c>
      <c r="BW61" s="186" t="e">
        <f t="shared" si="36"/>
        <v>#REF!</v>
      </c>
      <c r="BX61" s="189" t="e">
        <f>#REF!+#REF!+#REF!</f>
        <v>#REF!</v>
      </c>
      <c r="BY61" s="186" t="e">
        <f t="shared" si="37"/>
        <v>#REF!</v>
      </c>
      <c r="BZ61" s="189" t="e">
        <f>#REF!+#REF!+#REF!</f>
        <v>#REF!</v>
      </c>
      <c r="CA61" s="186" t="e">
        <f t="shared" si="38"/>
        <v>#REF!</v>
      </c>
      <c r="CB61" s="189" t="e">
        <f>#REF!+#REF!+#REF!</f>
        <v>#REF!</v>
      </c>
      <c r="CC61" s="186" t="e">
        <f t="shared" si="39"/>
        <v>#REF!</v>
      </c>
      <c r="CD61" s="189" t="e">
        <f>#REF!+#REF!+#REF!</f>
        <v>#REF!</v>
      </c>
      <c r="CE61" s="186" t="e">
        <f t="shared" si="40"/>
        <v>#REF!</v>
      </c>
      <c r="CF61" s="189" t="e">
        <f>#REF!+#REF!+#REF!</f>
        <v>#REF!</v>
      </c>
      <c r="CG61" s="186" t="e">
        <f t="shared" si="41"/>
        <v>#REF!</v>
      </c>
      <c r="CH61" s="189" t="e">
        <f>#REF!+#REF!+#REF!</f>
        <v>#REF!</v>
      </c>
      <c r="CI61" s="186" t="e">
        <f t="shared" si="42"/>
        <v>#REF!</v>
      </c>
      <c r="CJ61" s="189" t="e">
        <f>#REF!+#REF!+#REF!</f>
        <v>#REF!</v>
      </c>
      <c r="CK61" s="186" t="e">
        <f t="shared" si="43"/>
        <v>#REF!</v>
      </c>
      <c r="CL61" s="189" t="e">
        <f>#REF!+#REF!+#REF!</f>
        <v>#REF!</v>
      </c>
      <c r="CM61" s="186" t="e">
        <f t="shared" si="44"/>
        <v>#REF!</v>
      </c>
      <c r="CN61" s="189" t="e">
        <f>#REF!+#REF!+#REF!</f>
        <v>#REF!</v>
      </c>
      <c r="CO61" s="186" t="e">
        <f t="shared" si="45"/>
        <v>#REF!</v>
      </c>
      <c r="CP61" s="189" t="e">
        <f>#REF!+#REF!+#REF!</f>
        <v>#REF!</v>
      </c>
      <c r="CQ61" s="186" t="e">
        <f t="shared" si="46"/>
        <v>#REF!</v>
      </c>
      <c r="CR61" s="189" t="e">
        <f>#REF!+#REF!+#REF!</f>
        <v>#REF!</v>
      </c>
      <c r="CS61" s="186" t="e">
        <f t="shared" si="47"/>
        <v>#REF!</v>
      </c>
      <c r="CT61" s="189" t="e">
        <f>#REF!+#REF!+#REF!</f>
        <v>#REF!</v>
      </c>
      <c r="CU61" s="186" t="e">
        <f t="shared" si="48"/>
        <v>#REF!</v>
      </c>
      <c r="CV61" s="416">
        <f t="shared" si="17"/>
        <v>0</v>
      </c>
      <c r="CW61" s="191" t="str">
        <f t="shared" si="31"/>
        <v>Cao hơn</v>
      </c>
      <c r="CX61" s="191" t="str">
        <f t="shared" si="32"/>
        <v>Cao hơn</v>
      </c>
      <c r="CY61" s="213"/>
      <c r="CZ61" s="213"/>
      <c r="DA61" s="231"/>
      <c r="DB61" s="163"/>
      <c r="DD61" s="195"/>
      <c r="DE61" s="196"/>
      <c r="DF61" s="196"/>
      <c r="DG61" s="197"/>
      <c r="DH61" s="196"/>
      <c r="DI61" s="196"/>
      <c r="DJ61" s="196"/>
      <c r="DL61" s="199"/>
      <c r="DM61" s="200"/>
    </row>
    <row r="62" spans="1:117" ht="18" customHeight="1" x14ac:dyDescent="0.25">
      <c r="A62" s="191">
        <v>47</v>
      </c>
      <c r="B62" s="240" t="s">
        <v>514</v>
      </c>
      <c r="C62" s="240"/>
      <c r="D62" s="188">
        <v>5125</v>
      </c>
      <c r="E62" s="188">
        <v>0</v>
      </c>
      <c r="F62" s="188">
        <v>5125</v>
      </c>
      <c r="G62" s="188">
        <v>3000</v>
      </c>
      <c r="H62" s="188">
        <v>2125</v>
      </c>
      <c r="I62" s="188">
        <v>0</v>
      </c>
      <c r="J62" s="188"/>
      <c r="K62" s="188">
        <v>0</v>
      </c>
      <c r="L62" s="188">
        <v>0</v>
      </c>
      <c r="M62" s="188">
        <v>0</v>
      </c>
      <c r="N62" s="188">
        <v>0</v>
      </c>
      <c r="O62" s="188">
        <v>3000</v>
      </c>
      <c r="P62" s="188">
        <v>0</v>
      </c>
      <c r="Q62" s="186">
        <v>0</v>
      </c>
      <c r="R62" s="188">
        <v>0</v>
      </c>
      <c r="S62" s="185">
        <v>0</v>
      </c>
      <c r="T62" s="185">
        <v>0</v>
      </c>
      <c r="U62" s="188">
        <v>0</v>
      </c>
      <c r="V62" s="185">
        <v>0</v>
      </c>
      <c r="W62" s="185">
        <v>0</v>
      </c>
      <c r="X62" s="188">
        <v>0</v>
      </c>
      <c r="Y62" s="185">
        <v>0</v>
      </c>
      <c r="Z62" s="185">
        <v>0</v>
      </c>
      <c r="AA62" s="188">
        <v>0</v>
      </c>
      <c r="AB62" s="185">
        <v>0</v>
      </c>
      <c r="AC62" s="185">
        <v>0</v>
      </c>
      <c r="AD62" s="188">
        <v>0</v>
      </c>
      <c r="AE62" s="185">
        <v>0</v>
      </c>
      <c r="AF62" s="185">
        <v>0</v>
      </c>
      <c r="AG62" s="188">
        <v>0</v>
      </c>
      <c r="AH62" s="185">
        <v>0</v>
      </c>
      <c r="AI62" s="185">
        <v>0</v>
      </c>
      <c r="AJ62" s="303">
        <v>0</v>
      </c>
      <c r="AK62" s="185">
        <v>0</v>
      </c>
      <c r="AL62" s="185">
        <v>0</v>
      </c>
      <c r="AM62" s="188">
        <v>0</v>
      </c>
      <c r="AN62" s="185">
        <v>0</v>
      </c>
      <c r="AO62" s="185">
        <v>0</v>
      </c>
      <c r="AP62" s="185"/>
      <c r="AQ62" s="188">
        <v>878</v>
      </c>
      <c r="AR62" s="185">
        <v>0.17131707317073172</v>
      </c>
      <c r="AS62" s="185">
        <v>0.18033376123234918</v>
      </c>
      <c r="AT62" s="188">
        <v>878</v>
      </c>
      <c r="AU62" s="185">
        <v>0.17131707317073172</v>
      </c>
      <c r="AV62" s="185">
        <v>0.18033376123234918</v>
      </c>
      <c r="AW62" s="185"/>
      <c r="AX62" s="185"/>
      <c r="AY62" s="185"/>
      <c r="AZ62" s="185"/>
      <c r="BA62" s="185"/>
      <c r="BB62" s="185"/>
      <c r="BC62" s="188">
        <v>878</v>
      </c>
      <c r="BD62" s="185">
        <v>0.17131707317073172</v>
      </c>
      <c r="BE62" s="185">
        <v>0.18033376123234918</v>
      </c>
      <c r="BF62" s="352"/>
      <c r="BG62" s="352">
        <v>1740.5889999999999</v>
      </c>
      <c r="BH62" s="185">
        <v>0.33962712195121952</v>
      </c>
      <c r="BI62" s="185">
        <v>0.35750223363286265</v>
      </c>
      <c r="BJ62" s="374">
        <v>4868.75</v>
      </c>
      <c r="BK62" s="374">
        <v>2204.3490000000002</v>
      </c>
      <c r="BL62" s="185">
        <v>0.43011687804878052</v>
      </c>
      <c r="BM62" s="185">
        <v>0.45275460847240057</v>
      </c>
      <c r="BN62" s="374">
        <v>2204.3490000000002</v>
      </c>
      <c r="BO62" s="185">
        <v>0.43011687804878052</v>
      </c>
      <c r="BP62" s="185">
        <v>0.45275460847240057</v>
      </c>
      <c r="BQ62" s="374">
        <v>2204.3490000000002</v>
      </c>
      <c r="BR62" s="185">
        <f t="shared" si="33"/>
        <v>0.43011687804878052</v>
      </c>
      <c r="BS62" s="185">
        <f t="shared" si="49"/>
        <v>0.45275460847240057</v>
      </c>
      <c r="BT62" s="205">
        <f t="shared" si="50"/>
        <v>2204.3490000000002</v>
      </c>
      <c r="BU62" s="205"/>
      <c r="BV62" s="189" t="e">
        <f>#REF!+#REF!</f>
        <v>#REF!</v>
      </c>
      <c r="BW62" s="186" t="e">
        <f t="shared" si="36"/>
        <v>#REF!</v>
      </c>
      <c r="BX62" s="189" t="e">
        <f>#REF!+#REF!</f>
        <v>#REF!</v>
      </c>
      <c r="BY62" s="186" t="e">
        <f t="shared" si="37"/>
        <v>#REF!</v>
      </c>
      <c r="BZ62" s="189" t="e">
        <f>#REF!+#REF!</f>
        <v>#REF!</v>
      </c>
      <c r="CA62" s="186" t="e">
        <f t="shared" si="38"/>
        <v>#REF!</v>
      </c>
      <c r="CB62" s="189" t="e">
        <f>#REF!+#REF!</f>
        <v>#REF!</v>
      </c>
      <c r="CC62" s="186" t="e">
        <f t="shared" si="39"/>
        <v>#REF!</v>
      </c>
      <c r="CD62" s="189" t="e">
        <f>#REF!+#REF!</f>
        <v>#REF!</v>
      </c>
      <c r="CE62" s="186" t="e">
        <f t="shared" si="40"/>
        <v>#REF!</v>
      </c>
      <c r="CF62" s="189" t="e">
        <f>#REF!+#REF!</f>
        <v>#REF!</v>
      </c>
      <c r="CG62" s="186" t="e">
        <f t="shared" si="41"/>
        <v>#REF!</v>
      </c>
      <c r="CH62" s="189" t="e">
        <f>#REF!+#REF!</f>
        <v>#REF!</v>
      </c>
      <c r="CI62" s="186" t="e">
        <f t="shared" si="42"/>
        <v>#REF!</v>
      </c>
      <c r="CJ62" s="189" t="e">
        <f>#REF!+#REF!</f>
        <v>#REF!</v>
      </c>
      <c r="CK62" s="186" t="e">
        <f t="shared" si="43"/>
        <v>#REF!</v>
      </c>
      <c r="CL62" s="189" t="e">
        <f>#REF!+#REF!</f>
        <v>#REF!</v>
      </c>
      <c r="CM62" s="186" t="e">
        <f t="shared" si="44"/>
        <v>#REF!</v>
      </c>
      <c r="CN62" s="189" t="e">
        <f>#REF!+#REF!</f>
        <v>#REF!</v>
      </c>
      <c r="CO62" s="186" t="e">
        <f t="shared" si="45"/>
        <v>#REF!</v>
      </c>
      <c r="CP62" s="189" t="e">
        <f>#REF!+#REF!</f>
        <v>#REF!</v>
      </c>
      <c r="CQ62" s="186" t="e">
        <f t="shared" si="46"/>
        <v>#REF!</v>
      </c>
      <c r="CR62" s="189" t="e">
        <f>#REF!+#REF!</f>
        <v>#REF!</v>
      </c>
      <c r="CS62" s="186" t="e">
        <f t="shared" si="47"/>
        <v>#REF!</v>
      </c>
      <c r="CT62" s="189" t="e">
        <f>#REF!+#REF!</f>
        <v>#REF!</v>
      </c>
      <c r="CU62" s="186" t="e">
        <f t="shared" si="48"/>
        <v>#REF!</v>
      </c>
      <c r="CV62" s="416">
        <f t="shared" si="17"/>
        <v>0</v>
      </c>
      <c r="CW62" s="191" t="str">
        <f t="shared" si="31"/>
        <v>Cao hơn</v>
      </c>
      <c r="CX62" s="191" t="str">
        <f t="shared" si="32"/>
        <v>Cao hơn</v>
      </c>
      <c r="CY62" s="213"/>
      <c r="CZ62" s="213"/>
      <c r="DA62" s="231"/>
      <c r="DB62" s="163"/>
      <c r="DD62" s="195"/>
      <c r="DE62" s="196"/>
      <c r="DF62" s="196"/>
      <c r="DG62" s="197"/>
      <c r="DH62" s="196"/>
      <c r="DI62" s="196"/>
      <c r="DJ62" s="196"/>
      <c r="DL62" s="199"/>
      <c r="DM62" s="200"/>
    </row>
    <row r="63" spans="1:117" ht="18" customHeight="1" x14ac:dyDescent="0.25">
      <c r="A63" s="191">
        <v>48</v>
      </c>
      <c r="B63" s="240" t="s">
        <v>515</v>
      </c>
      <c r="C63" s="240"/>
      <c r="D63" s="188">
        <v>3136</v>
      </c>
      <c r="E63" s="188">
        <v>0</v>
      </c>
      <c r="F63" s="188">
        <v>3136</v>
      </c>
      <c r="G63" s="188">
        <v>3000</v>
      </c>
      <c r="H63" s="188">
        <v>136</v>
      </c>
      <c r="I63" s="188">
        <v>0</v>
      </c>
      <c r="J63" s="188"/>
      <c r="K63" s="188">
        <v>0</v>
      </c>
      <c r="L63" s="188">
        <v>0</v>
      </c>
      <c r="M63" s="188">
        <v>0</v>
      </c>
      <c r="N63" s="188">
        <v>0</v>
      </c>
      <c r="O63" s="188">
        <v>3000</v>
      </c>
      <c r="P63" s="188">
        <v>0</v>
      </c>
      <c r="Q63" s="186">
        <v>0</v>
      </c>
      <c r="R63" s="188">
        <v>0</v>
      </c>
      <c r="S63" s="185">
        <v>0</v>
      </c>
      <c r="T63" s="185">
        <v>0</v>
      </c>
      <c r="U63" s="188">
        <v>0</v>
      </c>
      <c r="V63" s="185">
        <v>0</v>
      </c>
      <c r="W63" s="185">
        <v>0</v>
      </c>
      <c r="X63" s="188">
        <v>0</v>
      </c>
      <c r="Y63" s="185">
        <v>0</v>
      </c>
      <c r="Z63" s="185">
        <v>0</v>
      </c>
      <c r="AA63" s="188">
        <v>0</v>
      </c>
      <c r="AB63" s="185">
        <v>0</v>
      </c>
      <c r="AC63" s="185">
        <v>0</v>
      </c>
      <c r="AD63" s="188">
        <v>0</v>
      </c>
      <c r="AE63" s="185">
        <v>0</v>
      </c>
      <c r="AF63" s="185">
        <v>0</v>
      </c>
      <c r="AG63" s="188">
        <v>0</v>
      </c>
      <c r="AH63" s="185">
        <v>0</v>
      </c>
      <c r="AI63" s="185">
        <v>0</v>
      </c>
      <c r="AJ63" s="303">
        <v>0</v>
      </c>
      <c r="AK63" s="185">
        <v>0</v>
      </c>
      <c r="AL63" s="185">
        <v>0</v>
      </c>
      <c r="AM63" s="188">
        <v>0</v>
      </c>
      <c r="AN63" s="185">
        <v>0</v>
      </c>
      <c r="AO63" s="185">
        <v>0</v>
      </c>
      <c r="AP63" s="185"/>
      <c r="AQ63" s="188">
        <v>685.24199999999996</v>
      </c>
      <c r="AR63" s="185">
        <v>0.21850829081632653</v>
      </c>
      <c r="AS63" s="185">
        <v>0.23000872717508056</v>
      </c>
      <c r="AT63" s="188">
        <v>685.24199999999996</v>
      </c>
      <c r="AU63" s="185">
        <v>0.21850829081632653</v>
      </c>
      <c r="AV63" s="185">
        <v>0.23000872717508056</v>
      </c>
      <c r="AW63" s="185"/>
      <c r="AX63" s="185"/>
      <c r="AY63" s="185"/>
      <c r="AZ63" s="185"/>
      <c r="BA63" s="185"/>
      <c r="BB63" s="185"/>
      <c r="BC63" s="188">
        <v>685.24199999999996</v>
      </c>
      <c r="BD63" s="185">
        <v>0.21850829081632653</v>
      </c>
      <c r="BE63" s="185">
        <v>0.23000872717508056</v>
      </c>
      <c r="BF63" s="352"/>
      <c r="BG63" s="352">
        <v>892.84799999999996</v>
      </c>
      <c r="BH63" s="185">
        <v>0.28470918367346937</v>
      </c>
      <c r="BI63" s="185">
        <v>0.29969387755102039</v>
      </c>
      <c r="BJ63" s="374">
        <v>2979.2</v>
      </c>
      <c r="BK63" s="374">
        <v>1949.771</v>
      </c>
      <c r="BL63" s="185">
        <v>0.62173820153061221</v>
      </c>
      <c r="BM63" s="185">
        <v>0.65446126476906552</v>
      </c>
      <c r="BN63" s="374">
        <v>1949.771</v>
      </c>
      <c r="BO63" s="185">
        <v>0.62173820153061221</v>
      </c>
      <c r="BP63" s="185">
        <v>0.65446126476906552</v>
      </c>
      <c r="BQ63" s="374">
        <v>2463.2979999999998</v>
      </c>
      <c r="BR63" s="185">
        <f t="shared" si="33"/>
        <v>0.78549043367346927</v>
      </c>
      <c r="BS63" s="185">
        <f t="shared" si="49"/>
        <v>0.82683203544575723</v>
      </c>
      <c r="BT63" s="205">
        <f t="shared" si="50"/>
        <v>2463.2979999999998</v>
      </c>
      <c r="BU63" s="205"/>
      <c r="BV63" s="189" t="e">
        <f>#REF!+#REF!</f>
        <v>#REF!</v>
      </c>
      <c r="BW63" s="186" t="e">
        <f t="shared" si="36"/>
        <v>#REF!</v>
      </c>
      <c r="BX63" s="189" t="e">
        <f>#REF!+#REF!</f>
        <v>#REF!</v>
      </c>
      <c r="BY63" s="186" t="e">
        <f t="shared" si="37"/>
        <v>#REF!</v>
      </c>
      <c r="BZ63" s="189" t="e">
        <f>#REF!+#REF!</f>
        <v>#REF!</v>
      </c>
      <c r="CA63" s="186" t="e">
        <f t="shared" si="38"/>
        <v>#REF!</v>
      </c>
      <c r="CB63" s="189" t="e">
        <f>#REF!+#REF!</f>
        <v>#REF!</v>
      </c>
      <c r="CC63" s="186" t="e">
        <f t="shared" si="39"/>
        <v>#REF!</v>
      </c>
      <c r="CD63" s="189" t="e">
        <f>#REF!+#REF!</f>
        <v>#REF!</v>
      </c>
      <c r="CE63" s="186" t="e">
        <f t="shared" si="40"/>
        <v>#REF!</v>
      </c>
      <c r="CF63" s="189" t="e">
        <f>#REF!+#REF!</f>
        <v>#REF!</v>
      </c>
      <c r="CG63" s="186" t="e">
        <f t="shared" si="41"/>
        <v>#REF!</v>
      </c>
      <c r="CH63" s="189" t="e">
        <f>#REF!+#REF!</f>
        <v>#REF!</v>
      </c>
      <c r="CI63" s="186" t="e">
        <f t="shared" si="42"/>
        <v>#REF!</v>
      </c>
      <c r="CJ63" s="189" t="e">
        <f>#REF!+#REF!</f>
        <v>#REF!</v>
      </c>
      <c r="CK63" s="186" t="e">
        <f t="shared" si="43"/>
        <v>#REF!</v>
      </c>
      <c r="CL63" s="189" t="e">
        <f>#REF!+#REF!</f>
        <v>#REF!</v>
      </c>
      <c r="CM63" s="186" t="e">
        <f t="shared" si="44"/>
        <v>#REF!</v>
      </c>
      <c r="CN63" s="189" t="e">
        <f>#REF!+#REF!</f>
        <v>#REF!</v>
      </c>
      <c r="CO63" s="186" t="e">
        <f t="shared" si="45"/>
        <v>#REF!</v>
      </c>
      <c r="CP63" s="189" t="e">
        <f>#REF!+#REF!</f>
        <v>#REF!</v>
      </c>
      <c r="CQ63" s="186" t="e">
        <f t="shared" si="46"/>
        <v>#REF!</v>
      </c>
      <c r="CR63" s="189" t="e">
        <f>#REF!+#REF!</f>
        <v>#REF!</v>
      </c>
      <c r="CS63" s="186" t="e">
        <f t="shared" si="47"/>
        <v>#REF!</v>
      </c>
      <c r="CT63" s="189" t="e">
        <f>#REF!+#REF!</f>
        <v>#REF!</v>
      </c>
      <c r="CU63" s="186" t="e">
        <f t="shared" si="48"/>
        <v>#REF!</v>
      </c>
      <c r="CV63" s="416">
        <f t="shared" si="17"/>
        <v>513.52699999999982</v>
      </c>
      <c r="CW63" s="191" t="str">
        <f t="shared" si="31"/>
        <v>Cao hơn</v>
      </c>
      <c r="CX63" s="191" t="str">
        <f t="shared" si="32"/>
        <v>Cao hơn</v>
      </c>
      <c r="CY63" s="213"/>
      <c r="CZ63" s="213"/>
      <c r="DA63" s="231"/>
      <c r="DB63" s="163"/>
      <c r="DD63" s="195"/>
      <c r="DE63" s="196"/>
      <c r="DF63" s="196"/>
      <c r="DG63" s="197"/>
      <c r="DH63" s="196"/>
      <c r="DI63" s="196"/>
      <c r="DJ63" s="196"/>
      <c r="DL63" s="199"/>
      <c r="DM63" s="200"/>
    </row>
    <row r="64" spans="1:117" s="165" customFormat="1" ht="23.25" customHeight="1" x14ac:dyDescent="0.25">
      <c r="A64" s="410" t="s">
        <v>39</v>
      </c>
      <c r="B64" s="409" t="s">
        <v>526</v>
      </c>
      <c r="C64" s="202"/>
      <c r="D64" s="411">
        <f>SUM(D65:D126)</f>
        <v>3989690.054</v>
      </c>
      <c r="E64" s="411">
        <f t="shared" ref="E64:BQ64" si="51">SUM(E65:E126)</f>
        <v>50000</v>
      </c>
      <c r="F64" s="411">
        <f t="shared" si="51"/>
        <v>3939690.054</v>
      </c>
      <c r="G64" s="411">
        <f t="shared" si="51"/>
        <v>1899821.6629999999</v>
      </c>
      <c r="H64" s="411">
        <f t="shared" si="51"/>
        <v>1812868.3910000001</v>
      </c>
      <c r="I64" s="411">
        <f t="shared" si="51"/>
        <v>182536</v>
      </c>
      <c r="J64" s="411">
        <f t="shared" si="51"/>
        <v>0</v>
      </c>
      <c r="K64" s="411">
        <f t="shared" si="51"/>
        <v>227000</v>
      </c>
      <c r="L64" s="411">
        <f t="shared" si="51"/>
        <v>0</v>
      </c>
      <c r="M64" s="411">
        <f t="shared" si="51"/>
        <v>0</v>
      </c>
      <c r="N64" s="411">
        <f t="shared" si="51"/>
        <v>0</v>
      </c>
      <c r="O64" s="411">
        <f t="shared" si="51"/>
        <v>2082844</v>
      </c>
      <c r="P64" s="411">
        <f t="shared" si="51"/>
        <v>95271.45</v>
      </c>
      <c r="Q64" s="411">
        <f t="shared" si="51"/>
        <v>0.86079664425865055</v>
      </c>
      <c r="R64" s="411">
        <f t="shared" si="51"/>
        <v>241860.09433999998</v>
      </c>
      <c r="S64" s="411">
        <f t="shared" si="51"/>
        <v>2.240547376259042</v>
      </c>
      <c r="T64" s="411">
        <f t="shared" si="51"/>
        <v>2.3583749176387392</v>
      </c>
      <c r="U64" s="411">
        <f t="shared" si="51"/>
        <v>256793.97089900004</v>
      </c>
      <c r="V64" s="411">
        <f t="shared" si="51"/>
        <v>3.4848408477354473</v>
      </c>
      <c r="W64" s="411">
        <f t="shared" si="51"/>
        <v>3.6681547558669561</v>
      </c>
      <c r="X64" s="411">
        <f t="shared" si="51"/>
        <v>258750.71989900005</v>
      </c>
      <c r="Y64" s="411">
        <f t="shared" si="51"/>
        <v>3.4859415205256692</v>
      </c>
      <c r="Z64" s="411">
        <f t="shared" si="51"/>
        <v>3.6693116462994477</v>
      </c>
      <c r="AA64" s="411">
        <f t="shared" si="51"/>
        <v>261407.75156800001</v>
      </c>
      <c r="AB64" s="411">
        <f t="shared" si="51"/>
        <v>3.4980669485910214</v>
      </c>
      <c r="AC64" s="411">
        <f t="shared" si="51"/>
        <v>3.6820747170221724</v>
      </c>
      <c r="AD64" s="411">
        <f t="shared" si="51"/>
        <v>386137.98962300009</v>
      </c>
      <c r="AE64" s="411">
        <f t="shared" si="51"/>
        <v>9.9841696684222505</v>
      </c>
      <c r="AF64" s="411">
        <f t="shared" si="51"/>
        <v>10.509486760346492</v>
      </c>
      <c r="AG64" s="411">
        <f t="shared" si="51"/>
        <v>411259.05726500007</v>
      </c>
      <c r="AH64" s="411">
        <f t="shared" si="51"/>
        <v>10.023469644619167</v>
      </c>
      <c r="AI64" s="411">
        <f t="shared" si="51"/>
        <v>10.550845150850895</v>
      </c>
      <c r="AJ64" s="411">
        <f t="shared" si="51"/>
        <v>411259.05726500007</v>
      </c>
      <c r="AK64" s="411">
        <f t="shared" si="51"/>
        <v>10.023469644619167</v>
      </c>
      <c r="AL64" s="411">
        <f t="shared" si="51"/>
        <v>10.550845150850895</v>
      </c>
      <c r="AM64" s="411">
        <f t="shared" si="51"/>
        <v>457998.83992900001</v>
      </c>
      <c r="AN64" s="411">
        <f t="shared" si="51"/>
        <v>14.455407187791307</v>
      </c>
      <c r="AO64" s="411">
        <f t="shared" si="51"/>
        <v>15.216034147706086</v>
      </c>
      <c r="AP64" s="411">
        <f t="shared" si="51"/>
        <v>0</v>
      </c>
      <c r="AQ64" s="411">
        <f t="shared" si="51"/>
        <v>652260.92593699996</v>
      </c>
      <c r="AR64" s="411">
        <f t="shared" si="51"/>
        <v>18.693208331351336</v>
      </c>
      <c r="AS64" s="411">
        <f t="shared" si="51"/>
        <v>19.676774072904355</v>
      </c>
      <c r="AT64" s="411">
        <f t="shared" si="51"/>
        <v>661284.59297799994</v>
      </c>
      <c r="AU64" s="411">
        <f t="shared" si="51"/>
        <v>19.468343999609704</v>
      </c>
      <c r="AV64" s="411">
        <f t="shared" si="51"/>
        <v>20.492706331440854</v>
      </c>
      <c r="AW64" s="411">
        <f t="shared" si="51"/>
        <v>551315.83838099998</v>
      </c>
      <c r="AX64" s="411">
        <f t="shared" si="51"/>
        <v>0.42426611323723806</v>
      </c>
      <c r="AY64" s="411">
        <f t="shared" si="51"/>
        <v>0.44630227511248155</v>
      </c>
      <c r="AZ64" s="411">
        <f t="shared" si="51"/>
        <v>571308.34171099996</v>
      </c>
      <c r="BA64" s="411">
        <f t="shared" si="51"/>
        <v>0.43694699881561549</v>
      </c>
      <c r="BB64" s="411">
        <f t="shared" si="51"/>
        <v>0.45964833720445286</v>
      </c>
      <c r="BC64" s="411">
        <f t="shared" si="51"/>
        <v>760538.96454899991</v>
      </c>
      <c r="BD64" s="411">
        <f t="shared" si="51"/>
        <v>18.8916907872858</v>
      </c>
      <c r="BE64" s="411">
        <f t="shared" si="51"/>
        <v>19.88565566181374</v>
      </c>
      <c r="BF64" s="411">
        <f t="shared" si="51"/>
        <v>0</v>
      </c>
      <c r="BG64" s="411">
        <f t="shared" si="51"/>
        <v>1006046.94778</v>
      </c>
      <c r="BH64" s="411">
        <f t="shared" si="51"/>
        <v>27.401191092119472</v>
      </c>
      <c r="BI64" s="411">
        <f t="shared" si="51"/>
        <v>28.842901832462275</v>
      </c>
      <c r="BJ64" s="411">
        <f t="shared" si="51"/>
        <v>3796980.551299999</v>
      </c>
      <c r="BK64" s="411">
        <v>1155501.7542000001</v>
      </c>
      <c r="BL64" s="412">
        <v>0.28962193517802526</v>
      </c>
      <c r="BM64" s="412">
        <v>0.30466423996556669</v>
      </c>
      <c r="BN64" s="411">
        <v>1186516.0970800002</v>
      </c>
      <c r="BO64" s="412">
        <v>0.29739555730411138</v>
      </c>
      <c r="BP64" s="412">
        <v>0.31284160634966934</v>
      </c>
      <c r="BQ64" s="411">
        <f t="shared" si="51"/>
        <v>1254227.5732149999</v>
      </c>
      <c r="BR64" s="412">
        <f t="shared" si="33"/>
        <v>0.31436717044160639</v>
      </c>
      <c r="BS64" s="412">
        <f t="shared" si="49"/>
        <v>0.33069468648445349</v>
      </c>
      <c r="BT64" s="411">
        <f t="shared" si="50"/>
        <v>868089.58359199972</v>
      </c>
      <c r="BU64" s="411"/>
      <c r="BV64" s="413" t="e">
        <f>SUM(BV71,BV72,BV73,BV74,BV75,BV24,BV25,BV76,BV77,,BV78,BV79,BV80,BV81,BV82,BV83,BV84,BV85,BV86,BV87,BV88,BV89,BV90,BV91,BV92,BV93,BV94,BV95,BV96,BV97,BV98,BV99,BV100,BV101,BV102,BV103,BV104,BV105,BV106,BV107,BV108,BV109,BV110,BV111,BV112,BV113,BV114,BV115,BV116,BV117,BV118,BV119,BV120,BV121,BV122,BV123,BV124,BV125,BV126,BV26,BV27,BV28,BV29,BV30,BV31,BV32,BV33,BV34,BV35,BV36,BV37,BV38,BV39,BV40,BV41,BV42,BV43,BV44,BV45,BV46,BV47,BV48,BV49,BV50,BV51,BV52,BV53,BV54,BV55,BV56,BV57,BV58,BV59,BV60,BV61,BV62,BV63)</f>
        <v>#REF!</v>
      </c>
      <c r="BW64" s="414" t="e">
        <f t="shared" si="36"/>
        <v>#REF!</v>
      </c>
      <c r="BX64" s="413" t="e">
        <f>SUM(BX71,BX72,BX73,BX74,BX75,BX24,BX25,BX76,BX77,,BX78,BX79,BX80,BX81,BX82,BX83,BX84,BX85,BX86,BX87,BX88,BX89,BX90,BX91,BX92,BX93,BX94,BX95,BX96,BX97,BX98,BX99,BX100,BX101,BX102,BX103,BX104,BX105,BX106,BX107,BX108,BX109,BX110,BX111,BX112,BX113,BX114,BX115,BX116,BX117,BX118,BX119,BX120,BX121,BX122,BX123,BX124,BX125,BX126,BX26,BX27,BX28,BX29,BX30,BX31,BX32,BX33,BX34,BX35,BX36,BX37,BX38,BX39,BX40,BX41,BX42,BX43,BX44,BX45,BX46,BX47,BX48,BX49,BX50,BX51,BX52,BX53,BX54,BX55,BX56,BX57,BX58,BX59,BX60,BX61,BX62,BX63)</f>
        <v>#REF!</v>
      </c>
      <c r="BY64" s="414" t="e">
        <f t="shared" si="37"/>
        <v>#REF!</v>
      </c>
      <c r="BZ64" s="413" t="e">
        <f>SUM(BZ71,BZ72,BZ73,BZ74,BZ75,BZ24,BZ25,BZ76,BZ77,,BZ78,BZ79,BZ80,BZ81,BZ82,BZ83,BZ84,BZ85,BZ86,BZ87,BZ88,BZ89,BZ90,BZ91,BZ92,BZ93,BZ94,BZ95,BZ96,BZ97,BZ98,BZ99,BZ100,BZ101,BZ102,BZ103,BZ104,BZ105,BZ106,BZ107,BZ108,BZ109,BZ110,BZ111,BZ112,BZ113,BZ114,BZ115,BZ116,BZ117,BZ118,BZ119,BZ120,BZ121,BZ122,BZ123,BZ124,BZ125,BZ126,BZ26,BZ27,BZ28,BZ29,BZ30,BZ31,BZ32,BZ33,BZ34,BZ35,BZ36,BZ37,BZ38,BZ39,BZ40,BZ41,BZ42,BZ43,BZ44,BZ45,BZ46,BZ47,BZ48,BZ49,BZ50,BZ51,BZ52,BZ53,BZ54,BZ55,BZ56,BZ57,BZ58,BZ59,BZ60,BZ61,BZ62,BZ63)</f>
        <v>#REF!</v>
      </c>
      <c r="CA64" s="414" t="e">
        <f t="shared" si="38"/>
        <v>#REF!</v>
      </c>
      <c r="CB64" s="413" t="e">
        <f>SUM(CB71,CB72,CB73,CB74,CB75,CB24,CB25,CB76,CB77,,CB78,CB79,CB80,CB81,CB82,CB83,CB84,CB85,CB86,CB87,CB88,CB89,CB90,CB91,CB92,CB93,CB94,CB95,CB96,CB97,CB98,CB99,CB100,CB101,CB102,CB103,CB104,CB105,CB106,CB107,CB108,CB109,CB110,CB111,CB112,CB113,CB114,CB115,CB116,CB117,CB118,CB119,CB120,CB121,CB122,CB123,CB124,CB125,CB126,CB26,CB27,CB28,CB29,CB30,CB31,CB32,CB33,CB34,CB35,CB36,CB37,CB38,CB39,CB40,CB41,CB42,CB43,CB44,CB45,CB46,CB47,CB48,CB49,CB50,CB51,CB52,CB53,CB54,CB55,CB56,CB57,CB58,CB59,CB60,CB61,CB62,CB63)</f>
        <v>#REF!</v>
      </c>
      <c r="CC64" s="414" t="e">
        <f t="shared" si="39"/>
        <v>#REF!</v>
      </c>
      <c r="CD64" s="413" t="e">
        <f>SUM(CD71,CD72,CD73,CD74,CD75,CD24,CD25,CD76,CD77,,CD78,CD79,CD80,CD81,CD82,CD83,CD84,CD85,CD86,CD87,CD88,CD89,CD90,CD91,CD92,CD93,CD94,CD95,CD96,CD97,CD98,CD99,CD100,CD101,CD102,CD103,CD104,CD105,CD106,CD107,CD108,CD109,CD110,CD111,CD112,CD113,CD114,CD115,CD116,CD117,CD118,CD119,CD120,CD121,CD122,CD123,CD124,CD125,CD126,CD26,CD27,CD28,CD29,CD30,CD31,CD32,CD33,CD34,CD35,CD36,CD37,CD38,CD39,CD40,CD41,CD42,CD43,CD44,CD45,CD46,CD47,CD48,CD49,CD50,CD51,CD52,CD53,CD54,CD55,CD56,CD57,CD58,CD59,CD60,CD61,CD62,CD63)</f>
        <v>#REF!</v>
      </c>
      <c r="CE64" s="414" t="e">
        <f t="shared" si="40"/>
        <v>#REF!</v>
      </c>
      <c r="CF64" s="413" t="e">
        <f>SUM(CF71,CF72,CF73,CF74,CF75,CF24,CF25,CF76,CF77,,CF78,CF79,CF80,CF81,CF82,CF83,CF84,CF85,CF86,CF87,CF88,CF89,CF90,CF91,CF92,CF93,CF94,CF95,CF96,CF97,CF98,CF99,CF100,CF101,CF102,CF103,CF104,CF105,CF106,CF107,CF108,CF109,CF110,CF111,CF112,CF113,CF114,CF115,CF116,CF117,CF118,CF119,CF120,CF121,CF122,CF123,CF124,CF125,CF126,CF26,CF27,CF28,CF29,CF30,CF31,CF32,CF33,CF34,CF35,CF36,CF37,CF38,CF39,CF40,CF41,CF42,CF43,CF44,CF45,CF46,CF47,CF48,CF49,CF50,CF51,CF52,CF53,CF54,CF55,CF56,CF57,CF58,CF59,CF60,CF61,CF62,CF63)</f>
        <v>#REF!</v>
      </c>
      <c r="CG64" s="414" t="e">
        <f t="shared" si="41"/>
        <v>#REF!</v>
      </c>
      <c r="CH64" s="413" t="e">
        <f>SUM(CH71,CH72,CH73,CH74,CH75,CH24,CH25,CH76,CH77,,CH78,CH79,CH80,CH81,CH82,CH83,CH84,CH85,CH86,CH87,CH88,CH89,CH90,CH91,CH92,CH93,CH94,CH95,CH96,CH97,CH98,CH99,CH100,CH101,CH102,CH103,CH104,CH105,CH106,CH107,CH108,CH109,CH110,CH111,CH112,CH113,CH114,CH115,CH116,CH117,CH118,CH119,CH120,CH121,CH122,CH123,CH124,CH125,CH126,CH26,CH27,CH28,CH29,CH30,CH31,CH32,CH33,CH34,CH35,CH36,CH37,CH38,CH39,CH40,CH41,CH42,CH43,CH44,CH45,CH46,CH47,CH48,CH49,CH50,CH51,CH52,CH53,CH54,CH55,CH56,CH57,CH58,CH59,CH60,CH61,CH62,CH63)</f>
        <v>#REF!</v>
      </c>
      <c r="CI64" s="414" t="e">
        <f t="shared" si="42"/>
        <v>#REF!</v>
      </c>
      <c r="CJ64" s="413" t="e">
        <f>SUM(CJ71,CJ72,CJ73,CJ74,CJ75,CJ24,CJ25,CJ76,CJ77,,CJ78,CJ79,CJ80,CJ81,CJ82,CJ83,CJ84,CJ85,CJ86,CJ87,CJ88,CJ89,CJ90,CJ91,CJ92,CJ93,CJ94,CJ95,CJ96,CJ97,CJ98,CJ99,CJ100,CJ101,CJ102,CJ103,CJ104,CJ105,CJ106,CJ107,CJ108,CJ109,CJ110,CJ111,CJ112,CJ113,CJ114,CJ115,CJ116,CJ117,CJ118,CJ119,CJ120,CJ121,CJ122,CJ123,CJ124,CJ125,CJ126,CJ26,CJ27,CJ28,CJ29,CJ30,CJ31,CJ32,CJ33,CJ34,CJ35,CJ36,CJ37,CJ38,CJ39,CJ40,CJ41,CJ42,CJ43,CJ44,CJ45,CJ46,CJ47,CJ48,CJ49,CJ50,CJ51,CJ52,CJ53,CJ54,CJ55,CJ56,CJ57,CJ58,CJ59,CJ60,CJ61,CJ62,CJ63)</f>
        <v>#REF!</v>
      </c>
      <c r="CK64" s="414" t="e">
        <f t="shared" si="43"/>
        <v>#REF!</v>
      </c>
      <c r="CL64" s="413" t="e">
        <f>SUM(CL71,CL72,CL73,CL74,CL75,CL24,CL25,CL76,CL77,,CL78,CL79,CL80,CL81,CL82,CL83,CL84,CL85,CL86,CL87,CL88,CL89,CL90,CL91,CL92,CL93,CL94,CL95,CL96,CL97,CL98,CL99,CL100,CL101,CL102,CL103,CL104,CL105,CL106,CL107,CL108,CL109,CL110,CL111,CL112,CL113,CL114,CL115,CL116,CL117,CL118,CL119,CL120,CL121,CL122,CL123,CL124,CL125,CL126,CL26,CL27,CL28,CL29,CL30,CL31,CL32,CL33,CL34,CL35,CL36,CL37,CL38,CL39,CL40,CL41,CL42,CL43,CL44,CL45,CL46,CL47,CL48,CL49,CL50,CL51,CL52,CL53,CL54,CL55,CL56,CL57,CL58,CL59,CL60,CL61,CL62,CL63)</f>
        <v>#REF!</v>
      </c>
      <c r="CM64" s="414" t="e">
        <f t="shared" si="44"/>
        <v>#REF!</v>
      </c>
      <c r="CN64" s="413" t="e">
        <f>SUM(CN71,CN72,CN73,CN74,CN75,CN24,CN25,CN76,CN77,,CN78,CN79,CN80,CN81,CN82,CN83,CN84,CN85,CN86,CN87,CN88,CN89,CN90,CN91,CN92,CN93,CN94,CN95,CN96,CN97,CN98,CN99,CN100,CN101,CN102,CN103,CN104,CN105,CN106,CN107,CN108,CN109,CN110,CN111,CN112,CN113,CN114,CN115,CN116,CN117,CN118,CN119,CN120,CN121,CN122,CN123,CN124,CN125,CN126,CN26,CN27,CN28,CN29,CN30,CN31,CN32,CN33,CN34,CN35,CN36,CN37,CN38,CN39,CN40,CN41,CN42,CN43,CN44,CN45,CN46,CN47,CN48,CN49,CN50,CN51,CN52,CN53,CN54,CN55,CN56,CN57,CN58,CN59,CN60,CN61,CN62,CN63)</f>
        <v>#REF!</v>
      </c>
      <c r="CO64" s="414" t="e">
        <f t="shared" si="45"/>
        <v>#REF!</v>
      </c>
      <c r="CP64" s="413" t="e">
        <f>SUM(CP71,CP72,CP73,CP74,CP75,CP24,CP25,CP76,CP77,,CP78,CP79,CP80,CP81,CP82,CP83,CP84,CP85,CP86,CP87,CP88,CP89,CP90,CP91,CP92,CP93,CP94,CP95,CP96,CP97,CP98,CP99,CP100,CP101,CP102,CP103,CP104,CP105,CP106,CP107,CP108,CP109,CP110,CP111,CP112,CP113,CP114,CP115,CP116,CP117,CP118,CP119,CP120,CP121,CP122,CP123,CP124,CP125,CP126,CP26,CP27,CP28,CP29,CP30,CP31,CP32,CP33,CP34,CP35,CP36,CP37,CP38,CP39,CP40,CP41,CP42,CP43,CP44,CP45,CP46,CP47,CP48,CP49,CP50,CP51,CP52,CP53,CP54,CP55,CP56,CP57,CP58,CP59,CP60,CP61,CP62,CP63)</f>
        <v>#REF!</v>
      </c>
      <c r="CQ64" s="414" t="e">
        <f t="shared" si="46"/>
        <v>#REF!</v>
      </c>
      <c r="CR64" s="413" t="e">
        <f>SUM(CR71,CR72,CR73,CR74,CR75,CR24,CR25,CR76,CR77,,CR78,CR79,CR80,CR81,CR82,CR83,CR84,CR85,CR86,CR87,CR88,CR89,CR90,CR91,CR92,CR93,CR94,CR95,CR96,CR97,CR98,CR99,CR100,CR101,CR102,CR103,CR104,CR105,CR106,CR107,CR108,CR109,CR110,CR111,CR112,CR113,CR114,CR115,CR116,CR117,CR118,CR119,CR120,CR121,CR122,CR123,CR124,CR125,CR126,CR26,CR27,CR28,CR29,CR30,CR31,CR32,CR33,CR34,CR35,CR36,CR37,CR38,CR39,CR40,CR41,CR42,CR43,CR44,CR45,CR46,CR47,CR48,CR49,CR50,CR51,CR52,CR53,CR54,CR55,CR56,CR57,CR58,CR59,CR60,CR61,CR62,CR63)</f>
        <v>#REF!</v>
      </c>
      <c r="CS64" s="414" t="e">
        <f t="shared" si="47"/>
        <v>#REF!</v>
      </c>
      <c r="CT64" s="413" t="e">
        <f>SUM(CT71,CT72,CT73,CT74,CT75,CT24,CT25,CT76,CT77,,CT78,CT79,CT80,CT81,CT82,CT83,CT84,CT85,CT86,CT87,CT88,CT89,CT90,CT91,CT92,CT93,CT94,CT95,CT96,CT97,CT98,CT99,CT100,CT101,CT102,CT103,CT104,CT105,CT106,CT107,CT108,CT109,CT110,CT111,CT112,CT113,CT114,CT115,CT116,CT117,CT118,CT119,CT120,CT121,CT122,CT123,CT124,CT125,CT126,CT26,CT27,CT28,CT29,CT30,CT31,CT32,CT33,CT34,CT35,CT36,CT37,CT38,CT39,CT40,CT41,CT42,CT43,CT44,CT45,CT46,CT47,CT48,CT49,CT50,CT51,CT52,CT53,CT54,CT55,CT56,CT57,CT58,CT59,CT60,CT61,CT62,CT63)</f>
        <v>#REF!</v>
      </c>
      <c r="CU64" s="414" t="e">
        <f t="shared" si="48"/>
        <v>#REF!</v>
      </c>
      <c r="CV64" s="416">
        <f t="shared" si="17"/>
        <v>67711.476134999655</v>
      </c>
      <c r="CW64" s="410" t="str">
        <f t="shared" si="31"/>
        <v>Thấp hơn</v>
      </c>
      <c r="CX64" s="410" t="str">
        <f t="shared" si="32"/>
        <v>Thấp hơn</v>
      </c>
      <c r="CY64" s="415"/>
      <c r="CZ64" s="207"/>
      <c r="DA64" s="207"/>
      <c r="DB64" s="163"/>
      <c r="DC64" s="208"/>
      <c r="DD64" s="195"/>
      <c r="DE64" s="196"/>
      <c r="DF64" s="196"/>
      <c r="DG64" s="197"/>
      <c r="DH64" s="196"/>
      <c r="DI64" s="196"/>
      <c r="DJ64" s="196"/>
      <c r="DL64" s="199"/>
      <c r="DM64" s="200"/>
    </row>
    <row r="65" spans="1:117" s="165" customFormat="1" ht="30" customHeight="1" x14ac:dyDescent="0.25">
      <c r="A65" s="191">
        <v>1</v>
      </c>
      <c r="B65" s="210" t="s">
        <v>153</v>
      </c>
      <c r="C65" s="210"/>
      <c r="D65" s="205">
        <v>1781215.3910000001</v>
      </c>
      <c r="E65" s="205">
        <v>50000</v>
      </c>
      <c r="F65" s="205">
        <v>1731215.3910000001</v>
      </c>
      <c r="G65" s="205">
        <v>1016382</v>
      </c>
      <c r="H65" s="205">
        <v>714833.39100000006</v>
      </c>
      <c r="I65" s="205">
        <v>147950</v>
      </c>
      <c r="J65" s="205">
        <v>0</v>
      </c>
      <c r="K65" s="205">
        <v>0</v>
      </c>
      <c r="L65" s="205">
        <v>0</v>
      </c>
      <c r="M65" s="205">
        <v>0</v>
      </c>
      <c r="N65" s="205">
        <v>0</v>
      </c>
      <c r="O65" s="205">
        <v>1160892</v>
      </c>
      <c r="P65" s="205">
        <v>28382.410251999998</v>
      </c>
      <c r="Q65" s="186">
        <v>1.5934294300065363E-2</v>
      </c>
      <c r="R65" s="205">
        <v>109697.32821199998</v>
      </c>
      <c r="S65" s="211">
        <v>6.1704829961840763E-2</v>
      </c>
      <c r="T65" s="211">
        <v>6.4856447852211424E-2</v>
      </c>
      <c r="U65" s="205">
        <v>112854.77096000001</v>
      </c>
      <c r="V65" s="211">
        <v>6.3480893892067611E-2</v>
      </c>
      <c r="W65" s="211">
        <v>6.6723225505503483E-2</v>
      </c>
      <c r="X65" s="205">
        <v>114811.51996000002</v>
      </c>
      <c r="Y65" s="211">
        <v>6.4581566682289634E-2</v>
      </c>
      <c r="Z65" s="211">
        <v>6.7880115937995214E-2</v>
      </c>
      <c r="AA65" s="205">
        <v>115425.985629</v>
      </c>
      <c r="AB65" s="211">
        <v>6.4927204085141937E-2</v>
      </c>
      <c r="AC65" s="211">
        <v>6.8243407015982582E-2</v>
      </c>
      <c r="AD65" s="205">
        <v>189129.65762899999</v>
      </c>
      <c r="AE65" s="211">
        <v>0.10638557524559636</v>
      </c>
      <c r="AF65" s="211">
        <v>0.11181929384475207</v>
      </c>
      <c r="AG65" s="205">
        <v>200562.174271</v>
      </c>
      <c r="AH65" s="211">
        <v>0.11281637449047127</v>
      </c>
      <c r="AI65" s="211">
        <v>0.1185785507154249</v>
      </c>
      <c r="AJ65" s="205">
        <v>200562.174271</v>
      </c>
      <c r="AK65" s="211">
        <v>0.11281637449047127</v>
      </c>
      <c r="AL65" s="211">
        <v>0.1185785507154249</v>
      </c>
      <c r="AM65" s="205">
        <v>210179.65294599999</v>
      </c>
      <c r="AN65" s="211">
        <v>0.11822621350820577</v>
      </c>
      <c r="AO65" s="211">
        <v>0.12426470109230034</v>
      </c>
      <c r="AP65" s="211"/>
      <c r="AQ65" s="205">
        <v>328308.48786399991</v>
      </c>
      <c r="AR65" s="211">
        <v>0.18467377235958143</v>
      </c>
      <c r="AS65" s="211">
        <v>0.19410611607093478</v>
      </c>
      <c r="AT65" s="205">
        <v>328335.72886399995</v>
      </c>
      <c r="AU65" s="211">
        <v>0.18468909544265366</v>
      </c>
      <c r="AV65" s="211">
        <v>0.19412222179132688</v>
      </c>
      <c r="AW65" s="205">
        <v>335512.77871099999</v>
      </c>
      <c r="AX65" s="211">
        <v>0.18872619140164484</v>
      </c>
      <c r="AY65" s="211">
        <v>0.19836551528554128</v>
      </c>
      <c r="AZ65" s="205">
        <v>339579.185711</v>
      </c>
      <c r="BA65" s="211">
        <v>0.19058840958453466</v>
      </c>
      <c r="BB65" s="211">
        <v>0.20032350643489402</v>
      </c>
      <c r="BC65" s="205">
        <v>383848.50755400001</v>
      </c>
      <c r="BD65" s="211">
        <v>0.21549808602232093</v>
      </c>
      <c r="BE65" s="211">
        <v>0.22650544995744745</v>
      </c>
      <c r="BF65" s="205"/>
      <c r="BG65" s="205">
        <v>524443.535776</v>
      </c>
      <c r="BH65" s="211">
        <v>0.29443016180180759</v>
      </c>
      <c r="BI65" s="211">
        <v>0.30946927423315884</v>
      </c>
      <c r="BJ65" s="205">
        <v>1694654.62145</v>
      </c>
      <c r="BK65" s="205">
        <v>593217</v>
      </c>
      <c r="BL65" s="211">
        <v>0.3330405761130098</v>
      </c>
      <c r="BM65" s="211">
        <v>0.35005185864505228</v>
      </c>
      <c r="BN65" s="205">
        <v>613755.84699999995</v>
      </c>
      <c r="BO65" s="211">
        <v>0.34457138092402656</v>
      </c>
      <c r="BP65" s="211">
        <v>0.36217164207468483</v>
      </c>
      <c r="BQ65" s="205">
        <v>636182.66677399992</v>
      </c>
      <c r="BR65" s="211">
        <f t="shared" si="3"/>
        <v>0.35716212086896337</v>
      </c>
      <c r="BS65" s="211">
        <f t="shared" si="49"/>
        <v>0.37540550075605494</v>
      </c>
      <c r="BT65" s="205">
        <f t="shared" si="50"/>
        <v>447053.0091449999</v>
      </c>
      <c r="BU65" s="205"/>
      <c r="BV65" s="189" t="e">
        <f>#REF!+#REF!+#REF!</f>
        <v>#REF!</v>
      </c>
      <c r="BW65" s="212" t="e">
        <f t="shared" si="4"/>
        <v>#REF!</v>
      </c>
      <c r="BX65" s="189" t="e">
        <f>#REF!+#REF!+#REF!</f>
        <v>#REF!</v>
      </c>
      <c r="BY65" s="212" t="e">
        <f t="shared" si="5"/>
        <v>#REF!</v>
      </c>
      <c r="BZ65" s="189" t="e">
        <f>#REF!+#REF!+#REF!</f>
        <v>#REF!</v>
      </c>
      <c r="CA65" s="186" t="e">
        <f t="shared" si="6"/>
        <v>#REF!</v>
      </c>
      <c r="CB65" s="189" t="e">
        <f>#REF!+#REF!+#REF!</f>
        <v>#REF!</v>
      </c>
      <c r="CC65" s="212" t="e">
        <f t="shared" si="7"/>
        <v>#REF!</v>
      </c>
      <c r="CD65" s="189" t="e">
        <f>#REF!+#REF!+#REF!</f>
        <v>#REF!</v>
      </c>
      <c r="CE65" s="212" t="e">
        <f t="shared" si="8"/>
        <v>#REF!</v>
      </c>
      <c r="CF65" s="189" t="e">
        <f>#REF!+#REF!+#REF!</f>
        <v>#REF!</v>
      </c>
      <c r="CG65" s="212" t="e">
        <f t="shared" si="9"/>
        <v>#REF!</v>
      </c>
      <c r="CH65" s="189" t="e">
        <f>#REF!+#REF!+#REF!</f>
        <v>#REF!</v>
      </c>
      <c r="CI65" s="212" t="e">
        <f t="shared" si="10"/>
        <v>#REF!</v>
      </c>
      <c r="CJ65" s="189" t="e">
        <f>#REF!+#REF!+#REF!</f>
        <v>#REF!</v>
      </c>
      <c r="CK65" s="212" t="e">
        <f t="shared" si="11"/>
        <v>#REF!</v>
      </c>
      <c r="CL65" s="189" t="e">
        <f>#REF!+#REF!+#REF!</f>
        <v>#REF!</v>
      </c>
      <c r="CM65" s="212" t="e">
        <f t="shared" si="12"/>
        <v>#REF!</v>
      </c>
      <c r="CN65" s="189" t="e">
        <f>#REF!+#REF!+#REF!</f>
        <v>#REF!</v>
      </c>
      <c r="CO65" s="212" t="e">
        <f t="shared" si="13"/>
        <v>#REF!</v>
      </c>
      <c r="CP65" s="189" t="e">
        <f>#REF!+#REF!+#REF!</f>
        <v>#REF!</v>
      </c>
      <c r="CQ65" s="212" t="e">
        <f t="shared" si="14"/>
        <v>#REF!</v>
      </c>
      <c r="CR65" s="189" t="e">
        <f>#REF!+#REF!+#REF!</f>
        <v>#REF!</v>
      </c>
      <c r="CS65" s="212" t="e">
        <f t="shared" si="15"/>
        <v>#REF!</v>
      </c>
      <c r="CT65" s="189" t="e">
        <f>#REF!+#REF!+#REF!</f>
        <v>#REF!</v>
      </c>
      <c r="CU65" s="212" t="e">
        <f t="shared" si="16"/>
        <v>#REF!</v>
      </c>
      <c r="CV65" s="416">
        <f t="shared" si="17"/>
        <v>22426.819773999974</v>
      </c>
      <c r="CW65" s="191" t="str">
        <f t="shared" si="31"/>
        <v>Cao hơn</v>
      </c>
      <c r="CX65" s="191" t="str">
        <f t="shared" si="32"/>
        <v>Thấp hơn</v>
      </c>
      <c r="CY65" s="213"/>
      <c r="CZ65" s="205">
        <f>BQ65-AZ65</f>
        <v>296603.48106299993</v>
      </c>
      <c r="DA65" s="213"/>
      <c r="DB65" s="163"/>
      <c r="DC65" s="208"/>
      <c r="DD65" s="195"/>
      <c r="DE65" s="196"/>
      <c r="DF65" s="196"/>
      <c r="DG65" s="197"/>
      <c r="DH65" s="196"/>
      <c r="DI65" s="196"/>
      <c r="DJ65" s="196"/>
      <c r="DL65" s="199"/>
      <c r="DM65" s="200"/>
    </row>
    <row r="66" spans="1:117" s="233" customFormat="1" ht="30" customHeight="1" x14ac:dyDescent="0.25">
      <c r="A66" s="191">
        <v>2</v>
      </c>
      <c r="B66" s="210" t="s">
        <v>206</v>
      </c>
      <c r="C66" s="210"/>
      <c r="D66" s="205">
        <v>1267366</v>
      </c>
      <c r="E66" s="205">
        <v>0</v>
      </c>
      <c r="F66" s="205">
        <v>1267366</v>
      </c>
      <c r="G66" s="205">
        <v>593366</v>
      </c>
      <c r="H66" s="205">
        <v>447000</v>
      </c>
      <c r="I66" s="205">
        <v>20835</v>
      </c>
      <c r="J66" s="205">
        <v>0</v>
      </c>
      <c r="K66" s="205">
        <v>227000</v>
      </c>
      <c r="L66" s="205">
        <v>0</v>
      </c>
      <c r="M66" s="231"/>
      <c r="N66" s="231"/>
      <c r="O66" s="205">
        <v>614201</v>
      </c>
      <c r="P66" s="205">
        <v>34787.741999999998</v>
      </c>
      <c r="Q66" s="186">
        <v>2.7448852186345539E-2</v>
      </c>
      <c r="R66" s="205">
        <v>91789.770329000006</v>
      </c>
      <c r="S66" s="185">
        <v>7.3402455281087575E-2</v>
      </c>
      <c r="T66" s="185">
        <v>7.726574240114481E-2</v>
      </c>
      <c r="U66" s="205">
        <v>97711.616329000011</v>
      </c>
      <c r="V66" s="185">
        <v>7.8138037848060782E-2</v>
      </c>
      <c r="W66" s="185">
        <v>8.2250566155853452E-2</v>
      </c>
      <c r="X66" s="205">
        <v>97711.616329000011</v>
      </c>
      <c r="Y66" s="185">
        <v>7.8138037848060782E-2</v>
      </c>
      <c r="Z66" s="185">
        <v>8.2250566155853452E-2</v>
      </c>
      <c r="AA66" s="205">
        <v>99376.636329000001</v>
      </c>
      <c r="AB66" s="185">
        <v>7.9469521254698125E-2</v>
      </c>
      <c r="AC66" s="185">
        <v>8.365212763652434E-2</v>
      </c>
      <c r="AD66" s="205">
        <v>118426.12832900001</v>
      </c>
      <c r="AE66" s="185">
        <v>9.4703021454618161E-2</v>
      </c>
      <c r="AF66" s="185">
        <v>9.9687391004861223E-2</v>
      </c>
      <c r="AG66" s="205">
        <v>127438.15632900002</v>
      </c>
      <c r="AH66" s="185">
        <v>0.10190976115873653</v>
      </c>
      <c r="AI66" s="185">
        <v>0.10727343279867002</v>
      </c>
      <c r="AJ66" s="226">
        <v>127438.15632900002</v>
      </c>
      <c r="AK66" s="185">
        <v>0.10190976115873653</v>
      </c>
      <c r="AL66" s="185">
        <v>0.10727343279867002</v>
      </c>
      <c r="AM66" s="205">
        <v>136236.79732899999</v>
      </c>
      <c r="AN66" s="185">
        <v>0.10894585951939224</v>
      </c>
      <c r="AO66" s="185">
        <v>0.11467985212567604</v>
      </c>
      <c r="AP66" s="185"/>
      <c r="AQ66" s="205">
        <v>196873.90332900002</v>
      </c>
      <c r="AR66" s="185">
        <v>0.15743614820391846</v>
      </c>
      <c r="AS66" s="185">
        <v>0.16572226126728257</v>
      </c>
      <c r="AT66" s="205">
        <v>198545.90367000003</v>
      </c>
      <c r="AU66" s="185">
        <v>0.15877321365053981</v>
      </c>
      <c r="AV66" s="185">
        <v>0.1671296985795156</v>
      </c>
      <c r="AW66" s="205">
        <v>198545.90367000003</v>
      </c>
      <c r="AX66" s="185">
        <v>0.15877321365053981</v>
      </c>
      <c r="AY66" s="185">
        <v>0.1671296985795156</v>
      </c>
      <c r="AZ66" s="205">
        <v>214472</v>
      </c>
      <c r="BA66" s="185">
        <v>0.16959188104602746</v>
      </c>
      <c r="BB66" s="185">
        <v>0.17851776952213416</v>
      </c>
      <c r="BC66" s="205">
        <v>241906.49655099993</v>
      </c>
      <c r="BD66" s="185">
        <v>0.19057269262844595</v>
      </c>
      <c r="BE66" s="185">
        <v>0.20060283434573259</v>
      </c>
      <c r="BF66" s="205"/>
      <c r="BG66" s="205">
        <v>264417.14743999997</v>
      </c>
      <c r="BH66" s="185">
        <v>0.20863519097087974</v>
      </c>
      <c r="BI66" s="185">
        <v>0.21961599049566288</v>
      </c>
      <c r="BJ66" s="205">
        <v>1203997.7</v>
      </c>
      <c r="BK66" s="205">
        <v>300428.58</v>
      </c>
      <c r="BL66" s="185">
        <v>0.23704958157312095</v>
      </c>
      <c r="BM66" s="185">
        <v>0.24952587534012732</v>
      </c>
      <c r="BN66" s="205">
        <v>302189.08600000001</v>
      </c>
      <c r="BO66" s="185">
        <v>0.23843868779815777</v>
      </c>
      <c r="BP66" s="185">
        <v>0.25098809241911346</v>
      </c>
      <c r="BQ66" s="205">
        <v>316966</v>
      </c>
      <c r="BR66" s="185">
        <f t="shared" ref="BR66" si="52">BQ66/$D66</f>
        <v>0.25009823523749258</v>
      </c>
      <c r="BS66" s="185">
        <f t="shared" si="49"/>
        <v>0.26326130024999217</v>
      </c>
      <c r="BT66" s="205">
        <f t="shared" si="50"/>
        <v>198539.87167099997</v>
      </c>
      <c r="BU66" s="205"/>
      <c r="BV66" s="189" t="e">
        <f>#REF!+#REF!</f>
        <v>#REF!</v>
      </c>
      <c r="BW66" s="186" t="e">
        <f t="shared" si="4"/>
        <v>#REF!</v>
      </c>
      <c r="BX66" s="189" t="e">
        <f>#REF!+#REF!</f>
        <v>#REF!</v>
      </c>
      <c r="BY66" s="186" t="e">
        <f t="shared" ref="BY66" si="53">BX66/$D66</f>
        <v>#REF!</v>
      </c>
      <c r="BZ66" s="189" t="e">
        <f>#REF!+#REF!</f>
        <v>#REF!</v>
      </c>
      <c r="CA66" s="186" t="e">
        <f t="shared" ref="CA66" si="54">BZ66/$D66</f>
        <v>#REF!</v>
      </c>
      <c r="CB66" s="189" t="e">
        <f>#REF!+#REF!</f>
        <v>#REF!</v>
      </c>
      <c r="CC66" s="186" t="e">
        <f t="shared" ref="CC66" si="55">CB66/$D66</f>
        <v>#REF!</v>
      </c>
      <c r="CD66" s="189" t="e">
        <f>#REF!+#REF!</f>
        <v>#REF!</v>
      </c>
      <c r="CE66" s="186" t="e">
        <f t="shared" ref="CE66" si="56">CD66/$D66</f>
        <v>#REF!</v>
      </c>
      <c r="CF66" s="189" t="e">
        <f>#REF!+#REF!</f>
        <v>#REF!</v>
      </c>
      <c r="CG66" s="186" t="e">
        <f t="shared" ref="CG66" si="57">CF66/$D66</f>
        <v>#REF!</v>
      </c>
      <c r="CH66" s="189" t="e">
        <f>#REF!+#REF!</f>
        <v>#REF!</v>
      </c>
      <c r="CI66" s="186" t="e">
        <f t="shared" ref="CI66" si="58">CH66/$D66</f>
        <v>#REF!</v>
      </c>
      <c r="CJ66" s="189" t="e">
        <f>#REF!+#REF!</f>
        <v>#REF!</v>
      </c>
      <c r="CK66" s="186" t="e">
        <f t="shared" ref="CK66" si="59">CJ66/$D66</f>
        <v>#REF!</v>
      </c>
      <c r="CL66" s="189" t="e">
        <f>#REF!+#REF!</f>
        <v>#REF!</v>
      </c>
      <c r="CM66" s="186" t="e">
        <f t="shared" ref="CM66" si="60">CL66/$D66</f>
        <v>#REF!</v>
      </c>
      <c r="CN66" s="189" t="e">
        <f>#REF!+#REF!</f>
        <v>#REF!</v>
      </c>
      <c r="CO66" s="186" t="e">
        <f t="shared" ref="CO66" si="61">CN66/$D66</f>
        <v>#REF!</v>
      </c>
      <c r="CP66" s="189" t="e">
        <f>#REF!+#REF!</f>
        <v>#REF!</v>
      </c>
      <c r="CQ66" s="186" t="e">
        <f t="shared" ref="CQ66" si="62">CP66/$D66</f>
        <v>#REF!</v>
      </c>
      <c r="CR66" s="189" t="e">
        <f>#REF!+#REF!</f>
        <v>#REF!</v>
      </c>
      <c r="CS66" s="186" t="e">
        <f t="shared" ref="CS66" si="63">CR66/$D66</f>
        <v>#REF!</v>
      </c>
      <c r="CT66" s="189" t="e">
        <f>#REF!+#REF!</f>
        <v>#REF!</v>
      </c>
      <c r="CU66" s="186" t="e">
        <f t="shared" ref="CU66" si="64">CT66/$D66</f>
        <v>#REF!</v>
      </c>
      <c r="CV66" s="416">
        <f t="shared" si="17"/>
        <v>14776.91399999999</v>
      </c>
      <c r="CW66" s="191" t="str">
        <f t="shared" si="31"/>
        <v>Thấp hơn</v>
      </c>
      <c r="CX66" s="191" t="str">
        <f t="shared" si="32"/>
        <v>Thấp hơn</v>
      </c>
      <c r="CY66" s="213"/>
      <c r="CZ66" s="205">
        <f>BQ66-AZ66</f>
        <v>102494</v>
      </c>
      <c r="DA66" s="213"/>
      <c r="DB66" s="163"/>
      <c r="DC66" s="232"/>
      <c r="DD66" s="195"/>
      <c r="DE66" s="196"/>
      <c r="DF66" s="196"/>
      <c r="DG66" s="197"/>
      <c r="DH66" s="196"/>
      <c r="DI66" s="196"/>
      <c r="DJ66" s="196"/>
      <c r="DL66" s="199"/>
      <c r="DM66" s="200"/>
    </row>
    <row r="67" spans="1:117" s="233" customFormat="1" ht="18" customHeight="1" x14ac:dyDescent="0.25">
      <c r="A67" s="191">
        <v>3</v>
      </c>
      <c r="B67" s="210" t="s">
        <v>301</v>
      </c>
      <c r="C67" s="210"/>
      <c r="D67" s="205">
        <v>224800</v>
      </c>
      <c r="E67" s="205">
        <v>0</v>
      </c>
      <c r="F67" s="205">
        <v>224800</v>
      </c>
      <c r="G67" s="205">
        <v>10000</v>
      </c>
      <c r="H67" s="205">
        <v>214800</v>
      </c>
      <c r="I67" s="205">
        <v>7759</v>
      </c>
      <c r="J67" s="205"/>
      <c r="K67" s="205">
        <v>0</v>
      </c>
      <c r="L67" s="205">
        <v>0</v>
      </c>
      <c r="M67" s="231"/>
      <c r="N67" s="231"/>
      <c r="O67" s="205">
        <v>17759</v>
      </c>
      <c r="P67" s="205">
        <v>11664.517748</v>
      </c>
      <c r="Q67" s="186">
        <v>5.1888424145907476E-2</v>
      </c>
      <c r="R67" s="205">
        <v>12059.126445</v>
      </c>
      <c r="S67" s="185">
        <v>5.364380091192171E-2</v>
      </c>
      <c r="T67" s="185">
        <v>5.6467158854654427E-2</v>
      </c>
      <c r="U67" s="205">
        <v>12416.316709999999</v>
      </c>
      <c r="V67" s="185">
        <v>5.5232725578291814E-2</v>
      </c>
      <c r="W67" s="185">
        <v>5.8139711135044014E-2</v>
      </c>
      <c r="X67" s="205">
        <v>12416.316709999999</v>
      </c>
      <c r="Y67" s="185">
        <v>5.5232725578291814E-2</v>
      </c>
      <c r="Z67" s="185">
        <v>5.8139711135044014E-2</v>
      </c>
      <c r="AA67" s="205">
        <v>12416.316709999999</v>
      </c>
      <c r="AB67" s="185">
        <v>5.5232725578291814E-2</v>
      </c>
      <c r="AC67" s="185">
        <v>5.8139711135044014E-2</v>
      </c>
      <c r="AD67" s="205">
        <v>12516.316709999999</v>
      </c>
      <c r="AE67" s="185">
        <v>5.5677565435943058E-2</v>
      </c>
      <c r="AF67" s="185">
        <v>5.8607963616782166E-2</v>
      </c>
      <c r="AG67" s="205">
        <v>14034.14471</v>
      </c>
      <c r="AH67" s="185">
        <v>6.2429469350533812E-2</v>
      </c>
      <c r="AI67" s="185">
        <v>6.5715230895298751E-2</v>
      </c>
      <c r="AJ67" s="189">
        <v>14034.14471</v>
      </c>
      <c r="AK67" s="185">
        <v>6.2429469350533812E-2</v>
      </c>
      <c r="AL67" s="185">
        <v>6.5715230895298751E-2</v>
      </c>
      <c r="AM67" s="205">
        <v>17048.984</v>
      </c>
      <c r="AN67" s="185">
        <v>7.5840676156583631E-2</v>
      </c>
      <c r="AO67" s="185">
        <v>7.9832290691140659E-2</v>
      </c>
      <c r="AP67" s="185"/>
      <c r="AQ67" s="205">
        <v>17257.156000000003</v>
      </c>
      <c r="AR67" s="185">
        <v>7.6766708185053392E-2</v>
      </c>
      <c r="AS67" s="185">
        <v>8.0807061247424622E-2</v>
      </c>
      <c r="AT67" s="205">
        <v>17257.156000000003</v>
      </c>
      <c r="AU67" s="185">
        <v>7.6766708185053392E-2</v>
      </c>
      <c r="AV67" s="185">
        <v>8.0807061247424622E-2</v>
      </c>
      <c r="AW67" s="205">
        <v>17257.156000000003</v>
      </c>
      <c r="AX67" s="185">
        <v>7.6766708185053392E-2</v>
      </c>
      <c r="AY67" s="185">
        <v>8.0807061247424622E-2</v>
      </c>
      <c r="AZ67" s="205">
        <v>17257.156000000003</v>
      </c>
      <c r="BA67" s="185">
        <v>7.6766708185053392E-2</v>
      </c>
      <c r="BB67" s="185">
        <v>8.0807061247424622E-2</v>
      </c>
      <c r="BC67" s="205">
        <v>17638.156000000003</v>
      </c>
      <c r="BD67" s="185">
        <v>7.8461548042704637E-2</v>
      </c>
      <c r="BE67" s="185">
        <v>8.2591103202846988E-2</v>
      </c>
      <c r="BF67" s="205"/>
      <c r="BG67" s="205">
        <v>38232.16599999999</v>
      </c>
      <c r="BH67" s="185">
        <v>0.17007191281138787</v>
      </c>
      <c r="BI67" s="185">
        <v>0.17902306611725038</v>
      </c>
      <c r="BJ67" s="205">
        <v>213560</v>
      </c>
      <c r="BK67" s="205">
        <v>52238</v>
      </c>
      <c r="BL67" s="185">
        <v>0.23237544483985764</v>
      </c>
      <c r="BM67" s="185">
        <v>0.24460573141037648</v>
      </c>
      <c r="BN67" s="205">
        <v>52238</v>
      </c>
      <c r="BO67" s="185">
        <v>0.23237544483985764</v>
      </c>
      <c r="BP67" s="185">
        <v>0.24460573141037648</v>
      </c>
      <c r="BQ67" s="205">
        <v>52238</v>
      </c>
      <c r="BR67" s="185">
        <f t="shared" ref="BR67" si="65">BQ67/$D67</f>
        <v>0.23237544483985764</v>
      </c>
      <c r="BS67" s="185">
        <f t="shared" si="49"/>
        <v>0.24460573141037648</v>
      </c>
      <c r="BT67" s="205">
        <f t="shared" si="50"/>
        <v>39721.683290000001</v>
      </c>
      <c r="BU67" s="205"/>
      <c r="BV67" s="189" t="e">
        <f>#REF!+#REF!</f>
        <v>#REF!</v>
      </c>
      <c r="BW67" s="186" t="e">
        <f t="shared" ref="BW67:BW69" si="66">BV67/$D67</f>
        <v>#REF!</v>
      </c>
      <c r="BX67" s="189" t="e">
        <f>#REF!+#REF!</f>
        <v>#REF!</v>
      </c>
      <c r="BY67" s="186" t="e">
        <f t="shared" ref="BY67" si="67">BX67/$D67</f>
        <v>#REF!</v>
      </c>
      <c r="BZ67" s="189" t="e">
        <f>#REF!+#REF!</f>
        <v>#REF!</v>
      </c>
      <c r="CA67" s="186" t="e">
        <f t="shared" ref="CA67" si="68">BZ67/$D67</f>
        <v>#REF!</v>
      </c>
      <c r="CB67" s="189" t="e">
        <f>#REF!+#REF!</f>
        <v>#REF!</v>
      </c>
      <c r="CC67" s="186" t="e">
        <f t="shared" ref="CC67" si="69">CB67/$D67</f>
        <v>#REF!</v>
      </c>
      <c r="CD67" s="189" t="e">
        <f>#REF!+#REF!</f>
        <v>#REF!</v>
      </c>
      <c r="CE67" s="186" t="e">
        <f t="shared" ref="CE67" si="70">CD67/$D67</f>
        <v>#REF!</v>
      </c>
      <c r="CF67" s="189" t="e">
        <f>#REF!+#REF!</f>
        <v>#REF!</v>
      </c>
      <c r="CG67" s="186" t="e">
        <f t="shared" ref="CG67" si="71">CF67/$D67</f>
        <v>#REF!</v>
      </c>
      <c r="CH67" s="189" t="e">
        <f>#REF!+#REF!</f>
        <v>#REF!</v>
      </c>
      <c r="CI67" s="186" t="e">
        <f t="shared" ref="CI67:CK67" si="72">CH67/$D67</f>
        <v>#REF!</v>
      </c>
      <c r="CJ67" s="189" t="e">
        <f>#REF!+#REF!</f>
        <v>#REF!</v>
      </c>
      <c r="CK67" s="186" t="e">
        <f t="shared" si="72"/>
        <v>#REF!</v>
      </c>
      <c r="CL67" s="189" t="e">
        <f>#REF!+#REF!</f>
        <v>#REF!</v>
      </c>
      <c r="CM67" s="186" t="e">
        <f t="shared" ref="CM67" si="73">CL67/$D67</f>
        <v>#REF!</v>
      </c>
      <c r="CN67" s="189" t="e">
        <f>#REF!+#REF!</f>
        <v>#REF!</v>
      </c>
      <c r="CO67" s="186" t="e">
        <f t="shared" ref="CO67" si="74">CN67/$D67</f>
        <v>#REF!</v>
      </c>
      <c r="CP67" s="189" t="e">
        <f>#REF!+#REF!</f>
        <v>#REF!</v>
      </c>
      <c r="CQ67" s="186" t="e">
        <f t="shared" ref="CQ67" si="75">CP67/$D67</f>
        <v>#REF!</v>
      </c>
      <c r="CR67" s="189" t="e">
        <f>#REF!+#REF!</f>
        <v>#REF!</v>
      </c>
      <c r="CS67" s="186" t="e">
        <f t="shared" ref="CS67" si="76">CR67/$D67</f>
        <v>#REF!</v>
      </c>
      <c r="CT67" s="189" t="e">
        <f>#REF!+#REF!</f>
        <v>#REF!</v>
      </c>
      <c r="CU67" s="186" t="e">
        <f t="shared" ref="CU67" si="77">CT67/$D67</f>
        <v>#REF!</v>
      </c>
      <c r="CV67" s="416">
        <f t="shared" si="17"/>
        <v>0</v>
      </c>
      <c r="CW67" s="191" t="str">
        <f t="shared" si="31"/>
        <v>Thấp hơn</v>
      </c>
      <c r="CX67" s="191" t="str">
        <f t="shared" si="32"/>
        <v>Thấp hơn</v>
      </c>
      <c r="CY67" s="213"/>
      <c r="CZ67" s="213"/>
      <c r="DA67" s="213"/>
      <c r="DB67" s="163"/>
      <c r="DC67" s="232"/>
      <c r="DD67" s="195"/>
      <c r="DE67" s="196"/>
      <c r="DF67" s="196"/>
      <c r="DG67" s="197"/>
      <c r="DH67" s="196"/>
      <c r="DI67" s="196"/>
      <c r="DJ67" s="196"/>
      <c r="DL67" s="199"/>
      <c r="DM67" s="200"/>
    </row>
    <row r="68" spans="1:117" s="233" customFormat="1" ht="18" customHeight="1" x14ac:dyDescent="0.25">
      <c r="A68" s="191">
        <v>3</v>
      </c>
      <c r="B68" s="210" t="s">
        <v>343</v>
      </c>
      <c r="C68" s="210"/>
      <c r="D68" s="205">
        <v>22000</v>
      </c>
      <c r="E68" s="205">
        <v>0</v>
      </c>
      <c r="F68" s="205">
        <v>22000</v>
      </c>
      <c r="G68" s="205">
        <v>16500</v>
      </c>
      <c r="H68" s="205">
        <v>5500</v>
      </c>
      <c r="I68" s="205">
        <v>0</v>
      </c>
      <c r="J68" s="205"/>
      <c r="K68" s="205">
        <v>0</v>
      </c>
      <c r="L68" s="205">
        <v>0</v>
      </c>
      <c r="M68" s="231"/>
      <c r="N68" s="231"/>
      <c r="O68" s="205">
        <v>21000</v>
      </c>
      <c r="P68" s="205">
        <v>18515</v>
      </c>
      <c r="Q68" s="186">
        <v>0.69867924528301883</v>
      </c>
      <c r="R68" s="205">
        <v>19950</v>
      </c>
      <c r="S68" s="185">
        <v>0.75283018867924534</v>
      </c>
      <c r="T68" s="185">
        <v>0.79245283018867929</v>
      </c>
      <c r="U68" s="205">
        <v>19950</v>
      </c>
      <c r="V68" s="185">
        <v>0.75283018867924534</v>
      </c>
      <c r="W68" s="185">
        <v>0.79245283018867929</v>
      </c>
      <c r="X68" s="205">
        <v>19950</v>
      </c>
      <c r="Y68" s="185">
        <v>0.75283018867924534</v>
      </c>
      <c r="Z68" s="185">
        <v>0.79245283018867929</v>
      </c>
      <c r="AA68" s="205">
        <v>19950</v>
      </c>
      <c r="AB68" s="185">
        <v>0.75283018867924534</v>
      </c>
      <c r="AC68" s="185">
        <v>0.79245283018867929</v>
      </c>
      <c r="AD68" s="205">
        <v>19950</v>
      </c>
      <c r="AE68" s="185">
        <v>0.75283018867924534</v>
      </c>
      <c r="AF68" s="185">
        <v>0.79245283018867929</v>
      </c>
      <c r="AG68" s="205">
        <v>19950</v>
      </c>
      <c r="AH68" s="185">
        <v>0.75283018867924534</v>
      </c>
      <c r="AI68" s="185">
        <v>0.79245283018867929</v>
      </c>
      <c r="AJ68" s="189">
        <v>19950</v>
      </c>
      <c r="AK68" s="185">
        <v>0.75283018867924534</v>
      </c>
      <c r="AL68" s="185">
        <v>0.79245283018867929</v>
      </c>
      <c r="AM68" s="205">
        <v>19950</v>
      </c>
      <c r="AN68" s="185">
        <v>0.75283018867924534</v>
      </c>
      <c r="AO68" s="185">
        <v>0.79245283018867929</v>
      </c>
      <c r="AP68" s="185"/>
      <c r="AQ68" s="205">
        <v>19950</v>
      </c>
      <c r="AR68" s="185">
        <v>0.75283018867924534</v>
      </c>
      <c r="AS68" s="185">
        <v>0.79245283018867929</v>
      </c>
      <c r="AT68" s="205">
        <v>19950</v>
      </c>
      <c r="AU68" s="185">
        <v>0.75283018867924534</v>
      </c>
      <c r="AV68" s="185">
        <v>0.79245283018867929</v>
      </c>
      <c r="AW68" s="185"/>
      <c r="AX68" s="185"/>
      <c r="AY68" s="185"/>
      <c r="AZ68" s="205"/>
      <c r="BA68" s="185"/>
      <c r="BB68" s="185"/>
      <c r="BC68" s="205">
        <v>19950</v>
      </c>
      <c r="BD68" s="185">
        <v>0.75283018867924534</v>
      </c>
      <c r="BE68" s="185">
        <v>0.79245283018867929</v>
      </c>
      <c r="BF68" s="205"/>
      <c r="BG68" s="205">
        <v>19950</v>
      </c>
      <c r="BH68" s="185">
        <v>0.75283018867924534</v>
      </c>
      <c r="BI68" s="185">
        <v>0.79245283018867929</v>
      </c>
      <c r="BJ68" s="205">
        <v>25175</v>
      </c>
      <c r="BK68" s="205">
        <v>15675</v>
      </c>
      <c r="BL68" s="185">
        <v>0.71250000000000002</v>
      </c>
      <c r="BM68" s="185">
        <v>0.75</v>
      </c>
      <c r="BN68" s="205">
        <v>15675</v>
      </c>
      <c r="BO68" s="185">
        <v>0.71250000000000002</v>
      </c>
      <c r="BP68" s="185">
        <v>0.75</v>
      </c>
      <c r="BQ68" s="205">
        <v>15675</v>
      </c>
      <c r="BR68" s="185">
        <f>BQ68/$D68</f>
        <v>0.71250000000000002</v>
      </c>
      <c r="BS68" s="185">
        <f t="shared" si="49"/>
        <v>0.75</v>
      </c>
      <c r="BT68" s="205">
        <f t="shared" si="50"/>
        <v>-4275</v>
      </c>
      <c r="BU68" s="205"/>
      <c r="BV68" s="189" t="e">
        <f>#REF!</f>
        <v>#REF!</v>
      </c>
      <c r="BW68" s="186" t="e">
        <f>BV68/$D68</f>
        <v>#REF!</v>
      </c>
      <c r="BX68" s="189" t="e">
        <f>#REF!</f>
        <v>#REF!</v>
      </c>
      <c r="BY68" s="186" t="e">
        <f>BX68/$D68</f>
        <v>#REF!</v>
      </c>
      <c r="BZ68" s="189" t="e">
        <f>#REF!</f>
        <v>#REF!</v>
      </c>
      <c r="CA68" s="186" t="e">
        <f>BZ68/$D68</f>
        <v>#REF!</v>
      </c>
      <c r="CB68" s="189" t="e">
        <f>#REF!</f>
        <v>#REF!</v>
      </c>
      <c r="CC68" s="186" t="e">
        <f>CB68/$D68</f>
        <v>#REF!</v>
      </c>
      <c r="CD68" s="189" t="e">
        <f>#REF!</f>
        <v>#REF!</v>
      </c>
      <c r="CE68" s="186" t="e">
        <f>CD68/$D68</f>
        <v>#REF!</v>
      </c>
      <c r="CF68" s="189" t="e">
        <f>#REF!</f>
        <v>#REF!</v>
      </c>
      <c r="CG68" s="186" t="e">
        <f>CF68/$D68</f>
        <v>#REF!</v>
      </c>
      <c r="CH68" s="189" t="e">
        <f>#REF!</f>
        <v>#REF!</v>
      </c>
      <c r="CI68" s="186" t="e">
        <f>CH68/$D68</f>
        <v>#REF!</v>
      </c>
      <c r="CJ68" s="189" t="e">
        <f>#REF!</f>
        <v>#REF!</v>
      </c>
      <c r="CK68" s="186" t="e">
        <f>CJ68/$D68</f>
        <v>#REF!</v>
      </c>
      <c r="CL68" s="189" t="e">
        <f>#REF!</f>
        <v>#REF!</v>
      </c>
      <c r="CM68" s="186" t="e">
        <f>CL68/$D68</f>
        <v>#REF!</v>
      </c>
      <c r="CN68" s="189" t="e">
        <f>#REF!</f>
        <v>#REF!</v>
      </c>
      <c r="CO68" s="186" t="e">
        <f>CN68/$D68</f>
        <v>#REF!</v>
      </c>
      <c r="CP68" s="189" t="e">
        <f>#REF!</f>
        <v>#REF!</v>
      </c>
      <c r="CQ68" s="186" t="e">
        <f>CP68/$D68</f>
        <v>#REF!</v>
      </c>
      <c r="CR68" s="189" t="e">
        <f>#REF!</f>
        <v>#REF!</v>
      </c>
      <c r="CS68" s="186" t="e">
        <f>CR68/$D68</f>
        <v>#REF!</v>
      </c>
      <c r="CT68" s="189" t="e">
        <f>#REF!</f>
        <v>#REF!</v>
      </c>
      <c r="CU68" s="186" t="e">
        <f>CT68/$D68</f>
        <v>#REF!</v>
      </c>
      <c r="CV68" s="416">
        <f t="shared" si="17"/>
        <v>0</v>
      </c>
      <c r="CW68" s="191" t="str">
        <f t="shared" si="31"/>
        <v>Cao hơn</v>
      </c>
      <c r="CX68" s="191" t="str">
        <f t="shared" si="32"/>
        <v>Cao hơn</v>
      </c>
      <c r="CY68" s="213"/>
      <c r="CZ68" s="213"/>
      <c r="DA68" s="213"/>
      <c r="DB68" s="163"/>
      <c r="DC68" s="232"/>
      <c r="DD68" s="195"/>
      <c r="DE68" s="196"/>
      <c r="DF68" s="196"/>
      <c r="DG68" s="197"/>
      <c r="DH68" s="196"/>
      <c r="DI68" s="196"/>
      <c r="DJ68" s="196"/>
      <c r="DL68" s="199"/>
      <c r="DM68" s="200"/>
    </row>
    <row r="69" spans="1:117" s="233" customFormat="1" ht="18" customHeight="1" x14ac:dyDescent="0.25">
      <c r="A69" s="191">
        <v>4</v>
      </c>
      <c r="B69" s="210" t="s">
        <v>348</v>
      </c>
      <c r="C69" s="210"/>
      <c r="D69" s="205">
        <v>150000</v>
      </c>
      <c r="E69" s="205">
        <v>0</v>
      </c>
      <c r="F69" s="205">
        <v>150000</v>
      </c>
      <c r="G69" s="205">
        <v>80000</v>
      </c>
      <c r="H69" s="205">
        <v>70000</v>
      </c>
      <c r="I69" s="205">
        <v>0</v>
      </c>
      <c r="J69" s="205"/>
      <c r="K69" s="205">
        <v>0</v>
      </c>
      <c r="L69" s="205">
        <v>0</v>
      </c>
      <c r="M69" s="231"/>
      <c r="N69" s="231"/>
      <c r="O69" s="205">
        <v>80000</v>
      </c>
      <c r="P69" s="205">
        <v>1444</v>
      </c>
      <c r="Q69" s="186">
        <v>9.6266666666666671E-3</v>
      </c>
      <c r="R69" s="205">
        <v>1444</v>
      </c>
      <c r="S69" s="185">
        <v>9.6266666666666671E-3</v>
      </c>
      <c r="T69" s="185">
        <v>1.0133333333333333E-2</v>
      </c>
      <c r="U69" s="205">
        <v>1444.167211</v>
      </c>
      <c r="V69" s="185">
        <v>9.6277814066666658E-3</v>
      </c>
      <c r="W69" s="185">
        <v>1.0134506743859649E-2</v>
      </c>
      <c r="X69" s="205">
        <v>1444.167211</v>
      </c>
      <c r="Y69" s="185">
        <v>9.6277814066666658E-3</v>
      </c>
      <c r="Z69" s="185">
        <v>1.0134506743859649E-2</v>
      </c>
      <c r="AA69" s="205">
        <v>1444.167211</v>
      </c>
      <c r="AB69" s="185">
        <v>9.6277814066666658E-3</v>
      </c>
      <c r="AC69" s="185">
        <v>1.0134506743859649E-2</v>
      </c>
      <c r="AD69" s="205">
        <v>2104.827601</v>
      </c>
      <c r="AE69" s="185">
        <v>1.4032184006666667E-2</v>
      </c>
      <c r="AF69" s="185">
        <v>1.4770720007017544E-2</v>
      </c>
      <c r="AG69" s="205">
        <v>2104.827601</v>
      </c>
      <c r="AH69" s="185">
        <v>1.4032184006666667E-2</v>
      </c>
      <c r="AI69" s="185">
        <v>1.4770720007017544E-2</v>
      </c>
      <c r="AJ69" s="189">
        <v>2104.827601</v>
      </c>
      <c r="AK69" s="185">
        <v>1.4032184006666667E-2</v>
      </c>
      <c r="AL69" s="185">
        <v>1.4770720007017544E-2</v>
      </c>
      <c r="AM69" s="205">
        <v>2124</v>
      </c>
      <c r="AN69" s="185">
        <v>1.4160000000000001E-2</v>
      </c>
      <c r="AO69" s="185">
        <v>1.4905263157894737E-2</v>
      </c>
      <c r="AP69" s="185"/>
      <c r="AQ69" s="205">
        <v>2124</v>
      </c>
      <c r="AR69" s="185">
        <v>1.4160000000000001E-2</v>
      </c>
      <c r="AS69" s="185">
        <v>1.4905263157894737E-2</v>
      </c>
      <c r="AT69" s="205">
        <v>2124</v>
      </c>
      <c r="AU69" s="185">
        <v>1.4160000000000001E-2</v>
      </c>
      <c r="AV69" s="185">
        <v>1.4905263157894737E-2</v>
      </c>
      <c r="AW69" s="185"/>
      <c r="AX69" s="185"/>
      <c r="AY69" s="185"/>
      <c r="AZ69" s="185"/>
      <c r="BA69" s="185"/>
      <c r="BB69" s="185"/>
      <c r="BC69" s="205">
        <v>2124</v>
      </c>
      <c r="BD69" s="185">
        <v>1.4160000000000001E-2</v>
      </c>
      <c r="BE69" s="185">
        <v>1.4905263157894737E-2</v>
      </c>
      <c r="BF69" s="205"/>
      <c r="BG69" s="205">
        <v>2759</v>
      </c>
      <c r="BH69" s="185">
        <v>1.8393333333333334E-2</v>
      </c>
      <c r="BI69" s="185">
        <v>1.936140350877193E-2</v>
      </c>
      <c r="BJ69" s="205">
        <v>142500</v>
      </c>
      <c r="BK69" s="205">
        <v>7799</v>
      </c>
      <c r="BL69" s="185">
        <v>5.1993333333333336E-2</v>
      </c>
      <c r="BM69" s="185">
        <v>5.472982456140351E-2</v>
      </c>
      <c r="BN69" s="205">
        <v>7799</v>
      </c>
      <c r="BO69" s="185">
        <v>5.1993333333333336E-2</v>
      </c>
      <c r="BP69" s="185">
        <v>5.472982456140351E-2</v>
      </c>
      <c r="BQ69" s="205">
        <v>25144</v>
      </c>
      <c r="BR69" s="185">
        <f t="shared" ref="BR69:BR70" si="78">BQ69/$D69</f>
        <v>0.16762666666666667</v>
      </c>
      <c r="BS69" s="185">
        <f t="shared" si="49"/>
        <v>0.17644912280701755</v>
      </c>
      <c r="BT69" s="205">
        <f t="shared" si="50"/>
        <v>23039.172398999999</v>
      </c>
      <c r="BU69" s="205"/>
      <c r="BV69" s="189" t="e">
        <f>#REF!</f>
        <v>#REF!</v>
      </c>
      <c r="BW69" s="186" t="e">
        <f t="shared" si="66"/>
        <v>#REF!</v>
      </c>
      <c r="BX69" s="189" t="e">
        <f>#REF!</f>
        <v>#REF!</v>
      </c>
      <c r="BY69" s="186" t="e">
        <f t="shared" ref="BY69:BY70" si="79">BX69/$D69</f>
        <v>#REF!</v>
      </c>
      <c r="BZ69" s="189" t="e">
        <f>#REF!</f>
        <v>#REF!</v>
      </c>
      <c r="CA69" s="186" t="e">
        <f t="shared" ref="CA69:CA70" si="80">BZ69/$D69</f>
        <v>#REF!</v>
      </c>
      <c r="CB69" s="189" t="e">
        <f>#REF!</f>
        <v>#REF!</v>
      </c>
      <c r="CC69" s="186" t="e">
        <f t="shared" ref="CC69:CC70" si="81">CB69/$D69</f>
        <v>#REF!</v>
      </c>
      <c r="CD69" s="189" t="e">
        <f>#REF!</f>
        <v>#REF!</v>
      </c>
      <c r="CE69" s="186" t="e">
        <f t="shared" ref="CE69:CE70" si="82">CD69/$D69</f>
        <v>#REF!</v>
      </c>
      <c r="CF69" s="189" t="e">
        <f>#REF!</f>
        <v>#REF!</v>
      </c>
      <c r="CG69" s="186" t="e">
        <f t="shared" ref="CG69:CG70" si="83">CF69/$D69</f>
        <v>#REF!</v>
      </c>
      <c r="CH69" s="189" t="e">
        <f>#REF!</f>
        <v>#REF!</v>
      </c>
      <c r="CI69" s="186" t="e">
        <f t="shared" ref="CI69:CK70" si="84">CH69/$D69</f>
        <v>#REF!</v>
      </c>
      <c r="CJ69" s="189" t="e">
        <f>#REF!</f>
        <v>#REF!</v>
      </c>
      <c r="CK69" s="186" t="e">
        <f t="shared" si="84"/>
        <v>#REF!</v>
      </c>
      <c r="CL69" s="189" t="e">
        <f>#REF!</f>
        <v>#REF!</v>
      </c>
      <c r="CM69" s="186" t="e">
        <f t="shared" ref="CM69:CO70" si="85">CL69/$D69</f>
        <v>#REF!</v>
      </c>
      <c r="CN69" s="189" t="e">
        <f>#REF!</f>
        <v>#REF!</v>
      </c>
      <c r="CO69" s="186" t="e">
        <f t="shared" si="85"/>
        <v>#REF!</v>
      </c>
      <c r="CP69" s="189" t="e">
        <f>#REF!</f>
        <v>#REF!</v>
      </c>
      <c r="CQ69" s="186" t="e">
        <f t="shared" ref="CQ69:CQ70" si="86">CP69/$D69</f>
        <v>#REF!</v>
      </c>
      <c r="CR69" s="189" t="e">
        <f>#REF!</f>
        <v>#REF!</v>
      </c>
      <c r="CS69" s="186" t="e">
        <f t="shared" ref="CS69:CS70" si="87">CR69/$D69</f>
        <v>#REF!</v>
      </c>
      <c r="CT69" s="189" t="e">
        <f>#REF!</f>
        <v>#REF!</v>
      </c>
      <c r="CU69" s="186" t="e">
        <f t="shared" ref="CU69:CU70" si="88">CT69/$D69</f>
        <v>#REF!</v>
      </c>
      <c r="CV69" s="416">
        <f t="shared" si="17"/>
        <v>17345</v>
      </c>
      <c r="CW69" s="191" t="str">
        <f t="shared" si="31"/>
        <v>Thấp hơn</v>
      </c>
      <c r="CX69" s="191" t="str">
        <f t="shared" si="32"/>
        <v>Thấp hơn</v>
      </c>
      <c r="CY69" s="213"/>
      <c r="CZ69" s="213"/>
      <c r="DA69" s="213"/>
      <c r="DB69" s="163"/>
      <c r="DC69" s="232"/>
      <c r="DD69" s="195"/>
      <c r="DE69" s="196"/>
      <c r="DF69" s="196"/>
      <c r="DG69" s="197"/>
      <c r="DH69" s="196"/>
      <c r="DI69" s="196"/>
      <c r="DJ69" s="196"/>
      <c r="DL69" s="199"/>
      <c r="DM69" s="200"/>
    </row>
    <row r="70" spans="1:117" s="233" customFormat="1" ht="18" customHeight="1" x14ac:dyDescent="0.25">
      <c r="A70" s="191">
        <v>5</v>
      </c>
      <c r="B70" s="210" t="s">
        <v>354</v>
      </c>
      <c r="C70" s="210"/>
      <c r="D70" s="205">
        <v>15000</v>
      </c>
      <c r="E70" s="205">
        <v>0</v>
      </c>
      <c r="F70" s="205">
        <v>15000</v>
      </c>
      <c r="G70" s="205">
        <v>15000</v>
      </c>
      <c r="H70" s="205">
        <v>0</v>
      </c>
      <c r="I70" s="205">
        <v>0</v>
      </c>
      <c r="J70" s="205"/>
      <c r="K70" s="205">
        <v>0</v>
      </c>
      <c r="L70" s="205">
        <v>0</v>
      </c>
      <c r="M70" s="231"/>
      <c r="N70" s="231"/>
      <c r="O70" s="205">
        <v>15000</v>
      </c>
      <c r="P70" s="205">
        <v>0</v>
      </c>
      <c r="Q70" s="186">
        <v>0</v>
      </c>
      <c r="R70" s="205">
        <v>0</v>
      </c>
      <c r="S70" s="185">
        <v>0</v>
      </c>
      <c r="T70" s="185">
        <v>0</v>
      </c>
      <c r="U70" s="205">
        <v>0</v>
      </c>
      <c r="V70" s="185">
        <v>0</v>
      </c>
      <c r="W70" s="185">
        <v>0</v>
      </c>
      <c r="X70" s="205">
        <v>0</v>
      </c>
      <c r="Y70" s="185">
        <v>0</v>
      </c>
      <c r="Z70" s="185">
        <v>0</v>
      </c>
      <c r="AA70" s="205">
        <v>0</v>
      </c>
      <c r="AB70" s="185">
        <v>0</v>
      </c>
      <c r="AC70" s="185">
        <v>0</v>
      </c>
      <c r="AD70" s="205">
        <v>5672.402</v>
      </c>
      <c r="AE70" s="185">
        <v>0.37816013333333331</v>
      </c>
      <c r="AF70" s="185">
        <v>0.39806329824561404</v>
      </c>
      <c r="AG70" s="205">
        <v>5956.06</v>
      </c>
      <c r="AH70" s="185">
        <v>0.39707066666666668</v>
      </c>
      <c r="AI70" s="185">
        <v>0.41796912280701759</v>
      </c>
      <c r="AJ70" s="226">
        <v>5956.06</v>
      </c>
      <c r="AK70" s="185">
        <v>0.39707066666666668</v>
      </c>
      <c r="AL70" s="185">
        <v>0.41796912280701759</v>
      </c>
      <c r="AM70" s="267">
        <v>5956.06</v>
      </c>
      <c r="AN70" s="185">
        <v>0.39707066666666668</v>
      </c>
      <c r="AO70" s="185">
        <v>0.41796912280701759</v>
      </c>
      <c r="AP70" s="185"/>
      <c r="AQ70" s="205">
        <v>6068</v>
      </c>
      <c r="AR70" s="185">
        <v>0.40453333333333336</v>
      </c>
      <c r="AS70" s="185">
        <v>0.42582456140350877</v>
      </c>
      <c r="AT70" s="205">
        <v>6068</v>
      </c>
      <c r="AU70" s="185">
        <v>0.40453333333333336</v>
      </c>
      <c r="AV70" s="185">
        <v>0.42582456140350877</v>
      </c>
      <c r="AW70" s="185"/>
      <c r="AX70" s="185"/>
      <c r="AY70" s="185"/>
      <c r="AZ70" s="185"/>
      <c r="BA70" s="185"/>
      <c r="BB70" s="185"/>
      <c r="BC70" s="205">
        <v>6068</v>
      </c>
      <c r="BD70" s="185">
        <v>0.40453333333333336</v>
      </c>
      <c r="BE70" s="185">
        <v>0.42582456140350877</v>
      </c>
      <c r="BF70" s="205"/>
      <c r="BG70" s="205">
        <v>6068</v>
      </c>
      <c r="BH70" s="185">
        <v>0.40453333333333336</v>
      </c>
      <c r="BI70" s="185">
        <v>0.42582456140350877</v>
      </c>
      <c r="BJ70" s="205">
        <v>14250</v>
      </c>
      <c r="BK70" s="205">
        <v>6820</v>
      </c>
      <c r="BL70" s="185">
        <v>0.45466666666666666</v>
      </c>
      <c r="BM70" s="185">
        <v>0.47859649122807019</v>
      </c>
      <c r="BN70" s="205">
        <v>6820</v>
      </c>
      <c r="BO70" s="185">
        <v>0.45466666666666666</v>
      </c>
      <c r="BP70" s="185">
        <v>0.47859649122807019</v>
      </c>
      <c r="BQ70" s="205">
        <v>6820</v>
      </c>
      <c r="BR70" s="185">
        <f t="shared" si="78"/>
        <v>0.45466666666666666</v>
      </c>
      <c r="BS70" s="185">
        <f t="shared" si="49"/>
        <v>0.47859649122807019</v>
      </c>
      <c r="BT70" s="205">
        <f t="shared" si="50"/>
        <v>1147.598</v>
      </c>
      <c r="BU70" s="205"/>
      <c r="BV70" s="189" t="e">
        <f>#REF!</f>
        <v>#REF!</v>
      </c>
      <c r="BW70" s="186" t="e">
        <f t="shared" ref="BW70:BW75" si="89">BV70/$D70</f>
        <v>#REF!</v>
      </c>
      <c r="BX70" s="189" t="e">
        <f>#REF!</f>
        <v>#REF!</v>
      </c>
      <c r="BY70" s="186" t="e">
        <f t="shared" si="79"/>
        <v>#REF!</v>
      </c>
      <c r="BZ70" s="189" t="e">
        <f>#REF!</f>
        <v>#REF!</v>
      </c>
      <c r="CA70" s="186" t="e">
        <f t="shared" si="80"/>
        <v>#REF!</v>
      </c>
      <c r="CB70" s="189" t="e">
        <f>#REF!</f>
        <v>#REF!</v>
      </c>
      <c r="CC70" s="186" t="e">
        <f t="shared" si="81"/>
        <v>#REF!</v>
      </c>
      <c r="CD70" s="189" t="e">
        <f>#REF!</f>
        <v>#REF!</v>
      </c>
      <c r="CE70" s="186" t="e">
        <f t="shared" si="82"/>
        <v>#REF!</v>
      </c>
      <c r="CF70" s="189" t="e">
        <f>#REF!</f>
        <v>#REF!</v>
      </c>
      <c r="CG70" s="186" t="e">
        <f t="shared" si="83"/>
        <v>#REF!</v>
      </c>
      <c r="CH70" s="189" t="e">
        <f>#REF!</f>
        <v>#REF!</v>
      </c>
      <c r="CI70" s="186" t="e">
        <f t="shared" si="84"/>
        <v>#REF!</v>
      </c>
      <c r="CJ70" s="189" t="e">
        <f>#REF!</f>
        <v>#REF!</v>
      </c>
      <c r="CK70" s="186" t="e">
        <f t="shared" si="84"/>
        <v>#REF!</v>
      </c>
      <c r="CL70" s="189" t="e">
        <f>#REF!</f>
        <v>#REF!</v>
      </c>
      <c r="CM70" s="186" t="e">
        <f t="shared" si="85"/>
        <v>#REF!</v>
      </c>
      <c r="CN70" s="189" t="e">
        <f>#REF!</f>
        <v>#REF!</v>
      </c>
      <c r="CO70" s="186" t="e">
        <f t="shared" si="85"/>
        <v>#REF!</v>
      </c>
      <c r="CP70" s="189" t="e">
        <f>#REF!</f>
        <v>#REF!</v>
      </c>
      <c r="CQ70" s="186" t="e">
        <f t="shared" si="86"/>
        <v>#REF!</v>
      </c>
      <c r="CR70" s="189" t="e">
        <f>#REF!</f>
        <v>#REF!</v>
      </c>
      <c r="CS70" s="186" t="e">
        <f t="shared" si="87"/>
        <v>#REF!</v>
      </c>
      <c r="CT70" s="189" t="e">
        <f>#REF!</f>
        <v>#REF!</v>
      </c>
      <c r="CU70" s="186" t="e">
        <f t="shared" si="88"/>
        <v>#REF!</v>
      </c>
      <c r="CV70" s="416">
        <f t="shared" si="17"/>
        <v>0</v>
      </c>
      <c r="CW70" s="191" t="str">
        <f t="shared" si="31"/>
        <v>Cao hơn</v>
      </c>
      <c r="CX70" s="191" t="str">
        <f t="shared" si="32"/>
        <v>Cao hơn</v>
      </c>
      <c r="CY70" s="213"/>
      <c r="CZ70" s="213"/>
      <c r="DA70" s="213"/>
      <c r="DB70" s="163"/>
      <c r="DC70" s="232"/>
      <c r="DD70" s="195"/>
      <c r="DE70" s="196"/>
      <c r="DF70" s="196"/>
      <c r="DG70" s="197"/>
      <c r="DH70" s="196"/>
      <c r="DI70" s="196"/>
      <c r="DJ70" s="196"/>
      <c r="DL70" s="199"/>
      <c r="DM70" s="200"/>
    </row>
    <row r="71" spans="1:117" ht="18" customHeight="1" x14ac:dyDescent="0.25">
      <c r="A71" s="191">
        <v>6</v>
      </c>
      <c r="B71" s="240" t="s">
        <v>375</v>
      </c>
      <c r="C71" s="240"/>
      <c r="D71" s="188">
        <v>5600</v>
      </c>
      <c r="E71" s="188">
        <v>0</v>
      </c>
      <c r="F71" s="188">
        <v>5600</v>
      </c>
      <c r="G71" s="188">
        <v>3000</v>
      </c>
      <c r="H71" s="188">
        <v>2600</v>
      </c>
      <c r="I71" s="188">
        <v>0</v>
      </c>
      <c r="J71" s="188"/>
      <c r="K71" s="188">
        <v>0</v>
      </c>
      <c r="L71" s="188">
        <v>0</v>
      </c>
      <c r="M71" s="231"/>
      <c r="N71" s="231"/>
      <c r="O71" s="188">
        <v>3000</v>
      </c>
      <c r="P71" s="188">
        <v>0</v>
      </c>
      <c r="Q71" s="186">
        <v>0</v>
      </c>
      <c r="R71" s="189">
        <v>1892.2939999999999</v>
      </c>
      <c r="S71" s="185">
        <v>0.33790964285714281</v>
      </c>
      <c r="T71" s="185">
        <v>0.35569436090225559</v>
      </c>
      <c r="U71" s="189">
        <v>2162</v>
      </c>
      <c r="V71" s="185">
        <v>0.38607142857142857</v>
      </c>
      <c r="W71" s="185">
        <v>0.40639097744360902</v>
      </c>
      <c r="X71" s="189">
        <v>2162</v>
      </c>
      <c r="Y71" s="185">
        <v>0.38607142857142857</v>
      </c>
      <c r="Z71" s="185">
        <v>0.40639097744360902</v>
      </c>
      <c r="AA71" s="189">
        <v>2162</v>
      </c>
      <c r="AB71" s="185">
        <v>0.38607142857142857</v>
      </c>
      <c r="AC71" s="185">
        <v>0.40639097744360902</v>
      </c>
      <c r="AD71" s="189">
        <v>2771</v>
      </c>
      <c r="AE71" s="185">
        <v>0.59303571428571433</v>
      </c>
      <c r="AF71" s="185">
        <v>0.62424812030075183</v>
      </c>
      <c r="AG71" s="189">
        <v>2771</v>
      </c>
      <c r="AH71" s="185">
        <v>0.59303571428571433</v>
      </c>
      <c r="AI71" s="185">
        <v>0.62424812030075183</v>
      </c>
      <c r="AJ71" s="303">
        <v>2771</v>
      </c>
      <c r="AK71" s="185">
        <v>0.59303571428571433</v>
      </c>
      <c r="AL71" s="185">
        <v>0.62424812030075183</v>
      </c>
      <c r="AM71" s="189">
        <v>2771</v>
      </c>
      <c r="AN71" s="185">
        <v>0.50834750000000006</v>
      </c>
      <c r="AO71" s="185">
        <v>0.53510263157894744</v>
      </c>
      <c r="AP71" s="185"/>
      <c r="AQ71" s="189">
        <v>2850</v>
      </c>
      <c r="AR71" s="185">
        <v>0.5089285714285714</v>
      </c>
      <c r="AS71" s="185">
        <v>0.5357142857142857</v>
      </c>
      <c r="AT71" s="189">
        <v>2850</v>
      </c>
      <c r="AU71" s="185">
        <v>0.5089285714285714</v>
      </c>
      <c r="AV71" s="185">
        <v>0.5357142857142857</v>
      </c>
      <c r="AW71" s="185"/>
      <c r="AX71" s="185"/>
      <c r="AY71" s="185"/>
      <c r="AZ71" s="185"/>
      <c r="BA71" s="185"/>
      <c r="BB71" s="185"/>
      <c r="BC71" s="189">
        <v>2850</v>
      </c>
      <c r="BD71" s="185">
        <v>0.5089285714285714</v>
      </c>
      <c r="BE71" s="185">
        <v>0.5357142857142857</v>
      </c>
      <c r="BF71" s="189"/>
      <c r="BG71" s="189">
        <v>4450</v>
      </c>
      <c r="BH71" s="185">
        <v>0.7946428571428571</v>
      </c>
      <c r="BI71" s="185">
        <v>0.8364661654135338</v>
      </c>
      <c r="BJ71" s="189">
        <v>5320</v>
      </c>
      <c r="BK71" s="189">
        <v>5250</v>
      </c>
      <c r="BL71" s="185">
        <v>0.9375</v>
      </c>
      <c r="BM71" s="185">
        <v>0.98684210526315785</v>
      </c>
      <c r="BN71" s="189">
        <v>5250</v>
      </c>
      <c r="BO71" s="185">
        <v>0.9375</v>
      </c>
      <c r="BP71" s="185">
        <v>0.98684210526315785</v>
      </c>
      <c r="BQ71" s="189">
        <v>5250</v>
      </c>
      <c r="BR71" s="185">
        <f t="shared" ref="BR71:BR75" si="90">BQ71/$D71</f>
        <v>0.9375</v>
      </c>
      <c r="BS71" s="185">
        <f t="shared" si="49"/>
        <v>0.98684210526315785</v>
      </c>
      <c r="BT71" s="205">
        <f t="shared" si="50"/>
        <v>2479</v>
      </c>
      <c r="BU71" s="205"/>
      <c r="BV71" s="189" t="e">
        <f>#REF!+#REF!</f>
        <v>#REF!</v>
      </c>
      <c r="BW71" s="186" t="e">
        <f t="shared" si="89"/>
        <v>#REF!</v>
      </c>
      <c r="BX71" s="189" t="e">
        <f>#REF!+#REF!</f>
        <v>#REF!</v>
      </c>
      <c r="BY71" s="186" t="e">
        <f t="shared" ref="BY71:BY75" si="91">BX71/$D71</f>
        <v>#REF!</v>
      </c>
      <c r="BZ71" s="189" t="e">
        <f>#REF!+#REF!</f>
        <v>#REF!</v>
      </c>
      <c r="CA71" s="186" t="e">
        <f t="shared" ref="CA71:CC72" si="92">BZ71/$D71</f>
        <v>#REF!</v>
      </c>
      <c r="CB71" s="189" t="e">
        <f>#REF!+#REF!</f>
        <v>#REF!</v>
      </c>
      <c r="CC71" s="186" t="e">
        <f t="shared" ref="CC71" si="93">CB71/$D71</f>
        <v>#REF!</v>
      </c>
      <c r="CD71" s="189" t="e">
        <f>#REF!+#REF!</f>
        <v>#REF!</v>
      </c>
      <c r="CE71" s="186" t="e">
        <f t="shared" ref="CE71:CE75" si="94">CD71/$D71</f>
        <v>#REF!</v>
      </c>
      <c r="CF71" s="189" t="e">
        <f>#REF!+#REF!</f>
        <v>#REF!</v>
      </c>
      <c r="CG71" s="186" t="e">
        <f t="shared" ref="CG71:CG75" si="95">CF71/$D71</f>
        <v>#REF!</v>
      </c>
      <c r="CH71" s="189" t="e">
        <f>#REF!+#REF!</f>
        <v>#REF!</v>
      </c>
      <c r="CI71" s="186" t="e">
        <f t="shared" ref="CI71:CI75" si="96">CH71/$D71</f>
        <v>#REF!</v>
      </c>
      <c r="CJ71" s="189" t="e">
        <f>#REF!+#REF!</f>
        <v>#REF!</v>
      </c>
      <c r="CK71" s="186" t="e">
        <f t="shared" ref="CK71:CK75" si="97">CJ71/$D71</f>
        <v>#REF!</v>
      </c>
      <c r="CL71" s="189" t="e">
        <f>#REF!+#REF!</f>
        <v>#REF!</v>
      </c>
      <c r="CM71" s="186" t="e">
        <f t="shared" ref="CM71:CM75" si="98">CL71/$D71</f>
        <v>#REF!</v>
      </c>
      <c r="CN71" s="189" t="e">
        <f>#REF!+#REF!</f>
        <v>#REF!</v>
      </c>
      <c r="CO71" s="186" t="e">
        <f t="shared" ref="CO71:CO75" si="99">CN71/$D71</f>
        <v>#REF!</v>
      </c>
      <c r="CP71" s="189" t="e">
        <f>#REF!+#REF!</f>
        <v>#REF!</v>
      </c>
      <c r="CQ71" s="186" t="e">
        <f t="shared" ref="CQ71:CQ75" si="100">CP71/$D71</f>
        <v>#REF!</v>
      </c>
      <c r="CR71" s="189" t="e">
        <f>#REF!+#REF!</f>
        <v>#REF!</v>
      </c>
      <c r="CS71" s="186" t="e">
        <f t="shared" ref="CS71:CS75" si="101">CR71/$D71</f>
        <v>#REF!</v>
      </c>
      <c r="CT71" s="189" t="e">
        <f>#REF!+#REF!</f>
        <v>#REF!</v>
      </c>
      <c r="CU71" s="186" t="e">
        <f t="shared" ref="CU71:CU75" si="102">CT71/$D71</f>
        <v>#REF!</v>
      </c>
      <c r="CV71" s="416">
        <f t="shared" si="17"/>
        <v>0</v>
      </c>
      <c r="CW71" s="191" t="str">
        <f t="shared" si="31"/>
        <v>Cao hơn</v>
      </c>
      <c r="CX71" s="191" t="str">
        <f t="shared" si="32"/>
        <v>Cao hơn</v>
      </c>
      <c r="CY71" s="213"/>
      <c r="CZ71" s="213"/>
      <c r="DA71" s="231"/>
      <c r="DB71" s="163"/>
      <c r="DD71" s="195"/>
      <c r="DE71" s="196"/>
      <c r="DF71" s="196"/>
      <c r="DG71" s="197"/>
      <c r="DH71" s="196"/>
      <c r="DI71" s="196"/>
      <c r="DJ71" s="196"/>
      <c r="DL71" s="199"/>
      <c r="DM71" s="200"/>
    </row>
    <row r="72" spans="1:117" ht="18" customHeight="1" x14ac:dyDescent="0.25">
      <c r="A72" s="191">
        <v>7</v>
      </c>
      <c r="B72" s="240" t="s">
        <v>378</v>
      </c>
      <c r="C72" s="240"/>
      <c r="D72" s="188">
        <v>8200</v>
      </c>
      <c r="E72" s="188">
        <v>0</v>
      </c>
      <c r="F72" s="188">
        <v>8200</v>
      </c>
      <c r="G72" s="188">
        <v>3000</v>
      </c>
      <c r="H72" s="188">
        <v>5200</v>
      </c>
      <c r="I72" s="188">
        <v>0</v>
      </c>
      <c r="J72" s="188"/>
      <c r="K72" s="188">
        <v>0</v>
      </c>
      <c r="L72" s="188">
        <v>0</v>
      </c>
      <c r="M72" s="188">
        <v>0</v>
      </c>
      <c r="N72" s="188">
        <v>0</v>
      </c>
      <c r="O72" s="188">
        <v>3000</v>
      </c>
      <c r="P72" s="188">
        <v>0</v>
      </c>
      <c r="Q72" s="186">
        <v>0</v>
      </c>
      <c r="R72" s="189">
        <v>1175.9293540000001</v>
      </c>
      <c r="S72" s="185">
        <v>0.14340601878048781</v>
      </c>
      <c r="T72" s="185">
        <v>0.15095370397946087</v>
      </c>
      <c r="U72" s="189">
        <v>1175.9293540000001</v>
      </c>
      <c r="V72" s="185">
        <v>0.14340601878048781</v>
      </c>
      <c r="W72" s="185">
        <v>0.15095370397946087</v>
      </c>
      <c r="X72" s="189">
        <v>1175.9293540000001</v>
      </c>
      <c r="Y72" s="185">
        <v>0.14340601878048781</v>
      </c>
      <c r="Z72" s="185">
        <v>0.15095370397946087</v>
      </c>
      <c r="AA72" s="189">
        <v>1175.9293540000001</v>
      </c>
      <c r="AB72" s="185">
        <v>0.14340601878048781</v>
      </c>
      <c r="AC72" s="185">
        <v>0.15095370397946087</v>
      </c>
      <c r="AD72" s="189">
        <v>1175.9293540000001</v>
      </c>
      <c r="AE72" s="185">
        <v>0.14340601878048781</v>
      </c>
      <c r="AF72" s="185">
        <v>0.15095370397946087</v>
      </c>
      <c r="AG72" s="189">
        <v>1175.9293540000001</v>
      </c>
      <c r="AH72" s="185">
        <v>0.14340601878048781</v>
      </c>
      <c r="AI72" s="185">
        <v>0.15095370397946087</v>
      </c>
      <c r="AJ72" s="303">
        <v>1175.9293540000001</v>
      </c>
      <c r="AK72" s="185">
        <v>0.14340601878048781</v>
      </c>
      <c r="AL72" s="185">
        <v>0.15095370397946087</v>
      </c>
      <c r="AM72" s="189">
        <v>2347.4313540000003</v>
      </c>
      <c r="AN72" s="185">
        <v>0.28627211634146343</v>
      </c>
      <c r="AO72" s="185">
        <v>0.30133906983311942</v>
      </c>
      <c r="AP72" s="185"/>
      <c r="AQ72" s="189">
        <v>2347.4313540000003</v>
      </c>
      <c r="AR72" s="185">
        <v>0.28627211634146343</v>
      </c>
      <c r="AS72" s="185">
        <v>0.30133906983311942</v>
      </c>
      <c r="AT72" s="189">
        <v>2347.4313540000003</v>
      </c>
      <c r="AU72" s="185">
        <v>0.28627211634146343</v>
      </c>
      <c r="AV72" s="185">
        <v>0.30133906983311942</v>
      </c>
      <c r="AW72" s="185"/>
      <c r="AX72" s="185"/>
      <c r="AY72" s="185"/>
      <c r="AZ72" s="185"/>
      <c r="BA72" s="185"/>
      <c r="BB72" s="185"/>
      <c r="BC72" s="189">
        <v>2347.4313540000003</v>
      </c>
      <c r="BD72" s="185">
        <v>0.28627211634146343</v>
      </c>
      <c r="BE72" s="185">
        <v>0.30133906983311942</v>
      </c>
      <c r="BF72" s="189"/>
      <c r="BG72" s="189">
        <v>2347.4313540000003</v>
      </c>
      <c r="BH72" s="185">
        <v>0.28627211634146343</v>
      </c>
      <c r="BI72" s="185">
        <v>0.30133906983311942</v>
      </c>
      <c r="BJ72" s="189">
        <v>7790</v>
      </c>
      <c r="BK72" s="189">
        <v>2353</v>
      </c>
      <c r="BL72" s="185">
        <v>0.2869512195121951</v>
      </c>
      <c r="BM72" s="185">
        <v>0.30205391527599484</v>
      </c>
      <c r="BN72" s="189">
        <v>2353</v>
      </c>
      <c r="BO72" s="185">
        <v>0.2869512195121951</v>
      </c>
      <c r="BP72" s="185">
        <v>0.30205391527599484</v>
      </c>
      <c r="BQ72" s="189">
        <v>2353</v>
      </c>
      <c r="BR72" s="185">
        <f t="shared" si="90"/>
        <v>0.2869512195121951</v>
      </c>
      <c r="BS72" s="185">
        <f t="shared" si="49"/>
        <v>0.30205391527599484</v>
      </c>
      <c r="BT72" s="205">
        <f t="shared" si="50"/>
        <v>1177.0706459999999</v>
      </c>
      <c r="BU72" s="205"/>
      <c r="BV72" s="189" t="e">
        <f>#REF!+#REF!</f>
        <v>#REF!</v>
      </c>
      <c r="BW72" s="186" t="e">
        <f t="shared" si="89"/>
        <v>#REF!</v>
      </c>
      <c r="BX72" s="189" t="e">
        <f>#REF!+#REF!</f>
        <v>#REF!</v>
      </c>
      <c r="BY72" s="186" t="e">
        <f t="shared" si="91"/>
        <v>#REF!</v>
      </c>
      <c r="BZ72" s="189" t="e">
        <f>#REF!+#REF!</f>
        <v>#REF!</v>
      </c>
      <c r="CA72" s="186" t="e">
        <f t="shared" si="92"/>
        <v>#REF!</v>
      </c>
      <c r="CB72" s="189" t="e">
        <f>#REF!+#REF!</f>
        <v>#REF!</v>
      </c>
      <c r="CC72" s="186" t="e">
        <f t="shared" si="92"/>
        <v>#REF!</v>
      </c>
      <c r="CD72" s="189" t="e">
        <f>#REF!+#REF!</f>
        <v>#REF!</v>
      </c>
      <c r="CE72" s="186" t="e">
        <f t="shared" si="94"/>
        <v>#REF!</v>
      </c>
      <c r="CF72" s="189" t="e">
        <f>#REF!+#REF!</f>
        <v>#REF!</v>
      </c>
      <c r="CG72" s="186" t="e">
        <f t="shared" si="95"/>
        <v>#REF!</v>
      </c>
      <c r="CH72" s="189" t="e">
        <f>#REF!+#REF!</f>
        <v>#REF!</v>
      </c>
      <c r="CI72" s="186" t="e">
        <f t="shared" si="96"/>
        <v>#REF!</v>
      </c>
      <c r="CJ72" s="189" t="e">
        <f>#REF!+#REF!</f>
        <v>#REF!</v>
      </c>
      <c r="CK72" s="186" t="e">
        <f t="shared" si="97"/>
        <v>#REF!</v>
      </c>
      <c r="CL72" s="189" t="e">
        <f>#REF!+#REF!</f>
        <v>#REF!</v>
      </c>
      <c r="CM72" s="186" t="e">
        <f t="shared" si="98"/>
        <v>#REF!</v>
      </c>
      <c r="CN72" s="189" t="e">
        <f>#REF!+#REF!</f>
        <v>#REF!</v>
      </c>
      <c r="CO72" s="186" t="e">
        <f t="shared" si="99"/>
        <v>#REF!</v>
      </c>
      <c r="CP72" s="189" t="e">
        <f>#REF!+#REF!</f>
        <v>#REF!</v>
      </c>
      <c r="CQ72" s="186" t="e">
        <f t="shared" si="100"/>
        <v>#REF!</v>
      </c>
      <c r="CR72" s="189" t="e">
        <f>#REF!+#REF!</f>
        <v>#REF!</v>
      </c>
      <c r="CS72" s="186" t="e">
        <f t="shared" si="101"/>
        <v>#REF!</v>
      </c>
      <c r="CT72" s="189" t="e">
        <f>#REF!+#REF!</f>
        <v>#REF!</v>
      </c>
      <c r="CU72" s="186" t="e">
        <f t="shared" si="102"/>
        <v>#REF!</v>
      </c>
      <c r="CV72" s="416">
        <f t="shared" si="17"/>
        <v>0</v>
      </c>
      <c r="CW72" s="191" t="str">
        <f t="shared" si="31"/>
        <v>Thấp hơn</v>
      </c>
      <c r="CX72" s="191" t="str">
        <f t="shared" si="32"/>
        <v>Thấp hơn</v>
      </c>
      <c r="CY72" s="213"/>
      <c r="CZ72" s="213"/>
      <c r="DA72" s="231"/>
      <c r="DB72" s="163"/>
      <c r="DD72" s="195"/>
      <c r="DE72" s="196"/>
      <c r="DF72" s="196"/>
      <c r="DG72" s="197"/>
      <c r="DH72" s="196"/>
      <c r="DI72" s="196"/>
      <c r="DJ72" s="196"/>
      <c r="DL72" s="199"/>
      <c r="DM72" s="200"/>
    </row>
    <row r="73" spans="1:117" ht="18" customHeight="1" x14ac:dyDescent="0.25">
      <c r="A73" s="191">
        <v>8</v>
      </c>
      <c r="B73" s="240" t="s">
        <v>379</v>
      </c>
      <c r="C73" s="240"/>
      <c r="D73" s="188">
        <v>21400</v>
      </c>
      <c r="E73" s="188">
        <v>0</v>
      </c>
      <c r="F73" s="188">
        <v>21400</v>
      </c>
      <c r="G73" s="188">
        <v>3000</v>
      </c>
      <c r="H73" s="188">
        <v>18400</v>
      </c>
      <c r="I73" s="188">
        <v>0</v>
      </c>
      <c r="J73" s="188"/>
      <c r="K73" s="188">
        <v>0</v>
      </c>
      <c r="L73" s="188">
        <v>0</v>
      </c>
      <c r="M73" s="188">
        <v>0</v>
      </c>
      <c r="N73" s="188">
        <v>0</v>
      </c>
      <c r="O73" s="188">
        <v>3000</v>
      </c>
      <c r="P73" s="188">
        <v>0</v>
      </c>
      <c r="Q73" s="186">
        <v>0</v>
      </c>
      <c r="R73" s="188">
        <v>0</v>
      </c>
      <c r="S73" s="185">
        <v>0</v>
      </c>
      <c r="T73" s="185">
        <v>0</v>
      </c>
      <c r="U73" s="188">
        <v>0</v>
      </c>
      <c r="V73" s="185">
        <v>0</v>
      </c>
      <c r="W73" s="185">
        <v>0</v>
      </c>
      <c r="X73" s="188">
        <v>0</v>
      </c>
      <c r="Y73" s="185">
        <v>0</v>
      </c>
      <c r="Z73" s="185">
        <v>0</v>
      </c>
      <c r="AA73" s="188">
        <v>0</v>
      </c>
      <c r="AB73" s="185">
        <v>0</v>
      </c>
      <c r="AC73" s="185">
        <v>0</v>
      </c>
      <c r="AD73" s="188">
        <v>0</v>
      </c>
      <c r="AE73" s="185">
        <v>0</v>
      </c>
      <c r="AF73" s="185">
        <v>0</v>
      </c>
      <c r="AG73" s="188">
        <v>0</v>
      </c>
      <c r="AH73" s="185">
        <v>0</v>
      </c>
      <c r="AI73" s="185">
        <v>0</v>
      </c>
      <c r="AJ73" s="303">
        <v>0</v>
      </c>
      <c r="AK73" s="185">
        <v>0</v>
      </c>
      <c r="AL73" s="185">
        <v>0</v>
      </c>
      <c r="AM73" s="314">
        <v>0</v>
      </c>
      <c r="AN73" s="185">
        <v>0</v>
      </c>
      <c r="AO73" s="185">
        <v>0</v>
      </c>
      <c r="AP73" s="185"/>
      <c r="AQ73" s="188">
        <v>0</v>
      </c>
      <c r="AR73" s="185">
        <v>0</v>
      </c>
      <c r="AS73" s="185">
        <v>0</v>
      </c>
      <c r="AT73" s="188">
        <v>0</v>
      </c>
      <c r="AU73" s="185">
        <v>0</v>
      </c>
      <c r="AV73" s="185">
        <v>0</v>
      </c>
      <c r="AW73" s="185"/>
      <c r="AX73" s="185"/>
      <c r="AY73" s="185"/>
      <c r="AZ73" s="185"/>
      <c r="BA73" s="185"/>
      <c r="BB73" s="185"/>
      <c r="BC73" s="188">
        <v>0</v>
      </c>
      <c r="BD73" s="185">
        <v>0</v>
      </c>
      <c r="BE73" s="185">
        <v>0</v>
      </c>
      <c r="BF73" s="188"/>
      <c r="BG73" s="188">
        <v>1645.212</v>
      </c>
      <c r="BH73" s="185">
        <v>7.6879065420560749E-2</v>
      </c>
      <c r="BI73" s="185">
        <v>8.0925332021642898E-2</v>
      </c>
      <c r="BJ73" s="188">
        <v>20330</v>
      </c>
      <c r="BK73" s="188">
        <v>1714</v>
      </c>
      <c r="BL73" s="185">
        <v>8.0093457943925236E-2</v>
      </c>
      <c r="BM73" s="185">
        <v>8.4308903098868668E-2</v>
      </c>
      <c r="BN73" s="188">
        <v>4706</v>
      </c>
      <c r="BO73" s="185">
        <v>0.21990654205607477</v>
      </c>
      <c r="BP73" s="185">
        <v>0.23148057058534185</v>
      </c>
      <c r="BQ73" s="188">
        <v>7821.9169999999995</v>
      </c>
      <c r="BR73" s="185">
        <f t="shared" si="90"/>
        <v>0.36551014018691586</v>
      </c>
      <c r="BS73" s="185">
        <f t="shared" si="49"/>
        <v>0.38474751598622725</v>
      </c>
      <c r="BT73" s="205">
        <f t="shared" si="50"/>
        <v>7821.9169999999995</v>
      </c>
      <c r="BU73" s="205"/>
      <c r="BV73" s="189" t="e">
        <f>#REF!+#REF!</f>
        <v>#REF!</v>
      </c>
      <c r="BW73" s="186" t="e">
        <f t="shared" si="89"/>
        <v>#REF!</v>
      </c>
      <c r="BX73" s="189" t="e">
        <f>#REF!+#REF!</f>
        <v>#REF!</v>
      </c>
      <c r="BY73" s="186" t="e">
        <f t="shared" si="91"/>
        <v>#REF!</v>
      </c>
      <c r="BZ73" s="189" t="e">
        <f>#REF!+#REF!</f>
        <v>#REF!</v>
      </c>
      <c r="CA73" s="186" t="e">
        <f t="shared" ref="CA73:CC75" si="103">BZ73/$D73</f>
        <v>#REF!</v>
      </c>
      <c r="CB73" s="189" t="e">
        <f>#REF!+#REF!</f>
        <v>#REF!</v>
      </c>
      <c r="CC73" s="186" t="e">
        <f t="shared" si="103"/>
        <v>#REF!</v>
      </c>
      <c r="CD73" s="189" t="e">
        <f>#REF!+#REF!</f>
        <v>#REF!</v>
      </c>
      <c r="CE73" s="186" t="e">
        <f t="shared" si="94"/>
        <v>#REF!</v>
      </c>
      <c r="CF73" s="189" t="e">
        <f>#REF!+#REF!</f>
        <v>#REF!</v>
      </c>
      <c r="CG73" s="186" t="e">
        <f t="shared" si="95"/>
        <v>#REF!</v>
      </c>
      <c r="CH73" s="189" t="e">
        <f>#REF!+#REF!</f>
        <v>#REF!</v>
      </c>
      <c r="CI73" s="186" t="e">
        <f t="shared" si="96"/>
        <v>#REF!</v>
      </c>
      <c r="CJ73" s="189" t="e">
        <f>#REF!+#REF!</f>
        <v>#REF!</v>
      </c>
      <c r="CK73" s="186" t="e">
        <f t="shared" si="97"/>
        <v>#REF!</v>
      </c>
      <c r="CL73" s="189" t="e">
        <f>#REF!+#REF!</f>
        <v>#REF!</v>
      </c>
      <c r="CM73" s="186" t="e">
        <f t="shared" si="98"/>
        <v>#REF!</v>
      </c>
      <c r="CN73" s="189" t="e">
        <f>#REF!+#REF!</f>
        <v>#REF!</v>
      </c>
      <c r="CO73" s="186" t="e">
        <f t="shared" si="99"/>
        <v>#REF!</v>
      </c>
      <c r="CP73" s="189" t="e">
        <f>#REF!+#REF!</f>
        <v>#REF!</v>
      </c>
      <c r="CQ73" s="186" t="e">
        <f t="shared" si="100"/>
        <v>#REF!</v>
      </c>
      <c r="CR73" s="189" t="e">
        <f>#REF!+#REF!</f>
        <v>#REF!</v>
      </c>
      <c r="CS73" s="186" t="e">
        <f t="shared" si="101"/>
        <v>#REF!</v>
      </c>
      <c r="CT73" s="189" t="e">
        <f>#REF!+#REF!</f>
        <v>#REF!</v>
      </c>
      <c r="CU73" s="186" t="e">
        <f t="shared" si="102"/>
        <v>#REF!</v>
      </c>
      <c r="CV73" s="416">
        <f t="shared" si="17"/>
        <v>3115.9169999999995</v>
      </c>
      <c r="CW73" s="191" t="str">
        <f t="shared" si="31"/>
        <v>Cao hơn</v>
      </c>
      <c r="CX73" s="191" t="str">
        <f t="shared" si="32"/>
        <v>Thấp hơn</v>
      </c>
      <c r="CY73" s="213"/>
      <c r="CZ73" s="213"/>
      <c r="DA73" s="231"/>
      <c r="DB73" s="163"/>
      <c r="DD73" s="195"/>
      <c r="DE73" s="196"/>
      <c r="DF73" s="196"/>
      <c r="DG73" s="197"/>
      <c r="DH73" s="196"/>
      <c r="DI73" s="196"/>
      <c r="DJ73" s="196"/>
      <c r="DL73" s="199"/>
      <c r="DM73" s="200"/>
    </row>
    <row r="74" spans="1:117" ht="18" customHeight="1" x14ac:dyDescent="0.25">
      <c r="A74" s="191">
        <v>9</v>
      </c>
      <c r="B74" s="240" t="s">
        <v>380</v>
      </c>
      <c r="C74" s="240"/>
      <c r="D74" s="188">
        <v>20400</v>
      </c>
      <c r="E74" s="188">
        <v>0</v>
      </c>
      <c r="F74" s="188">
        <v>20400</v>
      </c>
      <c r="G74" s="188">
        <v>3000</v>
      </c>
      <c r="H74" s="188">
        <v>17400</v>
      </c>
      <c r="I74" s="188">
        <v>0</v>
      </c>
      <c r="J74" s="188"/>
      <c r="K74" s="188">
        <v>0</v>
      </c>
      <c r="L74" s="188">
        <v>0</v>
      </c>
      <c r="M74" s="188">
        <v>0</v>
      </c>
      <c r="N74" s="188">
        <v>0</v>
      </c>
      <c r="O74" s="188">
        <v>3000</v>
      </c>
      <c r="P74" s="188">
        <v>0</v>
      </c>
      <c r="Q74" s="186">
        <v>0</v>
      </c>
      <c r="R74" s="188">
        <v>0</v>
      </c>
      <c r="S74" s="185">
        <v>0</v>
      </c>
      <c r="T74" s="185">
        <v>0</v>
      </c>
      <c r="U74" s="188">
        <v>279.101</v>
      </c>
      <c r="V74" s="185">
        <v>1.3681421568627452E-2</v>
      </c>
      <c r="W74" s="185">
        <v>1.4401496388028895E-2</v>
      </c>
      <c r="X74" s="188">
        <v>279.101</v>
      </c>
      <c r="Y74" s="185">
        <v>1.3681421568627452E-2</v>
      </c>
      <c r="Z74" s="185">
        <v>1.4401496388028895E-2</v>
      </c>
      <c r="AA74" s="188">
        <v>279.101</v>
      </c>
      <c r="AB74" s="185">
        <v>1.3681421568627452E-2</v>
      </c>
      <c r="AC74" s="185">
        <v>1.4401496388028895E-2</v>
      </c>
      <c r="AD74" s="188">
        <v>279.101</v>
      </c>
      <c r="AE74" s="185">
        <v>1.3681421568627452E-2</v>
      </c>
      <c r="AF74" s="185">
        <v>1.4401496388028895E-2</v>
      </c>
      <c r="AG74" s="188">
        <v>279.101</v>
      </c>
      <c r="AH74" s="185">
        <v>1.3681421568627452E-2</v>
      </c>
      <c r="AI74" s="185">
        <v>1.4401496388028895E-2</v>
      </c>
      <c r="AJ74" s="317">
        <v>279.101</v>
      </c>
      <c r="AK74" s="185">
        <v>1.3681421568627452E-2</v>
      </c>
      <c r="AL74" s="185">
        <v>1.4401496388028895E-2</v>
      </c>
      <c r="AM74" s="188">
        <v>1167.6844000000001</v>
      </c>
      <c r="AN74" s="185">
        <v>5.7239431372549027E-2</v>
      </c>
      <c r="AO74" s="185">
        <v>6.0252033023735815E-2</v>
      </c>
      <c r="AP74" s="185"/>
      <c r="AQ74" s="188">
        <v>1167.6844000000001</v>
      </c>
      <c r="AR74" s="185">
        <v>5.7239431372549027E-2</v>
      </c>
      <c r="AS74" s="185">
        <v>6.0252033023735815E-2</v>
      </c>
      <c r="AT74" s="188">
        <v>1922</v>
      </c>
      <c r="AU74" s="185">
        <v>9.4215686274509811E-2</v>
      </c>
      <c r="AV74" s="185">
        <v>9.9174406604747162E-2</v>
      </c>
      <c r="AW74" s="185"/>
      <c r="AX74" s="185"/>
      <c r="AY74" s="185"/>
      <c r="AZ74" s="185"/>
      <c r="BA74" s="185"/>
      <c r="BB74" s="185"/>
      <c r="BC74" s="188">
        <v>1922</v>
      </c>
      <c r="BD74" s="185">
        <v>9.4215686274509811E-2</v>
      </c>
      <c r="BE74" s="185">
        <v>9.9174406604747162E-2</v>
      </c>
      <c r="BF74" s="188"/>
      <c r="BG74" s="188">
        <v>12020.463</v>
      </c>
      <c r="BH74" s="185">
        <v>0.58923838235294113</v>
      </c>
      <c r="BI74" s="185">
        <v>0.6202509287925696</v>
      </c>
      <c r="BJ74" s="188">
        <v>19380</v>
      </c>
      <c r="BK74" s="188">
        <v>12531.463</v>
      </c>
      <c r="BL74" s="185">
        <v>0.61428740196078435</v>
      </c>
      <c r="BM74" s="185">
        <v>0.64661831785345714</v>
      </c>
      <c r="BN74" s="188">
        <v>12531.463</v>
      </c>
      <c r="BO74" s="185">
        <v>0.61428740196078435</v>
      </c>
      <c r="BP74" s="185">
        <v>0.64661831785345714</v>
      </c>
      <c r="BQ74" s="188">
        <v>13092</v>
      </c>
      <c r="BR74" s="185">
        <f t="shared" si="90"/>
        <v>0.6417647058823529</v>
      </c>
      <c r="BS74" s="185">
        <f t="shared" si="49"/>
        <v>0.67554179566563466</v>
      </c>
      <c r="BT74" s="205">
        <f t="shared" si="50"/>
        <v>12812.898999999999</v>
      </c>
      <c r="BU74" s="205"/>
      <c r="BV74" s="189" t="e">
        <f>#REF!+#REF!+#REF!</f>
        <v>#REF!</v>
      </c>
      <c r="BW74" s="186" t="e">
        <f t="shared" si="89"/>
        <v>#REF!</v>
      </c>
      <c r="BX74" s="189" t="e">
        <f>#REF!+#REF!+#REF!</f>
        <v>#REF!</v>
      </c>
      <c r="BY74" s="186" t="e">
        <f t="shared" si="91"/>
        <v>#REF!</v>
      </c>
      <c r="BZ74" s="189" t="e">
        <f>#REF!+#REF!+#REF!</f>
        <v>#REF!</v>
      </c>
      <c r="CA74" s="186" t="e">
        <f t="shared" si="103"/>
        <v>#REF!</v>
      </c>
      <c r="CB74" s="189" t="e">
        <f>#REF!+#REF!+#REF!</f>
        <v>#REF!</v>
      </c>
      <c r="CC74" s="186" t="e">
        <f t="shared" si="103"/>
        <v>#REF!</v>
      </c>
      <c r="CD74" s="189" t="e">
        <f>#REF!+#REF!+#REF!</f>
        <v>#REF!</v>
      </c>
      <c r="CE74" s="186" t="e">
        <f t="shared" si="94"/>
        <v>#REF!</v>
      </c>
      <c r="CF74" s="189" t="e">
        <f>#REF!+#REF!+#REF!</f>
        <v>#REF!</v>
      </c>
      <c r="CG74" s="186" t="e">
        <f t="shared" si="95"/>
        <v>#REF!</v>
      </c>
      <c r="CH74" s="189" t="e">
        <f>#REF!+#REF!+#REF!</f>
        <v>#REF!</v>
      </c>
      <c r="CI74" s="186" t="e">
        <f t="shared" si="96"/>
        <v>#REF!</v>
      </c>
      <c r="CJ74" s="189" t="e">
        <f>#REF!+#REF!+#REF!</f>
        <v>#REF!</v>
      </c>
      <c r="CK74" s="186" t="e">
        <f t="shared" si="97"/>
        <v>#REF!</v>
      </c>
      <c r="CL74" s="189" t="e">
        <f>#REF!+#REF!+#REF!</f>
        <v>#REF!</v>
      </c>
      <c r="CM74" s="186" t="e">
        <f t="shared" si="98"/>
        <v>#REF!</v>
      </c>
      <c r="CN74" s="189" t="e">
        <f>#REF!+#REF!+#REF!</f>
        <v>#REF!</v>
      </c>
      <c r="CO74" s="186" t="e">
        <f t="shared" si="99"/>
        <v>#REF!</v>
      </c>
      <c r="CP74" s="189" t="e">
        <f>#REF!+#REF!+#REF!</f>
        <v>#REF!</v>
      </c>
      <c r="CQ74" s="186" t="e">
        <f t="shared" si="100"/>
        <v>#REF!</v>
      </c>
      <c r="CR74" s="189" t="e">
        <f>#REF!+#REF!+#REF!</f>
        <v>#REF!</v>
      </c>
      <c r="CS74" s="186" t="e">
        <f t="shared" si="101"/>
        <v>#REF!</v>
      </c>
      <c r="CT74" s="189" t="e">
        <f>#REF!+#REF!+#REF!</f>
        <v>#REF!</v>
      </c>
      <c r="CU74" s="186" t="e">
        <f t="shared" si="102"/>
        <v>#REF!</v>
      </c>
      <c r="CV74" s="416">
        <f t="shared" si="17"/>
        <v>560.53700000000026</v>
      </c>
      <c r="CW74" s="191" t="str">
        <f t="shared" si="31"/>
        <v>Cao hơn</v>
      </c>
      <c r="CX74" s="191" t="str">
        <f t="shared" si="32"/>
        <v>Cao hơn</v>
      </c>
      <c r="CY74" s="213"/>
      <c r="CZ74" s="213"/>
      <c r="DA74" s="231"/>
      <c r="DB74" s="163"/>
      <c r="DD74" s="195"/>
      <c r="DE74" s="196"/>
      <c r="DF74" s="196"/>
      <c r="DG74" s="197"/>
      <c r="DH74" s="196"/>
      <c r="DI74" s="196"/>
      <c r="DJ74" s="196"/>
      <c r="DL74" s="199"/>
      <c r="DM74" s="200"/>
    </row>
    <row r="75" spans="1:117" ht="18" customHeight="1" x14ac:dyDescent="0.25">
      <c r="A75" s="191">
        <v>10</v>
      </c>
      <c r="B75" s="240" t="s">
        <v>383</v>
      </c>
      <c r="C75" s="240"/>
      <c r="D75" s="188">
        <v>105740</v>
      </c>
      <c r="E75" s="188">
        <v>0</v>
      </c>
      <c r="F75" s="188">
        <v>105740</v>
      </c>
      <c r="G75" s="188">
        <v>3000</v>
      </c>
      <c r="H75" s="188">
        <v>102740</v>
      </c>
      <c r="I75" s="188">
        <v>0</v>
      </c>
      <c r="J75" s="188"/>
      <c r="K75" s="188">
        <v>0</v>
      </c>
      <c r="L75" s="188">
        <v>0</v>
      </c>
      <c r="M75" s="188">
        <v>0</v>
      </c>
      <c r="N75" s="188">
        <v>0</v>
      </c>
      <c r="O75" s="188">
        <v>3000</v>
      </c>
      <c r="P75" s="188">
        <v>0</v>
      </c>
      <c r="Q75" s="186">
        <v>0</v>
      </c>
      <c r="R75" s="188">
        <v>0</v>
      </c>
      <c r="S75" s="185">
        <v>0</v>
      </c>
      <c r="T75" s="185">
        <v>0</v>
      </c>
      <c r="U75" s="188">
        <v>0</v>
      </c>
      <c r="V75" s="185">
        <v>0</v>
      </c>
      <c r="W75" s="185">
        <v>0</v>
      </c>
      <c r="X75" s="188">
        <v>0</v>
      </c>
      <c r="Y75" s="185">
        <v>0</v>
      </c>
      <c r="Z75" s="185">
        <v>0</v>
      </c>
      <c r="AA75" s="188">
        <v>0</v>
      </c>
      <c r="AB75" s="185">
        <v>0</v>
      </c>
      <c r="AC75" s="185">
        <v>0</v>
      </c>
      <c r="AD75" s="188">
        <v>0</v>
      </c>
      <c r="AE75" s="185">
        <v>0</v>
      </c>
      <c r="AF75" s="185">
        <v>0</v>
      </c>
      <c r="AG75" s="188">
        <v>0</v>
      </c>
      <c r="AH75" s="185">
        <v>0</v>
      </c>
      <c r="AI75" s="185">
        <v>0</v>
      </c>
      <c r="AJ75" s="317">
        <v>0</v>
      </c>
      <c r="AK75" s="185">
        <v>0</v>
      </c>
      <c r="AL75" s="185">
        <v>0</v>
      </c>
      <c r="AM75" s="314">
        <v>0</v>
      </c>
      <c r="AN75" s="185">
        <v>0</v>
      </c>
      <c r="AO75" s="185">
        <v>0</v>
      </c>
      <c r="AP75" s="185"/>
      <c r="AQ75" s="188">
        <v>0</v>
      </c>
      <c r="AR75" s="185">
        <v>0</v>
      </c>
      <c r="AS75" s="185">
        <v>0</v>
      </c>
      <c r="AT75" s="188">
        <v>0</v>
      </c>
      <c r="AU75" s="185">
        <v>0</v>
      </c>
      <c r="AV75" s="185">
        <v>0</v>
      </c>
      <c r="AW75" s="185"/>
      <c r="AX75" s="185"/>
      <c r="AY75" s="185"/>
      <c r="AZ75" s="185"/>
      <c r="BA75" s="185"/>
      <c r="BB75" s="185"/>
      <c r="BC75" s="188">
        <v>0</v>
      </c>
      <c r="BD75" s="185">
        <v>0</v>
      </c>
      <c r="BE75" s="185">
        <v>0</v>
      </c>
      <c r="BF75" s="188"/>
      <c r="BG75" s="188">
        <v>1435</v>
      </c>
      <c r="BH75" s="185">
        <v>1.357102326461131E-2</v>
      </c>
      <c r="BI75" s="185">
        <v>1.4285287646959275E-2</v>
      </c>
      <c r="BJ75" s="188">
        <v>100453</v>
      </c>
      <c r="BK75" s="188">
        <v>1471</v>
      </c>
      <c r="BL75" s="185">
        <v>1.3911480991110271E-2</v>
      </c>
      <c r="BM75" s="185">
        <v>1.4643664201168706E-2</v>
      </c>
      <c r="BN75" s="188">
        <v>1471</v>
      </c>
      <c r="BO75" s="185">
        <v>1.3911480991110271E-2</v>
      </c>
      <c r="BP75" s="185">
        <v>1.4643664201168706E-2</v>
      </c>
      <c r="BQ75" s="188">
        <v>2726</v>
      </c>
      <c r="BR75" s="185">
        <f t="shared" si="90"/>
        <v>2.5780215623226781E-2</v>
      </c>
      <c r="BS75" s="185">
        <f t="shared" si="49"/>
        <v>2.7137069077080824E-2</v>
      </c>
      <c r="BT75" s="205">
        <f t="shared" si="50"/>
        <v>2726</v>
      </c>
      <c r="BU75" s="205"/>
      <c r="BV75" s="189" t="e">
        <f>#REF!+#REF!+#REF!</f>
        <v>#REF!</v>
      </c>
      <c r="BW75" s="186" t="e">
        <f t="shared" si="89"/>
        <v>#REF!</v>
      </c>
      <c r="BX75" s="189" t="e">
        <f>#REF!+#REF!+#REF!</f>
        <v>#REF!</v>
      </c>
      <c r="BY75" s="186" t="e">
        <f t="shared" si="91"/>
        <v>#REF!</v>
      </c>
      <c r="BZ75" s="189" t="e">
        <f>#REF!+#REF!+#REF!</f>
        <v>#REF!</v>
      </c>
      <c r="CA75" s="186" t="e">
        <f t="shared" si="103"/>
        <v>#REF!</v>
      </c>
      <c r="CB75" s="189" t="e">
        <f>#REF!+#REF!+#REF!</f>
        <v>#REF!</v>
      </c>
      <c r="CC75" s="186" t="e">
        <f t="shared" si="103"/>
        <v>#REF!</v>
      </c>
      <c r="CD75" s="189" t="e">
        <f>#REF!+#REF!+#REF!</f>
        <v>#REF!</v>
      </c>
      <c r="CE75" s="186" t="e">
        <f t="shared" si="94"/>
        <v>#REF!</v>
      </c>
      <c r="CF75" s="189" t="e">
        <f>#REF!+#REF!+#REF!</f>
        <v>#REF!</v>
      </c>
      <c r="CG75" s="186" t="e">
        <f t="shared" si="95"/>
        <v>#REF!</v>
      </c>
      <c r="CH75" s="189" t="e">
        <f>#REF!+#REF!+#REF!</f>
        <v>#REF!</v>
      </c>
      <c r="CI75" s="186" t="e">
        <f t="shared" si="96"/>
        <v>#REF!</v>
      </c>
      <c r="CJ75" s="189" t="e">
        <f>#REF!+#REF!+#REF!</f>
        <v>#REF!</v>
      </c>
      <c r="CK75" s="186" t="e">
        <f t="shared" si="97"/>
        <v>#REF!</v>
      </c>
      <c r="CL75" s="189" t="e">
        <f>#REF!+#REF!+#REF!</f>
        <v>#REF!</v>
      </c>
      <c r="CM75" s="186" t="e">
        <f t="shared" si="98"/>
        <v>#REF!</v>
      </c>
      <c r="CN75" s="189" t="e">
        <f>#REF!+#REF!+#REF!</f>
        <v>#REF!</v>
      </c>
      <c r="CO75" s="186" t="e">
        <f t="shared" si="99"/>
        <v>#REF!</v>
      </c>
      <c r="CP75" s="189" t="e">
        <f>#REF!+#REF!+#REF!</f>
        <v>#REF!</v>
      </c>
      <c r="CQ75" s="186" t="e">
        <f t="shared" si="100"/>
        <v>#REF!</v>
      </c>
      <c r="CR75" s="189" t="e">
        <f>#REF!+#REF!+#REF!</f>
        <v>#REF!</v>
      </c>
      <c r="CS75" s="186" t="e">
        <f t="shared" si="101"/>
        <v>#REF!</v>
      </c>
      <c r="CT75" s="189" t="e">
        <f>#REF!+#REF!+#REF!</f>
        <v>#REF!</v>
      </c>
      <c r="CU75" s="186" t="e">
        <f t="shared" si="102"/>
        <v>#REF!</v>
      </c>
      <c r="CV75" s="416">
        <f t="shared" si="17"/>
        <v>1255</v>
      </c>
      <c r="CW75" s="191" t="str">
        <f t="shared" si="31"/>
        <v>Thấp hơn</v>
      </c>
      <c r="CX75" s="191" t="str">
        <f t="shared" si="32"/>
        <v>Thấp hơn</v>
      </c>
      <c r="CY75" s="213"/>
      <c r="CZ75" s="213"/>
      <c r="DA75" s="231"/>
      <c r="DB75" s="163"/>
      <c r="DD75" s="195"/>
      <c r="DE75" s="196"/>
      <c r="DF75" s="196"/>
      <c r="DG75" s="197"/>
      <c r="DH75" s="196"/>
      <c r="DI75" s="196"/>
      <c r="DJ75" s="196"/>
      <c r="DL75" s="199"/>
      <c r="DM75" s="200"/>
    </row>
    <row r="76" spans="1:117" ht="18" customHeight="1" x14ac:dyDescent="0.25">
      <c r="A76" s="191">
        <v>11</v>
      </c>
      <c r="B76" s="240" t="s">
        <v>390</v>
      </c>
      <c r="C76" s="240"/>
      <c r="D76" s="188">
        <v>3425</v>
      </c>
      <c r="E76" s="188">
        <v>0</v>
      </c>
      <c r="F76" s="188">
        <v>3425</v>
      </c>
      <c r="G76" s="188">
        <v>3000</v>
      </c>
      <c r="H76" s="188">
        <v>425</v>
      </c>
      <c r="I76" s="188">
        <v>0</v>
      </c>
      <c r="J76" s="188"/>
      <c r="K76" s="188">
        <v>0</v>
      </c>
      <c r="L76" s="188">
        <v>0</v>
      </c>
      <c r="M76" s="188">
        <v>0</v>
      </c>
      <c r="N76" s="188">
        <v>0</v>
      </c>
      <c r="O76" s="188">
        <v>3000</v>
      </c>
      <c r="P76" s="188">
        <v>0</v>
      </c>
      <c r="Q76" s="186">
        <v>0</v>
      </c>
      <c r="R76" s="188">
        <v>0</v>
      </c>
      <c r="S76" s="185">
        <v>0</v>
      </c>
      <c r="T76" s="185">
        <v>0</v>
      </c>
      <c r="U76" s="188">
        <v>0</v>
      </c>
      <c r="V76" s="185">
        <v>0</v>
      </c>
      <c r="W76" s="185">
        <v>0</v>
      </c>
      <c r="X76" s="188">
        <v>0</v>
      </c>
      <c r="Y76" s="185">
        <v>0</v>
      </c>
      <c r="Z76" s="185">
        <v>0</v>
      </c>
      <c r="AA76" s="188">
        <v>0</v>
      </c>
      <c r="AB76" s="185">
        <v>0</v>
      </c>
      <c r="AC76" s="185">
        <v>0</v>
      </c>
      <c r="AD76" s="188">
        <v>295.38400000000001</v>
      </c>
      <c r="AE76" s="185">
        <v>0.54510948905109491</v>
      </c>
      <c r="AF76" s="185">
        <v>0.5737994621590472</v>
      </c>
      <c r="AG76" s="188">
        <v>1867</v>
      </c>
      <c r="AH76" s="185">
        <v>0.54510948905109491</v>
      </c>
      <c r="AI76" s="185">
        <v>0.5737994621590472</v>
      </c>
      <c r="AJ76" s="303">
        <v>1867</v>
      </c>
      <c r="AK76" s="185">
        <v>0.54510948905109491</v>
      </c>
      <c r="AL76" s="185">
        <v>0.5737994621590472</v>
      </c>
      <c r="AM76" s="188">
        <v>295.38400000000001</v>
      </c>
      <c r="AN76" s="185">
        <v>8.6243503649635039E-2</v>
      </c>
      <c r="AO76" s="185">
        <v>9.0782635420668459E-2</v>
      </c>
      <c r="AP76" s="185"/>
      <c r="AQ76" s="188">
        <v>295.38400000000001</v>
      </c>
      <c r="AR76" s="185">
        <v>8.6243503649635039E-2</v>
      </c>
      <c r="AS76" s="185">
        <v>9.0782635420668459E-2</v>
      </c>
      <c r="AT76" s="188">
        <v>295.38400000000001</v>
      </c>
      <c r="AU76" s="185">
        <v>8.6243503649635039E-2</v>
      </c>
      <c r="AV76" s="185">
        <v>9.0782635420668459E-2</v>
      </c>
      <c r="AW76" s="185"/>
      <c r="AX76" s="185"/>
      <c r="AY76" s="185"/>
      <c r="AZ76" s="185"/>
      <c r="BA76" s="185"/>
      <c r="BB76" s="185"/>
      <c r="BC76" s="188">
        <v>295.38400000000001</v>
      </c>
      <c r="BD76" s="185">
        <v>8.6243503649635039E-2</v>
      </c>
      <c r="BE76" s="185">
        <v>9.0782635420668459E-2</v>
      </c>
      <c r="BF76" s="188"/>
      <c r="BG76" s="188">
        <v>1940.269</v>
      </c>
      <c r="BH76" s="185">
        <v>0.56650189781021898</v>
      </c>
      <c r="BI76" s="185">
        <v>0.59631778716865158</v>
      </c>
      <c r="BJ76" s="188">
        <v>3253.75</v>
      </c>
      <c r="BK76" s="188">
        <v>2326.86</v>
      </c>
      <c r="BL76" s="185">
        <v>0.67937518248175188</v>
      </c>
      <c r="BM76" s="185">
        <v>0.71513177103342296</v>
      </c>
      <c r="BN76" s="188">
        <v>2326.86</v>
      </c>
      <c r="BO76" s="185">
        <v>0.67937518248175188</v>
      </c>
      <c r="BP76" s="185">
        <v>0.71513177103342296</v>
      </c>
      <c r="BQ76" s="188">
        <v>2478.5749999999998</v>
      </c>
      <c r="BR76" s="185">
        <f t="shared" ref="BR76:BR93" si="104">BQ76/$D76</f>
        <v>0.72367153284671526</v>
      </c>
      <c r="BS76" s="185">
        <f t="shared" si="49"/>
        <v>0.76175950825970029</v>
      </c>
      <c r="BT76" s="205">
        <f t="shared" si="50"/>
        <v>2183.1909999999998</v>
      </c>
      <c r="BU76" s="205"/>
      <c r="BV76" s="189" t="e">
        <f>#REF!+#REF!</f>
        <v>#REF!</v>
      </c>
      <c r="BW76" s="186" t="e">
        <f t="shared" ref="BW76:BW93" si="105">BV76/$D76</f>
        <v>#REF!</v>
      </c>
      <c r="BX76" s="189" t="e">
        <f>#REF!+#REF!</f>
        <v>#REF!</v>
      </c>
      <c r="BY76" s="186" t="e">
        <f t="shared" ref="BY76:BY93" si="106">BX76/$D76</f>
        <v>#REF!</v>
      </c>
      <c r="BZ76" s="189" t="e">
        <f>#REF!+#REF!</f>
        <v>#REF!</v>
      </c>
      <c r="CA76" s="186" t="e">
        <f t="shared" ref="CA76:CA93" si="107">BZ76/$D76</f>
        <v>#REF!</v>
      </c>
      <c r="CB76" s="189" t="e">
        <f>#REF!+#REF!</f>
        <v>#REF!</v>
      </c>
      <c r="CC76" s="186" t="e">
        <f t="shared" ref="CC76:CC93" si="108">CB76/$D76</f>
        <v>#REF!</v>
      </c>
      <c r="CD76" s="189" t="e">
        <f>#REF!+#REF!</f>
        <v>#REF!</v>
      </c>
      <c r="CE76" s="186" t="e">
        <f t="shared" ref="CE76:CE93" si="109">CD76/$D76</f>
        <v>#REF!</v>
      </c>
      <c r="CF76" s="189" t="e">
        <f>#REF!+#REF!</f>
        <v>#REF!</v>
      </c>
      <c r="CG76" s="186" t="e">
        <f t="shared" ref="CG76:CG93" si="110">CF76/$D76</f>
        <v>#REF!</v>
      </c>
      <c r="CH76" s="189" t="e">
        <f>#REF!+#REF!</f>
        <v>#REF!</v>
      </c>
      <c r="CI76" s="186" t="e">
        <f t="shared" ref="CI76:CI93" si="111">CH76/$D76</f>
        <v>#REF!</v>
      </c>
      <c r="CJ76" s="189" t="e">
        <f>#REF!+#REF!</f>
        <v>#REF!</v>
      </c>
      <c r="CK76" s="186" t="e">
        <f t="shared" ref="CK76:CK93" si="112">CJ76/$D76</f>
        <v>#REF!</v>
      </c>
      <c r="CL76" s="189" t="e">
        <f>#REF!+#REF!</f>
        <v>#REF!</v>
      </c>
      <c r="CM76" s="186" t="e">
        <f t="shared" ref="CM76:CM93" si="113">CL76/$D76</f>
        <v>#REF!</v>
      </c>
      <c r="CN76" s="189" t="e">
        <f>#REF!+#REF!</f>
        <v>#REF!</v>
      </c>
      <c r="CO76" s="186" t="e">
        <f t="shared" ref="CO76:CO93" si="114">CN76/$D76</f>
        <v>#REF!</v>
      </c>
      <c r="CP76" s="189" t="e">
        <f>#REF!+#REF!</f>
        <v>#REF!</v>
      </c>
      <c r="CQ76" s="186" t="e">
        <f t="shared" ref="CQ76:CQ93" si="115">CP76/$D76</f>
        <v>#REF!</v>
      </c>
      <c r="CR76" s="189" t="e">
        <f>#REF!+#REF!</f>
        <v>#REF!</v>
      </c>
      <c r="CS76" s="186" t="e">
        <f t="shared" ref="CS76:CS93" si="116">CR76/$D76</f>
        <v>#REF!</v>
      </c>
      <c r="CT76" s="189" t="e">
        <f>#REF!+#REF!</f>
        <v>#REF!</v>
      </c>
      <c r="CU76" s="186" t="e">
        <f t="shared" ref="CU76:CU93" si="117">CT76/$D76</f>
        <v>#REF!</v>
      </c>
      <c r="CV76" s="416">
        <f t="shared" si="17"/>
        <v>151.71499999999969</v>
      </c>
      <c r="CW76" s="191" t="str">
        <f t="shared" si="31"/>
        <v>Cao hơn</v>
      </c>
      <c r="CX76" s="191" t="str">
        <f t="shared" si="32"/>
        <v>Cao hơn</v>
      </c>
      <c r="CY76" s="213"/>
      <c r="CZ76" s="213"/>
      <c r="DA76" s="231"/>
      <c r="DB76" s="163"/>
      <c r="DD76" s="195"/>
      <c r="DE76" s="196"/>
      <c r="DF76" s="196"/>
      <c r="DG76" s="197"/>
      <c r="DH76" s="196"/>
      <c r="DI76" s="196"/>
      <c r="DJ76" s="196"/>
      <c r="DL76" s="199"/>
      <c r="DM76" s="200"/>
    </row>
    <row r="77" spans="1:117" ht="18" customHeight="1" x14ac:dyDescent="0.25">
      <c r="A77" s="191">
        <v>12</v>
      </c>
      <c r="B77" s="240" t="s">
        <v>391</v>
      </c>
      <c r="C77" s="240"/>
      <c r="D77" s="188">
        <v>3127</v>
      </c>
      <c r="E77" s="188">
        <v>0</v>
      </c>
      <c r="F77" s="188">
        <v>3127</v>
      </c>
      <c r="G77" s="188">
        <v>3000</v>
      </c>
      <c r="H77" s="188">
        <v>127</v>
      </c>
      <c r="I77" s="188">
        <v>0</v>
      </c>
      <c r="J77" s="188"/>
      <c r="K77" s="188">
        <v>0</v>
      </c>
      <c r="L77" s="188">
        <v>0</v>
      </c>
      <c r="M77" s="188">
        <v>0</v>
      </c>
      <c r="N77" s="188">
        <v>0</v>
      </c>
      <c r="O77" s="188">
        <v>3000</v>
      </c>
      <c r="P77" s="188">
        <v>0</v>
      </c>
      <c r="Q77" s="186">
        <v>0</v>
      </c>
      <c r="R77" s="188">
        <v>0</v>
      </c>
      <c r="S77" s="185">
        <v>0</v>
      </c>
      <c r="T77" s="185">
        <v>0</v>
      </c>
      <c r="U77" s="188">
        <v>466.25856299999998</v>
      </c>
      <c r="V77" s="185">
        <v>0.14910731148065237</v>
      </c>
      <c r="W77" s="185">
        <v>0.15695506471647622</v>
      </c>
      <c r="X77" s="188">
        <v>466.25856299999998</v>
      </c>
      <c r="Y77" s="185">
        <v>0.14910731148065237</v>
      </c>
      <c r="Z77" s="185">
        <v>0.15695506471647622</v>
      </c>
      <c r="AA77" s="188">
        <v>466.25856299999998</v>
      </c>
      <c r="AB77" s="185">
        <v>0.14910731148065237</v>
      </c>
      <c r="AC77" s="185">
        <v>0.15695506471647622</v>
      </c>
      <c r="AD77" s="188">
        <v>1161.5790000000002</v>
      </c>
      <c r="AE77" s="185">
        <v>0.78829549088583306</v>
      </c>
      <c r="AF77" s="185">
        <v>0.82978472724824548</v>
      </c>
      <c r="AG77" s="188">
        <v>2465</v>
      </c>
      <c r="AH77" s="185">
        <v>0.78829549088583306</v>
      </c>
      <c r="AI77" s="185">
        <v>0.82978472724824548</v>
      </c>
      <c r="AJ77" s="303">
        <v>2465</v>
      </c>
      <c r="AK77" s="185">
        <v>0.78829549088583306</v>
      </c>
      <c r="AL77" s="185">
        <v>0.82978472724824548</v>
      </c>
      <c r="AM77" s="314">
        <v>2465</v>
      </c>
      <c r="AN77" s="185">
        <v>0.78829549088583306</v>
      </c>
      <c r="AO77" s="185">
        <v>0.82978472724824548</v>
      </c>
      <c r="AP77" s="185"/>
      <c r="AQ77" s="188">
        <v>1161.5790000000002</v>
      </c>
      <c r="AR77" s="185">
        <v>0.37146754077390476</v>
      </c>
      <c r="AS77" s="185">
        <v>0.39101846397253137</v>
      </c>
      <c r="AT77" s="188">
        <v>1161.5790000000002</v>
      </c>
      <c r="AU77" s="185">
        <v>0.37146754077390476</v>
      </c>
      <c r="AV77" s="185">
        <v>0.39101846397253137</v>
      </c>
      <c r="AW77" s="185"/>
      <c r="AX77" s="185"/>
      <c r="AY77" s="185"/>
      <c r="AZ77" s="185"/>
      <c r="BA77" s="185"/>
      <c r="BB77" s="185"/>
      <c r="BC77" s="188">
        <v>1161.5790000000002</v>
      </c>
      <c r="BD77" s="185">
        <v>0.37146754077390476</v>
      </c>
      <c r="BE77" s="185">
        <v>0.39101846397253137</v>
      </c>
      <c r="BF77" s="188"/>
      <c r="BG77" s="188">
        <v>2266.9879999999998</v>
      </c>
      <c r="BH77" s="185">
        <v>0.72497217780620393</v>
      </c>
      <c r="BI77" s="185">
        <v>0.76312860821705686</v>
      </c>
      <c r="BJ77" s="188">
        <v>2970.6499999999996</v>
      </c>
      <c r="BK77" s="188">
        <v>2266.9879999999998</v>
      </c>
      <c r="BL77" s="185">
        <v>0.72497217780620393</v>
      </c>
      <c r="BM77" s="185">
        <v>0.76312860821705686</v>
      </c>
      <c r="BN77" s="188">
        <v>2266.9879999999998</v>
      </c>
      <c r="BO77" s="185">
        <v>0.72497217780620393</v>
      </c>
      <c r="BP77" s="185">
        <v>0.76312860821705686</v>
      </c>
      <c r="BQ77" s="188">
        <v>2266.9879999999998</v>
      </c>
      <c r="BR77" s="185">
        <f t="shared" si="104"/>
        <v>0.72497217780620393</v>
      </c>
      <c r="BS77" s="185">
        <f t="shared" si="49"/>
        <v>0.76312860821705686</v>
      </c>
      <c r="BT77" s="205">
        <f t="shared" si="50"/>
        <v>1105.4089999999997</v>
      </c>
      <c r="BU77" s="205"/>
      <c r="BV77" s="189" t="e">
        <f>#REF!+#REF!</f>
        <v>#REF!</v>
      </c>
      <c r="BW77" s="186" t="e">
        <f t="shared" si="105"/>
        <v>#REF!</v>
      </c>
      <c r="BX77" s="189" t="e">
        <f>#REF!+#REF!</f>
        <v>#REF!</v>
      </c>
      <c r="BY77" s="186" t="e">
        <f t="shared" si="106"/>
        <v>#REF!</v>
      </c>
      <c r="BZ77" s="189" t="e">
        <f>#REF!+#REF!</f>
        <v>#REF!</v>
      </c>
      <c r="CA77" s="186" t="e">
        <f t="shared" si="107"/>
        <v>#REF!</v>
      </c>
      <c r="CB77" s="189" t="e">
        <f>#REF!+#REF!</f>
        <v>#REF!</v>
      </c>
      <c r="CC77" s="186" t="e">
        <f t="shared" si="108"/>
        <v>#REF!</v>
      </c>
      <c r="CD77" s="189" t="e">
        <f>#REF!+#REF!</f>
        <v>#REF!</v>
      </c>
      <c r="CE77" s="186" t="e">
        <f t="shared" si="109"/>
        <v>#REF!</v>
      </c>
      <c r="CF77" s="189" t="e">
        <f>#REF!+#REF!</f>
        <v>#REF!</v>
      </c>
      <c r="CG77" s="186" t="e">
        <f t="shared" si="110"/>
        <v>#REF!</v>
      </c>
      <c r="CH77" s="189" t="e">
        <f>#REF!+#REF!</f>
        <v>#REF!</v>
      </c>
      <c r="CI77" s="186" t="e">
        <f t="shared" si="111"/>
        <v>#REF!</v>
      </c>
      <c r="CJ77" s="189" t="e">
        <f>#REF!+#REF!</f>
        <v>#REF!</v>
      </c>
      <c r="CK77" s="186" t="e">
        <f t="shared" si="112"/>
        <v>#REF!</v>
      </c>
      <c r="CL77" s="189" t="e">
        <f>#REF!+#REF!</f>
        <v>#REF!</v>
      </c>
      <c r="CM77" s="186" t="e">
        <f t="shared" si="113"/>
        <v>#REF!</v>
      </c>
      <c r="CN77" s="189" t="e">
        <f>#REF!+#REF!</f>
        <v>#REF!</v>
      </c>
      <c r="CO77" s="186" t="e">
        <f t="shared" si="114"/>
        <v>#REF!</v>
      </c>
      <c r="CP77" s="189" t="e">
        <f>#REF!+#REF!</f>
        <v>#REF!</v>
      </c>
      <c r="CQ77" s="186" t="e">
        <f t="shared" si="115"/>
        <v>#REF!</v>
      </c>
      <c r="CR77" s="189" t="e">
        <f>#REF!+#REF!</f>
        <v>#REF!</v>
      </c>
      <c r="CS77" s="186" t="e">
        <f t="shared" si="116"/>
        <v>#REF!</v>
      </c>
      <c r="CT77" s="189" t="e">
        <f>#REF!+#REF!</f>
        <v>#REF!</v>
      </c>
      <c r="CU77" s="186" t="e">
        <f t="shared" si="117"/>
        <v>#REF!</v>
      </c>
      <c r="CV77" s="416">
        <f t="shared" si="17"/>
        <v>0</v>
      </c>
      <c r="CW77" s="191" t="str">
        <f t="shared" si="31"/>
        <v>Cao hơn</v>
      </c>
      <c r="CX77" s="191" t="str">
        <f t="shared" si="32"/>
        <v>Cao hơn</v>
      </c>
      <c r="CY77" s="213"/>
      <c r="CZ77" s="213"/>
      <c r="DA77" s="231"/>
      <c r="DB77" s="163"/>
      <c r="DD77" s="195"/>
      <c r="DE77" s="196"/>
      <c r="DF77" s="196"/>
      <c r="DG77" s="197"/>
      <c r="DH77" s="196"/>
      <c r="DI77" s="196"/>
      <c r="DJ77" s="196"/>
      <c r="DL77" s="199"/>
      <c r="DM77" s="200"/>
    </row>
    <row r="78" spans="1:117" ht="18" customHeight="1" x14ac:dyDescent="0.25">
      <c r="A78" s="191">
        <v>13</v>
      </c>
      <c r="B78" s="240" t="s">
        <v>392</v>
      </c>
      <c r="C78" s="240"/>
      <c r="D78" s="188">
        <v>3425</v>
      </c>
      <c r="E78" s="188">
        <v>0</v>
      </c>
      <c r="F78" s="188">
        <v>3425</v>
      </c>
      <c r="G78" s="188">
        <v>3000</v>
      </c>
      <c r="H78" s="188">
        <v>425</v>
      </c>
      <c r="I78" s="188">
        <v>0</v>
      </c>
      <c r="J78" s="188"/>
      <c r="K78" s="188">
        <v>0</v>
      </c>
      <c r="L78" s="188">
        <v>0</v>
      </c>
      <c r="M78" s="188">
        <v>0</v>
      </c>
      <c r="N78" s="188">
        <v>0</v>
      </c>
      <c r="O78" s="188">
        <v>3000</v>
      </c>
      <c r="P78" s="188">
        <v>0</v>
      </c>
      <c r="Q78" s="186">
        <v>0</v>
      </c>
      <c r="R78" s="188">
        <v>0</v>
      </c>
      <c r="S78" s="185">
        <v>0</v>
      </c>
      <c r="T78" s="185">
        <v>0</v>
      </c>
      <c r="U78" s="188">
        <v>339.39300000000003</v>
      </c>
      <c r="V78" s="185">
        <v>9.9092846715328475E-2</v>
      </c>
      <c r="W78" s="185">
        <v>0.10430825970034577</v>
      </c>
      <c r="X78" s="188">
        <v>339.39300000000003</v>
      </c>
      <c r="Y78" s="185">
        <v>9.9092846715328475E-2</v>
      </c>
      <c r="Z78" s="185">
        <v>0.10430825970034577</v>
      </c>
      <c r="AA78" s="188">
        <v>339.39300000000003</v>
      </c>
      <c r="AB78" s="185">
        <v>9.9092846715328475E-2</v>
      </c>
      <c r="AC78" s="185">
        <v>0.10430825970034577</v>
      </c>
      <c r="AD78" s="188">
        <v>506</v>
      </c>
      <c r="AE78" s="185">
        <v>0.14773722627737226</v>
      </c>
      <c r="AF78" s="185">
        <v>0.15551286976565501</v>
      </c>
      <c r="AG78" s="188">
        <v>506</v>
      </c>
      <c r="AH78" s="185">
        <v>0.14773722627737226</v>
      </c>
      <c r="AI78" s="185">
        <v>0.15551286976565501</v>
      </c>
      <c r="AJ78" s="303">
        <v>506</v>
      </c>
      <c r="AK78" s="185">
        <v>0.14773722627737226</v>
      </c>
      <c r="AL78" s="185">
        <v>0.15551286976565501</v>
      </c>
      <c r="AM78" s="188">
        <v>506</v>
      </c>
      <c r="AN78" s="185">
        <v>0.14773722627737226</v>
      </c>
      <c r="AO78" s="185">
        <v>0.15551286976565501</v>
      </c>
      <c r="AP78" s="185"/>
      <c r="AQ78" s="188">
        <v>506</v>
      </c>
      <c r="AR78" s="185">
        <v>0.14773722627737226</v>
      </c>
      <c r="AS78" s="185">
        <v>0.15551286976565501</v>
      </c>
      <c r="AT78" s="188">
        <v>506</v>
      </c>
      <c r="AU78" s="185">
        <v>0.14773722627737226</v>
      </c>
      <c r="AV78" s="185">
        <v>0.15551286976565501</v>
      </c>
      <c r="AW78" s="185"/>
      <c r="AX78" s="185"/>
      <c r="AY78" s="185"/>
      <c r="AZ78" s="185"/>
      <c r="BA78" s="185"/>
      <c r="BB78" s="185"/>
      <c r="BC78" s="188">
        <v>506</v>
      </c>
      <c r="BD78" s="185">
        <v>0.14773722627737226</v>
      </c>
      <c r="BE78" s="185">
        <v>0.15551286976565501</v>
      </c>
      <c r="BF78" s="188"/>
      <c r="BG78" s="188">
        <v>538</v>
      </c>
      <c r="BH78" s="185">
        <v>0.15708029197080292</v>
      </c>
      <c r="BI78" s="185">
        <v>0.1653476757587399</v>
      </c>
      <c r="BJ78" s="188">
        <v>3253.75</v>
      </c>
      <c r="BK78" s="188">
        <v>538</v>
      </c>
      <c r="BL78" s="185">
        <v>0.15708029197080292</v>
      </c>
      <c r="BM78" s="185">
        <v>0.1653476757587399</v>
      </c>
      <c r="BN78" s="188">
        <v>538</v>
      </c>
      <c r="BO78" s="185">
        <v>0.15708029197080292</v>
      </c>
      <c r="BP78" s="185">
        <v>0.1653476757587399</v>
      </c>
      <c r="BQ78" s="188">
        <v>3150.4</v>
      </c>
      <c r="BR78" s="185">
        <f t="shared" si="104"/>
        <v>0.91982481751824818</v>
      </c>
      <c r="BS78" s="185">
        <f t="shared" si="49"/>
        <v>0.96823665001920867</v>
      </c>
      <c r="BT78" s="205">
        <f t="shared" si="50"/>
        <v>2644.4</v>
      </c>
      <c r="BU78" s="205"/>
      <c r="BV78" s="189" t="e">
        <f>#REF!+#REF!</f>
        <v>#REF!</v>
      </c>
      <c r="BW78" s="186" t="e">
        <f t="shared" si="105"/>
        <v>#REF!</v>
      </c>
      <c r="BX78" s="189" t="e">
        <f>#REF!+#REF!</f>
        <v>#REF!</v>
      </c>
      <c r="BY78" s="186" t="e">
        <f t="shared" si="106"/>
        <v>#REF!</v>
      </c>
      <c r="BZ78" s="189" t="e">
        <f>#REF!+#REF!</f>
        <v>#REF!</v>
      </c>
      <c r="CA78" s="186" t="e">
        <f t="shared" si="107"/>
        <v>#REF!</v>
      </c>
      <c r="CB78" s="189" t="e">
        <f>#REF!+#REF!</f>
        <v>#REF!</v>
      </c>
      <c r="CC78" s="186" t="e">
        <f t="shared" si="108"/>
        <v>#REF!</v>
      </c>
      <c r="CD78" s="189" t="e">
        <f>#REF!+#REF!</f>
        <v>#REF!</v>
      </c>
      <c r="CE78" s="186" t="e">
        <f t="shared" si="109"/>
        <v>#REF!</v>
      </c>
      <c r="CF78" s="189" t="e">
        <f>#REF!+#REF!</f>
        <v>#REF!</v>
      </c>
      <c r="CG78" s="186" t="e">
        <f t="shared" si="110"/>
        <v>#REF!</v>
      </c>
      <c r="CH78" s="189" t="e">
        <f>#REF!+#REF!</f>
        <v>#REF!</v>
      </c>
      <c r="CI78" s="186" t="e">
        <f t="shared" si="111"/>
        <v>#REF!</v>
      </c>
      <c r="CJ78" s="189" t="e">
        <f>#REF!+#REF!</f>
        <v>#REF!</v>
      </c>
      <c r="CK78" s="186" t="e">
        <f t="shared" si="112"/>
        <v>#REF!</v>
      </c>
      <c r="CL78" s="189" t="e">
        <f>#REF!+#REF!</f>
        <v>#REF!</v>
      </c>
      <c r="CM78" s="186" t="e">
        <f t="shared" si="113"/>
        <v>#REF!</v>
      </c>
      <c r="CN78" s="189" t="e">
        <f>#REF!+#REF!</f>
        <v>#REF!</v>
      </c>
      <c r="CO78" s="186" t="e">
        <f t="shared" si="114"/>
        <v>#REF!</v>
      </c>
      <c r="CP78" s="189" t="e">
        <f>#REF!+#REF!</f>
        <v>#REF!</v>
      </c>
      <c r="CQ78" s="186" t="e">
        <f t="shared" si="115"/>
        <v>#REF!</v>
      </c>
      <c r="CR78" s="189" t="e">
        <f>#REF!+#REF!</f>
        <v>#REF!</v>
      </c>
      <c r="CS78" s="186" t="e">
        <f t="shared" si="116"/>
        <v>#REF!</v>
      </c>
      <c r="CT78" s="189" t="e">
        <f>#REF!+#REF!</f>
        <v>#REF!</v>
      </c>
      <c r="CU78" s="186" t="e">
        <f t="shared" si="117"/>
        <v>#REF!</v>
      </c>
      <c r="CV78" s="416">
        <f t="shared" si="17"/>
        <v>2612.4</v>
      </c>
      <c r="CW78" s="191" t="str">
        <f t="shared" si="31"/>
        <v>Cao hơn</v>
      </c>
      <c r="CX78" s="191" t="str">
        <f t="shared" si="32"/>
        <v>Cao hơn</v>
      </c>
      <c r="CY78" s="213"/>
      <c r="CZ78" s="213"/>
      <c r="DA78" s="231"/>
      <c r="DB78" s="163"/>
      <c r="DD78" s="195"/>
      <c r="DE78" s="196"/>
      <c r="DF78" s="196"/>
      <c r="DG78" s="197"/>
      <c r="DH78" s="196"/>
      <c r="DI78" s="196"/>
      <c r="DJ78" s="196"/>
      <c r="DL78" s="199"/>
      <c r="DM78" s="200"/>
    </row>
    <row r="79" spans="1:117" ht="18" customHeight="1" x14ac:dyDescent="0.25">
      <c r="A79" s="191">
        <v>14</v>
      </c>
      <c r="B79" s="240" t="s">
        <v>393</v>
      </c>
      <c r="C79" s="240"/>
      <c r="D79" s="188">
        <v>4275</v>
      </c>
      <c r="E79" s="188">
        <v>0</v>
      </c>
      <c r="F79" s="188">
        <v>4275</v>
      </c>
      <c r="G79" s="188">
        <v>3000</v>
      </c>
      <c r="H79" s="188">
        <v>1275</v>
      </c>
      <c r="I79" s="188">
        <v>0</v>
      </c>
      <c r="J79" s="188"/>
      <c r="K79" s="188">
        <v>0</v>
      </c>
      <c r="L79" s="188">
        <v>0</v>
      </c>
      <c r="M79" s="188">
        <v>0</v>
      </c>
      <c r="N79" s="188">
        <v>0</v>
      </c>
      <c r="O79" s="188">
        <v>3000</v>
      </c>
      <c r="P79" s="188">
        <v>0</v>
      </c>
      <c r="Q79" s="186">
        <v>0</v>
      </c>
      <c r="R79" s="189">
        <v>1412.84</v>
      </c>
      <c r="S79" s="185">
        <v>0.33048888888888889</v>
      </c>
      <c r="T79" s="185">
        <v>0.34788304093567252</v>
      </c>
      <c r="U79" s="189">
        <v>1877.2779999999998</v>
      </c>
      <c r="V79" s="185">
        <v>0.43912935672514614</v>
      </c>
      <c r="W79" s="185">
        <v>0.4622414281317328</v>
      </c>
      <c r="X79" s="189">
        <v>1877.2779999999998</v>
      </c>
      <c r="Y79" s="185">
        <v>0.43912935672514614</v>
      </c>
      <c r="Z79" s="185">
        <v>0.4622414281317328</v>
      </c>
      <c r="AA79" s="189">
        <v>1877.2779999999998</v>
      </c>
      <c r="AB79" s="185">
        <v>0.43912935672514614</v>
      </c>
      <c r="AC79" s="185">
        <v>0.4622414281317328</v>
      </c>
      <c r="AD79" s="189">
        <v>2238</v>
      </c>
      <c r="AE79" s="185">
        <v>0.52350877192982459</v>
      </c>
      <c r="AF79" s="185">
        <v>0.55106186518928901</v>
      </c>
      <c r="AG79" s="189">
        <v>2238</v>
      </c>
      <c r="AH79" s="185">
        <v>0.52350877192982459</v>
      </c>
      <c r="AI79" s="185">
        <v>0.55106186518928901</v>
      </c>
      <c r="AJ79" s="303">
        <v>2238</v>
      </c>
      <c r="AK79" s="185">
        <v>0.52350877192982459</v>
      </c>
      <c r="AL79" s="185">
        <v>0.55106186518928901</v>
      </c>
      <c r="AM79" s="189">
        <v>2238</v>
      </c>
      <c r="AN79" s="185">
        <v>0.52350877192982459</v>
      </c>
      <c r="AO79" s="185">
        <v>0.55106186518928901</v>
      </c>
      <c r="AP79" s="185"/>
      <c r="AQ79" s="189">
        <v>2353.1880000000001</v>
      </c>
      <c r="AR79" s="185">
        <v>0.55045333333333335</v>
      </c>
      <c r="AS79" s="185">
        <v>0.57942456140350884</v>
      </c>
      <c r="AT79" s="189">
        <v>2362.0340000000001</v>
      </c>
      <c r="AU79" s="185">
        <v>0.55252257309941522</v>
      </c>
      <c r="AV79" s="185">
        <v>0.58160270852570028</v>
      </c>
      <c r="AW79" s="185"/>
      <c r="AX79" s="185"/>
      <c r="AY79" s="185"/>
      <c r="AZ79" s="185"/>
      <c r="BA79" s="185"/>
      <c r="BB79" s="185"/>
      <c r="BC79" s="189">
        <v>2362.0340000000001</v>
      </c>
      <c r="BD79" s="185">
        <v>0.55252257309941522</v>
      </c>
      <c r="BE79" s="185">
        <v>0.58160270852570028</v>
      </c>
      <c r="BF79" s="189"/>
      <c r="BG79" s="189">
        <v>3133.5990000000002</v>
      </c>
      <c r="BH79" s="185">
        <v>0.73300561403508779</v>
      </c>
      <c r="BI79" s="185">
        <v>0.77158485687903977</v>
      </c>
      <c r="BJ79" s="189">
        <v>4061.25</v>
      </c>
      <c r="BK79" s="189">
        <v>3590</v>
      </c>
      <c r="BL79" s="185">
        <v>0.83976608187134505</v>
      </c>
      <c r="BM79" s="185">
        <v>0.88396429670667898</v>
      </c>
      <c r="BN79" s="189">
        <v>3625.4830000000002</v>
      </c>
      <c r="BO79" s="185">
        <v>0.84806619883040935</v>
      </c>
      <c r="BP79" s="185">
        <v>0.8927012619267467</v>
      </c>
      <c r="BQ79" s="189">
        <v>3625.4830000000002</v>
      </c>
      <c r="BR79" s="185">
        <f t="shared" si="104"/>
        <v>0.84806619883040935</v>
      </c>
      <c r="BS79" s="185">
        <f t="shared" si="49"/>
        <v>0.8927012619267467</v>
      </c>
      <c r="BT79" s="205">
        <f t="shared" si="50"/>
        <v>1387.4830000000002</v>
      </c>
      <c r="BU79" s="205"/>
      <c r="BV79" s="189" t="e">
        <f>#REF!+#REF!</f>
        <v>#REF!</v>
      </c>
      <c r="BW79" s="186" t="e">
        <f t="shared" si="105"/>
        <v>#REF!</v>
      </c>
      <c r="BX79" s="189" t="e">
        <f>#REF!+#REF!</f>
        <v>#REF!</v>
      </c>
      <c r="BY79" s="186" t="e">
        <f t="shared" si="106"/>
        <v>#REF!</v>
      </c>
      <c r="BZ79" s="189" t="e">
        <f>#REF!+#REF!</f>
        <v>#REF!</v>
      </c>
      <c r="CA79" s="186" t="e">
        <f t="shared" si="107"/>
        <v>#REF!</v>
      </c>
      <c r="CB79" s="189" t="e">
        <f>#REF!+#REF!</f>
        <v>#REF!</v>
      </c>
      <c r="CC79" s="186" t="e">
        <f t="shared" si="108"/>
        <v>#REF!</v>
      </c>
      <c r="CD79" s="189" t="e">
        <f>#REF!+#REF!</f>
        <v>#REF!</v>
      </c>
      <c r="CE79" s="186" t="e">
        <f t="shared" si="109"/>
        <v>#REF!</v>
      </c>
      <c r="CF79" s="189" t="e">
        <f>#REF!+#REF!</f>
        <v>#REF!</v>
      </c>
      <c r="CG79" s="186" t="e">
        <f t="shared" si="110"/>
        <v>#REF!</v>
      </c>
      <c r="CH79" s="189" t="e">
        <f>#REF!+#REF!</f>
        <v>#REF!</v>
      </c>
      <c r="CI79" s="186" t="e">
        <f t="shared" si="111"/>
        <v>#REF!</v>
      </c>
      <c r="CJ79" s="189" t="e">
        <f>#REF!+#REF!</f>
        <v>#REF!</v>
      </c>
      <c r="CK79" s="186" t="e">
        <f t="shared" si="112"/>
        <v>#REF!</v>
      </c>
      <c r="CL79" s="189" t="e">
        <f>#REF!+#REF!</f>
        <v>#REF!</v>
      </c>
      <c r="CM79" s="186" t="e">
        <f t="shared" si="113"/>
        <v>#REF!</v>
      </c>
      <c r="CN79" s="189" t="e">
        <f>#REF!+#REF!</f>
        <v>#REF!</v>
      </c>
      <c r="CO79" s="186" t="e">
        <f t="shared" si="114"/>
        <v>#REF!</v>
      </c>
      <c r="CP79" s="189" t="e">
        <f>#REF!+#REF!</f>
        <v>#REF!</v>
      </c>
      <c r="CQ79" s="186" t="e">
        <f t="shared" si="115"/>
        <v>#REF!</v>
      </c>
      <c r="CR79" s="189" t="e">
        <f>#REF!+#REF!</f>
        <v>#REF!</v>
      </c>
      <c r="CS79" s="186" t="e">
        <f t="shared" si="116"/>
        <v>#REF!</v>
      </c>
      <c r="CT79" s="189" t="e">
        <f>#REF!+#REF!</f>
        <v>#REF!</v>
      </c>
      <c r="CU79" s="186" t="e">
        <f t="shared" si="117"/>
        <v>#REF!</v>
      </c>
      <c r="CV79" s="416">
        <f t="shared" ref="CV79:CV127" si="118">BQ79-BN79</f>
        <v>0</v>
      </c>
      <c r="CW79" s="191" t="str">
        <f t="shared" si="31"/>
        <v>Cao hơn</v>
      </c>
      <c r="CX79" s="191" t="str">
        <f t="shared" si="32"/>
        <v>Cao hơn</v>
      </c>
      <c r="CY79" s="213"/>
      <c r="CZ79" s="213"/>
      <c r="DA79" s="231"/>
      <c r="DB79" s="163"/>
      <c r="DD79" s="195"/>
      <c r="DE79" s="196"/>
      <c r="DF79" s="196"/>
      <c r="DG79" s="197"/>
      <c r="DH79" s="196"/>
      <c r="DI79" s="196"/>
      <c r="DJ79" s="196"/>
      <c r="DL79" s="199"/>
      <c r="DM79" s="200"/>
    </row>
    <row r="80" spans="1:117" ht="18" customHeight="1" x14ac:dyDescent="0.25">
      <c r="A80" s="191">
        <v>15</v>
      </c>
      <c r="B80" s="240" t="s">
        <v>394</v>
      </c>
      <c r="C80" s="240"/>
      <c r="D80" s="188">
        <v>3187</v>
      </c>
      <c r="E80" s="188">
        <v>0</v>
      </c>
      <c r="F80" s="188">
        <v>3187</v>
      </c>
      <c r="G80" s="188">
        <v>3000</v>
      </c>
      <c r="H80" s="188">
        <v>187</v>
      </c>
      <c r="I80" s="188">
        <v>0</v>
      </c>
      <c r="J80" s="188"/>
      <c r="K80" s="188">
        <v>0</v>
      </c>
      <c r="L80" s="188">
        <v>0</v>
      </c>
      <c r="M80" s="188">
        <v>0</v>
      </c>
      <c r="N80" s="188">
        <v>0</v>
      </c>
      <c r="O80" s="188">
        <v>3000</v>
      </c>
      <c r="P80" s="188">
        <v>0</v>
      </c>
      <c r="Q80" s="186">
        <v>0</v>
      </c>
      <c r="R80" s="188">
        <v>0</v>
      </c>
      <c r="S80" s="185">
        <v>0</v>
      </c>
      <c r="T80" s="185">
        <v>0</v>
      </c>
      <c r="U80" s="188">
        <v>0</v>
      </c>
      <c r="V80" s="185">
        <v>0</v>
      </c>
      <c r="W80" s="185">
        <v>0</v>
      </c>
      <c r="X80" s="188">
        <v>0</v>
      </c>
      <c r="Y80" s="185">
        <v>0</v>
      </c>
      <c r="Z80" s="185">
        <v>0</v>
      </c>
      <c r="AA80" s="188">
        <v>0</v>
      </c>
      <c r="AB80" s="185">
        <v>0</v>
      </c>
      <c r="AC80" s="185">
        <v>0</v>
      </c>
      <c r="AD80" s="188">
        <v>215</v>
      </c>
      <c r="AE80" s="185">
        <v>6.7461562598054595E-2</v>
      </c>
      <c r="AF80" s="185">
        <v>7.1012171155846959E-2</v>
      </c>
      <c r="AG80" s="188">
        <v>215</v>
      </c>
      <c r="AH80" s="185">
        <v>6.7461562598054595E-2</v>
      </c>
      <c r="AI80" s="185">
        <v>7.1012171155846959E-2</v>
      </c>
      <c r="AJ80" s="214">
        <v>215</v>
      </c>
      <c r="AK80" s="185">
        <v>6.7461562598054595E-2</v>
      </c>
      <c r="AL80" s="185">
        <v>7.1012171155846959E-2</v>
      </c>
      <c r="AM80" s="314">
        <v>215</v>
      </c>
      <c r="AN80" s="185">
        <v>6.7461562598054595E-2</v>
      </c>
      <c r="AO80" s="185">
        <v>7.1012171155846959E-2</v>
      </c>
      <c r="AP80" s="185"/>
      <c r="AQ80" s="188">
        <v>1040</v>
      </c>
      <c r="AR80" s="185">
        <v>0.32632569814872919</v>
      </c>
      <c r="AS80" s="185">
        <v>0.34350073489339922</v>
      </c>
      <c r="AT80" s="188">
        <v>1040</v>
      </c>
      <c r="AU80" s="185">
        <v>0.32632569814872919</v>
      </c>
      <c r="AV80" s="185">
        <v>0.34350073489339922</v>
      </c>
      <c r="AW80" s="185"/>
      <c r="AX80" s="185"/>
      <c r="AY80" s="185"/>
      <c r="AZ80" s="185"/>
      <c r="BA80" s="185"/>
      <c r="BB80" s="185"/>
      <c r="BC80" s="188">
        <v>1040</v>
      </c>
      <c r="BD80" s="185">
        <v>0.32632569814872919</v>
      </c>
      <c r="BE80" s="185">
        <v>0.34350073489339922</v>
      </c>
      <c r="BF80" s="188"/>
      <c r="BG80" s="188">
        <v>1351.37</v>
      </c>
      <c r="BH80" s="185">
        <v>0.42402572952620016</v>
      </c>
      <c r="BI80" s="185">
        <v>0.44634287318547389</v>
      </c>
      <c r="BJ80" s="188">
        <v>3027.6499999999996</v>
      </c>
      <c r="BK80" s="188">
        <v>1351.37</v>
      </c>
      <c r="BL80" s="185">
        <v>0.42402572952620016</v>
      </c>
      <c r="BM80" s="185">
        <v>0.44634287318547389</v>
      </c>
      <c r="BN80" s="188">
        <v>1989.3829999999998</v>
      </c>
      <c r="BO80" s="185">
        <v>0.62421807342328206</v>
      </c>
      <c r="BP80" s="185">
        <v>0.65707165623503383</v>
      </c>
      <c r="BQ80" s="188">
        <v>2447.174</v>
      </c>
      <c r="BR80" s="185">
        <f t="shared" si="104"/>
        <v>0.76786131157828674</v>
      </c>
      <c r="BS80" s="185">
        <f t="shared" si="49"/>
        <v>0.80827506481924938</v>
      </c>
      <c r="BT80" s="205">
        <f t="shared" si="50"/>
        <v>2232.174</v>
      </c>
      <c r="BU80" s="205"/>
      <c r="BV80" s="189" t="e">
        <f>#REF!+#REF!</f>
        <v>#REF!</v>
      </c>
      <c r="BW80" s="186" t="e">
        <f t="shared" si="105"/>
        <v>#REF!</v>
      </c>
      <c r="BX80" s="189" t="e">
        <f>#REF!+#REF!</f>
        <v>#REF!</v>
      </c>
      <c r="BY80" s="186" t="e">
        <f t="shared" si="106"/>
        <v>#REF!</v>
      </c>
      <c r="BZ80" s="189" t="e">
        <f>#REF!+#REF!</f>
        <v>#REF!</v>
      </c>
      <c r="CA80" s="186" t="e">
        <f t="shared" si="107"/>
        <v>#REF!</v>
      </c>
      <c r="CB80" s="189" t="e">
        <f>#REF!+#REF!</f>
        <v>#REF!</v>
      </c>
      <c r="CC80" s="186" t="e">
        <f t="shared" si="108"/>
        <v>#REF!</v>
      </c>
      <c r="CD80" s="189" t="e">
        <f>#REF!+#REF!</f>
        <v>#REF!</v>
      </c>
      <c r="CE80" s="186" t="e">
        <f t="shared" si="109"/>
        <v>#REF!</v>
      </c>
      <c r="CF80" s="189" t="e">
        <f>#REF!+#REF!</f>
        <v>#REF!</v>
      </c>
      <c r="CG80" s="186" t="e">
        <f t="shared" si="110"/>
        <v>#REF!</v>
      </c>
      <c r="CH80" s="189" t="e">
        <f>#REF!+#REF!</f>
        <v>#REF!</v>
      </c>
      <c r="CI80" s="186" t="e">
        <f t="shared" si="111"/>
        <v>#REF!</v>
      </c>
      <c r="CJ80" s="189" t="e">
        <f>#REF!+#REF!</f>
        <v>#REF!</v>
      </c>
      <c r="CK80" s="186" t="e">
        <f t="shared" si="112"/>
        <v>#REF!</v>
      </c>
      <c r="CL80" s="189" t="e">
        <f>#REF!+#REF!</f>
        <v>#REF!</v>
      </c>
      <c r="CM80" s="186" t="e">
        <f t="shared" si="113"/>
        <v>#REF!</v>
      </c>
      <c r="CN80" s="189" t="e">
        <f>#REF!+#REF!</f>
        <v>#REF!</v>
      </c>
      <c r="CO80" s="186" t="e">
        <f t="shared" si="114"/>
        <v>#REF!</v>
      </c>
      <c r="CP80" s="189" t="e">
        <f>#REF!+#REF!</f>
        <v>#REF!</v>
      </c>
      <c r="CQ80" s="186" t="e">
        <f t="shared" si="115"/>
        <v>#REF!</v>
      </c>
      <c r="CR80" s="189" t="e">
        <f>#REF!+#REF!</f>
        <v>#REF!</v>
      </c>
      <c r="CS80" s="186" t="e">
        <f t="shared" si="116"/>
        <v>#REF!</v>
      </c>
      <c r="CT80" s="189" t="e">
        <f>#REF!+#REF!</f>
        <v>#REF!</v>
      </c>
      <c r="CU80" s="186" t="e">
        <f t="shared" si="117"/>
        <v>#REF!</v>
      </c>
      <c r="CV80" s="416">
        <f t="shared" si="118"/>
        <v>457.79100000000017</v>
      </c>
      <c r="CW80" s="191" t="str">
        <f t="shared" ref="CW80:CW126" si="119">IF(BS80&gt;=36.5%,"Cao hơn","Thấp hơn")</f>
        <v>Cao hơn</v>
      </c>
      <c r="CX80" s="191" t="str">
        <f t="shared" ref="CX80:CX126" si="120">IF(BS80&gt;=42.7%,"Cao hơn","Thấp hơn")</f>
        <v>Cao hơn</v>
      </c>
      <c r="CY80" s="213"/>
      <c r="CZ80" s="213"/>
      <c r="DA80" s="231"/>
      <c r="DB80" s="163"/>
      <c r="DD80" s="195"/>
      <c r="DE80" s="196"/>
      <c r="DF80" s="196"/>
      <c r="DG80" s="197"/>
      <c r="DH80" s="196"/>
      <c r="DI80" s="196"/>
      <c r="DJ80" s="196"/>
      <c r="DL80" s="199"/>
      <c r="DM80" s="200"/>
    </row>
    <row r="81" spans="1:117" ht="18" customHeight="1" x14ac:dyDescent="0.25">
      <c r="A81" s="191">
        <v>16</v>
      </c>
      <c r="B81" s="240" t="s">
        <v>395</v>
      </c>
      <c r="C81" s="240"/>
      <c r="D81" s="188">
        <v>3161</v>
      </c>
      <c r="E81" s="188">
        <v>0</v>
      </c>
      <c r="F81" s="188">
        <v>3161</v>
      </c>
      <c r="G81" s="188">
        <v>3000</v>
      </c>
      <c r="H81" s="188">
        <v>161</v>
      </c>
      <c r="I81" s="188">
        <v>0</v>
      </c>
      <c r="J81" s="188"/>
      <c r="K81" s="188">
        <v>0</v>
      </c>
      <c r="L81" s="188">
        <v>0</v>
      </c>
      <c r="M81" s="188">
        <v>0</v>
      </c>
      <c r="N81" s="188">
        <v>0</v>
      </c>
      <c r="O81" s="188">
        <v>3000</v>
      </c>
      <c r="P81" s="188">
        <v>0</v>
      </c>
      <c r="Q81" s="186">
        <v>0</v>
      </c>
      <c r="R81" s="189">
        <v>306.108</v>
      </c>
      <c r="S81" s="185">
        <v>9.683897500790889E-2</v>
      </c>
      <c r="T81" s="185">
        <v>0.1019357631662199</v>
      </c>
      <c r="U81" s="189">
        <v>1128.873</v>
      </c>
      <c r="V81" s="185">
        <v>0.35712527681113571</v>
      </c>
      <c r="W81" s="185">
        <v>0.37592134401172184</v>
      </c>
      <c r="X81" s="189">
        <v>1128.873</v>
      </c>
      <c r="Y81" s="185">
        <v>0.35712527681113571</v>
      </c>
      <c r="Z81" s="185">
        <v>0.37592134401172184</v>
      </c>
      <c r="AA81" s="189">
        <v>1128.873</v>
      </c>
      <c r="AB81" s="185">
        <v>0.35712527681113571</v>
      </c>
      <c r="AC81" s="185">
        <v>0.37592134401172184</v>
      </c>
      <c r="AD81" s="189">
        <v>1133</v>
      </c>
      <c r="AE81" s="185">
        <v>0.35843087630496678</v>
      </c>
      <c r="AF81" s="185">
        <v>0.3772956592683861</v>
      </c>
      <c r="AG81" s="189">
        <v>1133</v>
      </c>
      <c r="AH81" s="185">
        <v>0.35843087630496678</v>
      </c>
      <c r="AI81" s="185">
        <v>0.3772956592683861</v>
      </c>
      <c r="AJ81" s="303">
        <v>1133</v>
      </c>
      <c r="AK81" s="185">
        <v>0.35843087630496678</v>
      </c>
      <c r="AL81" s="185">
        <v>0.3772956592683861</v>
      </c>
      <c r="AM81" s="189">
        <v>1133</v>
      </c>
      <c r="AN81" s="185">
        <v>0.35843087630496678</v>
      </c>
      <c r="AO81" s="185">
        <v>0.3772956592683861</v>
      </c>
      <c r="AP81" s="185"/>
      <c r="AQ81" s="189">
        <v>1133</v>
      </c>
      <c r="AR81" s="185">
        <v>0.35843087630496678</v>
      </c>
      <c r="AS81" s="185">
        <v>0.3772956592683861</v>
      </c>
      <c r="AT81" s="189">
        <v>1133</v>
      </c>
      <c r="AU81" s="185">
        <v>0.35843087630496678</v>
      </c>
      <c r="AV81" s="185">
        <v>0.3772956592683861</v>
      </c>
      <c r="AW81" s="185"/>
      <c r="AX81" s="185"/>
      <c r="AY81" s="185"/>
      <c r="AZ81" s="185"/>
      <c r="BA81" s="185"/>
      <c r="BB81" s="185"/>
      <c r="BC81" s="189">
        <v>1133</v>
      </c>
      <c r="BD81" s="185">
        <v>0.35843087630496678</v>
      </c>
      <c r="BE81" s="185">
        <v>0.3772956592683861</v>
      </c>
      <c r="BF81" s="189"/>
      <c r="BG81" s="189">
        <v>1501.126</v>
      </c>
      <c r="BH81" s="185">
        <v>0.47488959190129704</v>
      </c>
      <c r="BI81" s="185">
        <v>0.49988378094873376</v>
      </c>
      <c r="BJ81" s="189">
        <v>3002.95</v>
      </c>
      <c r="BK81" s="189">
        <v>1501.126</v>
      </c>
      <c r="BL81" s="185">
        <v>0.47488959190129704</v>
      </c>
      <c r="BM81" s="185">
        <v>0.49988378094873376</v>
      </c>
      <c r="BN81" s="189">
        <v>2840.9610000000002</v>
      </c>
      <c r="BO81" s="185">
        <v>0.89875387535590012</v>
      </c>
      <c r="BP81" s="185">
        <v>0.94605671090094756</v>
      </c>
      <c r="BQ81" s="189">
        <v>2840.9610000000002</v>
      </c>
      <c r="BR81" s="185">
        <f t="shared" si="104"/>
        <v>0.89875387535590012</v>
      </c>
      <c r="BS81" s="185">
        <f t="shared" si="49"/>
        <v>0.94605671090094756</v>
      </c>
      <c r="BT81" s="205">
        <f t="shared" si="50"/>
        <v>1707.9610000000002</v>
      </c>
      <c r="BU81" s="205"/>
      <c r="BV81" s="189" t="e">
        <f>#REF!+#REF!</f>
        <v>#REF!</v>
      </c>
      <c r="BW81" s="186" t="e">
        <f t="shared" si="105"/>
        <v>#REF!</v>
      </c>
      <c r="BX81" s="189" t="e">
        <f>#REF!+#REF!</f>
        <v>#REF!</v>
      </c>
      <c r="BY81" s="186" t="e">
        <f t="shared" si="106"/>
        <v>#REF!</v>
      </c>
      <c r="BZ81" s="189" t="e">
        <f>#REF!+#REF!</f>
        <v>#REF!</v>
      </c>
      <c r="CA81" s="186" t="e">
        <f t="shared" si="107"/>
        <v>#REF!</v>
      </c>
      <c r="CB81" s="189" t="e">
        <f>#REF!+#REF!</f>
        <v>#REF!</v>
      </c>
      <c r="CC81" s="186" t="e">
        <f t="shared" si="108"/>
        <v>#REF!</v>
      </c>
      <c r="CD81" s="189" t="e">
        <f>#REF!+#REF!</f>
        <v>#REF!</v>
      </c>
      <c r="CE81" s="186" t="e">
        <f t="shared" si="109"/>
        <v>#REF!</v>
      </c>
      <c r="CF81" s="189" t="e">
        <f>#REF!+#REF!</f>
        <v>#REF!</v>
      </c>
      <c r="CG81" s="186" t="e">
        <f t="shared" si="110"/>
        <v>#REF!</v>
      </c>
      <c r="CH81" s="189" t="e">
        <f>#REF!+#REF!</f>
        <v>#REF!</v>
      </c>
      <c r="CI81" s="186" t="e">
        <f t="shared" si="111"/>
        <v>#REF!</v>
      </c>
      <c r="CJ81" s="189" t="e">
        <f>#REF!+#REF!</f>
        <v>#REF!</v>
      </c>
      <c r="CK81" s="186" t="e">
        <f t="shared" si="112"/>
        <v>#REF!</v>
      </c>
      <c r="CL81" s="189" t="e">
        <f>#REF!+#REF!</f>
        <v>#REF!</v>
      </c>
      <c r="CM81" s="186" t="e">
        <f t="shared" si="113"/>
        <v>#REF!</v>
      </c>
      <c r="CN81" s="189" t="e">
        <f>#REF!+#REF!</f>
        <v>#REF!</v>
      </c>
      <c r="CO81" s="186" t="e">
        <f t="shared" si="114"/>
        <v>#REF!</v>
      </c>
      <c r="CP81" s="189" t="e">
        <f>#REF!+#REF!</f>
        <v>#REF!</v>
      </c>
      <c r="CQ81" s="186" t="e">
        <f t="shared" si="115"/>
        <v>#REF!</v>
      </c>
      <c r="CR81" s="189" t="e">
        <f>#REF!+#REF!</f>
        <v>#REF!</v>
      </c>
      <c r="CS81" s="186" t="e">
        <f t="shared" si="116"/>
        <v>#REF!</v>
      </c>
      <c r="CT81" s="189" t="e">
        <f>#REF!+#REF!</f>
        <v>#REF!</v>
      </c>
      <c r="CU81" s="186" t="e">
        <f t="shared" si="117"/>
        <v>#REF!</v>
      </c>
      <c r="CV81" s="416">
        <f t="shared" si="118"/>
        <v>0</v>
      </c>
      <c r="CW81" s="191" t="str">
        <f t="shared" si="119"/>
        <v>Cao hơn</v>
      </c>
      <c r="CX81" s="191" t="str">
        <f t="shared" si="120"/>
        <v>Cao hơn</v>
      </c>
      <c r="CY81" s="213"/>
      <c r="CZ81" s="213"/>
      <c r="DA81" s="231"/>
      <c r="DB81" s="163"/>
      <c r="DD81" s="195"/>
      <c r="DE81" s="196"/>
      <c r="DF81" s="196"/>
      <c r="DG81" s="197"/>
      <c r="DH81" s="196"/>
      <c r="DI81" s="196"/>
      <c r="DJ81" s="196"/>
      <c r="DL81" s="199"/>
      <c r="DM81" s="200"/>
    </row>
    <row r="82" spans="1:117" ht="18" customHeight="1" x14ac:dyDescent="0.25">
      <c r="A82" s="191">
        <v>17</v>
      </c>
      <c r="B82" s="240" t="s">
        <v>396</v>
      </c>
      <c r="C82" s="240"/>
      <c r="D82" s="188">
        <v>3000</v>
      </c>
      <c r="E82" s="188">
        <v>0</v>
      </c>
      <c r="F82" s="188">
        <v>3000</v>
      </c>
      <c r="G82" s="188">
        <v>3000</v>
      </c>
      <c r="H82" s="188">
        <v>0</v>
      </c>
      <c r="I82" s="188">
        <v>0</v>
      </c>
      <c r="J82" s="188"/>
      <c r="K82" s="188">
        <v>0</v>
      </c>
      <c r="L82" s="188">
        <v>0</v>
      </c>
      <c r="M82" s="231"/>
      <c r="N82" s="231"/>
      <c r="O82" s="188">
        <v>3000</v>
      </c>
      <c r="P82" s="188">
        <v>0</v>
      </c>
      <c r="Q82" s="186">
        <v>0</v>
      </c>
      <c r="R82" s="188">
        <v>0</v>
      </c>
      <c r="S82" s="185">
        <v>0</v>
      </c>
      <c r="T82" s="185">
        <v>0</v>
      </c>
      <c r="U82" s="188">
        <v>0</v>
      </c>
      <c r="V82" s="185">
        <v>0</v>
      </c>
      <c r="W82" s="185">
        <v>0</v>
      </c>
      <c r="X82" s="188">
        <v>0</v>
      </c>
      <c r="Y82" s="185">
        <v>0</v>
      </c>
      <c r="Z82" s="185">
        <v>0</v>
      </c>
      <c r="AA82" s="188">
        <v>0</v>
      </c>
      <c r="AB82" s="185">
        <v>0</v>
      </c>
      <c r="AC82" s="185">
        <v>0</v>
      </c>
      <c r="AD82" s="188">
        <v>748</v>
      </c>
      <c r="AE82" s="185">
        <v>0.24933333333333332</v>
      </c>
      <c r="AF82" s="185">
        <v>0.26245614035087722</v>
      </c>
      <c r="AG82" s="188">
        <v>748</v>
      </c>
      <c r="AH82" s="185">
        <v>0.24933333333333332</v>
      </c>
      <c r="AI82" s="185">
        <v>0.26245614035087722</v>
      </c>
      <c r="AJ82" s="303">
        <v>748</v>
      </c>
      <c r="AK82" s="185">
        <v>0.24933333333333332</v>
      </c>
      <c r="AL82" s="185">
        <v>0.26245614035087722</v>
      </c>
      <c r="AM82" s="188">
        <v>884</v>
      </c>
      <c r="AN82" s="185">
        <v>0.29466666666666669</v>
      </c>
      <c r="AO82" s="185">
        <v>0.31017543859649122</v>
      </c>
      <c r="AP82" s="185"/>
      <c r="AQ82" s="188">
        <v>884</v>
      </c>
      <c r="AR82" s="185">
        <v>0.29466666666666669</v>
      </c>
      <c r="AS82" s="185">
        <v>0.31017543859649122</v>
      </c>
      <c r="AT82" s="188">
        <v>884</v>
      </c>
      <c r="AU82" s="185">
        <v>0.29466666666666669</v>
      </c>
      <c r="AV82" s="185">
        <v>0.31017543859649122</v>
      </c>
      <c r="AW82" s="185"/>
      <c r="AX82" s="185"/>
      <c r="AY82" s="185"/>
      <c r="AZ82" s="185"/>
      <c r="BA82" s="185"/>
      <c r="BB82" s="185"/>
      <c r="BC82" s="188">
        <v>884</v>
      </c>
      <c r="BD82" s="185">
        <v>0.29466666666666669</v>
      </c>
      <c r="BE82" s="185">
        <v>0.31017543859649122</v>
      </c>
      <c r="BF82" s="188"/>
      <c r="BG82" s="188">
        <v>1516.27</v>
      </c>
      <c r="BH82" s="185">
        <v>0.50542333333333334</v>
      </c>
      <c r="BI82" s="185">
        <v>0.53202456140350873</v>
      </c>
      <c r="BJ82" s="188">
        <v>2850</v>
      </c>
      <c r="BK82" s="188">
        <v>1711</v>
      </c>
      <c r="BL82" s="185">
        <v>0.57033333333333336</v>
      </c>
      <c r="BM82" s="185">
        <v>0.60035087719298241</v>
      </c>
      <c r="BN82" s="188">
        <v>1711</v>
      </c>
      <c r="BO82" s="185">
        <v>0.57033333333333336</v>
      </c>
      <c r="BP82" s="185">
        <v>0.60035087719298241</v>
      </c>
      <c r="BQ82" s="188">
        <v>1711</v>
      </c>
      <c r="BR82" s="185">
        <f t="shared" si="104"/>
        <v>0.57033333333333336</v>
      </c>
      <c r="BS82" s="185">
        <f t="shared" si="49"/>
        <v>0.60035087719298241</v>
      </c>
      <c r="BT82" s="205">
        <f t="shared" si="50"/>
        <v>963</v>
      </c>
      <c r="BU82" s="205"/>
      <c r="BV82" s="189" t="e">
        <f>#REF!</f>
        <v>#REF!</v>
      </c>
      <c r="BW82" s="186" t="e">
        <f t="shared" si="105"/>
        <v>#REF!</v>
      </c>
      <c r="BX82" s="189" t="e">
        <f>#REF!</f>
        <v>#REF!</v>
      </c>
      <c r="BY82" s="186" t="e">
        <f t="shared" si="106"/>
        <v>#REF!</v>
      </c>
      <c r="BZ82" s="189" t="e">
        <f>#REF!</f>
        <v>#REF!</v>
      </c>
      <c r="CA82" s="186" t="e">
        <f t="shared" si="107"/>
        <v>#REF!</v>
      </c>
      <c r="CB82" s="189" t="e">
        <f>#REF!</f>
        <v>#REF!</v>
      </c>
      <c r="CC82" s="186" t="e">
        <f t="shared" si="108"/>
        <v>#REF!</v>
      </c>
      <c r="CD82" s="189" t="e">
        <f>#REF!</f>
        <v>#REF!</v>
      </c>
      <c r="CE82" s="186" t="e">
        <f t="shared" si="109"/>
        <v>#REF!</v>
      </c>
      <c r="CF82" s="189" t="e">
        <f>#REF!</f>
        <v>#REF!</v>
      </c>
      <c r="CG82" s="186" t="e">
        <f t="shared" si="110"/>
        <v>#REF!</v>
      </c>
      <c r="CH82" s="189" t="e">
        <f>#REF!</f>
        <v>#REF!</v>
      </c>
      <c r="CI82" s="186" t="e">
        <f t="shared" si="111"/>
        <v>#REF!</v>
      </c>
      <c r="CJ82" s="189" t="e">
        <f>#REF!</f>
        <v>#REF!</v>
      </c>
      <c r="CK82" s="186" t="e">
        <f t="shared" si="112"/>
        <v>#REF!</v>
      </c>
      <c r="CL82" s="189" t="e">
        <f>#REF!</f>
        <v>#REF!</v>
      </c>
      <c r="CM82" s="186" t="e">
        <f t="shared" si="113"/>
        <v>#REF!</v>
      </c>
      <c r="CN82" s="189" t="e">
        <f>#REF!</f>
        <v>#REF!</v>
      </c>
      <c r="CO82" s="186" t="e">
        <f t="shared" si="114"/>
        <v>#REF!</v>
      </c>
      <c r="CP82" s="189" t="e">
        <f>#REF!</f>
        <v>#REF!</v>
      </c>
      <c r="CQ82" s="186" t="e">
        <f t="shared" si="115"/>
        <v>#REF!</v>
      </c>
      <c r="CR82" s="189" t="e">
        <f>#REF!</f>
        <v>#REF!</v>
      </c>
      <c r="CS82" s="186" t="e">
        <f t="shared" si="116"/>
        <v>#REF!</v>
      </c>
      <c r="CT82" s="189" t="e">
        <f>#REF!</f>
        <v>#REF!</v>
      </c>
      <c r="CU82" s="186" t="e">
        <f t="shared" si="117"/>
        <v>#REF!</v>
      </c>
      <c r="CV82" s="416">
        <f t="shared" si="118"/>
        <v>0</v>
      </c>
      <c r="CW82" s="191" t="str">
        <f t="shared" si="119"/>
        <v>Cao hơn</v>
      </c>
      <c r="CX82" s="191" t="str">
        <f t="shared" si="120"/>
        <v>Cao hơn</v>
      </c>
      <c r="CY82" s="213"/>
      <c r="CZ82" s="213"/>
      <c r="DA82" s="231"/>
      <c r="DB82" s="163"/>
      <c r="DD82" s="195"/>
      <c r="DE82" s="196"/>
      <c r="DF82" s="196"/>
      <c r="DG82" s="197"/>
      <c r="DH82" s="196"/>
      <c r="DI82" s="196"/>
      <c r="DJ82" s="196"/>
      <c r="DL82" s="199"/>
      <c r="DM82" s="200"/>
    </row>
    <row r="83" spans="1:117" ht="18" customHeight="1" x14ac:dyDescent="0.25">
      <c r="A83" s="191">
        <v>18</v>
      </c>
      <c r="B83" s="240" t="s">
        <v>397</v>
      </c>
      <c r="C83" s="240"/>
      <c r="D83" s="188">
        <v>3017</v>
      </c>
      <c r="E83" s="188">
        <v>0</v>
      </c>
      <c r="F83" s="188">
        <v>3017</v>
      </c>
      <c r="G83" s="188">
        <v>3000</v>
      </c>
      <c r="H83" s="188">
        <v>17</v>
      </c>
      <c r="I83" s="188">
        <v>0</v>
      </c>
      <c r="J83" s="188"/>
      <c r="K83" s="188">
        <v>0</v>
      </c>
      <c r="L83" s="188">
        <v>0</v>
      </c>
      <c r="M83" s="188">
        <v>0</v>
      </c>
      <c r="N83" s="188">
        <v>0</v>
      </c>
      <c r="O83" s="188">
        <v>3000</v>
      </c>
      <c r="P83" s="188">
        <v>0</v>
      </c>
      <c r="Q83" s="186">
        <v>0</v>
      </c>
      <c r="R83" s="188">
        <v>0</v>
      </c>
      <c r="S83" s="185">
        <v>0</v>
      </c>
      <c r="T83" s="185">
        <v>0</v>
      </c>
      <c r="U83" s="188">
        <v>0</v>
      </c>
      <c r="V83" s="185">
        <v>0</v>
      </c>
      <c r="W83" s="185">
        <v>0</v>
      </c>
      <c r="X83" s="188">
        <v>0</v>
      </c>
      <c r="Y83" s="185">
        <v>0</v>
      </c>
      <c r="Z83" s="185">
        <v>0</v>
      </c>
      <c r="AA83" s="188">
        <v>0</v>
      </c>
      <c r="AB83" s="185">
        <v>0</v>
      </c>
      <c r="AC83" s="185">
        <v>0</v>
      </c>
      <c r="AD83" s="188">
        <v>657</v>
      </c>
      <c r="AE83" s="185">
        <v>0.21776599270798808</v>
      </c>
      <c r="AF83" s="185">
        <v>0.2292273607452506</v>
      </c>
      <c r="AG83" s="188">
        <v>657</v>
      </c>
      <c r="AH83" s="185">
        <v>0.21776599270798808</v>
      </c>
      <c r="AI83" s="185">
        <v>0.2292273607452506</v>
      </c>
      <c r="AJ83" s="214">
        <v>657</v>
      </c>
      <c r="AK83" s="185">
        <v>0.21776599270798808</v>
      </c>
      <c r="AL83" s="185">
        <v>0.2292273607452506</v>
      </c>
      <c r="AM83" s="314">
        <v>657</v>
      </c>
      <c r="AN83" s="185">
        <v>0.21776599270798808</v>
      </c>
      <c r="AO83" s="185">
        <v>0.2292273607452506</v>
      </c>
      <c r="AP83" s="185"/>
      <c r="AQ83" s="188">
        <v>1269</v>
      </c>
      <c r="AR83" s="185">
        <v>0.42061650646337423</v>
      </c>
      <c r="AS83" s="185">
        <v>0.44275421732986758</v>
      </c>
      <c r="AT83" s="188">
        <v>1269</v>
      </c>
      <c r="AU83" s="185">
        <v>0.42061650646337423</v>
      </c>
      <c r="AV83" s="185">
        <v>0.44275421732986758</v>
      </c>
      <c r="AW83" s="185"/>
      <c r="AX83" s="185"/>
      <c r="AY83" s="185"/>
      <c r="AZ83" s="185"/>
      <c r="BA83" s="185"/>
      <c r="BB83" s="185"/>
      <c r="BC83" s="188">
        <v>1269</v>
      </c>
      <c r="BD83" s="185">
        <v>0.42061650646337423</v>
      </c>
      <c r="BE83" s="185">
        <v>0.44275421732986758</v>
      </c>
      <c r="BF83" s="188"/>
      <c r="BG83" s="188">
        <v>1269</v>
      </c>
      <c r="BH83" s="185">
        <v>0.42061650646337423</v>
      </c>
      <c r="BI83" s="185">
        <v>0.44275421732986758</v>
      </c>
      <c r="BJ83" s="188">
        <v>2866.15</v>
      </c>
      <c r="BK83" s="188">
        <v>2060.84</v>
      </c>
      <c r="BL83" s="185">
        <v>0.68307590321511436</v>
      </c>
      <c r="BM83" s="185">
        <v>0.71902726654222571</v>
      </c>
      <c r="BN83" s="188">
        <v>2089.24388</v>
      </c>
      <c r="BO83" s="185">
        <v>0.69249051375538617</v>
      </c>
      <c r="BP83" s="185">
        <v>0.72893738290040644</v>
      </c>
      <c r="BQ83" s="188">
        <v>2089.24388</v>
      </c>
      <c r="BR83" s="185">
        <f t="shared" si="104"/>
        <v>0.69249051375538617</v>
      </c>
      <c r="BS83" s="185">
        <f t="shared" ref="BS83:BS114" si="121">BQ83/(E83+0.95*F83)</f>
        <v>0.72893738290040644</v>
      </c>
      <c r="BT83" s="205">
        <f t="shared" si="50"/>
        <v>1432.24388</v>
      </c>
      <c r="BU83" s="205"/>
      <c r="BV83" s="189" t="e">
        <f>#REF!+#REF!</f>
        <v>#REF!</v>
      </c>
      <c r="BW83" s="186" t="e">
        <f t="shared" si="105"/>
        <v>#REF!</v>
      </c>
      <c r="BX83" s="189" t="e">
        <f>#REF!+#REF!</f>
        <v>#REF!</v>
      </c>
      <c r="BY83" s="186" t="e">
        <f t="shared" si="106"/>
        <v>#REF!</v>
      </c>
      <c r="BZ83" s="189" t="e">
        <f>#REF!+#REF!</f>
        <v>#REF!</v>
      </c>
      <c r="CA83" s="186" t="e">
        <f t="shared" si="107"/>
        <v>#REF!</v>
      </c>
      <c r="CB83" s="189" t="e">
        <f>#REF!+#REF!</f>
        <v>#REF!</v>
      </c>
      <c r="CC83" s="186" t="e">
        <f t="shared" si="108"/>
        <v>#REF!</v>
      </c>
      <c r="CD83" s="189" t="e">
        <f>#REF!+#REF!</f>
        <v>#REF!</v>
      </c>
      <c r="CE83" s="186" t="e">
        <f t="shared" si="109"/>
        <v>#REF!</v>
      </c>
      <c r="CF83" s="189" t="e">
        <f>#REF!+#REF!</f>
        <v>#REF!</v>
      </c>
      <c r="CG83" s="186" t="e">
        <f t="shared" si="110"/>
        <v>#REF!</v>
      </c>
      <c r="CH83" s="189" t="e">
        <f>#REF!+#REF!</f>
        <v>#REF!</v>
      </c>
      <c r="CI83" s="186" t="e">
        <f t="shared" si="111"/>
        <v>#REF!</v>
      </c>
      <c r="CJ83" s="189" t="e">
        <f>#REF!+#REF!</f>
        <v>#REF!</v>
      </c>
      <c r="CK83" s="186" t="e">
        <f t="shared" si="112"/>
        <v>#REF!</v>
      </c>
      <c r="CL83" s="189" t="e">
        <f>#REF!+#REF!</f>
        <v>#REF!</v>
      </c>
      <c r="CM83" s="186" t="e">
        <f t="shared" si="113"/>
        <v>#REF!</v>
      </c>
      <c r="CN83" s="189" t="e">
        <f>#REF!+#REF!</f>
        <v>#REF!</v>
      </c>
      <c r="CO83" s="186" t="e">
        <f t="shared" si="114"/>
        <v>#REF!</v>
      </c>
      <c r="CP83" s="189" t="e">
        <f>#REF!+#REF!</f>
        <v>#REF!</v>
      </c>
      <c r="CQ83" s="186" t="e">
        <f t="shared" si="115"/>
        <v>#REF!</v>
      </c>
      <c r="CR83" s="189" t="e">
        <f>#REF!+#REF!</f>
        <v>#REF!</v>
      </c>
      <c r="CS83" s="186" t="e">
        <f t="shared" si="116"/>
        <v>#REF!</v>
      </c>
      <c r="CT83" s="189" t="e">
        <f>#REF!+#REF!</f>
        <v>#REF!</v>
      </c>
      <c r="CU83" s="186" t="e">
        <f t="shared" si="117"/>
        <v>#REF!</v>
      </c>
      <c r="CV83" s="416">
        <f t="shared" si="118"/>
        <v>0</v>
      </c>
      <c r="CW83" s="191" t="str">
        <f t="shared" si="119"/>
        <v>Cao hơn</v>
      </c>
      <c r="CX83" s="191" t="str">
        <f t="shared" si="120"/>
        <v>Cao hơn</v>
      </c>
      <c r="CY83" s="213"/>
      <c r="CZ83" s="213"/>
      <c r="DA83" s="231"/>
      <c r="DB83" s="163"/>
      <c r="DD83" s="195"/>
      <c r="DE83" s="196"/>
      <c r="DF83" s="196"/>
      <c r="DG83" s="197"/>
      <c r="DH83" s="196"/>
      <c r="DI83" s="196"/>
      <c r="DJ83" s="196"/>
      <c r="DL83" s="199"/>
      <c r="DM83" s="200"/>
    </row>
    <row r="84" spans="1:117" ht="18" customHeight="1" x14ac:dyDescent="0.25">
      <c r="A84" s="191">
        <v>19</v>
      </c>
      <c r="B84" s="240" t="s">
        <v>398</v>
      </c>
      <c r="C84" s="240"/>
      <c r="D84" s="188">
        <v>3000</v>
      </c>
      <c r="E84" s="188">
        <v>0</v>
      </c>
      <c r="F84" s="188">
        <v>3000</v>
      </c>
      <c r="G84" s="188">
        <v>3000</v>
      </c>
      <c r="H84" s="188">
        <v>0</v>
      </c>
      <c r="I84" s="188">
        <v>0</v>
      </c>
      <c r="J84" s="188"/>
      <c r="K84" s="188">
        <v>0</v>
      </c>
      <c r="L84" s="188">
        <v>0</v>
      </c>
      <c r="M84" s="231"/>
      <c r="N84" s="231"/>
      <c r="O84" s="188">
        <v>3000</v>
      </c>
      <c r="P84" s="188">
        <v>0</v>
      </c>
      <c r="Q84" s="186">
        <v>0</v>
      </c>
      <c r="R84" s="188">
        <v>0</v>
      </c>
      <c r="S84" s="185">
        <v>0</v>
      </c>
      <c r="T84" s="185">
        <v>0</v>
      </c>
      <c r="U84" s="188">
        <v>0</v>
      </c>
      <c r="V84" s="185">
        <v>0</v>
      </c>
      <c r="W84" s="185">
        <v>0</v>
      </c>
      <c r="X84" s="188">
        <v>0</v>
      </c>
      <c r="Y84" s="185">
        <v>0</v>
      </c>
      <c r="Z84" s="185">
        <v>0</v>
      </c>
      <c r="AA84" s="188">
        <v>0</v>
      </c>
      <c r="AB84" s="185">
        <v>0</v>
      </c>
      <c r="AC84" s="185">
        <v>0</v>
      </c>
      <c r="AD84" s="188">
        <v>340</v>
      </c>
      <c r="AE84" s="185">
        <v>0.11333333333333333</v>
      </c>
      <c r="AF84" s="185">
        <v>0.11929824561403508</v>
      </c>
      <c r="AG84" s="188">
        <v>340</v>
      </c>
      <c r="AH84" s="185">
        <v>0.11333333333333333</v>
      </c>
      <c r="AI84" s="185">
        <v>0.11929824561403508</v>
      </c>
      <c r="AJ84" s="214">
        <v>340</v>
      </c>
      <c r="AK84" s="185">
        <v>0.11333333333333333</v>
      </c>
      <c r="AL84" s="185">
        <v>0.11929824561403508</v>
      </c>
      <c r="AM84" s="188">
        <v>340</v>
      </c>
      <c r="AN84" s="185">
        <v>0.11333333333333333</v>
      </c>
      <c r="AO84" s="185">
        <v>0.11929824561403508</v>
      </c>
      <c r="AP84" s="185"/>
      <c r="AQ84" s="188">
        <v>1180</v>
      </c>
      <c r="AR84" s="185">
        <v>0.39333333333333331</v>
      </c>
      <c r="AS84" s="185">
        <v>0.41403508771929826</v>
      </c>
      <c r="AT84" s="188">
        <v>1180</v>
      </c>
      <c r="AU84" s="185">
        <v>0.39333333333333331</v>
      </c>
      <c r="AV84" s="185">
        <v>0.41403508771929826</v>
      </c>
      <c r="AW84" s="185"/>
      <c r="AX84" s="185"/>
      <c r="AY84" s="185"/>
      <c r="AZ84" s="185"/>
      <c r="BA84" s="185"/>
      <c r="BB84" s="185"/>
      <c r="BC84" s="188">
        <v>1180</v>
      </c>
      <c r="BD84" s="185">
        <v>0.39333333333333331</v>
      </c>
      <c r="BE84" s="185">
        <v>0.41403508771929826</v>
      </c>
      <c r="BF84" s="188"/>
      <c r="BG84" s="188">
        <v>1180</v>
      </c>
      <c r="BH84" s="185">
        <v>0.39333333333333331</v>
      </c>
      <c r="BI84" s="185">
        <v>0.41403508771929826</v>
      </c>
      <c r="BJ84" s="188">
        <v>2850</v>
      </c>
      <c r="BK84" s="188">
        <v>2281.8850000000002</v>
      </c>
      <c r="BL84" s="185">
        <v>0.76062833333333335</v>
      </c>
      <c r="BM84" s="185">
        <v>0.80066140350877202</v>
      </c>
      <c r="BN84" s="188">
        <v>2281.8850000000002</v>
      </c>
      <c r="BO84" s="185">
        <v>0.76062833333333335</v>
      </c>
      <c r="BP84" s="185">
        <v>0.80066140350877202</v>
      </c>
      <c r="BQ84" s="188">
        <v>2281.8850000000002</v>
      </c>
      <c r="BR84" s="185">
        <f t="shared" si="104"/>
        <v>0.76062833333333335</v>
      </c>
      <c r="BS84" s="185">
        <f t="shared" si="121"/>
        <v>0.80066140350877202</v>
      </c>
      <c r="BT84" s="205">
        <f t="shared" si="50"/>
        <v>1941.8850000000002</v>
      </c>
      <c r="BU84" s="205"/>
      <c r="BV84" s="189" t="e">
        <f>#REF!</f>
        <v>#REF!</v>
      </c>
      <c r="BW84" s="186" t="e">
        <f t="shared" si="105"/>
        <v>#REF!</v>
      </c>
      <c r="BX84" s="189" t="e">
        <f>#REF!</f>
        <v>#REF!</v>
      </c>
      <c r="BY84" s="186" t="e">
        <f t="shared" si="106"/>
        <v>#REF!</v>
      </c>
      <c r="BZ84" s="189" t="e">
        <f>#REF!</f>
        <v>#REF!</v>
      </c>
      <c r="CA84" s="186" t="e">
        <f t="shared" si="107"/>
        <v>#REF!</v>
      </c>
      <c r="CB84" s="189" t="e">
        <f>#REF!</f>
        <v>#REF!</v>
      </c>
      <c r="CC84" s="186" t="e">
        <f t="shared" si="108"/>
        <v>#REF!</v>
      </c>
      <c r="CD84" s="189" t="e">
        <f>#REF!</f>
        <v>#REF!</v>
      </c>
      <c r="CE84" s="186" t="e">
        <f t="shared" si="109"/>
        <v>#REF!</v>
      </c>
      <c r="CF84" s="189" t="e">
        <f>#REF!</f>
        <v>#REF!</v>
      </c>
      <c r="CG84" s="186" t="e">
        <f t="shared" si="110"/>
        <v>#REF!</v>
      </c>
      <c r="CH84" s="189" t="e">
        <f>#REF!</f>
        <v>#REF!</v>
      </c>
      <c r="CI84" s="186" t="e">
        <f t="shared" si="111"/>
        <v>#REF!</v>
      </c>
      <c r="CJ84" s="189" t="e">
        <f>#REF!</f>
        <v>#REF!</v>
      </c>
      <c r="CK84" s="186" t="e">
        <f t="shared" si="112"/>
        <v>#REF!</v>
      </c>
      <c r="CL84" s="189" t="e">
        <f>#REF!</f>
        <v>#REF!</v>
      </c>
      <c r="CM84" s="186" t="e">
        <f t="shared" si="113"/>
        <v>#REF!</v>
      </c>
      <c r="CN84" s="189" t="e">
        <f>#REF!</f>
        <v>#REF!</v>
      </c>
      <c r="CO84" s="186" t="e">
        <f t="shared" si="114"/>
        <v>#REF!</v>
      </c>
      <c r="CP84" s="189" t="e">
        <f>#REF!</f>
        <v>#REF!</v>
      </c>
      <c r="CQ84" s="186" t="e">
        <f t="shared" si="115"/>
        <v>#REF!</v>
      </c>
      <c r="CR84" s="189" t="e">
        <f>#REF!</f>
        <v>#REF!</v>
      </c>
      <c r="CS84" s="186" t="e">
        <f t="shared" si="116"/>
        <v>#REF!</v>
      </c>
      <c r="CT84" s="189" t="e">
        <f>#REF!</f>
        <v>#REF!</v>
      </c>
      <c r="CU84" s="186" t="e">
        <f t="shared" si="117"/>
        <v>#REF!</v>
      </c>
      <c r="CV84" s="416">
        <f t="shared" si="118"/>
        <v>0</v>
      </c>
      <c r="CW84" s="191" t="str">
        <f t="shared" si="119"/>
        <v>Cao hơn</v>
      </c>
      <c r="CX84" s="191" t="str">
        <f t="shared" si="120"/>
        <v>Cao hơn</v>
      </c>
      <c r="CY84" s="213"/>
      <c r="CZ84" s="213"/>
      <c r="DA84" s="231"/>
      <c r="DB84" s="163"/>
      <c r="DD84" s="195"/>
      <c r="DE84" s="196"/>
      <c r="DF84" s="196"/>
      <c r="DG84" s="197"/>
      <c r="DH84" s="196"/>
      <c r="DI84" s="196"/>
      <c r="DJ84" s="196"/>
      <c r="DL84" s="199"/>
      <c r="DM84" s="200"/>
    </row>
    <row r="85" spans="1:117" ht="18" customHeight="1" x14ac:dyDescent="0.25">
      <c r="A85" s="191">
        <v>20</v>
      </c>
      <c r="B85" s="240" t="s">
        <v>399</v>
      </c>
      <c r="C85" s="240"/>
      <c r="D85" s="188">
        <v>6700</v>
      </c>
      <c r="E85" s="188">
        <v>0</v>
      </c>
      <c r="F85" s="188">
        <v>6700</v>
      </c>
      <c r="G85" s="188">
        <v>3000</v>
      </c>
      <c r="H85" s="188">
        <v>3700</v>
      </c>
      <c r="I85" s="188">
        <v>1900</v>
      </c>
      <c r="J85" s="188"/>
      <c r="K85" s="188">
        <v>0</v>
      </c>
      <c r="L85" s="188">
        <v>0</v>
      </c>
      <c r="M85" s="188">
        <v>0</v>
      </c>
      <c r="N85" s="188">
        <v>0</v>
      </c>
      <c r="O85" s="188">
        <v>4900</v>
      </c>
      <c r="P85" s="188">
        <v>0</v>
      </c>
      <c r="Q85" s="186">
        <v>0</v>
      </c>
      <c r="R85" s="189">
        <v>800.19299999999998</v>
      </c>
      <c r="S85" s="185">
        <v>0.11943179104477612</v>
      </c>
      <c r="T85" s="185">
        <v>0.12571767478397486</v>
      </c>
      <c r="U85" s="189">
        <v>1735.1179999999999</v>
      </c>
      <c r="V85" s="185">
        <v>0.25897283582089553</v>
      </c>
      <c r="W85" s="185">
        <v>0.27260298507462688</v>
      </c>
      <c r="X85" s="189">
        <v>1735.1179999999999</v>
      </c>
      <c r="Y85" s="185">
        <v>0.25897283582089553</v>
      </c>
      <c r="Z85" s="185">
        <v>0.27260298507462688</v>
      </c>
      <c r="AA85" s="189">
        <v>1776.664</v>
      </c>
      <c r="AB85" s="185">
        <v>0.26517373134328359</v>
      </c>
      <c r="AC85" s="185">
        <v>0.27913024351924587</v>
      </c>
      <c r="AD85" s="189">
        <v>2317.6639999999998</v>
      </c>
      <c r="AE85" s="185">
        <v>0.34591999999999995</v>
      </c>
      <c r="AF85" s="185">
        <v>0.36412631578947363</v>
      </c>
      <c r="AG85" s="189">
        <v>2317.6639999999998</v>
      </c>
      <c r="AH85" s="185">
        <v>0.34591999999999995</v>
      </c>
      <c r="AI85" s="185">
        <v>0.36412631578947363</v>
      </c>
      <c r="AJ85" s="317">
        <v>2317.6639999999998</v>
      </c>
      <c r="AK85" s="185">
        <v>0.34591999999999995</v>
      </c>
      <c r="AL85" s="185">
        <v>0.36412631578947363</v>
      </c>
      <c r="AM85" s="334">
        <v>2317.6639999999998</v>
      </c>
      <c r="AN85" s="185">
        <v>0.34591999999999995</v>
      </c>
      <c r="AO85" s="185">
        <v>0.36412631578947363</v>
      </c>
      <c r="AP85" s="185"/>
      <c r="AQ85" s="189">
        <v>3110.6639999999998</v>
      </c>
      <c r="AR85" s="185">
        <v>0.46427820895522387</v>
      </c>
      <c r="AS85" s="185">
        <v>0.4887139041633935</v>
      </c>
      <c r="AT85" s="189">
        <v>3110.6639999999998</v>
      </c>
      <c r="AU85" s="185">
        <v>0.46427820895522387</v>
      </c>
      <c r="AV85" s="185">
        <v>0.4887139041633935</v>
      </c>
      <c r="AW85" s="185"/>
      <c r="AX85" s="185"/>
      <c r="AY85" s="185"/>
      <c r="AZ85" s="185"/>
      <c r="BA85" s="185"/>
      <c r="BB85" s="185"/>
      <c r="BC85" s="189">
        <v>3110.6639999999998</v>
      </c>
      <c r="BD85" s="185">
        <v>0.46427820895522387</v>
      </c>
      <c r="BE85" s="185">
        <v>0.4887139041633935</v>
      </c>
      <c r="BF85" s="189"/>
      <c r="BG85" s="189">
        <v>3391.192</v>
      </c>
      <c r="BH85" s="185">
        <v>0.50614805970149257</v>
      </c>
      <c r="BI85" s="185">
        <v>0.53278743126472894</v>
      </c>
      <c r="BJ85" s="189">
        <v>6365</v>
      </c>
      <c r="BK85" s="189">
        <v>3391.192</v>
      </c>
      <c r="BL85" s="185">
        <v>0.50614805970149257</v>
      </c>
      <c r="BM85" s="185">
        <v>0.53278743126472894</v>
      </c>
      <c r="BN85" s="189">
        <v>3391.192</v>
      </c>
      <c r="BO85" s="185">
        <v>0.50614805970149257</v>
      </c>
      <c r="BP85" s="185">
        <v>0.53278743126472894</v>
      </c>
      <c r="BQ85" s="189">
        <v>3391.192</v>
      </c>
      <c r="BR85" s="185">
        <f t="shared" si="104"/>
        <v>0.50614805970149257</v>
      </c>
      <c r="BS85" s="185">
        <f t="shared" si="121"/>
        <v>0.53278743126472894</v>
      </c>
      <c r="BT85" s="205">
        <f t="shared" si="50"/>
        <v>1073.5280000000002</v>
      </c>
      <c r="BU85" s="205"/>
      <c r="BV85" s="189" t="e">
        <f>#REF!+#REF!+#REF!</f>
        <v>#REF!</v>
      </c>
      <c r="BW85" s="186" t="e">
        <f t="shared" si="105"/>
        <v>#REF!</v>
      </c>
      <c r="BX85" s="189" t="e">
        <f>#REF!+#REF!+#REF!</f>
        <v>#REF!</v>
      </c>
      <c r="BY85" s="186" t="e">
        <f t="shared" si="106"/>
        <v>#REF!</v>
      </c>
      <c r="BZ85" s="189" t="e">
        <f>#REF!+#REF!+#REF!</f>
        <v>#REF!</v>
      </c>
      <c r="CA85" s="186" t="e">
        <f t="shared" si="107"/>
        <v>#REF!</v>
      </c>
      <c r="CB85" s="189" t="e">
        <f>#REF!+#REF!+#REF!</f>
        <v>#REF!</v>
      </c>
      <c r="CC85" s="186" t="e">
        <f t="shared" si="108"/>
        <v>#REF!</v>
      </c>
      <c r="CD85" s="189" t="e">
        <f>#REF!+#REF!+#REF!</f>
        <v>#REF!</v>
      </c>
      <c r="CE85" s="186" t="e">
        <f t="shared" si="109"/>
        <v>#REF!</v>
      </c>
      <c r="CF85" s="189" t="e">
        <f>#REF!+#REF!+#REF!</f>
        <v>#REF!</v>
      </c>
      <c r="CG85" s="186" t="e">
        <f t="shared" si="110"/>
        <v>#REF!</v>
      </c>
      <c r="CH85" s="189" t="e">
        <f>#REF!+#REF!+#REF!</f>
        <v>#REF!</v>
      </c>
      <c r="CI85" s="186" t="e">
        <f t="shared" si="111"/>
        <v>#REF!</v>
      </c>
      <c r="CJ85" s="189" t="e">
        <f>#REF!+#REF!+#REF!</f>
        <v>#REF!</v>
      </c>
      <c r="CK85" s="186" t="e">
        <f t="shared" si="112"/>
        <v>#REF!</v>
      </c>
      <c r="CL85" s="189" t="e">
        <f>#REF!+#REF!+#REF!</f>
        <v>#REF!</v>
      </c>
      <c r="CM85" s="186" t="e">
        <f t="shared" si="113"/>
        <v>#REF!</v>
      </c>
      <c r="CN85" s="189" t="e">
        <f>#REF!+#REF!+#REF!</f>
        <v>#REF!</v>
      </c>
      <c r="CO85" s="186" t="e">
        <f t="shared" si="114"/>
        <v>#REF!</v>
      </c>
      <c r="CP85" s="189" t="e">
        <f>#REF!+#REF!+#REF!</f>
        <v>#REF!</v>
      </c>
      <c r="CQ85" s="186" t="e">
        <f t="shared" si="115"/>
        <v>#REF!</v>
      </c>
      <c r="CR85" s="189" t="e">
        <f>#REF!+#REF!+#REF!</f>
        <v>#REF!</v>
      </c>
      <c r="CS85" s="186" t="e">
        <f t="shared" si="116"/>
        <v>#REF!</v>
      </c>
      <c r="CT85" s="189" t="e">
        <f>#REF!+#REF!+#REF!</f>
        <v>#REF!</v>
      </c>
      <c r="CU85" s="186" t="e">
        <f t="shared" si="117"/>
        <v>#REF!</v>
      </c>
      <c r="CV85" s="416">
        <f t="shared" si="118"/>
        <v>0</v>
      </c>
      <c r="CW85" s="191" t="str">
        <f t="shared" si="119"/>
        <v>Cao hơn</v>
      </c>
      <c r="CX85" s="191" t="str">
        <f t="shared" si="120"/>
        <v>Cao hơn</v>
      </c>
      <c r="CY85" s="213"/>
      <c r="CZ85" s="213"/>
      <c r="DA85" s="231"/>
      <c r="DB85" s="163"/>
      <c r="DD85" s="195"/>
      <c r="DE85" s="196"/>
      <c r="DF85" s="196"/>
      <c r="DG85" s="197"/>
      <c r="DH85" s="196"/>
      <c r="DI85" s="196"/>
      <c r="DJ85" s="196"/>
      <c r="DL85" s="199"/>
      <c r="DM85" s="200"/>
    </row>
    <row r="86" spans="1:117" ht="18" customHeight="1" x14ac:dyDescent="0.25">
      <c r="A86" s="191">
        <v>21</v>
      </c>
      <c r="B86" s="240" t="s">
        <v>403</v>
      </c>
      <c r="C86" s="240"/>
      <c r="D86" s="188">
        <v>79107</v>
      </c>
      <c r="E86" s="188">
        <v>0</v>
      </c>
      <c r="F86" s="188">
        <v>79107</v>
      </c>
      <c r="G86" s="188">
        <v>3000</v>
      </c>
      <c r="H86" s="188">
        <v>76107</v>
      </c>
      <c r="I86" s="188">
        <v>1717</v>
      </c>
      <c r="J86" s="188"/>
      <c r="K86" s="188">
        <v>0</v>
      </c>
      <c r="L86" s="188">
        <v>0</v>
      </c>
      <c r="M86" s="188">
        <v>0</v>
      </c>
      <c r="N86" s="188">
        <v>0</v>
      </c>
      <c r="O86" s="188">
        <v>4717</v>
      </c>
      <c r="P86" s="188">
        <v>0</v>
      </c>
      <c r="Q86" s="186">
        <v>0</v>
      </c>
      <c r="R86" s="188">
        <v>0</v>
      </c>
      <c r="S86" s="185">
        <v>0</v>
      </c>
      <c r="T86" s="185">
        <v>0</v>
      </c>
      <c r="U86" s="188">
        <v>0</v>
      </c>
      <c r="V86" s="185">
        <v>0</v>
      </c>
      <c r="W86" s="185">
        <v>0</v>
      </c>
      <c r="X86" s="188">
        <v>0</v>
      </c>
      <c r="Y86" s="185">
        <v>0</v>
      </c>
      <c r="Z86" s="185">
        <v>0</v>
      </c>
      <c r="AA86" s="188">
        <v>336</v>
      </c>
      <c r="AB86" s="185">
        <v>4.247411733474914E-3</v>
      </c>
      <c r="AC86" s="185">
        <v>4.4709597194472778E-3</v>
      </c>
      <c r="AD86" s="188">
        <v>1518</v>
      </c>
      <c r="AE86" s="185">
        <v>1.9189199438734879E-2</v>
      </c>
      <c r="AF86" s="185">
        <v>2.0199157303931452E-2</v>
      </c>
      <c r="AG86" s="188">
        <v>1518</v>
      </c>
      <c r="AH86" s="185">
        <v>1.9189199438734879E-2</v>
      </c>
      <c r="AI86" s="185">
        <v>2.0199157303931452E-2</v>
      </c>
      <c r="AJ86" s="317">
        <v>1518</v>
      </c>
      <c r="AK86" s="185">
        <v>1.9189199438734879E-2</v>
      </c>
      <c r="AL86" s="185">
        <v>2.0199157303931452E-2</v>
      </c>
      <c r="AM86" s="188">
        <v>1518</v>
      </c>
      <c r="AN86" s="185">
        <v>1.9189199438734879E-2</v>
      </c>
      <c r="AO86" s="185">
        <v>2.0199157303931452E-2</v>
      </c>
      <c r="AP86" s="185"/>
      <c r="AQ86" s="188">
        <v>1833</v>
      </c>
      <c r="AR86" s="185">
        <v>2.3171147938867608E-2</v>
      </c>
      <c r="AS86" s="185">
        <v>2.4390682040913277E-2</v>
      </c>
      <c r="AT86" s="188">
        <v>1833</v>
      </c>
      <c r="AU86" s="185">
        <v>2.3171147938867608E-2</v>
      </c>
      <c r="AV86" s="185">
        <v>2.4390682040913277E-2</v>
      </c>
      <c r="AW86" s="185"/>
      <c r="AX86" s="185"/>
      <c r="AY86" s="185"/>
      <c r="AZ86" s="185"/>
      <c r="BA86" s="185"/>
      <c r="BB86" s="185"/>
      <c r="BC86" s="188">
        <v>1833</v>
      </c>
      <c r="BD86" s="185">
        <v>2.3171147938867608E-2</v>
      </c>
      <c r="BE86" s="185">
        <v>2.4390682040913277E-2</v>
      </c>
      <c r="BF86" s="188"/>
      <c r="BG86" s="188">
        <v>4702.4979999999996</v>
      </c>
      <c r="BH86" s="185">
        <v>5.9444777326911648E-2</v>
      </c>
      <c r="BI86" s="185">
        <v>6.2573449817801732E-2</v>
      </c>
      <c r="BJ86" s="188">
        <v>75151.649999999994</v>
      </c>
      <c r="BK86" s="188">
        <v>5113</v>
      </c>
      <c r="BL86" s="185">
        <v>6.4633976765646528E-2</v>
      </c>
      <c r="BM86" s="185">
        <v>6.8035765016470032E-2</v>
      </c>
      <c r="BN86" s="188">
        <v>5116</v>
      </c>
      <c r="BO86" s="185">
        <v>6.4671900084695408E-2</v>
      </c>
      <c r="BP86" s="185">
        <v>6.807568429967939E-2</v>
      </c>
      <c r="BQ86" s="188">
        <v>5211</v>
      </c>
      <c r="BR86" s="185">
        <f t="shared" si="104"/>
        <v>6.5872805187910041E-2</v>
      </c>
      <c r="BS86" s="185">
        <f t="shared" si="121"/>
        <v>6.9339794934642165E-2</v>
      </c>
      <c r="BT86" s="205">
        <f t="shared" si="50"/>
        <v>3693</v>
      </c>
      <c r="BU86" s="205"/>
      <c r="BV86" s="189" t="e">
        <f>#REF!+#REF!+#REF!</f>
        <v>#REF!</v>
      </c>
      <c r="BW86" s="186" t="e">
        <f t="shared" si="105"/>
        <v>#REF!</v>
      </c>
      <c r="BX86" s="189" t="e">
        <f>#REF!+#REF!+#REF!</f>
        <v>#REF!</v>
      </c>
      <c r="BY86" s="186" t="e">
        <f t="shared" si="106"/>
        <v>#REF!</v>
      </c>
      <c r="BZ86" s="189" t="e">
        <f>#REF!+#REF!+#REF!</f>
        <v>#REF!</v>
      </c>
      <c r="CA86" s="186" t="e">
        <f t="shared" si="107"/>
        <v>#REF!</v>
      </c>
      <c r="CB86" s="189" t="e">
        <f>#REF!+#REF!+#REF!</f>
        <v>#REF!</v>
      </c>
      <c r="CC86" s="186" t="e">
        <f t="shared" si="108"/>
        <v>#REF!</v>
      </c>
      <c r="CD86" s="189" t="e">
        <f>#REF!+#REF!+#REF!</f>
        <v>#REF!</v>
      </c>
      <c r="CE86" s="186" t="e">
        <f t="shared" si="109"/>
        <v>#REF!</v>
      </c>
      <c r="CF86" s="189" t="e">
        <f>#REF!+#REF!+#REF!</f>
        <v>#REF!</v>
      </c>
      <c r="CG86" s="186" t="e">
        <f t="shared" si="110"/>
        <v>#REF!</v>
      </c>
      <c r="CH86" s="189" t="e">
        <f>#REF!+#REF!+#REF!</f>
        <v>#REF!</v>
      </c>
      <c r="CI86" s="186" t="e">
        <f t="shared" si="111"/>
        <v>#REF!</v>
      </c>
      <c r="CJ86" s="189" t="e">
        <f>#REF!+#REF!+#REF!</f>
        <v>#REF!</v>
      </c>
      <c r="CK86" s="186" t="e">
        <f t="shared" si="112"/>
        <v>#REF!</v>
      </c>
      <c r="CL86" s="189" t="e">
        <f>#REF!+#REF!+#REF!</f>
        <v>#REF!</v>
      </c>
      <c r="CM86" s="186" t="e">
        <f t="shared" si="113"/>
        <v>#REF!</v>
      </c>
      <c r="CN86" s="189" t="e">
        <f>#REF!+#REF!+#REF!</f>
        <v>#REF!</v>
      </c>
      <c r="CO86" s="186" t="e">
        <f t="shared" si="114"/>
        <v>#REF!</v>
      </c>
      <c r="CP86" s="189" t="e">
        <f>#REF!+#REF!+#REF!</f>
        <v>#REF!</v>
      </c>
      <c r="CQ86" s="186" t="e">
        <f t="shared" si="115"/>
        <v>#REF!</v>
      </c>
      <c r="CR86" s="189" t="e">
        <f>#REF!+#REF!+#REF!</f>
        <v>#REF!</v>
      </c>
      <c r="CS86" s="186" t="e">
        <f t="shared" si="116"/>
        <v>#REF!</v>
      </c>
      <c r="CT86" s="189" t="e">
        <f>#REF!+#REF!+#REF!</f>
        <v>#REF!</v>
      </c>
      <c r="CU86" s="186" t="e">
        <f t="shared" si="117"/>
        <v>#REF!</v>
      </c>
      <c r="CV86" s="416">
        <f t="shared" si="118"/>
        <v>95</v>
      </c>
      <c r="CW86" s="191" t="str">
        <f t="shared" si="119"/>
        <v>Thấp hơn</v>
      </c>
      <c r="CX86" s="191" t="str">
        <f t="shared" si="120"/>
        <v>Thấp hơn</v>
      </c>
      <c r="CY86" s="213"/>
      <c r="CZ86" s="213"/>
      <c r="DA86" s="231"/>
      <c r="DB86" s="163"/>
      <c r="DD86" s="195"/>
      <c r="DE86" s="196"/>
      <c r="DF86" s="196"/>
      <c r="DG86" s="197"/>
      <c r="DH86" s="196"/>
      <c r="DI86" s="196"/>
      <c r="DJ86" s="196"/>
      <c r="DL86" s="199"/>
      <c r="DM86" s="200"/>
    </row>
    <row r="87" spans="1:117" ht="18" customHeight="1" x14ac:dyDescent="0.25">
      <c r="A87" s="191">
        <v>22</v>
      </c>
      <c r="B87" s="240" t="s">
        <v>409</v>
      </c>
      <c r="C87" s="240"/>
      <c r="D87" s="188">
        <v>3255</v>
      </c>
      <c r="E87" s="188">
        <v>0</v>
      </c>
      <c r="F87" s="188">
        <v>3255</v>
      </c>
      <c r="G87" s="188">
        <v>3000</v>
      </c>
      <c r="H87" s="188">
        <v>255</v>
      </c>
      <c r="I87" s="188">
        <v>0</v>
      </c>
      <c r="J87" s="188"/>
      <c r="K87" s="188">
        <v>0</v>
      </c>
      <c r="L87" s="188">
        <v>0</v>
      </c>
      <c r="M87" s="188">
        <v>0</v>
      </c>
      <c r="N87" s="188">
        <v>0</v>
      </c>
      <c r="O87" s="188">
        <v>3000</v>
      </c>
      <c r="P87" s="188">
        <v>0</v>
      </c>
      <c r="Q87" s="186">
        <v>0</v>
      </c>
      <c r="R87" s="188">
        <v>0</v>
      </c>
      <c r="S87" s="185">
        <v>0</v>
      </c>
      <c r="T87" s="185">
        <v>0</v>
      </c>
      <c r="U87" s="188">
        <v>0</v>
      </c>
      <c r="V87" s="185">
        <v>0</v>
      </c>
      <c r="W87" s="185">
        <v>0</v>
      </c>
      <c r="X87" s="188">
        <v>0</v>
      </c>
      <c r="Y87" s="185">
        <v>0</v>
      </c>
      <c r="Z87" s="185">
        <v>0</v>
      </c>
      <c r="AA87" s="188">
        <v>0</v>
      </c>
      <c r="AB87" s="185">
        <v>0</v>
      </c>
      <c r="AC87" s="185">
        <v>0</v>
      </c>
      <c r="AD87" s="188">
        <v>146</v>
      </c>
      <c r="AE87" s="185">
        <v>4.4854070660522272E-2</v>
      </c>
      <c r="AF87" s="185">
        <v>4.7214811221602392E-2</v>
      </c>
      <c r="AG87" s="188">
        <v>146</v>
      </c>
      <c r="AH87" s="185">
        <v>4.4854070660522272E-2</v>
      </c>
      <c r="AI87" s="185">
        <v>4.7214811221602392E-2</v>
      </c>
      <c r="AJ87" s="303">
        <v>146</v>
      </c>
      <c r="AK87" s="185">
        <v>4.4854070660522272E-2</v>
      </c>
      <c r="AL87" s="185">
        <v>4.7214811221602392E-2</v>
      </c>
      <c r="AM87" s="188">
        <v>981.02799999999991</v>
      </c>
      <c r="AN87" s="185">
        <v>0.3013910906298003</v>
      </c>
      <c r="AO87" s="185">
        <v>0.31725377961031609</v>
      </c>
      <c r="AP87" s="185"/>
      <c r="AQ87" s="188">
        <v>1587</v>
      </c>
      <c r="AR87" s="185">
        <v>0.48755760368663592</v>
      </c>
      <c r="AS87" s="185">
        <v>0.51321853019645891</v>
      </c>
      <c r="AT87" s="188">
        <v>1587</v>
      </c>
      <c r="AU87" s="185">
        <v>0.48755760368663592</v>
      </c>
      <c r="AV87" s="185">
        <v>0.51321853019645891</v>
      </c>
      <c r="AW87" s="185"/>
      <c r="AX87" s="185"/>
      <c r="AY87" s="185"/>
      <c r="AZ87" s="185"/>
      <c r="BA87" s="185"/>
      <c r="BB87" s="185"/>
      <c r="BC87" s="188">
        <v>1587</v>
      </c>
      <c r="BD87" s="185">
        <v>0.48755760368663592</v>
      </c>
      <c r="BE87" s="185">
        <v>0.51321853019645891</v>
      </c>
      <c r="BF87" s="188"/>
      <c r="BG87" s="188">
        <v>1637</v>
      </c>
      <c r="BH87" s="185">
        <v>0.50291858678955448</v>
      </c>
      <c r="BI87" s="185">
        <v>0.52938798609426796</v>
      </c>
      <c r="BJ87" s="188">
        <v>3092.25</v>
      </c>
      <c r="BK87" s="188">
        <v>2201</v>
      </c>
      <c r="BL87" s="185">
        <v>0.67619047619047623</v>
      </c>
      <c r="BM87" s="185">
        <v>0.71177944862155385</v>
      </c>
      <c r="BN87" s="188">
        <v>2201</v>
      </c>
      <c r="BO87" s="185">
        <v>0.67619047619047623</v>
      </c>
      <c r="BP87" s="185">
        <v>0.71177944862155385</v>
      </c>
      <c r="BQ87" s="188">
        <v>2201</v>
      </c>
      <c r="BR87" s="185">
        <f t="shared" si="104"/>
        <v>0.67619047619047623</v>
      </c>
      <c r="BS87" s="185">
        <f t="shared" si="121"/>
        <v>0.71177944862155385</v>
      </c>
      <c r="BT87" s="205">
        <f t="shared" si="50"/>
        <v>2055</v>
      </c>
      <c r="BU87" s="205"/>
      <c r="BV87" s="189" t="e">
        <f>#REF!+#REF!</f>
        <v>#REF!</v>
      </c>
      <c r="BW87" s="186" t="e">
        <f t="shared" si="105"/>
        <v>#REF!</v>
      </c>
      <c r="BX87" s="189" t="e">
        <f>#REF!+#REF!</f>
        <v>#REF!</v>
      </c>
      <c r="BY87" s="186" t="e">
        <f t="shared" si="106"/>
        <v>#REF!</v>
      </c>
      <c r="BZ87" s="189" t="e">
        <f>#REF!+#REF!</f>
        <v>#REF!</v>
      </c>
      <c r="CA87" s="186" t="e">
        <f t="shared" si="107"/>
        <v>#REF!</v>
      </c>
      <c r="CB87" s="189" t="e">
        <f>#REF!+#REF!</f>
        <v>#REF!</v>
      </c>
      <c r="CC87" s="186" t="e">
        <f t="shared" si="108"/>
        <v>#REF!</v>
      </c>
      <c r="CD87" s="189" t="e">
        <f>#REF!+#REF!</f>
        <v>#REF!</v>
      </c>
      <c r="CE87" s="186" t="e">
        <f t="shared" si="109"/>
        <v>#REF!</v>
      </c>
      <c r="CF87" s="189" t="e">
        <f>#REF!+#REF!</f>
        <v>#REF!</v>
      </c>
      <c r="CG87" s="186" t="e">
        <f t="shared" si="110"/>
        <v>#REF!</v>
      </c>
      <c r="CH87" s="189" t="e">
        <f>#REF!+#REF!</f>
        <v>#REF!</v>
      </c>
      <c r="CI87" s="186" t="e">
        <f t="shared" si="111"/>
        <v>#REF!</v>
      </c>
      <c r="CJ87" s="189" t="e">
        <f>#REF!+#REF!</f>
        <v>#REF!</v>
      </c>
      <c r="CK87" s="186" t="e">
        <f t="shared" si="112"/>
        <v>#REF!</v>
      </c>
      <c r="CL87" s="189" t="e">
        <f>#REF!+#REF!</f>
        <v>#REF!</v>
      </c>
      <c r="CM87" s="186" t="e">
        <f t="shared" si="113"/>
        <v>#REF!</v>
      </c>
      <c r="CN87" s="189" t="e">
        <f>#REF!+#REF!</f>
        <v>#REF!</v>
      </c>
      <c r="CO87" s="186" t="e">
        <f t="shared" si="114"/>
        <v>#REF!</v>
      </c>
      <c r="CP87" s="189" t="e">
        <f>#REF!+#REF!</f>
        <v>#REF!</v>
      </c>
      <c r="CQ87" s="186" t="e">
        <f t="shared" si="115"/>
        <v>#REF!</v>
      </c>
      <c r="CR87" s="189" t="e">
        <f>#REF!+#REF!</f>
        <v>#REF!</v>
      </c>
      <c r="CS87" s="186" t="e">
        <f t="shared" si="116"/>
        <v>#REF!</v>
      </c>
      <c r="CT87" s="189" t="e">
        <f>#REF!+#REF!</f>
        <v>#REF!</v>
      </c>
      <c r="CU87" s="186" t="e">
        <f t="shared" si="117"/>
        <v>#REF!</v>
      </c>
      <c r="CV87" s="416">
        <f t="shared" si="118"/>
        <v>0</v>
      </c>
      <c r="CW87" s="191" t="str">
        <f t="shared" si="119"/>
        <v>Cao hơn</v>
      </c>
      <c r="CX87" s="191" t="str">
        <f t="shared" si="120"/>
        <v>Cao hơn</v>
      </c>
      <c r="CY87" s="213"/>
      <c r="CZ87" s="213"/>
      <c r="DA87" s="231"/>
      <c r="DB87" s="163"/>
      <c r="DD87" s="195"/>
      <c r="DE87" s="196"/>
      <c r="DF87" s="196"/>
      <c r="DG87" s="197"/>
      <c r="DH87" s="196"/>
      <c r="DI87" s="196"/>
      <c r="DJ87" s="196"/>
      <c r="DL87" s="199"/>
      <c r="DM87" s="200"/>
    </row>
    <row r="88" spans="1:117" ht="18" customHeight="1" x14ac:dyDescent="0.25">
      <c r="A88" s="191">
        <v>23</v>
      </c>
      <c r="B88" s="240" t="s">
        <v>410</v>
      </c>
      <c r="C88" s="240"/>
      <c r="D88" s="188">
        <v>3467</v>
      </c>
      <c r="E88" s="188">
        <v>0</v>
      </c>
      <c r="F88" s="188">
        <v>3467</v>
      </c>
      <c r="G88" s="188">
        <v>3000</v>
      </c>
      <c r="H88" s="188">
        <v>467</v>
      </c>
      <c r="I88" s="188">
        <v>0</v>
      </c>
      <c r="J88" s="188"/>
      <c r="K88" s="188">
        <v>0</v>
      </c>
      <c r="L88" s="188">
        <v>0</v>
      </c>
      <c r="M88" s="188">
        <v>0</v>
      </c>
      <c r="N88" s="188">
        <v>0</v>
      </c>
      <c r="O88" s="188">
        <v>3000</v>
      </c>
      <c r="P88" s="188">
        <v>0</v>
      </c>
      <c r="Q88" s="186">
        <v>0</v>
      </c>
      <c r="R88" s="188">
        <v>0</v>
      </c>
      <c r="S88" s="185">
        <v>0</v>
      </c>
      <c r="T88" s="185">
        <v>0</v>
      </c>
      <c r="U88" s="188">
        <v>0</v>
      </c>
      <c r="V88" s="185">
        <v>0</v>
      </c>
      <c r="W88" s="185">
        <v>0</v>
      </c>
      <c r="X88" s="188">
        <v>0</v>
      </c>
      <c r="Y88" s="185">
        <v>0</v>
      </c>
      <c r="Z88" s="185">
        <v>0</v>
      </c>
      <c r="AA88" s="188">
        <v>0</v>
      </c>
      <c r="AB88" s="185">
        <v>0</v>
      </c>
      <c r="AC88" s="185">
        <v>0</v>
      </c>
      <c r="AD88" s="188">
        <v>271</v>
      </c>
      <c r="AE88" s="185">
        <v>7.8165561003749634E-2</v>
      </c>
      <c r="AF88" s="185">
        <v>8.2279537898683835E-2</v>
      </c>
      <c r="AG88" s="188">
        <v>271</v>
      </c>
      <c r="AH88" s="185">
        <v>7.8165561003749634E-2</v>
      </c>
      <c r="AI88" s="185">
        <v>8.2279537898683835E-2</v>
      </c>
      <c r="AJ88" s="303">
        <v>271</v>
      </c>
      <c r="AK88" s="185">
        <v>7.8165561003749634E-2</v>
      </c>
      <c r="AL88" s="185">
        <v>8.2279537898683835E-2</v>
      </c>
      <c r="AM88" s="314">
        <v>271</v>
      </c>
      <c r="AN88" s="185">
        <v>7.8165561003749634E-2</v>
      </c>
      <c r="AO88" s="185">
        <v>8.2279537898683835E-2</v>
      </c>
      <c r="AP88" s="185"/>
      <c r="AQ88" s="188">
        <v>271</v>
      </c>
      <c r="AR88" s="185">
        <v>7.8165561003749634E-2</v>
      </c>
      <c r="AS88" s="185">
        <v>8.2279537898683835E-2</v>
      </c>
      <c r="AT88" s="188">
        <v>271</v>
      </c>
      <c r="AU88" s="185">
        <v>7.8165561003749634E-2</v>
      </c>
      <c r="AV88" s="185">
        <v>8.2279537898683835E-2</v>
      </c>
      <c r="AW88" s="185"/>
      <c r="AX88" s="185"/>
      <c r="AY88" s="185"/>
      <c r="AZ88" s="185"/>
      <c r="BA88" s="185"/>
      <c r="BB88" s="185"/>
      <c r="BC88" s="188">
        <v>271</v>
      </c>
      <c r="BD88" s="185">
        <v>7.8165561003749634E-2</v>
      </c>
      <c r="BE88" s="185">
        <v>8.2279537898683835E-2</v>
      </c>
      <c r="BF88" s="188"/>
      <c r="BG88" s="188">
        <v>1884</v>
      </c>
      <c r="BH88" s="185">
        <v>0.54340928756850304</v>
      </c>
      <c r="BI88" s="185">
        <v>0.57200977638789796</v>
      </c>
      <c r="BJ88" s="188">
        <v>3293.6499999999996</v>
      </c>
      <c r="BK88" s="188">
        <v>2624</v>
      </c>
      <c r="BL88" s="185">
        <v>0.75685030285549471</v>
      </c>
      <c r="BM88" s="185">
        <v>0.79668452932157341</v>
      </c>
      <c r="BN88" s="188">
        <v>2624</v>
      </c>
      <c r="BO88" s="185">
        <v>0.75685030285549471</v>
      </c>
      <c r="BP88" s="185">
        <v>0.79668452932157341</v>
      </c>
      <c r="BQ88" s="188">
        <v>2635.43</v>
      </c>
      <c r="BR88" s="185">
        <f t="shared" si="104"/>
        <v>0.7601471012402653</v>
      </c>
      <c r="BS88" s="185">
        <f t="shared" si="121"/>
        <v>0.80015484341080567</v>
      </c>
      <c r="BT88" s="205">
        <f t="shared" ref="BT88:BT119" si="122">BQ88-AD88</f>
        <v>2364.4299999999998</v>
      </c>
      <c r="BU88" s="205"/>
      <c r="BV88" s="189" t="e">
        <f>#REF!+#REF!</f>
        <v>#REF!</v>
      </c>
      <c r="BW88" s="186" t="e">
        <f t="shared" si="105"/>
        <v>#REF!</v>
      </c>
      <c r="BX88" s="189" t="e">
        <f>#REF!+#REF!</f>
        <v>#REF!</v>
      </c>
      <c r="BY88" s="186" t="e">
        <f t="shared" si="106"/>
        <v>#REF!</v>
      </c>
      <c r="BZ88" s="189" t="e">
        <f>#REF!+#REF!</f>
        <v>#REF!</v>
      </c>
      <c r="CA88" s="186" t="e">
        <f t="shared" si="107"/>
        <v>#REF!</v>
      </c>
      <c r="CB88" s="189" t="e">
        <f>#REF!+#REF!</f>
        <v>#REF!</v>
      </c>
      <c r="CC88" s="186" t="e">
        <f t="shared" si="108"/>
        <v>#REF!</v>
      </c>
      <c r="CD88" s="189" t="e">
        <f>#REF!+#REF!</f>
        <v>#REF!</v>
      </c>
      <c r="CE88" s="186" t="e">
        <f t="shared" si="109"/>
        <v>#REF!</v>
      </c>
      <c r="CF88" s="189" t="e">
        <f>#REF!+#REF!</f>
        <v>#REF!</v>
      </c>
      <c r="CG88" s="186" t="e">
        <f t="shared" si="110"/>
        <v>#REF!</v>
      </c>
      <c r="CH88" s="189" t="e">
        <f>#REF!+#REF!</f>
        <v>#REF!</v>
      </c>
      <c r="CI88" s="186" t="e">
        <f t="shared" si="111"/>
        <v>#REF!</v>
      </c>
      <c r="CJ88" s="189" t="e">
        <f>#REF!+#REF!</f>
        <v>#REF!</v>
      </c>
      <c r="CK88" s="186" t="e">
        <f t="shared" si="112"/>
        <v>#REF!</v>
      </c>
      <c r="CL88" s="189" t="e">
        <f>#REF!+#REF!</f>
        <v>#REF!</v>
      </c>
      <c r="CM88" s="186" t="e">
        <f t="shared" si="113"/>
        <v>#REF!</v>
      </c>
      <c r="CN88" s="189" t="e">
        <f>#REF!+#REF!</f>
        <v>#REF!</v>
      </c>
      <c r="CO88" s="186" t="e">
        <f t="shared" si="114"/>
        <v>#REF!</v>
      </c>
      <c r="CP88" s="189" t="e">
        <f>#REF!+#REF!</f>
        <v>#REF!</v>
      </c>
      <c r="CQ88" s="186" t="e">
        <f t="shared" si="115"/>
        <v>#REF!</v>
      </c>
      <c r="CR88" s="189" t="e">
        <f>#REF!+#REF!</f>
        <v>#REF!</v>
      </c>
      <c r="CS88" s="186" t="e">
        <f t="shared" si="116"/>
        <v>#REF!</v>
      </c>
      <c r="CT88" s="189" t="e">
        <f>#REF!+#REF!</f>
        <v>#REF!</v>
      </c>
      <c r="CU88" s="186" t="e">
        <f t="shared" si="117"/>
        <v>#REF!</v>
      </c>
      <c r="CV88" s="416">
        <f t="shared" si="118"/>
        <v>11.429999999999836</v>
      </c>
      <c r="CW88" s="191" t="str">
        <f t="shared" si="119"/>
        <v>Cao hơn</v>
      </c>
      <c r="CX88" s="191" t="str">
        <f t="shared" si="120"/>
        <v>Cao hơn</v>
      </c>
      <c r="CY88" s="213"/>
      <c r="CZ88" s="213"/>
      <c r="DA88" s="231"/>
      <c r="DB88" s="163"/>
      <c r="DD88" s="195"/>
      <c r="DE88" s="196"/>
      <c r="DF88" s="196"/>
      <c r="DG88" s="197"/>
      <c r="DH88" s="196"/>
      <c r="DI88" s="196"/>
      <c r="DJ88" s="196"/>
      <c r="DL88" s="199"/>
      <c r="DM88" s="200"/>
    </row>
    <row r="89" spans="1:117" ht="18" customHeight="1" x14ac:dyDescent="0.25">
      <c r="A89" s="191">
        <v>24</v>
      </c>
      <c r="B89" s="240" t="s">
        <v>411</v>
      </c>
      <c r="C89" s="240"/>
      <c r="D89" s="188">
        <v>8350</v>
      </c>
      <c r="E89" s="188">
        <v>0</v>
      </c>
      <c r="F89" s="188">
        <v>8350</v>
      </c>
      <c r="G89" s="188">
        <v>3000</v>
      </c>
      <c r="H89" s="188">
        <v>5350</v>
      </c>
      <c r="I89" s="188">
        <v>0</v>
      </c>
      <c r="J89" s="188"/>
      <c r="K89" s="188">
        <v>0</v>
      </c>
      <c r="L89" s="188">
        <v>0</v>
      </c>
      <c r="M89" s="188">
        <v>0</v>
      </c>
      <c r="N89" s="188">
        <v>0</v>
      </c>
      <c r="O89" s="188">
        <v>3000</v>
      </c>
      <c r="P89" s="188">
        <v>477.78</v>
      </c>
      <c r="Q89" s="186">
        <v>5.7219161676646701E-2</v>
      </c>
      <c r="R89" s="189">
        <v>478</v>
      </c>
      <c r="S89" s="185">
        <v>5.7245508982035925E-2</v>
      </c>
      <c r="T89" s="185">
        <v>6.0258430507406237E-2</v>
      </c>
      <c r="U89" s="189">
        <v>478</v>
      </c>
      <c r="V89" s="185">
        <v>5.7245508982035925E-2</v>
      </c>
      <c r="W89" s="185">
        <v>6.0258430507406237E-2</v>
      </c>
      <c r="X89" s="189">
        <v>478</v>
      </c>
      <c r="Y89" s="185">
        <v>5.7245508982035925E-2</v>
      </c>
      <c r="Z89" s="185">
        <v>6.0258430507406237E-2</v>
      </c>
      <c r="AA89" s="189">
        <v>478</v>
      </c>
      <c r="AB89" s="185">
        <v>5.7245508982035925E-2</v>
      </c>
      <c r="AC89" s="185">
        <v>6.0258430507406237E-2</v>
      </c>
      <c r="AD89" s="189">
        <v>495</v>
      </c>
      <c r="AE89" s="185">
        <v>5.9281437125748501E-2</v>
      </c>
      <c r="AF89" s="185">
        <v>6.2401512763945795E-2</v>
      </c>
      <c r="AG89" s="189">
        <v>495</v>
      </c>
      <c r="AH89" s="185">
        <v>5.9281437125748501E-2</v>
      </c>
      <c r="AI89" s="185">
        <v>6.2401512763945795E-2</v>
      </c>
      <c r="AJ89" s="303">
        <v>495</v>
      </c>
      <c r="AK89" s="185">
        <v>5.9281437125748501E-2</v>
      </c>
      <c r="AL89" s="185">
        <v>6.2401512763945795E-2</v>
      </c>
      <c r="AM89" s="189">
        <v>779.75390000000004</v>
      </c>
      <c r="AN89" s="185">
        <v>9.3383700598802397E-2</v>
      </c>
      <c r="AO89" s="185">
        <v>9.8298632209265685E-2</v>
      </c>
      <c r="AP89" s="185"/>
      <c r="AQ89" s="189">
        <v>1764.9458999999999</v>
      </c>
      <c r="AR89" s="185">
        <v>0.21137076646706587</v>
      </c>
      <c r="AS89" s="185">
        <v>0.22249554364954302</v>
      </c>
      <c r="AT89" s="189">
        <v>1849</v>
      </c>
      <c r="AU89" s="185">
        <v>0.22143712574850299</v>
      </c>
      <c r="AV89" s="185">
        <v>0.23309171131421369</v>
      </c>
      <c r="AW89" s="185"/>
      <c r="AX89" s="185"/>
      <c r="AY89" s="185"/>
      <c r="AZ89" s="185"/>
      <c r="BA89" s="185"/>
      <c r="BB89" s="185"/>
      <c r="BC89" s="189">
        <v>1849</v>
      </c>
      <c r="BD89" s="185">
        <v>0.22143712574850299</v>
      </c>
      <c r="BE89" s="185">
        <v>0.23309171131421369</v>
      </c>
      <c r="BF89" s="189"/>
      <c r="BG89" s="189">
        <v>4558</v>
      </c>
      <c r="BH89" s="185">
        <v>0.54586826347305384</v>
      </c>
      <c r="BI89" s="185">
        <v>0.57459817207689878</v>
      </c>
      <c r="BJ89" s="189">
        <v>7932.5</v>
      </c>
      <c r="BK89" s="189">
        <v>5797</v>
      </c>
      <c r="BL89" s="185">
        <v>0.69425149700598798</v>
      </c>
      <c r="BM89" s="185">
        <v>0.73079104947998741</v>
      </c>
      <c r="BN89" s="189">
        <v>5797</v>
      </c>
      <c r="BO89" s="185">
        <v>0.69425149700598798</v>
      </c>
      <c r="BP89" s="185">
        <v>0.73079104947998741</v>
      </c>
      <c r="BQ89" s="189">
        <v>6302</v>
      </c>
      <c r="BR89" s="185">
        <f t="shared" si="104"/>
        <v>0.75473053892215569</v>
      </c>
      <c r="BS89" s="185">
        <f t="shared" si="121"/>
        <v>0.79445319886542709</v>
      </c>
      <c r="BT89" s="205">
        <f t="shared" si="122"/>
        <v>5807</v>
      </c>
      <c r="BU89" s="205"/>
      <c r="BV89" s="189" t="e">
        <f>#REF!+#REF!</f>
        <v>#REF!</v>
      </c>
      <c r="BW89" s="186" t="e">
        <f t="shared" si="105"/>
        <v>#REF!</v>
      </c>
      <c r="BX89" s="189" t="e">
        <f>#REF!+#REF!</f>
        <v>#REF!</v>
      </c>
      <c r="BY89" s="186" t="e">
        <f t="shared" si="106"/>
        <v>#REF!</v>
      </c>
      <c r="BZ89" s="189" t="e">
        <f>#REF!+#REF!</f>
        <v>#REF!</v>
      </c>
      <c r="CA89" s="186" t="e">
        <f t="shared" si="107"/>
        <v>#REF!</v>
      </c>
      <c r="CB89" s="189" t="e">
        <f>#REF!+#REF!</f>
        <v>#REF!</v>
      </c>
      <c r="CC89" s="186" t="e">
        <f t="shared" si="108"/>
        <v>#REF!</v>
      </c>
      <c r="CD89" s="189" t="e">
        <f>#REF!+#REF!</f>
        <v>#REF!</v>
      </c>
      <c r="CE89" s="186" t="e">
        <f t="shared" si="109"/>
        <v>#REF!</v>
      </c>
      <c r="CF89" s="189" t="e">
        <f>#REF!+#REF!</f>
        <v>#REF!</v>
      </c>
      <c r="CG89" s="186" t="e">
        <f t="shared" si="110"/>
        <v>#REF!</v>
      </c>
      <c r="CH89" s="189" t="e">
        <f>#REF!+#REF!</f>
        <v>#REF!</v>
      </c>
      <c r="CI89" s="186" t="e">
        <f t="shared" si="111"/>
        <v>#REF!</v>
      </c>
      <c r="CJ89" s="189" t="e">
        <f>#REF!+#REF!</f>
        <v>#REF!</v>
      </c>
      <c r="CK89" s="186" t="e">
        <f t="shared" si="112"/>
        <v>#REF!</v>
      </c>
      <c r="CL89" s="189" t="e">
        <f>#REF!+#REF!</f>
        <v>#REF!</v>
      </c>
      <c r="CM89" s="186" t="e">
        <f t="shared" si="113"/>
        <v>#REF!</v>
      </c>
      <c r="CN89" s="189" t="e">
        <f>#REF!+#REF!</f>
        <v>#REF!</v>
      </c>
      <c r="CO89" s="186" t="e">
        <f t="shared" si="114"/>
        <v>#REF!</v>
      </c>
      <c r="CP89" s="189" t="e">
        <f>#REF!+#REF!</f>
        <v>#REF!</v>
      </c>
      <c r="CQ89" s="186" t="e">
        <f t="shared" si="115"/>
        <v>#REF!</v>
      </c>
      <c r="CR89" s="189" t="e">
        <f>#REF!+#REF!</f>
        <v>#REF!</v>
      </c>
      <c r="CS89" s="186" t="e">
        <f t="shared" si="116"/>
        <v>#REF!</v>
      </c>
      <c r="CT89" s="189" t="e">
        <f>#REF!+#REF!</f>
        <v>#REF!</v>
      </c>
      <c r="CU89" s="186" t="e">
        <f t="shared" si="117"/>
        <v>#REF!</v>
      </c>
      <c r="CV89" s="416">
        <f t="shared" si="118"/>
        <v>505</v>
      </c>
      <c r="CW89" s="191" t="str">
        <f t="shared" si="119"/>
        <v>Cao hơn</v>
      </c>
      <c r="CX89" s="191" t="str">
        <f t="shared" si="120"/>
        <v>Cao hơn</v>
      </c>
      <c r="CY89" s="213"/>
      <c r="CZ89" s="213"/>
      <c r="DA89" s="231"/>
      <c r="DB89" s="163"/>
      <c r="DD89" s="195"/>
      <c r="DE89" s="196"/>
      <c r="DF89" s="196"/>
      <c r="DG89" s="197"/>
      <c r="DH89" s="196"/>
      <c r="DI89" s="196"/>
      <c r="DJ89" s="196"/>
      <c r="DL89" s="199"/>
      <c r="DM89" s="200"/>
    </row>
    <row r="90" spans="1:117" ht="18" customHeight="1" x14ac:dyDescent="0.25">
      <c r="A90" s="191">
        <v>25</v>
      </c>
      <c r="B90" s="240" t="s">
        <v>412</v>
      </c>
      <c r="C90" s="240"/>
      <c r="D90" s="188">
        <v>10150</v>
      </c>
      <c r="E90" s="188">
        <v>0</v>
      </c>
      <c r="F90" s="188">
        <v>10150</v>
      </c>
      <c r="G90" s="188">
        <v>3000</v>
      </c>
      <c r="H90" s="188">
        <v>7150</v>
      </c>
      <c r="I90" s="188">
        <v>0</v>
      </c>
      <c r="J90" s="188"/>
      <c r="K90" s="188">
        <v>0</v>
      </c>
      <c r="L90" s="188">
        <v>0</v>
      </c>
      <c r="M90" s="188">
        <v>0</v>
      </c>
      <c r="N90" s="188">
        <v>0</v>
      </c>
      <c r="O90" s="188">
        <v>3000</v>
      </c>
      <c r="P90" s="188">
        <v>0</v>
      </c>
      <c r="Q90" s="186">
        <v>0</v>
      </c>
      <c r="R90" s="189">
        <v>342</v>
      </c>
      <c r="S90" s="185">
        <v>3.3694581280788179E-2</v>
      </c>
      <c r="T90" s="185">
        <v>3.5467980295566505E-2</v>
      </c>
      <c r="U90" s="189">
        <v>380</v>
      </c>
      <c r="V90" s="185">
        <v>3.7438423645320199E-2</v>
      </c>
      <c r="W90" s="185">
        <v>3.9408866995073892E-2</v>
      </c>
      <c r="X90" s="189">
        <v>380</v>
      </c>
      <c r="Y90" s="185">
        <v>3.7438423645320199E-2</v>
      </c>
      <c r="Z90" s="185">
        <v>3.9408866995073892E-2</v>
      </c>
      <c r="AA90" s="189">
        <v>380</v>
      </c>
      <c r="AB90" s="185">
        <v>3.7438423645320199E-2</v>
      </c>
      <c r="AC90" s="185">
        <v>3.9408866995073892E-2</v>
      </c>
      <c r="AD90" s="189">
        <v>380</v>
      </c>
      <c r="AE90" s="185">
        <v>3.7438423645320199E-2</v>
      </c>
      <c r="AF90" s="185">
        <v>3.9408866995073892E-2</v>
      </c>
      <c r="AG90" s="189">
        <v>380</v>
      </c>
      <c r="AH90" s="185">
        <v>3.7438423645320199E-2</v>
      </c>
      <c r="AI90" s="185">
        <v>3.9408866995073892E-2</v>
      </c>
      <c r="AJ90" s="303">
        <v>380</v>
      </c>
      <c r="AK90" s="185">
        <v>3.7438423645320199E-2</v>
      </c>
      <c r="AL90" s="185">
        <v>3.9408866995073892E-2</v>
      </c>
      <c r="AM90" s="189">
        <v>1400</v>
      </c>
      <c r="AN90" s="185">
        <v>0.13793103448275862</v>
      </c>
      <c r="AO90" s="185">
        <v>0.14519056261343014</v>
      </c>
      <c r="AP90" s="185"/>
      <c r="AQ90" s="189">
        <v>1400</v>
      </c>
      <c r="AR90" s="185">
        <v>0.13793103448275862</v>
      </c>
      <c r="AS90" s="185">
        <v>0.14519056261343014</v>
      </c>
      <c r="AT90" s="189">
        <v>1400</v>
      </c>
      <c r="AU90" s="185">
        <v>0.13793103448275862</v>
      </c>
      <c r="AV90" s="185">
        <v>0.14519056261343014</v>
      </c>
      <c r="AW90" s="185"/>
      <c r="AX90" s="185"/>
      <c r="AY90" s="185"/>
      <c r="AZ90" s="185"/>
      <c r="BA90" s="185"/>
      <c r="BB90" s="185"/>
      <c r="BC90" s="189">
        <v>1400</v>
      </c>
      <c r="BD90" s="185">
        <v>0.13793103448275862</v>
      </c>
      <c r="BE90" s="185">
        <v>0.14519056261343014</v>
      </c>
      <c r="BF90" s="189"/>
      <c r="BG90" s="189">
        <v>4389</v>
      </c>
      <c r="BH90" s="185">
        <v>0.4324137931034483</v>
      </c>
      <c r="BI90" s="185">
        <v>0.45517241379310347</v>
      </c>
      <c r="BJ90" s="189">
        <v>9642.5</v>
      </c>
      <c r="BK90" s="189">
        <v>5605</v>
      </c>
      <c r="BL90" s="185">
        <v>0.55221674876847293</v>
      </c>
      <c r="BM90" s="185">
        <v>0.58128078817733986</v>
      </c>
      <c r="BN90" s="189">
        <v>5605</v>
      </c>
      <c r="BO90" s="185">
        <v>0.55221674876847293</v>
      </c>
      <c r="BP90" s="185">
        <v>0.58128078817733986</v>
      </c>
      <c r="BQ90" s="189">
        <v>5605</v>
      </c>
      <c r="BR90" s="185">
        <f t="shared" si="104"/>
        <v>0.55221674876847293</v>
      </c>
      <c r="BS90" s="185">
        <f t="shared" si="121"/>
        <v>0.58128078817733986</v>
      </c>
      <c r="BT90" s="205">
        <f t="shared" si="122"/>
        <v>5225</v>
      </c>
      <c r="BU90" s="205"/>
      <c r="BV90" s="189" t="e">
        <f>#REF!+#REF!</f>
        <v>#REF!</v>
      </c>
      <c r="BW90" s="186" t="e">
        <f t="shared" si="105"/>
        <v>#REF!</v>
      </c>
      <c r="BX90" s="189" t="e">
        <f>#REF!+#REF!</f>
        <v>#REF!</v>
      </c>
      <c r="BY90" s="186" t="e">
        <f t="shared" si="106"/>
        <v>#REF!</v>
      </c>
      <c r="BZ90" s="189" t="e">
        <f>#REF!+#REF!</f>
        <v>#REF!</v>
      </c>
      <c r="CA90" s="186" t="e">
        <f t="shared" si="107"/>
        <v>#REF!</v>
      </c>
      <c r="CB90" s="189" t="e">
        <f>#REF!+#REF!</f>
        <v>#REF!</v>
      </c>
      <c r="CC90" s="186" t="e">
        <f t="shared" si="108"/>
        <v>#REF!</v>
      </c>
      <c r="CD90" s="189" t="e">
        <f>#REF!+#REF!</f>
        <v>#REF!</v>
      </c>
      <c r="CE90" s="186" t="e">
        <f t="shared" si="109"/>
        <v>#REF!</v>
      </c>
      <c r="CF90" s="189" t="e">
        <f>#REF!+#REF!</f>
        <v>#REF!</v>
      </c>
      <c r="CG90" s="186" t="e">
        <f t="shared" si="110"/>
        <v>#REF!</v>
      </c>
      <c r="CH90" s="189" t="e">
        <f>#REF!+#REF!</f>
        <v>#REF!</v>
      </c>
      <c r="CI90" s="186" t="e">
        <f t="shared" si="111"/>
        <v>#REF!</v>
      </c>
      <c r="CJ90" s="189" t="e">
        <f>#REF!+#REF!</f>
        <v>#REF!</v>
      </c>
      <c r="CK90" s="186" t="e">
        <f t="shared" si="112"/>
        <v>#REF!</v>
      </c>
      <c r="CL90" s="189" t="e">
        <f>#REF!+#REF!</f>
        <v>#REF!</v>
      </c>
      <c r="CM90" s="186" t="e">
        <f t="shared" si="113"/>
        <v>#REF!</v>
      </c>
      <c r="CN90" s="189" t="e">
        <f>#REF!+#REF!</f>
        <v>#REF!</v>
      </c>
      <c r="CO90" s="186" t="e">
        <f t="shared" si="114"/>
        <v>#REF!</v>
      </c>
      <c r="CP90" s="189" t="e">
        <f>#REF!+#REF!</f>
        <v>#REF!</v>
      </c>
      <c r="CQ90" s="186" t="e">
        <f t="shared" si="115"/>
        <v>#REF!</v>
      </c>
      <c r="CR90" s="189" t="e">
        <f>#REF!+#REF!</f>
        <v>#REF!</v>
      </c>
      <c r="CS90" s="186" t="e">
        <f t="shared" si="116"/>
        <v>#REF!</v>
      </c>
      <c r="CT90" s="189" t="e">
        <f>#REF!+#REF!</f>
        <v>#REF!</v>
      </c>
      <c r="CU90" s="186" t="e">
        <f t="shared" si="117"/>
        <v>#REF!</v>
      </c>
      <c r="CV90" s="416">
        <f t="shared" si="118"/>
        <v>0</v>
      </c>
      <c r="CW90" s="191" t="str">
        <f t="shared" si="119"/>
        <v>Cao hơn</v>
      </c>
      <c r="CX90" s="191" t="str">
        <f t="shared" si="120"/>
        <v>Cao hơn</v>
      </c>
      <c r="CY90" s="213"/>
      <c r="CZ90" s="213"/>
      <c r="DA90" s="231"/>
      <c r="DB90" s="163"/>
      <c r="DD90" s="195"/>
      <c r="DE90" s="196"/>
      <c r="DF90" s="196"/>
      <c r="DG90" s="197"/>
      <c r="DH90" s="196"/>
      <c r="DI90" s="196"/>
      <c r="DJ90" s="196"/>
      <c r="DL90" s="199"/>
      <c r="DM90" s="200"/>
    </row>
    <row r="91" spans="1:117" ht="18" customHeight="1" x14ac:dyDescent="0.25">
      <c r="A91" s="191">
        <v>26</v>
      </c>
      <c r="B91" s="240" t="s">
        <v>413</v>
      </c>
      <c r="C91" s="240"/>
      <c r="D91" s="188">
        <v>36100</v>
      </c>
      <c r="E91" s="188">
        <v>0</v>
      </c>
      <c r="F91" s="188">
        <v>36100</v>
      </c>
      <c r="G91" s="188">
        <v>3000</v>
      </c>
      <c r="H91" s="188">
        <v>33100</v>
      </c>
      <c r="I91" s="188">
        <v>0</v>
      </c>
      <c r="J91" s="188"/>
      <c r="K91" s="188">
        <v>0</v>
      </c>
      <c r="L91" s="188">
        <v>0</v>
      </c>
      <c r="M91" s="188">
        <v>0</v>
      </c>
      <c r="N91" s="188">
        <v>0</v>
      </c>
      <c r="O91" s="188">
        <v>3000</v>
      </c>
      <c r="P91" s="188">
        <v>0</v>
      </c>
      <c r="Q91" s="186">
        <v>0</v>
      </c>
      <c r="R91" s="188">
        <v>0</v>
      </c>
      <c r="S91" s="185">
        <v>0</v>
      </c>
      <c r="T91" s="185">
        <v>0</v>
      </c>
      <c r="U91" s="188">
        <v>0</v>
      </c>
      <c r="V91" s="185">
        <v>0</v>
      </c>
      <c r="W91" s="185">
        <v>0</v>
      </c>
      <c r="X91" s="188">
        <v>0</v>
      </c>
      <c r="Y91" s="185">
        <v>0</v>
      </c>
      <c r="Z91" s="185">
        <v>0</v>
      </c>
      <c r="AA91" s="188">
        <v>0</v>
      </c>
      <c r="AB91" s="185">
        <v>0</v>
      </c>
      <c r="AC91" s="185">
        <v>0</v>
      </c>
      <c r="AD91" s="188">
        <v>475</v>
      </c>
      <c r="AE91" s="185">
        <v>1.3157894736842105E-2</v>
      </c>
      <c r="AF91" s="185">
        <v>1.3850415512465374E-2</v>
      </c>
      <c r="AG91" s="188">
        <v>475</v>
      </c>
      <c r="AH91" s="185">
        <v>1.3157894736842105E-2</v>
      </c>
      <c r="AI91" s="185">
        <v>1.3850415512465374E-2</v>
      </c>
      <c r="AJ91" s="303">
        <v>475</v>
      </c>
      <c r="AK91" s="185">
        <v>1.3157894736842105E-2</v>
      </c>
      <c r="AL91" s="185">
        <v>1.3850415512465374E-2</v>
      </c>
      <c r="AM91" s="188">
        <v>1719.4</v>
      </c>
      <c r="AN91" s="185">
        <v>4.7628808864265931E-2</v>
      </c>
      <c r="AO91" s="185">
        <v>5.0135588278174666E-2</v>
      </c>
      <c r="AP91" s="185"/>
      <c r="AQ91" s="188">
        <v>2724</v>
      </c>
      <c r="AR91" s="185">
        <v>7.5457063711911354E-2</v>
      </c>
      <c r="AS91" s="185">
        <v>7.9428488117801427E-2</v>
      </c>
      <c r="AT91" s="188">
        <v>3685.6</v>
      </c>
      <c r="AU91" s="185">
        <v>0.10209418282548476</v>
      </c>
      <c r="AV91" s="185">
        <v>0.10746756086893133</v>
      </c>
      <c r="AW91" s="185"/>
      <c r="AX91" s="185"/>
      <c r="AY91" s="185"/>
      <c r="AZ91" s="185"/>
      <c r="BA91" s="185"/>
      <c r="BB91" s="185"/>
      <c r="BC91" s="188">
        <v>3685.6</v>
      </c>
      <c r="BD91" s="185">
        <v>0.10209418282548476</v>
      </c>
      <c r="BE91" s="185">
        <v>0.10746756086893133</v>
      </c>
      <c r="BF91" s="188"/>
      <c r="BG91" s="188">
        <v>12548</v>
      </c>
      <c r="BH91" s="185">
        <v>0.34759002770083103</v>
      </c>
      <c r="BI91" s="185">
        <v>0.36588423968508527</v>
      </c>
      <c r="BJ91" s="188">
        <v>34295</v>
      </c>
      <c r="BK91" s="188">
        <v>16534</v>
      </c>
      <c r="BL91" s="185">
        <v>0.45800554016620498</v>
      </c>
      <c r="BM91" s="185">
        <v>0.48211109491179471</v>
      </c>
      <c r="BN91" s="188">
        <v>17843.099999999999</v>
      </c>
      <c r="BO91" s="185">
        <v>0.49426869806094181</v>
      </c>
      <c r="BP91" s="185">
        <v>0.52028284006414927</v>
      </c>
      <c r="BQ91" s="188">
        <f>BN91</f>
        <v>17843.099999999999</v>
      </c>
      <c r="BR91" s="185">
        <f t="shared" si="104"/>
        <v>0.49426869806094181</v>
      </c>
      <c r="BS91" s="185">
        <f t="shared" si="121"/>
        <v>0.52028284006414927</v>
      </c>
      <c r="BT91" s="205">
        <f t="shared" si="122"/>
        <v>17368.099999999999</v>
      </c>
      <c r="BU91" s="205"/>
      <c r="BV91" s="189" t="e">
        <f>#REF!+#REF!</f>
        <v>#REF!</v>
      </c>
      <c r="BW91" s="186" t="e">
        <f t="shared" si="105"/>
        <v>#REF!</v>
      </c>
      <c r="BX91" s="189" t="e">
        <f>#REF!+#REF!</f>
        <v>#REF!</v>
      </c>
      <c r="BY91" s="186" t="e">
        <f t="shared" si="106"/>
        <v>#REF!</v>
      </c>
      <c r="BZ91" s="189" t="e">
        <f>#REF!+#REF!</f>
        <v>#REF!</v>
      </c>
      <c r="CA91" s="186" t="e">
        <f t="shared" si="107"/>
        <v>#REF!</v>
      </c>
      <c r="CB91" s="189" t="e">
        <f>#REF!+#REF!</f>
        <v>#REF!</v>
      </c>
      <c r="CC91" s="186" t="e">
        <f t="shared" si="108"/>
        <v>#REF!</v>
      </c>
      <c r="CD91" s="189" t="e">
        <f>#REF!+#REF!</f>
        <v>#REF!</v>
      </c>
      <c r="CE91" s="186" t="e">
        <f t="shared" si="109"/>
        <v>#REF!</v>
      </c>
      <c r="CF91" s="189" t="e">
        <f>#REF!+#REF!</f>
        <v>#REF!</v>
      </c>
      <c r="CG91" s="186" t="e">
        <f t="shared" si="110"/>
        <v>#REF!</v>
      </c>
      <c r="CH91" s="189" t="e">
        <f>#REF!+#REF!</f>
        <v>#REF!</v>
      </c>
      <c r="CI91" s="186" t="e">
        <f t="shared" si="111"/>
        <v>#REF!</v>
      </c>
      <c r="CJ91" s="189" t="e">
        <f>#REF!+#REF!</f>
        <v>#REF!</v>
      </c>
      <c r="CK91" s="186" t="e">
        <f t="shared" si="112"/>
        <v>#REF!</v>
      </c>
      <c r="CL91" s="189" t="e">
        <f>#REF!+#REF!</f>
        <v>#REF!</v>
      </c>
      <c r="CM91" s="186" t="e">
        <f t="shared" si="113"/>
        <v>#REF!</v>
      </c>
      <c r="CN91" s="189" t="e">
        <f>#REF!+#REF!</f>
        <v>#REF!</v>
      </c>
      <c r="CO91" s="186" t="e">
        <f t="shared" si="114"/>
        <v>#REF!</v>
      </c>
      <c r="CP91" s="189" t="e">
        <f>#REF!+#REF!</f>
        <v>#REF!</v>
      </c>
      <c r="CQ91" s="186" t="e">
        <f t="shared" si="115"/>
        <v>#REF!</v>
      </c>
      <c r="CR91" s="189" t="e">
        <f>#REF!+#REF!</f>
        <v>#REF!</v>
      </c>
      <c r="CS91" s="186" t="e">
        <f t="shared" si="116"/>
        <v>#REF!</v>
      </c>
      <c r="CT91" s="189" t="e">
        <f>#REF!+#REF!</f>
        <v>#REF!</v>
      </c>
      <c r="CU91" s="186" t="e">
        <f t="shared" si="117"/>
        <v>#REF!</v>
      </c>
      <c r="CV91" s="416">
        <f t="shared" si="118"/>
        <v>0</v>
      </c>
      <c r="CW91" s="191" t="str">
        <f t="shared" si="119"/>
        <v>Cao hơn</v>
      </c>
      <c r="CX91" s="191" t="str">
        <f t="shared" si="120"/>
        <v>Cao hơn</v>
      </c>
      <c r="CY91" s="213"/>
      <c r="CZ91" s="213"/>
      <c r="DA91" s="231"/>
      <c r="DB91" s="163"/>
      <c r="DD91" s="195"/>
      <c r="DE91" s="196"/>
      <c r="DF91" s="196"/>
      <c r="DG91" s="197"/>
      <c r="DH91" s="196"/>
      <c r="DI91" s="196"/>
      <c r="DJ91" s="196"/>
      <c r="DL91" s="199"/>
      <c r="DM91" s="200"/>
    </row>
    <row r="92" spans="1:117" ht="18" customHeight="1" x14ac:dyDescent="0.25">
      <c r="A92" s="191">
        <v>27</v>
      </c>
      <c r="B92" s="240" t="s">
        <v>414</v>
      </c>
      <c r="C92" s="240"/>
      <c r="D92" s="188">
        <v>6200</v>
      </c>
      <c r="E92" s="188">
        <v>0</v>
      </c>
      <c r="F92" s="188">
        <v>6200</v>
      </c>
      <c r="G92" s="188">
        <v>3000</v>
      </c>
      <c r="H92" s="188">
        <v>3200</v>
      </c>
      <c r="I92" s="188">
        <v>0</v>
      </c>
      <c r="J92" s="188"/>
      <c r="K92" s="188">
        <v>0</v>
      </c>
      <c r="L92" s="188">
        <v>0</v>
      </c>
      <c r="M92" s="188">
        <v>0</v>
      </c>
      <c r="N92" s="188">
        <v>0</v>
      </c>
      <c r="O92" s="188">
        <v>3000</v>
      </c>
      <c r="P92" s="188">
        <v>0</v>
      </c>
      <c r="Q92" s="186">
        <v>0</v>
      </c>
      <c r="R92" s="188">
        <v>0</v>
      </c>
      <c r="S92" s="185">
        <v>0</v>
      </c>
      <c r="T92" s="185">
        <v>0</v>
      </c>
      <c r="U92" s="188">
        <v>0</v>
      </c>
      <c r="V92" s="185">
        <v>0</v>
      </c>
      <c r="W92" s="185">
        <v>0</v>
      </c>
      <c r="X92" s="188">
        <v>0</v>
      </c>
      <c r="Y92" s="185">
        <v>0</v>
      </c>
      <c r="Z92" s="185">
        <v>0</v>
      </c>
      <c r="AA92" s="188">
        <v>0</v>
      </c>
      <c r="AB92" s="185">
        <v>0</v>
      </c>
      <c r="AC92" s="185">
        <v>0</v>
      </c>
      <c r="AD92" s="188">
        <v>0</v>
      </c>
      <c r="AE92" s="185">
        <v>0</v>
      </c>
      <c r="AF92" s="185">
        <v>0</v>
      </c>
      <c r="AG92" s="188">
        <v>0</v>
      </c>
      <c r="AH92" s="185">
        <v>0</v>
      </c>
      <c r="AI92" s="185">
        <v>0</v>
      </c>
      <c r="AJ92" s="303">
        <v>0</v>
      </c>
      <c r="AK92" s="185">
        <v>0</v>
      </c>
      <c r="AL92" s="185">
        <v>0</v>
      </c>
      <c r="AM92" s="188">
        <v>2609</v>
      </c>
      <c r="AN92" s="185">
        <v>0.4208064516129032</v>
      </c>
      <c r="AO92" s="185">
        <v>0.44295415959252971</v>
      </c>
      <c r="AP92" s="185"/>
      <c r="AQ92" s="188">
        <v>2609</v>
      </c>
      <c r="AR92" s="185">
        <v>0.4208064516129032</v>
      </c>
      <c r="AS92" s="185">
        <v>0.44295415959252971</v>
      </c>
      <c r="AT92" s="188">
        <v>2609.4</v>
      </c>
      <c r="AU92" s="185">
        <v>0.4208709677419355</v>
      </c>
      <c r="AV92" s="185">
        <v>0.44302207130730054</v>
      </c>
      <c r="AW92" s="185"/>
      <c r="AX92" s="185"/>
      <c r="AY92" s="185"/>
      <c r="AZ92" s="185"/>
      <c r="BA92" s="185"/>
      <c r="BB92" s="185"/>
      <c r="BC92" s="188">
        <v>2609.4</v>
      </c>
      <c r="BD92" s="185">
        <v>0.4208709677419355</v>
      </c>
      <c r="BE92" s="185">
        <v>0.44302207130730054</v>
      </c>
      <c r="BF92" s="188"/>
      <c r="BG92" s="188">
        <v>2764</v>
      </c>
      <c r="BH92" s="185">
        <v>0.44580645161290322</v>
      </c>
      <c r="BI92" s="185">
        <v>0.46926994906621394</v>
      </c>
      <c r="BJ92" s="188">
        <v>5890</v>
      </c>
      <c r="BK92" s="188">
        <v>2957</v>
      </c>
      <c r="BL92" s="185">
        <v>0.47693548387096774</v>
      </c>
      <c r="BM92" s="185">
        <v>0.50203735144312389</v>
      </c>
      <c r="BN92" s="188">
        <v>2957</v>
      </c>
      <c r="BO92" s="185">
        <v>0.47693548387096774</v>
      </c>
      <c r="BP92" s="185">
        <v>0.50203735144312389</v>
      </c>
      <c r="BQ92" s="188">
        <v>3654.3284999999996</v>
      </c>
      <c r="BR92" s="185">
        <f t="shared" si="104"/>
        <v>0.58940782258064506</v>
      </c>
      <c r="BS92" s="185">
        <f t="shared" si="121"/>
        <v>0.62042928692699484</v>
      </c>
      <c r="BT92" s="205">
        <f t="shared" si="122"/>
        <v>3654.3284999999996</v>
      </c>
      <c r="BU92" s="205"/>
      <c r="BV92" s="189" t="e">
        <f>#REF!+#REF!</f>
        <v>#REF!</v>
      </c>
      <c r="BW92" s="186" t="e">
        <f t="shared" si="105"/>
        <v>#REF!</v>
      </c>
      <c r="BX92" s="189" t="e">
        <f>#REF!+#REF!</f>
        <v>#REF!</v>
      </c>
      <c r="BY92" s="186" t="e">
        <f t="shared" si="106"/>
        <v>#REF!</v>
      </c>
      <c r="BZ92" s="189" t="e">
        <f>#REF!+#REF!</f>
        <v>#REF!</v>
      </c>
      <c r="CA92" s="186" t="e">
        <f t="shared" si="107"/>
        <v>#REF!</v>
      </c>
      <c r="CB92" s="189" t="e">
        <f>#REF!+#REF!</f>
        <v>#REF!</v>
      </c>
      <c r="CC92" s="186" t="e">
        <f t="shared" si="108"/>
        <v>#REF!</v>
      </c>
      <c r="CD92" s="189" t="e">
        <f>#REF!+#REF!</f>
        <v>#REF!</v>
      </c>
      <c r="CE92" s="186" t="e">
        <f t="shared" si="109"/>
        <v>#REF!</v>
      </c>
      <c r="CF92" s="189" t="e">
        <f>#REF!+#REF!</f>
        <v>#REF!</v>
      </c>
      <c r="CG92" s="186" t="e">
        <f t="shared" si="110"/>
        <v>#REF!</v>
      </c>
      <c r="CH92" s="189" t="e">
        <f>#REF!+#REF!</f>
        <v>#REF!</v>
      </c>
      <c r="CI92" s="186" t="e">
        <f t="shared" si="111"/>
        <v>#REF!</v>
      </c>
      <c r="CJ92" s="189" t="e">
        <f>#REF!+#REF!</f>
        <v>#REF!</v>
      </c>
      <c r="CK92" s="186" t="e">
        <f t="shared" si="112"/>
        <v>#REF!</v>
      </c>
      <c r="CL92" s="189" t="e">
        <f>#REF!+#REF!</f>
        <v>#REF!</v>
      </c>
      <c r="CM92" s="186" t="e">
        <f t="shared" si="113"/>
        <v>#REF!</v>
      </c>
      <c r="CN92" s="189" t="e">
        <f>#REF!+#REF!</f>
        <v>#REF!</v>
      </c>
      <c r="CO92" s="186" t="e">
        <f t="shared" si="114"/>
        <v>#REF!</v>
      </c>
      <c r="CP92" s="189" t="e">
        <f>#REF!+#REF!</f>
        <v>#REF!</v>
      </c>
      <c r="CQ92" s="186" t="e">
        <f t="shared" si="115"/>
        <v>#REF!</v>
      </c>
      <c r="CR92" s="189" t="e">
        <f>#REF!+#REF!</f>
        <v>#REF!</v>
      </c>
      <c r="CS92" s="186" t="e">
        <f t="shared" si="116"/>
        <v>#REF!</v>
      </c>
      <c r="CT92" s="189" t="e">
        <f>#REF!+#REF!</f>
        <v>#REF!</v>
      </c>
      <c r="CU92" s="186" t="e">
        <f t="shared" si="117"/>
        <v>#REF!</v>
      </c>
      <c r="CV92" s="416">
        <f t="shared" si="118"/>
        <v>697.32849999999962</v>
      </c>
      <c r="CW92" s="191" t="str">
        <f t="shared" si="119"/>
        <v>Cao hơn</v>
      </c>
      <c r="CX92" s="191" t="str">
        <f t="shared" si="120"/>
        <v>Cao hơn</v>
      </c>
      <c r="CY92" s="213"/>
      <c r="CZ92" s="213"/>
      <c r="DA92" s="231"/>
      <c r="DB92" s="163"/>
      <c r="DD92" s="195"/>
      <c r="DE92" s="196"/>
      <c r="DF92" s="196"/>
      <c r="DG92" s="197"/>
      <c r="DH92" s="196"/>
      <c r="DI92" s="196"/>
      <c r="DJ92" s="196"/>
      <c r="DL92" s="199"/>
      <c r="DM92" s="200"/>
    </row>
    <row r="93" spans="1:117" ht="18" customHeight="1" x14ac:dyDescent="0.25">
      <c r="A93" s="191">
        <v>28</v>
      </c>
      <c r="B93" s="240" t="s">
        <v>415</v>
      </c>
      <c r="C93" s="240"/>
      <c r="D93" s="188">
        <v>11228</v>
      </c>
      <c r="E93" s="188">
        <v>0</v>
      </c>
      <c r="F93" s="188">
        <v>11228</v>
      </c>
      <c r="G93" s="188">
        <v>3000</v>
      </c>
      <c r="H93" s="188">
        <v>8228</v>
      </c>
      <c r="I93" s="188">
        <v>0</v>
      </c>
      <c r="J93" s="188"/>
      <c r="K93" s="188">
        <v>0</v>
      </c>
      <c r="L93" s="188">
        <v>0</v>
      </c>
      <c r="M93" s="188">
        <v>0</v>
      </c>
      <c r="N93" s="188">
        <v>0</v>
      </c>
      <c r="O93" s="188">
        <v>3000</v>
      </c>
      <c r="P93" s="188">
        <v>0</v>
      </c>
      <c r="Q93" s="186">
        <v>0</v>
      </c>
      <c r="R93" s="188">
        <v>0</v>
      </c>
      <c r="S93" s="185">
        <v>0</v>
      </c>
      <c r="T93" s="185">
        <v>0</v>
      </c>
      <c r="U93" s="188">
        <v>0</v>
      </c>
      <c r="V93" s="185">
        <v>0</v>
      </c>
      <c r="W93" s="185">
        <v>0</v>
      </c>
      <c r="X93" s="188">
        <v>0</v>
      </c>
      <c r="Y93" s="185">
        <v>0</v>
      </c>
      <c r="Z93" s="185">
        <v>0</v>
      </c>
      <c r="AA93" s="188">
        <v>0</v>
      </c>
      <c r="AB93" s="185">
        <v>0</v>
      </c>
      <c r="AC93" s="185">
        <v>0</v>
      </c>
      <c r="AD93" s="188">
        <v>962</v>
      </c>
      <c r="AE93" s="185">
        <v>8.5678660491628075E-2</v>
      </c>
      <c r="AF93" s="185">
        <v>9.0188063675397973E-2</v>
      </c>
      <c r="AG93" s="188">
        <v>962</v>
      </c>
      <c r="AH93" s="185">
        <v>8.5678660491628075E-2</v>
      </c>
      <c r="AI93" s="185">
        <v>9.0188063675397973E-2</v>
      </c>
      <c r="AJ93" s="303">
        <v>962</v>
      </c>
      <c r="AK93" s="185">
        <v>8.5678660491628075E-2</v>
      </c>
      <c r="AL93" s="185">
        <v>9.0188063675397973E-2</v>
      </c>
      <c r="AM93" s="314">
        <v>962</v>
      </c>
      <c r="AN93" s="185">
        <v>8.5678660491628075E-2</v>
      </c>
      <c r="AO93" s="185">
        <v>9.0188063675397973E-2</v>
      </c>
      <c r="AP93" s="185"/>
      <c r="AQ93" s="188">
        <v>962</v>
      </c>
      <c r="AR93" s="185">
        <v>8.5678660491628075E-2</v>
      </c>
      <c r="AS93" s="185">
        <v>9.0188063675397973E-2</v>
      </c>
      <c r="AT93" s="188">
        <v>4566.8389999999999</v>
      </c>
      <c r="AU93" s="185">
        <v>0.40673664054150338</v>
      </c>
      <c r="AV93" s="185">
        <v>0.42814383214895091</v>
      </c>
      <c r="AW93" s="185"/>
      <c r="AX93" s="185"/>
      <c r="AY93" s="185"/>
      <c r="AZ93" s="185"/>
      <c r="BA93" s="185"/>
      <c r="BB93" s="185"/>
      <c r="BC93" s="188">
        <v>4566.8389999999999</v>
      </c>
      <c r="BD93" s="185">
        <v>0.40673664054150338</v>
      </c>
      <c r="BE93" s="185">
        <v>0.42814383214895091</v>
      </c>
      <c r="BF93" s="188"/>
      <c r="BG93" s="188">
        <v>7223</v>
      </c>
      <c r="BH93" s="185">
        <v>0.64330245814036335</v>
      </c>
      <c r="BI93" s="185">
        <v>0.67716048225301406</v>
      </c>
      <c r="BJ93" s="188">
        <v>10666.6</v>
      </c>
      <c r="BK93" s="188">
        <v>7958.3</v>
      </c>
      <c r="BL93" s="185">
        <v>0.70879052369077311</v>
      </c>
      <c r="BM93" s="185">
        <v>0.74609528809555059</v>
      </c>
      <c r="BN93" s="188">
        <v>7958.3</v>
      </c>
      <c r="BO93" s="185">
        <v>0.70879052369077311</v>
      </c>
      <c r="BP93" s="185">
        <v>0.74609528809555059</v>
      </c>
      <c r="BQ93" s="188">
        <v>7958.3</v>
      </c>
      <c r="BR93" s="185">
        <f t="shared" si="104"/>
        <v>0.70879052369077311</v>
      </c>
      <c r="BS93" s="185">
        <f t="shared" si="121"/>
        <v>0.74609528809555059</v>
      </c>
      <c r="BT93" s="205">
        <f t="shared" si="122"/>
        <v>6996.3</v>
      </c>
      <c r="BU93" s="205"/>
      <c r="BV93" s="189" t="e">
        <f>#REF!+#REF!</f>
        <v>#REF!</v>
      </c>
      <c r="BW93" s="186" t="e">
        <f t="shared" si="105"/>
        <v>#REF!</v>
      </c>
      <c r="BX93" s="189" t="e">
        <f>#REF!+#REF!</f>
        <v>#REF!</v>
      </c>
      <c r="BY93" s="186" t="e">
        <f t="shared" si="106"/>
        <v>#REF!</v>
      </c>
      <c r="BZ93" s="189" t="e">
        <f>#REF!+#REF!</f>
        <v>#REF!</v>
      </c>
      <c r="CA93" s="186" t="e">
        <f t="shared" si="107"/>
        <v>#REF!</v>
      </c>
      <c r="CB93" s="189" t="e">
        <f>#REF!+#REF!</f>
        <v>#REF!</v>
      </c>
      <c r="CC93" s="186" t="e">
        <f t="shared" si="108"/>
        <v>#REF!</v>
      </c>
      <c r="CD93" s="189" t="e">
        <f>#REF!+#REF!</f>
        <v>#REF!</v>
      </c>
      <c r="CE93" s="186" t="e">
        <f t="shared" si="109"/>
        <v>#REF!</v>
      </c>
      <c r="CF93" s="189" t="e">
        <f>#REF!+#REF!</f>
        <v>#REF!</v>
      </c>
      <c r="CG93" s="186" t="e">
        <f t="shared" si="110"/>
        <v>#REF!</v>
      </c>
      <c r="CH93" s="189" t="e">
        <f>#REF!+#REF!</f>
        <v>#REF!</v>
      </c>
      <c r="CI93" s="186" t="e">
        <f t="shared" si="111"/>
        <v>#REF!</v>
      </c>
      <c r="CJ93" s="189" t="e">
        <f>#REF!+#REF!</f>
        <v>#REF!</v>
      </c>
      <c r="CK93" s="186" t="e">
        <f t="shared" si="112"/>
        <v>#REF!</v>
      </c>
      <c r="CL93" s="189" t="e">
        <f>#REF!+#REF!</f>
        <v>#REF!</v>
      </c>
      <c r="CM93" s="186" t="e">
        <f t="shared" si="113"/>
        <v>#REF!</v>
      </c>
      <c r="CN93" s="189" t="e">
        <f>#REF!+#REF!</f>
        <v>#REF!</v>
      </c>
      <c r="CO93" s="186" t="e">
        <f t="shared" si="114"/>
        <v>#REF!</v>
      </c>
      <c r="CP93" s="189" t="e">
        <f>#REF!+#REF!</f>
        <v>#REF!</v>
      </c>
      <c r="CQ93" s="186" t="e">
        <f t="shared" si="115"/>
        <v>#REF!</v>
      </c>
      <c r="CR93" s="189" t="e">
        <f>#REF!+#REF!</f>
        <v>#REF!</v>
      </c>
      <c r="CS93" s="186" t="e">
        <f t="shared" si="116"/>
        <v>#REF!</v>
      </c>
      <c r="CT93" s="189" t="e">
        <f>#REF!+#REF!</f>
        <v>#REF!</v>
      </c>
      <c r="CU93" s="186" t="e">
        <f t="shared" si="117"/>
        <v>#REF!</v>
      </c>
      <c r="CV93" s="416">
        <f t="shared" si="118"/>
        <v>0</v>
      </c>
      <c r="CW93" s="191" t="str">
        <f t="shared" si="119"/>
        <v>Cao hơn</v>
      </c>
      <c r="CX93" s="191" t="str">
        <f t="shared" si="120"/>
        <v>Cao hơn</v>
      </c>
      <c r="CY93" s="213"/>
      <c r="CZ93" s="213"/>
      <c r="DA93" s="231"/>
      <c r="DB93" s="163"/>
      <c r="DD93" s="195"/>
      <c r="DE93" s="196"/>
      <c r="DF93" s="196"/>
      <c r="DG93" s="197"/>
      <c r="DH93" s="196"/>
      <c r="DI93" s="196"/>
      <c r="DJ93" s="196"/>
      <c r="DL93" s="199"/>
      <c r="DM93" s="200"/>
    </row>
    <row r="94" spans="1:117" ht="18" customHeight="1" x14ac:dyDescent="0.25">
      <c r="A94" s="191">
        <v>29</v>
      </c>
      <c r="B94" s="240" t="s">
        <v>416</v>
      </c>
      <c r="C94" s="240"/>
      <c r="D94" s="188">
        <v>6400</v>
      </c>
      <c r="E94" s="188">
        <v>0</v>
      </c>
      <c r="F94" s="188">
        <v>6400</v>
      </c>
      <c r="G94" s="188">
        <v>3000</v>
      </c>
      <c r="H94" s="188">
        <v>3400</v>
      </c>
      <c r="I94" s="188">
        <v>0</v>
      </c>
      <c r="J94" s="188"/>
      <c r="K94" s="188">
        <v>0</v>
      </c>
      <c r="L94" s="188">
        <v>0</v>
      </c>
      <c r="M94" s="188">
        <v>0</v>
      </c>
      <c r="N94" s="188">
        <v>0</v>
      </c>
      <c r="O94" s="188">
        <v>3000</v>
      </c>
      <c r="P94" s="188">
        <v>0</v>
      </c>
      <c r="Q94" s="186">
        <v>0</v>
      </c>
      <c r="R94" s="188">
        <v>0</v>
      </c>
      <c r="S94" s="185">
        <v>0</v>
      </c>
      <c r="T94" s="185">
        <v>0</v>
      </c>
      <c r="U94" s="188">
        <v>0</v>
      </c>
      <c r="V94" s="185">
        <v>0</v>
      </c>
      <c r="W94" s="185">
        <v>0</v>
      </c>
      <c r="X94" s="188">
        <v>0</v>
      </c>
      <c r="Y94" s="185">
        <v>0</v>
      </c>
      <c r="Z94" s="185">
        <v>0</v>
      </c>
      <c r="AA94" s="188">
        <v>0</v>
      </c>
      <c r="AB94" s="185">
        <v>0</v>
      </c>
      <c r="AC94" s="185">
        <v>0</v>
      </c>
      <c r="AD94" s="188">
        <v>0</v>
      </c>
      <c r="AE94" s="185">
        <v>0</v>
      </c>
      <c r="AF94" s="185">
        <v>0</v>
      </c>
      <c r="AG94" s="188">
        <v>0</v>
      </c>
      <c r="AH94" s="185">
        <v>0</v>
      </c>
      <c r="AI94" s="185">
        <v>0</v>
      </c>
      <c r="AJ94" s="303">
        <v>0</v>
      </c>
      <c r="AK94" s="185">
        <v>0</v>
      </c>
      <c r="AL94" s="185">
        <v>0</v>
      </c>
      <c r="AM94" s="188">
        <v>0</v>
      </c>
      <c r="AN94" s="185">
        <v>0</v>
      </c>
      <c r="AO94" s="185">
        <v>0</v>
      </c>
      <c r="AP94" s="185"/>
      <c r="AQ94" s="188">
        <v>2464.4430000000002</v>
      </c>
      <c r="AR94" s="185">
        <v>0.38506921875000005</v>
      </c>
      <c r="AS94" s="185">
        <v>0.40533601973684213</v>
      </c>
      <c r="AT94" s="188">
        <v>2630</v>
      </c>
      <c r="AU94" s="185">
        <v>0.41093750000000001</v>
      </c>
      <c r="AV94" s="185">
        <v>0.43256578947368424</v>
      </c>
      <c r="AW94" s="185"/>
      <c r="AX94" s="185"/>
      <c r="AY94" s="185"/>
      <c r="AZ94" s="185"/>
      <c r="BA94" s="185"/>
      <c r="BB94" s="185"/>
      <c r="BC94" s="188">
        <v>2630</v>
      </c>
      <c r="BD94" s="185">
        <v>0.41093750000000001</v>
      </c>
      <c r="BE94" s="185">
        <v>0.43256578947368424</v>
      </c>
      <c r="BF94" s="188"/>
      <c r="BG94" s="188">
        <v>2948</v>
      </c>
      <c r="BH94" s="185">
        <v>0.46062500000000001</v>
      </c>
      <c r="BI94" s="185">
        <v>0.48486842105263156</v>
      </c>
      <c r="BJ94" s="188">
        <v>6080</v>
      </c>
      <c r="BK94" s="188">
        <v>3821</v>
      </c>
      <c r="BL94" s="185">
        <v>0.59703125000000001</v>
      </c>
      <c r="BM94" s="185">
        <v>0.62845394736842108</v>
      </c>
      <c r="BN94" s="188">
        <v>3821</v>
      </c>
      <c r="BO94" s="185">
        <v>0.59703125000000001</v>
      </c>
      <c r="BP94" s="185">
        <v>0.62845394736842108</v>
      </c>
      <c r="BQ94" s="188">
        <v>4796</v>
      </c>
      <c r="BR94" s="185">
        <f t="shared" ref="BR94:BR113" si="123">BQ94/$D94</f>
        <v>0.74937500000000001</v>
      </c>
      <c r="BS94" s="185">
        <f t="shared" si="121"/>
        <v>0.78881578947368425</v>
      </c>
      <c r="BT94" s="205">
        <f t="shared" si="122"/>
        <v>4796</v>
      </c>
      <c r="BU94" s="205"/>
      <c r="BV94" s="189" t="e">
        <f>#REF!+#REF!</f>
        <v>#REF!</v>
      </c>
      <c r="BW94" s="186" t="e">
        <f t="shared" ref="BW94:BW113" si="124">BV94/$D94</f>
        <v>#REF!</v>
      </c>
      <c r="BX94" s="189" t="e">
        <f>#REF!+#REF!</f>
        <v>#REF!</v>
      </c>
      <c r="BY94" s="186" t="e">
        <f t="shared" ref="BY94:BY113" si="125">BX94/$D94</f>
        <v>#REF!</v>
      </c>
      <c r="BZ94" s="189" t="e">
        <f>#REF!+#REF!</f>
        <v>#REF!</v>
      </c>
      <c r="CA94" s="186" t="e">
        <f t="shared" ref="CA94:CA113" si="126">BZ94/$D94</f>
        <v>#REF!</v>
      </c>
      <c r="CB94" s="189" t="e">
        <f>#REF!+#REF!</f>
        <v>#REF!</v>
      </c>
      <c r="CC94" s="186" t="e">
        <f t="shared" ref="CC94:CC113" si="127">CB94/$D94</f>
        <v>#REF!</v>
      </c>
      <c r="CD94" s="189" t="e">
        <f>#REF!+#REF!</f>
        <v>#REF!</v>
      </c>
      <c r="CE94" s="186" t="e">
        <f t="shared" ref="CE94:CE113" si="128">CD94/$D94</f>
        <v>#REF!</v>
      </c>
      <c r="CF94" s="189" t="e">
        <f>#REF!+#REF!</f>
        <v>#REF!</v>
      </c>
      <c r="CG94" s="186" t="e">
        <f t="shared" ref="CG94:CG113" si="129">CF94/$D94</f>
        <v>#REF!</v>
      </c>
      <c r="CH94" s="189" t="e">
        <f>#REF!+#REF!</f>
        <v>#REF!</v>
      </c>
      <c r="CI94" s="186" t="e">
        <f t="shared" ref="CI94:CI113" si="130">CH94/$D94</f>
        <v>#REF!</v>
      </c>
      <c r="CJ94" s="189" t="e">
        <f>#REF!+#REF!</f>
        <v>#REF!</v>
      </c>
      <c r="CK94" s="186" t="e">
        <f t="shared" ref="CK94:CK103" si="131">CJ94/$D94</f>
        <v>#REF!</v>
      </c>
      <c r="CL94" s="189" t="e">
        <f>#REF!+#REF!</f>
        <v>#REF!</v>
      </c>
      <c r="CM94" s="186" t="e">
        <f t="shared" ref="CM94:CM113" si="132">CL94/$D94</f>
        <v>#REF!</v>
      </c>
      <c r="CN94" s="189" t="e">
        <f>#REF!+#REF!</f>
        <v>#REF!</v>
      </c>
      <c r="CO94" s="186" t="e">
        <f t="shared" ref="CO94:CO103" si="133">CN94/$D94</f>
        <v>#REF!</v>
      </c>
      <c r="CP94" s="189" t="e">
        <f>#REF!+#REF!</f>
        <v>#REF!</v>
      </c>
      <c r="CQ94" s="186" t="e">
        <f t="shared" ref="CQ94:CQ113" si="134">CP94/$D94</f>
        <v>#REF!</v>
      </c>
      <c r="CR94" s="189" t="e">
        <f>#REF!+#REF!</f>
        <v>#REF!</v>
      </c>
      <c r="CS94" s="186" t="e">
        <f t="shared" ref="CS94:CS113" si="135">CR94/$D94</f>
        <v>#REF!</v>
      </c>
      <c r="CT94" s="189" t="e">
        <f>#REF!+#REF!</f>
        <v>#REF!</v>
      </c>
      <c r="CU94" s="186" t="e">
        <f t="shared" ref="CU94:CU113" si="136">CT94/$D94</f>
        <v>#REF!</v>
      </c>
      <c r="CV94" s="416">
        <f t="shared" si="118"/>
        <v>975</v>
      </c>
      <c r="CW94" s="191" t="str">
        <f t="shared" si="119"/>
        <v>Cao hơn</v>
      </c>
      <c r="CX94" s="191" t="str">
        <f t="shared" si="120"/>
        <v>Cao hơn</v>
      </c>
      <c r="CY94" s="213"/>
      <c r="CZ94" s="213"/>
      <c r="DA94" s="231"/>
      <c r="DB94" s="163"/>
      <c r="DD94" s="195"/>
      <c r="DE94" s="196"/>
      <c r="DF94" s="196"/>
      <c r="DG94" s="197"/>
      <c r="DH94" s="196"/>
      <c r="DI94" s="196"/>
      <c r="DJ94" s="196"/>
      <c r="DL94" s="199"/>
      <c r="DM94" s="200"/>
    </row>
    <row r="95" spans="1:117" ht="18" customHeight="1" x14ac:dyDescent="0.25">
      <c r="A95" s="191">
        <v>30</v>
      </c>
      <c r="B95" s="240" t="s">
        <v>417</v>
      </c>
      <c r="C95" s="240"/>
      <c r="D95" s="188">
        <v>8750</v>
      </c>
      <c r="E95" s="188">
        <v>0</v>
      </c>
      <c r="F95" s="188">
        <v>8750</v>
      </c>
      <c r="G95" s="188">
        <v>3000</v>
      </c>
      <c r="H95" s="188">
        <v>5750</v>
      </c>
      <c r="I95" s="188">
        <v>0</v>
      </c>
      <c r="J95" s="188"/>
      <c r="K95" s="188">
        <v>0</v>
      </c>
      <c r="L95" s="188">
        <v>0</v>
      </c>
      <c r="M95" s="188">
        <v>0</v>
      </c>
      <c r="N95" s="188">
        <v>0</v>
      </c>
      <c r="O95" s="188">
        <v>3000</v>
      </c>
      <c r="P95" s="188">
        <v>0</v>
      </c>
      <c r="Q95" s="186">
        <v>0</v>
      </c>
      <c r="R95" s="188">
        <v>0</v>
      </c>
      <c r="S95" s="185">
        <v>0</v>
      </c>
      <c r="T95" s="185">
        <v>0</v>
      </c>
      <c r="U95" s="188">
        <v>0</v>
      </c>
      <c r="V95" s="185">
        <v>0</v>
      </c>
      <c r="W95" s="185">
        <v>0</v>
      </c>
      <c r="X95" s="188">
        <v>0</v>
      </c>
      <c r="Y95" s="185">
        <v>0</v>
      </c>
      <c r="Z95" s="185">
        <v>0</v>
      </c>
      <c r="AA95" s="188">
        <v>0</v>
      </c>
      <c r="AB95" s="185">
        <v>0</v>
      </c>
      <c r="AC95" s="185">
        <v>0</v>
      </c>
      <c r="AD95" s="188">
        <v>103</v>
      </c>
      <c r="AE95" s="185">
        <v>1.1771428571428572E-2</v>
      </c>
      <c r="AF95" s="185">
        <v>1.2390977443609022E-2</v>
      </c>
      <c r="AG95" s="188">
        <v>103</v>
      </c>
      <c r="AH95" s="185">
        <v>1.1771428571428572E-2</v>
      </c>
      <c r="AI95" s="185">
        <v>1.2390977443609022E-2</v>
      </c>
      <c r="AJ95" s="303">
        <v>103</v>
      </c>
      <c r="AK95" s="185">
        <v>1.1771428571428572E-2</v>
      </c>
      <c r="AL95" s="185">
        <v>1.2390977443609022E-2</v>
      </c>
      <c r="AM95" s="188">
        <v>2332</v>
      </c>
      <c r="AN95" s="185">
        <v>0.2665142857142857</v>
      </c>
      <c r="AO95" s="185">
        <v>0.28054135338345865</v>
      </c>
      <c r="AP95" s="185"/>
      <c r="AQ95" s="188">
        <v>2880.3220000000001</v>
      </c>
      <c r="AR95" s="185">
        <v>0.32917965714285713</v>
      </c>
      <c r="AS95" s="185">
        <v>0.34650490225563912</v>
      </c>
      <c r="AT95" s="188">
        <v>3205.3220000000001</v>
      </c>
      <c r="AU95" s="185">
        <v>0.36632251428571427</v>
      </c>
      <c r="AV95" s="185">
        <v>0.38560264661654137</v>
      </c>
      <c r="AW95" s="185"/>
      <c r="AX95" s="185"/>
      <c r="AY95" s="185"/>
      <c r="AZ95" s="185"/>
      <c r="BA95" s="185"/>
      <c r="BB95" s="185"/>
      <c r="BC95" s="188">
        <v>3205.3220000000001</v>
      </c>
      <c r="BD95" s="185">
        <v>0.36632251428571427</v>
      </c>
      <c r="BE95" s="185">
        <v>0.38560264661654137</v>
      </c>
      <c r="BF95" s="188"/>
      <c r="BG95" s="188">
        <v>3578</v>
      </c>
      <c r="BH95" s="185">
        <v>0.40891428571428573</v>
      </c>
      <c r="BI95" s="185">
        <v>0.43043609022556389</v>
      </c>
      <c r="BJ95" s="188">
        <v>8312.5</v>
      </c>
      <c r="BK95" s="188">
        <v>3821</v>
      </c>
      <c r="BL95" s="185">
        <v>0.43668571428571429</v>
      </c>
      <c r="BM95" s="185">
        <v>0.45966917293233084</v>
      </c>
      <c r="BN95" s="188">
        <v>3821</v>
      </c>
      <c r="BO95" s="185">
        <v>0.43668571428571429</v>
      </c>
      <c r="BP95" s="185">
        <v>0.45966917293233084</v>
      </c>
      <c r="BQ95" s="188">
        <v>3821</v>
      </c>
      <c r="BR95" s="185">
        <f t="shared" si="123"/>
        <v>0.43668571428571429</v>
      </c>
      <c r="BS95" s="185">
        <f t="shared" si="121"/>
        <v>0.45966917293233084</v>
      </c>
      <c r="BT95" s="205">
        <f t="shared" si="122"/>
        <v>3718</v>
      </c>
      <c r="BU95" s="205"/>
      <c r="BV95" s="189" t="e">
        <f>#REF!+#REF!</f>
        <v>#REF!</v>
      </c>
      <c r="BW95" s="186" t="e">
        <f t="shared" si="124"/>
        <v>#REF!</v>
      </c>
      <c r="BX95" s="189" t="e">
        <f>#REF!+#REF!</f>
        <v>#REF!</v>
      </c>
      <c r="BY95" s="186" t="e">
        <f t="shared" si="125"/>
        <v>#REF!</v>
      </c>
      <c r="BZ95" s="189" t="e">
        <f>#REF!+#REF!</f>
        <v>#REF!</v>
      </c>
      <c r="CA95" s="186" t="e">
        <f t="shared" si="126"/>
        <v>#REF!</v>
      </c>
      <c r="CB95" s="189" t="e">
        <f>#REF!+#REF!</f>
        <v>#REF!</v>
      </c>
      <c r="CC95" s="186" t="e">
        <f t="shared" si="127"/>
        <v>#REF!</v>
      </c>
      <c r="CD95" s="189" t="e">
        <f>#REF!+#REF!</f>
        <v>#REF!</v>
      </c>
      <c r="CE95" s="186" t="e">
        <f t="shared" si="128"/>
        <v>#REF!</v>
      </c>
      <c r="CF95" s="189" t="e">
        <f>#REF!+#REF!</f>
        <v>#REF!</v>
      </c>
      <c r="CG95" s="186" t="e">
        <f t="shared" si="129"/>
        <v>#REF!</v>
      </c>
      <c r="CH95" s="189" t="e">
        <f>#REF!+#REF!</f>
        <v>#REF!</v>
      </c>
      <c r="CI95" s="186" t="e">
        <f t="shared" si="130"/>
        <v>#REF!</v>
      </c>
      <c r="CJ95" s="189" t="e">
        <f>#REF!+#REF!</f>
        <v>#REF!</v>
      </c>
      <c r="CK95" s="186" t="e">
        <f t="shared" si="131"/>
        <v>#REF!</v>
      </c>
      <c r="CL95" s="189" t="e">
        <f>#REF!+#REF!</f>
        <v>#REF!</v>
      </c>
      <c r="CM95" s="186" t="e">
        <f t="shared" si="132"/>
        <v>#REF!</v>
      </c>
      <c r="CN95" s="189" t="e">
        <f>#REF!+#REF!</f>
        <v>#REF!</v>
      </c>
      <c r="CO95" s="186" t="e">
        <f t="shared" si="133"/>
        <v>#REF!</v>
      </c>
      <c r="CP95" s="189" t="e">
        <f>#REF!+#REF!</f>
        <v>#REF!</v>
      </c>
      <c r="CQ95" s="186" t="e">
        <f t="shared" si="134"/>
        <v>#REF!</v>
      </c>
      <c r="CR95" s="189" t="e">
        <f>#REF!+#REF!</f>
        <v>#REF!</v>
      </c>
      <c r="CS95" s="186" t="e">
        <f t="shared" si="135"/>
        <v>#REF!</v>
      </c>
      <c r="CT95" s="189" t="e">
        <f>#REF!+#REF!</f>
        <v>#REF!</v>
      </c>
      <c r="CU95" s="186" t="e">
        <f t="shared" si="136"/>
        <v>#REF!</v>
      </c>
      <c r="CV95" s="416">
        <f t="shared" si="118"/>
        <v>0</v>
      </c>
      <c r="CW95" s="191" t="str">
        <f t="shared" si="119"/>
        <v>Cao hơn</v>
      </c>
      <c r="CX95" s="191" t="str">
        <f t="shared" si="120"/>
        <v>Cao hơn</v>
      </c>
      <c r="CY95" s="213"/>
      <c r="CZ95" s="213"/>
      <c r="DA95" s="231"/>
      <c r="DB95" s="163"/>
      <c r="DD95" s="195"/>
      <c r="DE95" s="196"/>
      <c r="DF95" s="196"/>
      <c r="DG95" s="197"/>
      <c r="DH95" s="196"/>
      <c r="DI95" s="196"/>
      <c r="DJ95" s="196"/>
      <c r="DL95" s="199"/>
      <c r="DM95" s="200"/>
    </row>
    <row r="96" spans="1:117" ht="18" customHeight="1" x14ac:dyDescent="0.25">
      <c r="A96" s="191">
        <v>31</v>
      </c>
      <c r="B96" s="240" t="s">
        <v>418</v>
      </c>
      <c r="C96" s="240"/>
      <c r="D96" s="188">
        <v>3850</v>
      </c>
      <c r="E96" s="188">
        <v>0</v>
      </c>
      <c r="F96" s="188">
        <v>3850</v>
      </c>
      <c r="G96" s="188">
        <v>3000</v>
      </c>
      <c r="H96" s="188">
        <v>850</v>
      </c>
      <c r="I96" s="188">
        <v>0</v>
      </c>
      <c r="J96" s="188"/>
      <c r="K96" s="188">
        <v>0</v>
      </c>
      <c r="L96" s="188">
        <v>0</v>
      </c>
      <c r="M96" s="188">
        <v>0</v>
      </c>
      <c r="N96" s="188">
        <v>0</v>
      </c>
      <c r="O96" s="188">
        <v>3000</v>
      </c>
      <c r="P96" s="188">
        <v>0</v>
      </c>
      <c r="Q96" s="186">
        <v>0</v>
      </c>
      <c r="R96" s="188">
        <v>0</v>
      </c>
      <c r="S96" s="185">
        <v>0</v>
      </c>
      <c r="T96" s="185">
        <v>0</v>
      </c>
      <c r="U96" s="188">
        <v>0</v>
      </c>
      <c r="V96" s="185">
        <v>0</v>
      </c>
      <c r="W96" s="185">
        <v>0</v>
      </c>
      <c r="X96" s="188">
        <v>0</v>
      </c>
      <c r="Y96" s="185">
        <v>0</v>
      </c>
      <c r="Z96" s="185">
        <v>0</v>
      </c>
      <c r="AA96" s="188">
        <v>0</v>
      </c>
      <c r="AB96" s="185">
        <v>0</v>
      </c>
      <c r="AC96" s="185">
        <v>0</v>
      </c>
      <c r="AD96" s="188">
        <v>0</v>
      </c>
      <c r="AE96" s="185">
        <v>0</v>
      </c>
      <c r="AF96" s="185">
        <v>0</v>
      </c>
      <c r="AG96" s="188">
        <v>0</v>
      </c>
      <c r="AH96" s="185">
        <v>0</v>
      </c>
      <c r="AI96" s="185">
        <v>0</v>
      </c>
      <c r="AJ96" s="303">
        <v>0</v>
      </c>
      <c r="AK96" s="185">
        <v>0</v>
      </c>
      <c r="AL96" s="185">
        <v>0</v>
      </c>
      <c r="AM96" s="188">
        <v>217</v>
      </c>
      <c r="AN96" s="185">
        <v>5.6363636363636366E-2</v>
      </c>
      <c r="AO96" s="185">
        <v>5.9330143540669858E-2</v>
      </c>
      <c r="AP96" s="185"/>
      <c r="AQ96" s="188">
        <v>612</v>
      </c>
      <c r="AR96" s="185">
        <v>0.15896103896103897</v>
      </c>
      <c r="AS96" s="185">
        <v>0.1673274094326726</v>
      </c>
      <c r="AT96" s="188">
        <v>753</v>
      </c>
      <c r="AU96" s="185">
        <v>0.19558441558441558</v>
      </c>
      <c r="AV96" s="185">
        <v>0.20587833219412166</v>
      </c>
      <c r="AW96" s="185"/>
      <c r="AX96" s="185"/>
      <c r="AY96" s="185"/>
      <c r="AZ96" s="185"/>
      <c r="BA96" s="185"/>
      <c r="BB96" s="185"/>
      <c r="BC96" s="188">
        <v>753</v>
      </c>
      <c r="BD96" s="185">
        <v>0.19558441558441558</v>
      </c>
      <c r="BE96" s="185">
        <v>0.20587833219412166</v>
      </c>
      <c r="BF96" s="188"/>
      <c r="BG96" s="188">
        <v>1209</v>
      </c>
      <c r="BH96" s="185">
        <v>0.31402597402597404</v>
      </c>
      <c r="BI96" s="185">
        <v>0.33055365686944632</v>
      </c>
      <c r="BJ96" s="188">
        <v>3657.5</v>
      </c>
      <c r="BK96" s="188">
        <v>1209</v>
      </c>
      <c r="BL96" s="185">
        <v>0.31402597402597404</v>
      </c>
      <c r="BM96" s="185">
        <v>0.33055365686944632</v>
      </c>
      <c r="BN96" s="188">
        <v>1209</v>
      </c>
      <c r="BO96" s="185">
        <v>0.31402597402597404</v>
      </c>
      <c r="BP96" s="185">
        <v>0.33055365686944632</v>
      </c>
      <c r="BQ96" s="188">
        <v>1767.9099999999999</v>
      </c>
      <c r="BR96" s="185">
        <f t="shared" si="123"/>
        <v>0.45919740259740255</v>
      </c>
      <c r="BS96" s="185">
        <f t="shared" si="121"/>
        <v>0.48336568694463428</v>
      </c>
      <c r="BT96" s="205">
        <f t="shared" si="122"/>
        <v>1767.9099999999999</v>
      </c>
      <c r="BU96" s="205"/>
      <c r="BV96" s="189" t="e">
        <f>#REF!+#REF!</f>
        <v>#REF!</v>
      </c>
      <c r="BW96" s="186" t="e">
        <f t="shared" si="124"/>
        <v>#REF!</v>
      </c>
      <c r="BX96" s="189" t="e">
        <f>#REF!+#REF!</f>
        <v>#REF!</v>
      </c>
      <c r="BY96" s="186" t="e">
        <f t="shared" si="125"/>
        <v>#REF!</v>
      </c>
      <c r="BZ96" s="189" t="e">
        <f>#REF!+#REF!</f>
        <v>#REF!</v>
      </c>
      <c r="CA96" s="186" t="e">
        <f t="shared" si="126"/>
        <v>#REF!</v>
      </c>
      <c r="CB96" s="189" t="e">
        <f>#REF!+#REF!</f>
        <v>#REF!</v>
      </c>
      <c r="CC96" s="186" t="e">
        <f t="shared" si="127"/>
        <v>#REF!</v>
      </c>
      <c r="CD96" s="189" t="e">
        <f>#REF!+#REF!</f>
        <v>#REF!</v>
      </c>
      <c r="CE96" s="186" t="e">
        <f t="shared" si="128"/>
        <v>#REF!</v>
      </c>
      <c r="CF96" s="189" t="e">
        <f>#REF!+#REF!</f>
        <v>#REF!</v>
      </c>
      <c r="CG96" s="186" t="e">
        <f t="shared" si="129"/>
        <v>#REF!</v>
      </c>
      <c r="CH96" s="189" t="e">
        <f>#REF!+#REF!</f>
        <v>#REF!</v>
      </c>
      <c r="CI96" s="186" t="e">
        <f t="shared" si="130"/>
        <v>#REF!</v>
      </c>
      <c r="CJ96" s="189" t="e">
        <f>#REF!+#REF!</f>
        <v>#REF!</v>
      </c>
      <c r="CK96" s="186" t="e">
        <f t="shared" si="131"/>
        <v>#REF!</v>
      </c>
      <c r="CL96" s="189" t="e">
        <f>#REF!+#REF!</f>
        <v>#REF!</v>
      </c>
      <c r="CM96" s="186" t="e">
        <f t="shared" si="132"/>
        <v>#REF!</v>
      </c>
      <c r="CN96" s="189" t="e">
        <f>#REF!+#REF!</f>
        <v>#REF!</v>
      </c>
      <c r="CO96" s="186" t="e">
        <f t="shared" si="133"/>
        <v>#REF!</v>
      </c>
      <c r="CP96" s="189" t="e">
        <f>#REF!+#REF!</f>
        <v>#REF!</v>
      </c>
      <c r="CQ96" s="186" t="e">
        <f t="shared" si="134"/>
        <v>#REF!</v>
      </c>
      <c r="CR96" s="189" t="e">
        <f>#REF!+#REF!</f>
        <v>#REF!</v>
      </c>
      <c r="CS96" s="186" t="e">
        <f t="shared" si="135"/>
        <v>#REF!</v>
      </c>
      <c r="CT96" s="189" t="e">
        <f>#REF!+#REF!</f>
        <v>#REF!</v>
      </c>
      <c r="CU96" s="186" t="e">
        <f t="shared" si="136"/>
        <v>#REF!</v>
      </c>
      <c r="CV96" s="416">
        <f t="shared" si="118"/>
        <v>558.90999999999985</v>
      </c>
      <c r="CW96" s="191" t="str">
        <f t="shared" si="119"/>
        <v>Cao hơn</v>
      </c>
      <c r="CX96" s="191" t="str">
        <f t="shared" si="120"/>
        <v>Cao hơn</v>
      </c>
      <c r="CY96" s="213"/>
      <c r="CZ96" s="213"/>
      <c r="DA96" s="231"/>
      <c r="DB96" s="163"/>
      <c r="DD96" s="195"/>
      <c r="DE96" s="196"/>
      <c r="DF96" s="196"/>
      <c r="DG96" s="197"/>
      <c r="DH96" s="196"/>
      <c r="DI96" s="196"/>
      <c r="DJ96" s="196"/>
      <c r="DL96" s="199"/>
      <c r="DM96" s="200"/>
    </row>
    <row r="97" spans="1:117" ht="18" customHeight="1" x14ac:dyDescent="0.25">
      <c r="A97" s="191">
        <v>32</v>
      </c>
      <c r="B97" s="240" t="s">
        <v>419</v>
      </c>
      <c r="C97" s="240"/>
      <c r="D97" s="188">
        <v>3850</v>
      </c>
      <c r="E97" s="188">
        <v>0</v>
      </c>
      <c r="F97" s="188">
        <v>3850</v>
      </c>
      <c r="G97" s="188">
        <v>3000</v>
      </c>
      <c r="H97" s="188">
        <v>850</v>
      </c>
      <c r="I97" s="188">
        <v>0</v>
      </c>
      <c r="J97" s="188"/>
      <c r="K97" s="188">
        <v>0</v>
      </c>
      <c r="L97" s="188">
        <v>0</v>
      </c>
      <c r="M97" s="188">
        <v>0</v>
      </c>
      <c r="N97" s="188">
        <v>0</v>
      </c>
      <c r="O97" s="188">
        <v>3000</v>
      </c>
      <c r="P97" s="188">
        <v>0</v>
      </c>
      <c r="Q97" s="186">
        <v>0</v>
      </c>
      <c r="R97" s="188">
        <v>0</v>
      </c>
      <c r="S97" s="185">
        <v>0</v>
      </c>
      <c r="T97" s="185">
        <v>0</v>
      </c>
      <c r="U97" s="188">
        <v>0</v>
      </c>
      <c r="V97" s="185">
        <v>0</v>
      </c>
      <c r="W97" s="185">
        <v>0</v>
      </c>
      <c r="X97" s="188">
        <v>0</v>
      </c>
      <c r="Y97" s="185">
        <v>0</v>
      </c>
      <c r="Z97" s="185">
        <v>0</v>
      </c>
      <c r="AA97" s="188">
        <v>0</v>
      </c>
      <c r="AB97" s="185">
        <v>0</v>
      </c>
      <c r="AC97" s="185">
        <v>0</v>
      </c>
      <c r="AD97" s="188">
        <v>1956</v>
      </c>
      <c r="AE97" s="185">
        <v>0.50805194805194809</v>
      </c>
      <c r="AF97" s="185">
        <v>0.53479152426520848</v>
      </c>
      <c r="AG97" s="188">
        <v>1956</v>
      </c>
      <c r="AH97" s="185">
        <v>0.50805194805194809</v>
      </c>
      <c r="AI97" s="185">
        <v>0.53479152426520848</v>
      </c>
      <c r="AJ97" s="303">
        <v>1956</v>
      </c>
      <c r="AK97" s="185">
        <v>0.50805194805194809</v>
      </c>
      <c r="AL97" s="185">
        <v>0.53479152426520848</v>
      </c>
      <c r="AM97" s="314">
        <v>1956</v>
      </c>
      <c r="AN97" s="185">
        <v>0.50805194805194809</v>
      </c>
      <c r="AO97" s="185">
        <v>0.53479152426520848</v>
      </c>
      <c r="AP97" s="185"/>
      <c r="AQ97" s="188">
        <v>2533.5</v>
      </c>
      <c r="AR97" s="185">
        <v>0.658051948051948</v>
      </c>
      <c r="AS97" s="185">
        <v>0.69268626110731379</v>
      </c>
      <c r="AT97" s="188">
        <v>2533.5</v>
      </c>
      <c r="AU97" s="185">
        <v>0.658051948051948</v>
      </c>
      <c r="AV97" s="185">
        <v>0.69268626110731379</v>
      </c>
      <c r="AW97" s="185"/>
      <c r="AX97" s="185"/>
      <c r="AY97" s="185"/>
      <c r="AZ97" s="185"/>
      <c r="BA97" s="185"/>
      <c r="BB97" s="185"/>
      <c r="BC97" s="188">
        <v>2533.5</v>
      </c>
      <c r="BD97" s="185">
        <v>0.658051948051948</v>
      </c>
      <c r="BE97" s="185">
        <v>0.69268626110731379</v>
      </c>
      <c r="BF97" s="188"/>
      <c r="BG97" s="188">
        <v>2676</v>
      </c>
      <c r="BH97" s="185">
        <v>0.69506493506493505</v>
      </c>
      <c r="BI97" s="185">
        <v>0.73164730006835266</v>
      </c>
      <c r="BJ97" s="188">
        <v>3657.5</v>
      </c>
      <c r="BK97" s="188">
        <v>2788</v>
      </c>
      <c r="BL97" s="185">
        <v>0.72415584415584411</v>
      </c>
      <c r="BM97" s="185">
        <v>0.76226930963773065</v>
      </c>
      <c r="BN97" s="188">
        <v>2788</v>
      </c>
      <c r="BO97" s="185">
        <v>0.72415584415584411</v>
      </c>
      <c r="BP97" s="185">
        <v>0.76226930963773065</v>
      </c>
      <c r="BQ97" s="188">
        <v>2788</v>
      </c>
      <c r="BR97" s="185">
        <f t="shared" si="123"/>
        <v>0.72415584415584411</v>
      </c>
      <c r="BS97" s="185">
        <f t="shared" si="121"/>
        <v>0.76226930963773065</v>
      </c>
      <c r="BT97" s="205">
        <f t="shared" si="122"/>
        <v>832</v>
      </c>
      <c r="BU97" s="205"/>
      <c r="BV97" s="189" t="e">
        <f>#REF!+#REF!</f>
        <v>#REF!</v>
      </c>
      <c r="BW97" s="186" t="e">
        <f t="shared" si="124"/>
        <v>#REF!</v>
      </c>
      <c r="BX97" s="189" t="e">
        <f>#REF!+#REF!</f>
        <v>#REF!</v>
      </c>
      <c r="BY97" s="186" t="e">
        <f t="shared" si="125"/>
        <v>#REF!</v>
      </c>
      <c r="BZ97" s="189" t="e">
        <f>#REF!+#REF!</f>
        <v>#REF!</v>
      </c>
      <c r="CA97" s="186" t="e">
        <f t="shared" si="126"/>
        <v>#REF!</v>
      </c>
      <c r="CB97" s="189" t="e">
        <f>#REF!+#REF!</f>
        <v>#REF!</v>
      </c>
      <c r="CC97" s="186" t="e">
        <f t="shared" si="127"/>
        <v>#REF!</v>
      </c>
      <c r="CD97" s="189" t="e">
        <f>#REF!+#REF!</f>
        <v>#REF!</v>
      </c>
      <c r="CE97" s="186" t="e">
        <f t="shared" si="128"/>
        <v>#REF!</v>
      </c>
      <c r="CF97" s="189" t="e">
        <f>#REF!+#REF!</f>
        <v>#REF!</v>
      </c>
      <c r="CG97" s="186" t="e">
        <f t="shared" si="129"/>
        <v>#REF!</v>
      </c>
      <c r="CH97" s="189" t="e">
        <f>#REF!+#REF!</f>
        <v>#REF!</v>
      </c>
      <c r="CI97" s="186" t="e">
        <f t="shared" si="130"/>
        <v>#REF!</v>
      </c>
      <c r="CJ97" s="189" t="e">
        <f>#REF!+#REF!</f>
        <v>#REF!</v>
      </c>
      <c r="CK97" s="186" t="e">
        <f t="shared" si="131"/>
        <v>#REF!</v>
      </c>
      <c r="CL97" s="189" t="e">
        <f>#REF!+#REF!</f>
        <v>#REF!</v>
      </c>
      <c r="CM97" s="186" t="e">
        <f t="shared" si="132"/>
        <v>#REF!</v>
      </c>
      <c r="CN97" s="189" t="e">
        <f>#REF!+#REF!</f>
        <v>#REF!</v>
      </c>
      <c r="CO97" s="186" t="e">
        <f t="shared" si="133"/>
        <v>#REF!</v>
      </c>
      <c r="CP97" s="189" t="e">
        <f>#REF!+#REF!</f>
        <v>#REF!</v>
      </c>
      <c r="CQ97" s="186" t="e">
        <f t="shared" si="134"/>
        <v>#REF!</v>
      </c>
      <c r="CR97" s="189" t="e">
        <f>#REF!+#REF!</f>
        <v>#REF!</v>
      </c>
      <c r="CS97" s="186" t="e">
        <f t="shared" si="135"/>
        <v>#REF!</v>
      </c>
      <c r="CT97" s="189" t="e">
        <f>#REF!+#REF!</f>
        <v>#REF!</v>
      </c>
      <c r="CU97" s="186" t="e">
        <f t="shared" si="136"/>
        <v>#REF!</v>
      </c>
      <c r="CV97" s="416">
        <f t="shared" si="118"/>
        <v>0</v>
      </c>
      <c r="CW97" s="191" t="str">
        <f t="shared" si="119"/>
        <v>Cao hơn</v>
      </c>
      <c r="CX97" s="191" t="str">
        <f t="shared" si="120"/>
        <v>Cao hơn</v>
      </c>
      <c r="CY97" s="213"/>
      <c r="CZ97" s="213"/>
      <c r="DA97" s="231"/>
      <c r="DB97" s="163"/>
      <c r="DD97" s="195"/>
      <c r="DE97" s="196"/>
      <c r="DF97" s="196"/>
      <c r="DG97" s="197"/>
      <c r="DH97" s="196"/>
      <c r="DI97" s="196"/>
      <c r="DJ97" s="196"/>
      <c r="DL97" s="199"/>
      <c r="DM97" s="200"/>
    </row>
    <row r="98" spans="1:117" ht="18" customHeight="1" x14ac:dyDescent="0.25">
      <c r="A98" s="191">
        <v>33</v>
      </c>
      <c r="B98" s="240" t="s">
        <v>420</v>
      </c>
      <c r="C98" s="240"/>
      <c r="D98" s="188">
        <v>8100</v>
      </c>
      <c r="E98" s="188">
        <v>0</v>
      </c>
      <c r="F98" s="188">
        <v>8100</v>
      </c>
      <c r="G98" s="188">
        <v>3000</v>
      </c>
      <c r="H98" s="188">
        <v>5100</v>
      </c>
      <c r="I98" s="188">
        <v>0</v>
      </c>
      <c r="J98" s="188"/>
      <c r="K98" s="188">
        <v>0</v>
      </c>
      <c r="L98" s="188">
        <v>0</v>
      </c>
      <c r="M98" s="188">
        <v>0</v>
      </c>
      <c r="N98" s="188">
        <v>0</v>
      </c>
      <c r="O98" s="188">
        <v>3000</v>
      </c>
      <c r="P98" s="188">
        <v>0</v>
      </c>
      <c r="Q98" s="186">
        <v>0</v>
      </c>
      <c r="R98" s="188">
        <v>0</v>
      </c>
      <c r="S98" s="185">
        <v>0</v>
      </c>
      <c r="T98" s="185">
        <v>0</v>
      </c>
      <c r="U98" s="188">
        <v>0</v>
      </c>
      <c r="V98" s="185">
        <v>0</v>
      </c>
      <c r="W98" s="185">
        <v>0</v>
      </c>
      <c r="X98" s="188">
        <v>0</v>
      </c>
      <c r="Y98" s="185">
        <v>0</v>
      </c>
      <c r="Z98" s="185">
        <v>0</v>
      </c>
      <c r="AA98" s="188">
        <v>0</v>
      </c>
      <c r="AB98" s="185">
        <v>0</v>
      </c>
      <c r="AC98" s="185">
        <v>0</v>
      </c>
      <c r="AD98" s="188">
        <v>1122</v>
      </c>
      <c r="AE98" s="185">
        <v>0.13851851851851851</v>
      </c>
      <c r="AF98" s="185">
        <v>0.14580896686159844</v>
      </c>
      <c r="AG98" s="188">
        <v>1122</v>
      </c>
      <c r="AH98" s="185">
        <v>0.13851851851851851</v>
      </c>
      <c r="AI98" s="185">
        <v>0.14580896686159844</v>
      </c>
      <c r="AJ98" s="303">
        <v>1122</v>
      </c>
      <c r="AK98" s="185">
        <v>0.13851851851851851</v>
      </c>
      <c r="AL98" s="185">
        <v>0.14580896686159844</v>
      </c>
      <c r="AM98" s="188">
        <v>1484</v>
      </c>
      <c r="AN98" s="185">
        <v>0.18320987654320989</v>
      </c>
      <c r="AO98" s="185">
        <v>0.19285250162443146</v>
      </c>
      <c r="AP98" s="185"/>
      <c r="AQ98" s="188">
        <v>1484</v>
      </c>
      <c r="AR98" s="185">
        <v>0.18320987654320989</v>
      </c>
      <c r="AS98" s="185">
        <v>0.19285250162443146</v>
      </c>
      <c r="AT98" s="188">
        <v>1955.328</v>
      </c>
      <c r="AU98" s="185">
        <v>0.24139851851851851</v>
      </c>
      <c r="AV98" s="185">
        <v>0.25410370370370372</v>
      </c>
      <c r="AW98" s="185"/>
      <c r="AX98" s="185"/>
      <c r="AY98" s="185"/>
      <c r="AZ98" s="185"/>
      <c r="BA98" s="185"/>
      <c r="BB98" s="185"/>
      <c r="BC98" s="188">
        <v>1955.328</v>
      </c>
      <c r="BD98" s="185">
        <v>0.24139851851851851</v>
      </c>
      <c r="BE98" s="185">
        <v>0.25410370370370372</v>
      </c>
      <c r="BF98" s="188"/>
      <c r="BG98" s="188">
        <v>2768</v>
      </c>
      <c r="BH98" s="185">
        <v>0.34172839506172842</v>
      </c>
      <c r="BI98" s="185">
        <v>0.35971410006497728</v>
      </c>
      <c r="BJ98" s="188">
        <v>7695</v>
      </c>
      <c r="BK98" s="188">
        <v>4075.9832000000001</v>
      </c>
      <c r="BL98" s="185">
        <v>0.50320780246913577</v>
      </c>
      <c r="BM98" s="185">
        <v>0.52969242365172187</v>
      </c>
      <c r="BN98" s="188">
        <v>4075.9832000000001</v>
      </c>
      <c r="BO98" s="185">
        <v>0.50320780246913577</v>
      </c>
      <c r="BP98" s="185">
        <v>0.52969242365172187</v>
      </c>
      <c r="BQ98" s="188">
        <v>4174.8</v>
      </c>
      <c r="BR98" s="185">
        <f t="shared" si="123"/>
        <v>0.51540740740740743</v>
      </c>
      <c r="BS98" s="185">
        <f t="shared" si="121"/>
        <v>0.54253411306042887</v>
      </c>
      <c r="BT98" s="205">
        <f t="shared" si="122"/>
        <v>3052.8</v>
      </c>
      <c r="BU98" s="205"/>
      <c r="BV98" s="189" t="e">
        <f>#REF!+#REF!</f>
        <v>#REF!</v>
      </c>
      <c r="BW98" s="186" t="e">
        <f t="shared" si="124"/>
        <v>#REF!</v>
      </c>
      <c r="BX98" s="189" t="e">
        <f>#REF!+#REF!</f>
        <v>#REF!</v>
      </c>
      <c r="BY98" s="186" t="e">
        <f t="shared" si="125"/>
        <v>#REF!</v>
      </c>
      <c r="BZ98" s="189" t="e">
        <f>#REF!+#REF!</f>
        <v>#REF!</v>
      </c>
      <c r="CA98" s="186" t="e">
        <f t="shared" si="126"/>
        <v>#REF!</v>
      </c>
      <c r="CB98" s="189" t="e">
        <f>#REF!+#REF!</f>
        <v>#REF!</v>
      </c>
      <c r="CC98" s="186" t="e">
        <f t="shared" si="127"/>
        <v>#REF!</v>
      </c>
      <c r="CD98" s="189" t="e">
        <f>#REF!+#REF!</f>
        <v>#REF!</v>
      </c>
      <c r="CE98" s="186" t="e">
        <f t="shared" si="128"/>
        <v>#REF!</v>
      </c>
      <c r="CF98" s="189" t="e">
        <f>#REF!+#REF!</f>
        <v>#REF!</v>
      </c>
      <c r="CG98" s="186" t="e">
        <f t="shared" si="129"/>
        <v>#REF!</v>
      </c>
      <c r="CH98" s="189" t="e">
        <f>#REF!+#REF!</f>
        <v>#REF!</v>
      </c>
      <c r="CI98" s="186" t="e">
        <f t="shared" si="130"/>
        <v>#REF!</v>
      </c>
      <c r="CJ98" s="189" t="e">
        <f>#REF!+#REF!</f>
        <v>#REF!</v>
      </c>
      <c r="CK98" s="186" t="e">
        <f t="shared" si="131"/>
        <v>#REF!</v>
      </c>
      <c r="CL98" s="189" t="e">
        <f>#REF!+#REF!</f>
        <v>#REF!</v>
      </c>
      <c r="CM98" s="186" t="e">
        <f t="shared" si="132"/>
        <v>#REF!</v>
      </c>
      <c r="CN98" s="189" t="e">
        <f>#REF!+#REF!</f>
        <v>#REF!</v>
      </c>
      <c r="CO98" s="186" t="e">
        <f t="shared" si="133"/>
        <v>#REF!</v>
      </c>
      <c r="CP98" s="189" t="e">
        <f>#REF!+#REF!</f>
        <v>#REF!</v>
      </c>
      <c r="CQ98" s="186" t="e">
        <f t="shared" si="134"/>
        <v>#REF!</v>
      </c>
      <c r="CR98" s="189" t="e">
        <f>#REF!+#REF!</f>
        <v>#REF!</v>
      </c>
      <c r="CS98" s="186" t="e">
        <f t="shared" si="135"/>
        <v>#REF!</v>
      </c>
      <c r="CT98" s="189" t="e">
        <f>#REF!+#REF!</f>
        <v>#REF!</v>
      </c>
      <c r="CU98" s="186" t="e">
        <f t="shared" si="136"/>
        <v>#REF!</v>
      </c>
      <c r="CV98" s="416">
        <f t="shared" si="118"/>
        <v>98.816800000000057</v>
      </c>
      <c r="CW98" s="191" t="str">
        <f t="shared" si="119"/>
        <v>Cao hơn</v>
      </c>
      <c r="CX98" s="191" t="str">
        <f t="shared" si="120"/>
        <v>Cao hơn</v>
      </c>
      <c r="CY98" s="213"/>
      <c r="CZ98" s="213"/>
      <c r="DA98" s="231"/>
      <c r="DB98" s="163"/>
      <c r="DD98" s="195"/>
      <c r="DE98" s="196"/>
      <c r="DF98" s="196"/>
      <c r="DG98" s="197"/>
      <c r="DH98" s="196"/>
      <c r="DI98" s="196"/>
      <c r="DJ98" s="196"/>
      <c r="DL98" s="199"/>
      <c r="DM98" s="200"/>
    </row>
    <row r="99" spans="1:117" ht="18" customHeight="1" x14ac:dyDescent="0.25">
      <c r="A99" s="191">
        <v>34</v>
      </c>
      <c r="B99" s="240" t="s">
        <v>421</v>
      </c>
      <c r="C99" s="240"/>
      <c r="D99" s="188">
        <v>4700</v>
      </c>
      <c r="E99" s="188">
        <v>0</v>
      </c>
      <c r="F99" s="188">
        <v>4700</v>
      </c>
      <c r="G99" s="188">
        <v>3000</v>
      </c>
      <c r="H99" s="188">
        <v>1700</v>
      </c>
      <c r="I99" s="188">
        <v>0</v>
      </c>
      <c r="J99" s="188"/>
      <c r="K99" s="188">
        <v>0</v>
      </c>
      <c r="L99" s="188">
        <v>0</v>
      </c>
      <c r="M99" s="188">
        <v>0</v>
      </c>
      <c r="N99" s="188">
        <v>0</v>
      </c>
      <c r="O99" s="188">
        <v>3000</v>
      </c>
      <c r="P99" s="188">
        <v>0</v>
      </c>
      <c r="Q99" s="186">
        <v>0</v>
      </c>
      <c r="R99" s="188">
        <v>0</v>
      </c>
      <c r="S99" s="185">
        <v>0</v>
      </c>
      <c r="T99" s="185">
        <v>0</v>
      </c>
      <c r="U99" s="188">
        <v>0</v>
      </c>
      <c r="V99" s="185">
        <v>0</v>
      </c>
      <c r="W99" s="185">
        <v>0</v>
      </c>
      <c r="X99" s="188">
        <v>0</v>
      </c>
      <c r="Y99" s="185">
        <v>0</v>
      </c>
      <c r="Z99" s="185">
        <v>0</v>
      </c>
      <c r="AA99" s="188">
        <v>0</v>
      </c>
      <c r="AB99" s="185">
        <v>0</v>
      </c>
      <c r="AC99" s="185">
        <v>0</v>
      </c>
      <c r="AD99" s="188">
        <v>1088</v>
      </c>
      <c r="AE99" s="185">
        <v>0.23148936170212767</v>
      </c>
      <c r="AF99" s="185">
        <v>0.24367301231802913</v>
      </c>
      <c r="AG99" s="188">
        <v>1088</v>
      </c>
      <c r="AH99" s="185">
        <v>0.23148936170212767</v>
      </c>
      <c r="AI99" s="185">
        <v>0.24367301231802913</v>
      </c>
      <c r="AJ99" s="303">
        <v>1088</v>
      </c>
      <c r="AK99" s="185">
        <v>0.23148936170212767</v>
      </c>
      <c r="AL99" s="185">
        <v>0.24367301231802913</v>
      </c>
      <c r="AM99" s="314">
        <v>1088</v>
      </c>
      <c r="AN99" s="185">
        <v>0.23148936170212767</v>
      </c>
      <c r="AO99" s="185">
        <v>0.24367301231802913</v>
      </c>
      <c r="AP99" s="185"/>
      <c r="AQ99" s="188">
        <v>1088</v>
      </c>
      <c r="AR99" s="185">
        <v>0.23148936170212767</v>
      </c>
      <c r="AS99" s="185">
        <v>0.24367301231802913</v>
      </c>
      <c r="AT99" s="188">
        <v>1088</v>
      </c>
      <c r="AU99" s="185">
        <v>0.23148936170212767</v>
      </c>
      <c r="AV99" s="185">
        <v>0.24367301231802913</v>
      </c>
      <c r="AW99" s="185"/>
      <c r="AX99" s="185"/>
      <c r="AY99" s="185"/>
      <c r="AZ99" s="185"/>
      <c r="BA99" s="185"/>
      <c r="BB99" s="185"/>
      <c r="BC99" s="188">
        <v>1088</v>
      </c>
      <c r="BD99" s="185">
        <v>0.23148936170212767</v>
      </c>
      <c r="BE99" s="185">
        <v>0.24367301231802913</v>
      </c>
      <c r="BF99" s="188"/>
      <c r="BG99" s="188">
        <v>1088</v>
      </c>
      <c r="BH99" s="185">
        <v>0.23148936170212767</v>
      </c>
      <c r="BI99" s="185">
        <v>0.24367301231802913</v>
      </c>
      <c r="BJ99" s="188">
        <v>4465</v>
      </c>
      <c r="BK99" s="188">
        <v>1088</v>
      </c>
      <c r="BL99" s="185">
        <v>0.23148936170212767</v>
      </c>
      <c r="BM99" s="185">
        <v>0.24367301231802913</v>
      </c>
      <c r="BN99" s="188">
        <v>1584</v>
      </c>
      <c r="BO99" s="185">
        <v>0.33702127659574466</v>
      </c>
      <c r="BP99" s="185">
        <v>0.3547592385218365</v>
      </c>
      <c r="BQ99" s="188">
        <v>1584</v>
      </c>
      <c r="BR99" s="185">
        <f t="shared" si="123"/>
        <v>0.33702127659574466</v>
      </c>
      <c r="BS99" s="185">
        <f t="shared" si="121"/>
        <v>0.3547592385218365</v>
      </c>
      <c r="BT99" s="205">
        <f t="shared" si="122"/>
        <v>496</v>
      </c>
      <c r="BU99" s="205"/>
      <c r="BV99" s="189" t="e">
        <f>#REF!+#REF!</f>
        <v>#REF!</v>
      </c>
      <c r="BW99" s="186" t="e">
        <f t="shared" si="124"/>
        <v>#REF!</v>
      </c>
      <c r="BX99" s="189" t="e">
        <f>#REF!+#REF!</f>
        <v>#REF!</v>
      </c>
      <c r="BY99" s="186" t="e">
        <f t="shared" si="125"/>
        <v>#REF!</v>
      </c>
      <c r="BZ99" s="189" t="e">
        <f>#REF!+#REF!</f>
        <v>#REF!</v>
      </c>
      <c r="CA99" s="186" t="e">
        <f t="shared" si="126"/>
        <v>#REF!</v>
      </c>
      <c r="CB99" s="189" t="e">
        <f>#REF!+#REF!</f>
        <v>#REF!</v>
      </c>
      <c r="CC99" s="186" t="e">
        <f t="shared" si="127"/>
        <v>#REF!</v>
      </c>
      <c r="CD99" s="189" t="e">
        <f>#REF!+#REF!</f>
        <v>#REF!</v>
      </c>
      <c r="CE99" s="186" t="e">
        <f t="shared" si="128"/>
        <v>#REF!</v>
      </c>
      <c r="CF99" s="189" t="e">
        <f>#REF!+#REF!</f>
        <v>#REF!</v>
      </c>
      <c r="CG99" s="186" t="e">
        <f t="shared" si="129"/>
        <v>#REF!</v>
      </c>
      <c r="CH99" s="189" t="e">
        <f>#REF!+#REF!</f>
        <v>#REF!</v>
      </c>
      <c r="CI99" s="186" t="e">
        <f t="shared" si="130"/>
        <v>#REF!</v>
      </c>
      <c r="CJ99" s="189" t="e">
        <f>#REF!+#REF!</f>
        <v>#REF!</v>
      </c>
      <c r="CK99" s="186" t="e">
        <f t="shared" si="131"/>
        <v>#REF!</v>
      </c>
      <c r="CL99" s="189" t="e">
        <f>#REF!+#REF!</f>
        <v>#REF!</v>
      </c>
      <c r="CM99" s="186" t="e">
        <f t="shared" si="132"/>
        <v>#REF!</v>
      </c>
      <c r="CN99" s="189" t="e">
        <f>#REF!+#REF!</f>
        <v>#REF!</v>
      </c>
      <c r="CO99" s="186" t="e">
        <f t="shared" si="133"/>
        <v>#REF!</v>
      </c>
      <c r="CP99" s="189" t="e">
        <f>#REF!+#REF!</f>
        <v>#REF!</v>
      </c>
      <c r="CQ99" s="186" t="e">
        <f t="shared" si="134"/>
        <v>#REF!</v>
      </c>
      <c r="CR99" s="189" t="e">
        <f>#REF!+#REF!</f>
        <v>#REF!</v>
      </c>
      <c r="CS99" s="186" t="e">
        <f t="shared" si="135"/>
        <v>#REF!</v>
      </c>
      <c r="CT99" s="189" t="e">
        <f>#REF!+#REF!</f>
        <v>#REF!</v>
      </c>
      <c r="CU99" s="186" t="e">
        <f t="shared" si="136"/>
        <v>#REF!</v>
      </c>
      <c r="CV99" s="416">
        <f t="shared" si="118"/>
        <v>0</v>
      </c>
      <c r="CW99" s="191" t="str">
        <f t="shared" si="119"/>
        <v>Thấp hơn</v>
      </c>
      <c r="CX99" s="191" t="str">
        <f t="shared" si="120"/>
        <v>Thấp hơn</v>
      </c>
      <c r="CY99" s="213"/>
      <c r="CZ99" s="213"/>
      <c r="DA99" s="231"/>
      <c r="DB99" s="163"/>
      <c r="DD99" s="195"/>
      <c r="DE99" s="196"/>
      <c r="DF99" s="196"/>
      <c r="DG99" s="197"/>
      <c r="DH99" s="196"/>
      <c r="DI99" s="196"/>
      <c r="DJ99" s="196"/>
      <c r="DL99" s="199"/>
      <c r="DM99" s="200"/>
    </row>
    <row r="100" spans="1:117" ht="18" customHeight="1" x14ac:dyDescent="0.25">
      <c r="A100" s="191">
        <v>35</v>
      </c>
      <c r="B100" s="240" t="s">
        <v>422</v>
      </c>
      <c r="C100" s="240"/>
      <c r="D100" s="188">
        <v>3085</v>
      </c>
      <c r="E100" s="188">
        <v>0</v>
      </c>
      <c r="F100" s="188">
        <v>3085</v>
      </c>
      <c r="G100" s="188">
        <v>3000</v>
      </c>
      <c r="H100" s="188">
        <v>85</v>
      </c>
      <c r="I100" s="188">
        <v>0</v>
      </c>
      <c r="J100" s="188"/>
      <c r="K100" s="188">
        <v>0</v>
      </c>
      <c r="L100" s="188">
        <v>0</v>
      </c>
      <c r="M100" s="188">
        <v>0</v>
      </c>
      <c r="N100" s="188">
        <v>0</v>
      </c>
      <c r="O100" s="188">
        <v>3000</v>
      </c>
      <c r="P100" s="188">
        <v>0</v>
      </c>
      <c r="Q100" s="186">
        <v>0</v>
      </c>
      <c r="R100" s="188">
        <v>0</v>
      </c>
      <c r="S100" s="185">
        <v>0</v>
      </c>
      <c r="T100" s="185">
        <v>0</v>
      </c>
      <c r="U100" s="188">
        <v>0</v>
      </c>
      <c r="V100" s="185">
        <v>0</v>
      </c>
      <c r="W100" s="185">
        <v>0</v>
      </c>
      <c r="X100" s="188">
        <v>0</v>
      </c>
      <c r="Y100" s="185">
        <v>0</v>
      </c>
      <c r="Z100" s="185">
        <v>0</v>
      </c>
      <c r="AA100" s="188">
        <v>0</v>
      </c>
      <c r="AB100" s="185">
        <v>0</v>
      </c>
      <c r="AC100" s="185">
        <v>0</v>
      </c>
      <c r="AD100" s="188">
        <v>0</v>
      </c>
      <c r="AE100" s="185">
        <v>0</v>
      </c>
      <c r="AF100" s="185">
        <v>0</v>
      </c>
      <c r="AG100" s="188">
        <v>0</v>
      </c>
      <c r="AH100" s="185">
        <v>0</v>
      </c>
      <c r="AI100" s="185">
        <v>0</v>
      </c>
      <c r="AJ100" s="303">
        <v>0</v>
      </c>
      <c r="AK100" s="185">
        <v>0</v>
      </c>
      <c r="AL100" s="185">
        <v>0</v>
      </c>
      <c r="AM100" s="314">
        <v>0</v>
      </c>
      <c r="AN100" s="185">
        <v>0</v>
      </c>
      <c r="AO100" s="185">
        <v>0</v>
      </c>
      <c r="AP100" s="185"/>
      <c r="AQ100" s="188">
        <v>1429.817</v>
      </c>
      <c r="AR100" s="185">
        <v>0.46347390599675853</v>
      </c>
      <c r="AS100" s="185">
        <v>0.48786726947027209</v>
      </c>
      <c r="AT100" s="188">
        <v>1794.452</v>
      </c>
      <c r="AU100" s="185">
        <v>0.5816700162074554</v>
      </c>
      <c r="AV100" s="185">
        <v>0.61228422758679524</v>
      </c>
      <c r="AW100" s="185"/>
      <c r="AX100" s="185"/>
      <c r="AY100" s="185"/>
      <c r="AZ100" s="185"/>
      <c r="BA100" s="185"/>
      <c r="BB100" s="185"/>
      <c r="BC100" s="188">
        <v>1794.452</v>
      </c>
      <c r="BD100" s="185">
        <v>0.5816700162074554</v>
      </c>
      <c r="BE100" s="185">
        <v>0.61228422758679524</v>
      </c>
      <c r="BF100" s="188"/>
      <c r="BG100" s="188">
        <v>1794.452</v>
      </c>
      <c r="BH100" s="185">
        <v>0.5816700162074554</v>
      </c>
      <c r="BI100" s="185">
        <v>0.61228422758679524</v>
      </c>
      <c r="BJ100" s="188">
        <v>2930.75</v>
      </c>
      <c r="BK100" s="188">
        <v>1886.6909999999998</v>
      </c>
      <c r="BL100" s="185">
        <v>0.61156920583468388</v>
      </c>
      <c r="BM100" s="185">
        <v>0.64375705877335143</v>
      </c>
      <c r="BN100" s="188">
        <v>2249.076</v>
      </c>
      <c r="BO100" s="185">
        <v>0.72903598055105345</v>
      </c>
      <c r="BP100" s="185">
        <v>0.76740629531689841</v>
      </c>
      <c r="BQ100" s="188">
        <v>2249.076</v>
      </c>
      <c r="BR100" s="185">
        <f t="shared" si="123"/>
        <v>0.72903598055105345</v>
      </c>
      <c r="BS100" s="185">
        <f t="shared" si="121"/>
        <v>0.76740629531689841</v>
      </c>
      <c r="BT100" s="205">
        <f t="shared" si="122"/>
        <v>2249.076</v>
      </c>
      <c r="BU100" s="205"/>
      <c r="BV100" s="189" t="e">
        <f>#REF!+#REF!</f>
        <v>#REF!</v>
      </c>
      <c r="BW100" s="186" t="e">
        <f t="shared" si="124"/>
        <v>#REF!</v>
      </c>
      <c r="BX100" s="189" t="e">
        <f>#REF!+#REF!</f>
        <v>#REF!</v>
      </c>
      <c r="BY100" s="186" t="e">
        <f t="shared" si="125"/>
        <v>#REF!</v>
      </c>
      <c r="BZ100" s="189" t="e">
        <f>#REF!+#REF!</f>
        <v>#REF!</v>
      </c>
      <c r="CA100" s="186" t="e">
        <f t="shared" si="126"/>
        <v>#REF!</v>
      </c>
      <c r="CB100" s="189" t="e">
        <f>#REF!+#REF!</f>
        <v>#REF!</v>
      </c>
      <c r="CC100" s="186" t="e">
        <f t="shared" si="127"/>
        <v>#REF!</v>
      </c>
      <c r="CD100" s="189" t="e">
        <f>#REF!+#REF!</f>
        <v>#REF!</v>
      </c>
      <c r="CE100" s="186" t="e">
        <f t="shared" si="128"/>
        <v>#REF!</v>
      </c>
      <c r="CF100" s="189" t="e">
        <f>#REF!+#REF!</f>
        <v>#REF!</v>
      </c>
      <c r="CG100" s="186" t="e">
        <f t="shared" si="129"/>
        <v>#REF!</v>
      </c>
      <c r="CH100" s="189" t="e">
        <f>#REF!+#REF!</f>
        <v>#REF!</v>
      </c>
      <c r="CI100" s="186" t="e">
        <f t="shared" si="130"/>
        <v>#REF!</v>
      </c>
      <c r="CJ100" s="189" t="e">
        <f>#REF!+#REF!</f>
        <v>#REF!</v>
      </c>
      <c r="CK100" s="186" t="e">
        <f t="shared" si="131"/>
        <v>#REF!</v>
      </c>
      <c r="CL100" s="189" t="e">
        <f>#REF!+#REF!</f>
        <v>#REF!</v>
      </c>
      <c r="CM100" s="186" t="e">
        <f t="shared" si="132"/>
        <v>#REF!</v>
      </c>
      <c r="CN100" s="189" t="e">
        <f>#REF!+#REF!</f>
        <v>#REF!</v>
      </c>
      <c r="CO100" s="186" t="e">
        <f t="shared" si="133"/>
        <v>#REF!</v>
      </c>
      <c r="CP100" s="189" t="e">
        <f>#REF!+#REF!</f>
        <v>#REF!</v>
      </c>
      <c r="CQ100" s="186" t="e">
        <f t="shared" si="134"/>
        <v>#REF!</v>
      </c>
      <c r="CR100" s="189" t="e">
        <f>#REF!+#REF!</f>
        <v>#REF!</v>
      </c>
      <c r="CS100" s="186" t="e">
        <f t="shared" si="135"/>
        <v>#REF!</v>
      </c>
      <c r="CT100" s="189" t="e">
        <f>#REF!+#REF!</f>
        <v>#REF!</v>
      </c>
      <c r="CU100" s="186" t="e">
        <f t="shared" si="136"/>
        <v>#REF!</v>
      </c>
      <c r="CV100" s="416">
        <f t="shared" si="118"/>
        <v>0</v>
      </c>
      <c r="CW100" s="191" t="str">
        <f t="shared" si="119"/>
        <v>Cao hơn</v>
      </c>
      <c r="CX100" s="191" t="str">
        <f t="shared" si="120"/>
        <v>Cao hơn</v>
      </c>
      <c r="CY100" s="213"/>
      <c r="CZ100" s="213"/>
      <c r="DA100" s="231"/>
      <c r="DB100" s="163"/>
      <c r="DD100" s="195"/>
      <c r="DE100" s="196"/>
      <c r="DF100" s="196"/>
      <c r="DG100" s="197"/>
      <c r="DH100" s="196"/>
      <c r="DI100" s="196"/>
      <c r="DJ100" s="196"/>
      <c r="DL100" s="199"/>
      <c r="DM100" s="200"/>
    </row>
    <row r="101" spans="1:117" ht="18" customHeight="1" x14ac:dyDescent="0.25">
      <c r="A101" s="191">
        <v>36</v>
      </c>
      <c r="B101" s="240" t="s">
        <v>423</v>
      </c>
      <c r="C101" s="240"/>
      <c r="D101" s="188">
        <v>10600</v>
      </c>
      <c r="E101" s="188">
        <v>0</v>
      </c>
      <c r="F101" s="188">
        <v>10600</v>
      </c>
      <c r="G101" s="188">
        <v>3000</v>
      </c>
      <c r="H101" s="188">
        <v>7600</v>
      </c>
      <c r="I101" s="188">
        <v>1425</v>
      </c>
      <c r="J101" s="188"/>
      <c r="K101" s="188">
        <v>0</v>
      </c>
      <c r="L101" s="188">
        <v>0</v>
      </c>
      <c r="M101" s="188">
        <v>0</v>
      </c>
      <c r="N101" s="188">
        <v>0</v>
      </c>
      <c r="O101" s="188">
        <v>4425</v>
      </c>
      <c r="P101" s="188">
        <v>0</v>
      </c>
      <c r="Q101" s="186">
        <v>0</v>
      </c>
      <c r="R101" s="188">
        <v>0</v>
      </c>
      <c r="S101" s="185">
        <v>0</v>
      </c>
      <c r="T101" s="185">
        <v>0</v>
      </c>
      <c r="U101" s="188">
        <v>0</v>
      </c>
      <c r="V101" s="185">
        <v>0</v>
      </c>
      <c r="W101" s="185">
        <v>0</v>
      </c>
      <c r="X101" s="188">
        <v>0</v>
      </c>
      <c r="Y101" s="185">
        <v>0</v>
      </c>
      <c r="Z101" s="185">
        <v>0</v>
      </c>
      <c r="AA101" s="188">
        <v>0</v>
      </c>
      <c r="AB101" s="185">
        <v>0</v>
      </c>
      <c r="AC101" s="185">
        <v>0</v>
      </c>
      <c r="AD101" s="188">
        <v>604</v>
      </c>
      <c r="AE101" s="185">
        <v>5.6981132075471695E-2</v>
      </c>
      <c r="AF101" s="185">
        <v>5.9980139026812311E-2</v>
      </c>
      <c r="AG101" s="188">
        <v>604</v>
      </c>
      <c r="AH101" s="185">
        <v>5.6981132075471695E-2</v>
      </c>
      <c r="AI101" s="185">
        <v>5.9980139026812311E-2</v>
      </c>
      <c r="AJ101" s="317">
        <v>604</v>
      </c>
      <c r="AK101" s="185">
        <v>5.6981132075471695E-2</v>
      </c>
      <c r="AL101" s="185">
        <v>5.9980139026812311E-2</v>
      </c>
      <c r="AM101" s="188">
        <v>1628</v>
      </c>
      <c r="AN101" s="185">
        <v>0.15358490566037736</v>
      </c>
      <c r="AO101" s="185">
        <v>0.16166832174776563</v>
      </c>
      <c r="AP101" s="185"/>
      <c r="AQ101" s="188">
        <v>1683.9950899999999</v>
      </c>
      <c r="AR101" s="185">
        <v>0.15886746132075472</v>
      </c>
      <c r="AS101" s="185">
        <v>0.16722890665342602</v>
      </c>
      <c r="AT101" s="188">
        <v>1683.9950899999999</v>
      </c>
      <c r="AU101" s="185">
        <v>0.15886746132075472</v>
      </c>
      <c r="AV101" s="185">
        <v>0.16722890665342602</v>
      </c>
      <c r="AW101" s="185"/>
      <c r="AX101" s="185"/>
      <c r="AY101" s="185"/>
      <c r="AZ101" s="185"/>
      <c r="BA101" s="185"/>
      <c r="BB101" s="185"/>
      <c r="BC101" s="188">
        <v>1683.9950899999999</v>
      </c>
      <c r="BD101" s="185">
        <v>0.15886746132075472</v>
      </c>
      <c r="BE101" s="185">
        <v>0.16722890665342602</v>
      </c>
      <c r="BF101" s="188"/>
      <c r="BG101" s="188">
        <v>2685.8945779999999</v>
      </c>
      <c r="BH101" s="185">
        <v>0.25338628094339621</v>
      </c>
      <c r="BI101" s="185">
        <v>0.26672240099304867</v>
      </c>
      <c r="BJ101" s="188">
        <v>10070</v>
      </c>
      <c r="BK101" s="188">
        <v>3718</v>
      </c>
      <c r="BL101" s="185">
        <v>0.35075471698113209</v>
      </c>
      <c r="BM101" s="185">
        <v>0.3692154915590864</v>
      </c>
      <c r="BN101" s="188">
        <v>3828.1950000000002</v>
      </c>
      <c r="BO101" s="185">
        <v>0.36115047169811321</v>
      </c>
      <c r="BP101" s="185">
        <v>0.38015839126117179</v>
      </c>
      <c r="BQ101" s="188">
        <v>3828.2</v>
      </c>
      <c r="BR101" s="185">
        <f t="shared" si="123"/>
        <v>0.36115094339622639</v>
      </c>
      <c r="BS101" s="185">
        <f t="shared" si="121"/>
        <v>0.3801588877855015</v>
      </c>
      <c r="BT101" s="205">
        <f t="shared" si="122"/>
        <v>3224.2</v>
      </c>
      <c r="BU101" s="205"/>
      <c r="BV101" s="189" t="e">
        <f>#REF!+#REF!+#REF!</f>
        <v>#REF!</v>
      </c>
      <c r="BW101" s="186" t="e">
        <f t="shared" si="124"/>
        <v>#REF!</v>
      </c>
      <c r="BX101" s="189" t="e">
        <f>#REF!+#REF!+#REF!</f>
        <v>#REF!</v>
      </c>
      <c r="BY101" s="186" t="e">
        <f t="shared" si="125"/>
        <v>#REF!</v>
      </c>
      <c r="BZ101" s="189" t="e">
        <f>#REF!+#REF!+#REF!</f>
        <v>#REF!</v>
      </c>
      <c r="CA101" s="186" t="e">
        <f t="shared" si="126"/>
        <v>#REF!</v>
      </c>
      <c r="CB101" s="189" t="e">
        <f>#REF!+#REF!+#REF!</f>
        <v>#REF!</v>
      </c>
      <c r="CC101" s="186" t="e">
        <f t="shared" si="127"/>
        <v>#REF!</v>
      </c>
      <c r="CD101" s="189" t="e">
        <f>#REF!+#REF!+#REF!</f>
        <v>#REF!</v>
      </c>
      <c r="CE101" s="186" t="e">
        <f t="shared" si="128"/>
        <v>#REF!</v>
      </c>
      <c r="CF101" s="189" t="e">
        <f>#REF!+#REF!+#REF!</f>
        <v>#REF!</v>
      </c>
      <c r="CG101" s="186" t="e">
        <f t="shared" si="129"/>
        <v>#REF!</v>
      </c>
      <c r="CH101" s="189" t="e">
        <f>#REF!+#REF!+#REF!</f>
        <v>#REF!</v>
      </c>
      <c r="CI101" s="186" t="e">
        <f t="shared" si="130"/>
        <v>#REF!</v>
      </c>
      <c r="CJ101" s="189" t="e">
        <f>#REF!+#REF!+#REF!</f>
        <v>#REF!</v>
      </c>
      <c r="CK101" s="186" t="e">
        <f t="shared" si="131"/>
        <v>#REF!</v>
      </c>
      <c r="CL101" s="189" t="e">
        <f>#REF!+#REF!+#REF!</f>
        <v>#REF!</v>
      </c>
      <c r="CM101" s="186" t="e">
        <f t="shared" si="132"/>
        <v>#REF!</v>
      </c>
      <c r="CN101" s="189" t="e">
        <f>#REF!+#REF!+#REF!</f>
        <v>#REF!</v>
      </c>
      <c r="CO101" s="186" t="e">
        <f t="shared" si="133"/>
        <v>#REF!</v>
      </c>
      <c r="CP101" s="189" t="e">
        <f>#REF!+#REF!+#REF!</f>
        <v>#REF!</v>
      </c>
      <c r="CQ101" s="186" t="e">
        <f t="shared" si="134"/>
        <v>#REF!</v>
      </c>
      <c r="CR101" s="189" t="e">
        <f>#REF!+#REF!+#REF!</f>
        <v>#REF!</v>
      </c>
      <c r="CS101" s="186" t="e">
        <f t="shared" si="135"/>
        <v>#REF!</v>
      </c>
      <c r="CT101" s="189" t="e">
        <f>#REF!+#REF!+#REF!</f>
        <v>#REF!</v>
      </c>
      <c r="CU101" s="186" t="e">
        <f t="shared" si="136"/>
        <v>#REF!</v>
      </c>
      <c r="CV101" s="416">
        <f t="shared" si="118"/>
        <v>4.999999999654392E-3</v>
      </c>
      <c r="CW101" s="191" t="str">
        <f t="shared" si="119"/>
        <v>Cao hơn</v>
      </c>
      <c r="CX101" s="191" t="str">
        <f t="shared" si="120"/>
        <v>Thấp hơn</v>
      </c>
      <c r="CY101" s="213"/>
      <c r="CZ101" s="213"/>
      <c r="DA101" s="231"/>
      <c r="DB101" s="163"/>
      <c r="DD101" s="195"/>
      <c r="DE101" s="196"/>
      <c r="DF101" s="196"/>
      <c r="DG101" s="197"/>
      <c r="DH101" s="196"/>
      <c r="DI101" s="196"/>
      <c r="DJ101" s="196"/>
      <c r="DL101" s="199"/>
      <c r="DM101" s="200"/>
    </row>
    <row r="102" spans="1:117" ht="18" customHeight="1" x14ac:dyDescent="0.25">
      <c r="A102" s="191">
        <v>37</v>
      </c>
      <c r="B102" s="240" t="s">
        <v>426</v>
      </c>
      <c r="C102" s="240"/>
      <c r="D102" s="188">
        <v>8250</v>
      </c>
      <c r="E102" s="188">
        <v>0</v>
      </c>
      <c r="F102" s="188">
        <v>8250</v>
      </c>
      <c r="G102" s="188">
        <v>3000</v>
      </c>
      <c r="H102" s="188">
        <v>5250</v>
      </c>
      <c r="I102" s="188">
        <v>950</v>
      </c>
      <c r="J102" s="188"/>
      <c r="K102" s="188">
        <v>0</v>
      </c>
      <c r="L102" s="188">
        <v>0</v>
      </c>
      <c r="M102" s="188">
        <v>0</v>
      </c>
      <c r="N102" s="188">
        <v>0</v>
      </c>
      <c r="O102" s="188">
        <v>3950</v>
      </c>
      <c r="P102" s="188">
        <v>0</v>
      </c>
      <c r="Q102" s="186">
        <v>0</v>
      </c>
      <c r="R102" s="188">
        <v>0</v>
      </c>
      <c r="S102" s="185">
        <v>0</v>
      </c>
      <c r="T102" s="185">
        <v>0</v>
      </c>
      <c r="U102" s="188">
        <v>0</v>
      </c>
      <c r="V102" s="185">
        <v>0</v>
      </c>
      <c r="W102" s="185">
        <v>0</v>
      </c>
      <c r="X102" s="188">
        <v>0</v>
      </c>
      <c r="Y102" s="185">
        <v>0</v>
      </c>
      <c r="Z102" s="185">
        <v>0</v>
      </c>
      <c r="AA102" s="188">
        <v>0</v>
      </c>
      <c r="AB102" s="185">
        <v>0</v>
      </c>
      <c r="AC102" s="185">
        <v>0</v>
      </c>
      <c r="AD102" s="188">
        <v>0</v>
      </c>
      <c r="AE102" s="185">
        <v>0</v>
      </c>
      <c r="AF102" s="185">
        <v>0</v>
      </c>
      <c r="AG102" s="188">
        <v>0</v>
      </c>
      <c r="AH102" s="185">
        <v>0</v>
      </c>
      <c r="AI102" s="185">
        <v>0</v>
      </c>
      <c r="AJ102" s="317">
        <v>0</v>
      </c>
      <c r="AK102" s="185">
        <v>0</v>
      </c>
      <c r="AL102" s="185">
        <v>0</v>
      </c>
      <c r="AM102" s="188">
        <v>1872</v>
      </c>
      <c r="AN102" s="185">
        <v>0.22690909090909092</v>
      </c>
      <c r="AO102" s="185">
        <v>0.23885167464114831</v>
      </c>
      <c r="AP102" s="185"/>
      <c r="AQ102" s="188">
        <v>2101.5160000000001</v>
      </c>
      <c r="AR102" s="185">
        <v>0.25472921212121213</v>
      </c>
      <c r="AS102" s="185">
        <v>0.26813601275917065</v>
      </c>
      <c r="AT102" s="188">
        <v>2101.5160000000001</v>
      </c>
      <c r="AU102" s="185">
        <v>0.25472921212121213</v>
      </c>
      <c r="AV102" s="185">
        <v>0.26813601275917065</v>
      </c>
      <c r="AW102" s="185"/>
      <c r="AX102" s="185"/>
      <c r="AY102" s="185"/>
      <c r="AZ102" s="185"/>
      <c r="BA102" s="185"/>
      <c r="BB102" s="185"/>
      <c r="BC102" s="188">
        <v>2101.5160000000001</v>
      </c>
      <c r="BD102" s="185">
        <v>0.25472921212121213</v>
      </c>
      <c r="BE102" s="185">
        <v>0.26813601275917065</v>
      </c>
      <c r="BF102" s="188"/>
      <c r="BG102" s="188">
        <v>2542.5970000000002</v>
      </c>
      <c r="BH102" s="185">
        <v>0.30819357575757578</v>
      </c>
      <c r="BI102" s="185">
        <v>0.32441429027113239</v>
      </c>
      <c r="BJ102" s="188">
        <v>7837.5</v>
      </c>
      <c r="BK102" s="188">
        <v>3541</v>
      </c>
      <c r="BL102" s="185">
        <v>0.42921212121212121</v>
      </c>
      <c r="BM102" s="185">
        <v>0.45180223285486443</v>
      </c>
      <c r="BN102" s="188">
        <v>3541</v>
      </c>
      <c r="BO102" s="185">
        <v>0.42921212121212121</v>
      </c>
      <c r="BP102" s="185">
        <v>0.45180223285486443</v>
      </c>
      <c r="BQ102" s="188">
        <v>3559</v>
      </c>
      <c r="BR102" s="185">
        <f t="shared" si="123"/>
        <v>0.43139393939393939</v>
      </c>
      <c r="BS102" s="185">
        <f t="shared" si="121"/>
        <v>0.45409888357256778</v>
      </c>
      <c r="BT102" s="205">
        <f t="shared" si="122"/>
        <v>3559</v>
      </c>
      <c r="BU102" s="205"/>
      <c r="BV102" s="189" t="e">
        <f>#REF!+#REF!+#REF!</f>
        <v>#REF!</v>
      </c>
      <c r="BW102" s="186" t="e">
        <f t="shared" si="124"/>
        <v>#REF!</v>
      </c>
      <c r="BX102" s="189" t="e">
        <f>#REF!+#REF!+#REF!</f>
        <v>#REF!</v>
      </c>
      <c r="BY102" s="186" t="e">
        <f t="shared" si="125"/>
        <v>#REF!</v>
      </c>
      <c r="BZ102" s="189" t="e">
        <f>#REF!+#REF!+#REF!</f>
        <v>#REF!</v>
      </c>
      <c r="CA102" s="186" t="e">
        <f t="shared" si="126"/>
        <v>#REF!</v>
      </c>
      <c r="CB102" s="189" t="e">
        <f>#REF!+#REF!+#REF!</f>
        <v>#REF!</v>
      </c>
      <c r="CC102" s="186" t="e">
        <f t="shared" si="127"/>
        <v>#REF!</v>
      </c>
      <c r="CD102" s="189" t="e">
        <f>#REF!+#REF!+#REF!</f>
        <v>#REF!</v>
      </c>
      <c r="CE102" s="186" t="e">
        <f t="shared" si="128"/>
        <v>#REF!</v>
      </c>
      <c r="CF102" s="189" t="e">
        <f>#REF!+#REF!+#REF!</f>
        <v>#REF!</v>
      </c>
      <c r="CG102" s="186" t="e">
        <f t="shared" si="129"/>
        <v>#REF!</v>
      </c>
      <c r="CH102" s="189" t="e">
        <f>#REF!+#REF!+#REF!</f>
        <v>#REF!</v>
      </c>
      <c r="CI102" s="186" t="e">
        <f t="shared" si="130"/>
        <v>#REF!</v>
      </c>
      <c r="CJ102" s="189" t="e">
        <f>#REF!+#REF!+#REF!</f>
        <v>#REF!</v>
      </c>
      <c r="CK102" s="186" t="e">
        <f t="shared" si="131"/>
        <v>#REF!</v>
      </c>
      <c r="CL102" s="189" t="e">
        <f>#REF!+#REF!+#REF!</f>
        <v>#REF!</v>
      </c>
      <c r="CM102" s="186" t="e">
        <f t="shared" si="132"/>
        <v>#REF!</v>
      </c>
      <c r="CN102" s="189" t="e">
        <f>#REF!+#REF!+#REF!</f>
        <v>#REF!</v>
      </c>
      <c r="CO102" s="186" t="e">
        <f t="shared" si="133"/>
        <v>#REF!</v>
      </c>
      <c r="CP102" s="189" t="e">
        <f>#REF!+#REF!+#REF!</f>
        <v>#REF!</v>
      </c>
      <c r="CQ102" s="186" t="e">
        <f t="shared" si="134"/>
        <v>#REF!</v>
      </c>
      <c r="CR102" s="189" t="e">
        <f>#REF!+#REF!+#REF!</f>
        <v>#REF!</v>
      </c>
      <c r="CS102" s="186" t="e">
        <f t="shared" si="135"/>
        <v>#REF!</v>
      </c>
      <c r="CT102" s="189" t="e">
        <f>#REF!+#REF!+#REF!</f>
        <v>#REF!</v>
      </c>
      <c r="CU102" s="186" t="e">
        <f t="shared" si="136"/>
        <v>#REF!</v>
      </c>
      <c r="CV102" s="416">
        <f t="shared" si="118"/>
        <v>18</v>
      </c>
      <c r="CW102" s="191" t="str">
        <f t="shared" si="119"/>
        <v>Cao hơn</v>
      </c>
      <c r="CX102" s="191" t="str">
        <f t="shared" si="120"/>
        <v>Cao hơn</v>
      </c>
      <c r="CY102" s="213"/>
      <c r="CZ102" s="213"/>
      <c r="DA102" s="231"/>
      <c r="DB102" s="163"/>
      <c r="DD102" s="195"/>
      <c r="DE102" s="196"/>
      <c r="DF102" s="196"/>
      <c r="DG102" s="197"/>
      <c r="DH102" s="196"/>
      <c r="DI102" s="196"/>
      <c r="DJ102" s="196"/>
      <c r="DL102" s="199"/>
      <c r="DM102" s="200"/>
    </row>
    <row r="103" spans="1:117" ht="18" customHeight="1" x14ac:dyDescent="0.25">
      <c r="A103" s="191">
        <v>38</v>
      </c>
      <c r="B103" s="240" t="s">
        <v>428</v>
      </c>
      <c r="C103" s="240"/>
      <c r="D103" s="188">
        <v>8100</v>
      </c>
      <c r="E103" s="188">
        <v>0</v>
      </c>
      <c r="F103" s="188">
        <v>8100</v>
      </c>
      <c r="G103" s="188">
        <v>3000</v>
      </c>
      <c r="H103" s="188">
        <v>5100</v>
      </c>
      <c r="I103" s="188">
        <v>0</v>
      </c>
      <c r="J103" s="188"/>
      <c r="K103" s="188">
        <v>0</v>
      </c>
      <c r="L103" s="188">
        <v>0</v>
      </c>
      <c r="M103" s="188">
        <v>0</v>
      </c>
      <c r="N103" s="188">
        <v>0</v>
      </c>
      <c r="O103" s="188">
        <v>3000</v>
      </c>
      <c r="P103" s="188">
        <v>0</v>
      </c>
      <c r="Q103" s="186">
        <v>0</v>
      </c>
      <c r="R103" s="188">
        <v>0</v>
      </c>
      <c r="S103" s="185">
        <v>0</v>
      </c>
      <c r="T103" s="185">
        <v>0</v>
      </c>
      <c r="U103" s="188">
        <v>276.92660000000001</v>
      </c>
      <c r="V103" s="185">
        <v>3.4188469135802473E-2</v>
      </c>
      <c r="W103" s="185">
        <v>3.5987862248213126E-2</v>
      </c>
      <c r="X103" s="188">
        <v>276.92660000000001</v>
      </c>
      <c r="Y103" s="185">
        <v>3.4188469135802473E-2</v>
      </c>
      <c r="Z103" s="185">
        <v>3.5987862248213126E-2</v>
      </c>
      <c r="AA103" s="188">
        <v>276.92660000000001</v>
      </c>
      <c r="AB103" s="185">
        <v>3.4188469135802473E-2</v>
      </c>
      <c r="AC103" s="185">
        <v>3.5987862248213126E-2</v>
      </c>
      <c r="AD103" s="188">
        <v>1122</v>
      </c>
      <c r="AE103" s="185">
        <v>0.13851851851851851</v>
      </c>
      <c r="AF103" s="185">
        <v>0.14580896686159844</v>
      </c>
      <c r="AG103" s="188">
        <v>1122</v>
      </c>
      <c r="AH103" s="185">
        <v>0.13851851851851851</v>
      </c>
      <c r="AI103" s="185">
        <v>0.14580896686159844</v>
      </c>
      <c r="AJ103" s="303">
        <v>1122</v>
      </c>
      <c r="AK103" s="185">
        <v>0.13851851851851851</v>
      </c>
      <c r="AL103" s="185">
        <v>0.14580896686159844</v>
      </c>
      <c r="AM103" s="188">
        <v>3913</v>
      </c>
      <c r="AN103" s="185">
        <v>0.48308641975308642</v>
      </c>
      <c r="AO103" s="185">
        <v>0.50851202079272251</v>
      </c>
      <c r="AP103" s="185"/>
      <c r="AQ103" s="188">
        <v>1727</v>
      </c>
      <c r="AR103" s="185">
        <v>0.21320987654320989</v>
      </c>
      <c r="AS103" s="185">
        <v>0.2244314489928525</v>
      </c>
      <c r="AT103" s="188">
        <v>1852</v>
      </c>
      <c r="AU103" s="185">
        <v>0.22864197530864197</v>
      </c>
      <c r="AV103" s="185">
        <v>0.24067576348278102</v>
      </c>
      <c r="AW103" s="185"/>
      <c r="AX103" s="185"/>
      <c r="AY103" s="185"/>
      <c r="AZ103" s="185"/>
      <c r="BA103" s="185"/>
      <c r="BB103" s="185"/>
      <c r="BC103" s="188">
        <v>1852</v>
      </c>
      <c r="BD103" s="185">
        <v>0.22864197530864197</v>
      </c>
      <c r="BE103" s="185">
        <v>0.24067576348278102</v>
      </c>
      <c r="BF103" s="188"/>
      <c r="BG103" s="188">
        <v>3349</v>
      </c>
      <c r="BH103" s="185">
        <v>0.41345679012345676</v>
      </c>
      <c r="BI103" s="185">
        <v>0.43521767381416504</v>
      </c>
      <c r="BJ103" s="188">
        <v>7695</v>
      </c>
      <c r="BK103" s="188">
        <v>3757</v>
      </c>
      <c r="BL103" s="185">
        <v>0.46382716049382716</v>
      </c>
      <c r="BM103" s="185">
        <v>0.48823911630929173</v>
      </c>
      <c r="BN103" s="188">
        <v>3757</v>
      </c>
      <c r="BO103" s="185">
        <v>0.46382716049382716</v>
      </c>
      <c r="BP103" s="185">
        <v>0.48823911630929173</v>
      </c>
      <c r="BQ103" s="188">
        <v>3820</v>
      </c>
      <c r="BR103" s="185">
        <f t="shared" si="123"/>
        <v>0.47160493827160493</v>
      </c>
      <c r="BS103" s="185">
        <f t="shared" si="121"/>
        <v>0.4964262508122157</v>
      </c>
      <c r="BT103" s="205">
        <f t="shared" si="122"/>
        <v>2698</v>
      </c>
      <c r="BU103" s="205"/>
      <c r="BV103" s="189" t="e">
        <f>#REF!+#REF!</f>
        <v>#REF!</v>
      </c>
      <c r="BW103" s="186" t="e">
        <f t="shared" si="124"/>
        <v>#REF!</v>
      </c>
      <c r="BX103" s="189" t="e">
        <f>#REF!+#REF!</f>
        <v>#REF!</v>
      </c>
      <c r="BY103" s="186" t="e">
        <f t="shared" si="125"/>
        <v>#REF!</v>
      </c>
      <c r="BZ103" s="189" t="e">
        <f>#REF!+#REF!</f>
        <v>#REF!</v>
      </c>
      <c r="CA103" s="186" t="e">
        <f t="shared" si="126"/>
        <v>#REF!</v>
      </c>
      <c r="CB103" s="189" t="e">
        <f>#REF!+#REF!</f>
        <v>#REF!</v>
      </c>
      <c r="CC103" s="186" t="e">
        <f t="shared" si="127"/>
        <v>#REF!</v>
      </c>
      <c r="CD103" s="189" t="e">
        <f>#REF!+#REF!</f>
        <v>#REF!</v>
      </c>
      <c r="CE103" s="186" t="e">
        <f t="shared" si="128"/>
        <v>#REF!</v>
      </c>
      <c r="CF103" s="189" t="e">
        <f>#REF!+#REF!</f>
        <v>#REF!</v>
      </c>
      <c r="CG103" s="186" t="e">
        <f t="shared" si="129"/>
        <v>#REF!</v>
      </c>
      <c r="CH103" s="189" t="e">
        <f>#REF!+#REF!</f>
        <v>#REF!</v>
      </c>
      <c r="CI103" s="186" t="e">
        <f t="shared" si="130"/>
        <v>#REF!</v>
      </c>
      <c r="CJ103" s="189" t="e">
        <f>#REF!+#REF!</f>
        <v>#REF!</v>
      </c>
      <c r="CK103" s="186" t="e">
        <f t="shared" si="131"/>
        <v>#REF!</v>
      </c>
      <c r="CL103" s="189" t="e">
        <f>#REF!+#REF!</f>
        <v>#REF!</v>
      </c>
      <c r="CM103" s="186" t="e">
        <f t="shared" si="132"/>
        <v>#REF!</v>
      </c>
      <c r="CN103" s="189" t="e">
        <f>#REF!+#REF!</f>
        <v>#REF!</v>
      </c>
      <c r="CO103" s="186" t="e">
        <f t="shared" si="133"/>
        <v>#REF!</v>
      </c>
      <c r="CP103" s="189" t="e">
        <f>#REF!+#REF!</f>
        <v>#REF!</v>
      </c>
      <c r="CQ103" s="186" t="e">
        <f t="shared" si="134"/>
        <v>#REF!</v>
      </c>
      <c r="CR103" s="189" t="e">
        <f>#REF!+#REF!</f>
        <v>#REF!</v>
      </c>
      <c r="CS103" s="186" t="e">
        <f t="shared" si="135"/>
        <v>#REF!</v>
      </c>
      <c r="CT103" s="189" t="e">
        <f>#REF!+#REF!</f>
        <v>#REF!</v>
      </c>
      <c r="CU103" s="186" t="e">
        <f t="shared" si="136"/>
        <v>#REF!</v>
      </c>
      <c r="CV103" s="416">
        <f t="shared" si="118"/>
        <v>63</v>
      </c>
      <c r="CW103" s="191" t="str">
        <f t="shared" si="119"/>
        <v>Cao hơn</v>
      </c>
      <c r="CX103" s="191" t="str">
        <f t="shared" si="120"/>
        <v>Cao hơn</v>
      </c>
      <c r="CY103" s="213"/>
      <c r="CZ103" s="213"/>
      <c r="DA103" s="231"/>
      <c r="DB103" s="163"/>
      <c r="DD103" s="195"/>
      <c r="DE103" s="196"/>
      <c r="DF103" s="196"/>
      <c r="DG103" s="197"/>
      <c r="DH103" s="196"/>
      <c r="DI103" s="196"/>
      <c r="DJ103" s="196"/>
      <c r="DL103" s="199"/>
      <c r="DM103" s="200"/>
    </row>
    <row r="104" spans="1:117" ht="18" customHeight="1" x14ac:dyDescent="0.25">
      <c r="A104" s="191">
        <v>39</v>
      </c>
      <c r="B104" s="240" t="s">
        <v>429</v>
      </c>
      <c r="C104" s="240"/>
      <c r="D104" s="188">
        <v>7675</v>
      </c>
      <c r="E104" s="188">
        <v>0</v>
      </c>
      <c r="F104" s="188">
        <v>7675</v>
      </c>
      <c r="G104" s="188">
        <v>3000</v>
      </c>
      <c r="H104" s="188">
        <v>4675</v>
      </c>
      <c r="I104" s="188">
        <v>0</v>
      </c>
      <c r="J104" s="188"/>
      <c r="K104" s="188">
        <v>0</v>
      </c>
      <c r="L104" s="188">
        <v>0</v>
      </c>
      <c r="M104" s="188">
        <v>0</v>
      </c>
      <c r="N104" s="188">
        <v>0</v>
      </c>
      <c r="O104" s="188">
        <v>3000</v>
      </c>
      <c r="P104" s="188">
        <v>0</v>
      </c>
      <c r="Q104" s="186">
        <v>0</v>
      </c>
      <c r="R104" s="188">
        <v>0</v>
      </c>
      <c r="S104" s="185">
        <v>0</v>
      </c>
      <c r="T104" s="185">
        <v>0</v>
      </c>
      <c r="U104" s="188">
        <v>595.112572</v>
      </c>
      <c r="V104" s="185">
        <v>7.7539097328990225E-2</v>
      </c>
      <c r="W104" s="185">
        <v>8.1620102451568657E-2</v>
      </c>
      <c r="X104" s="188">
        <v>595.112572</v>
      </c>
      <c r="Y104" s="185">
        <v>7.7539097328990225E-2</v>
      </c>
      <c r="Z104" s="185">
        <v>8.1620102451568657E-2</v>
      </c>
      <c r="AA104" s="188">
        <v>595.112572</v>
      </c>
      <c r="AB104" s="185">
        <v>7.7539097328990225E-2</v>
      </c>
      <c r="AC104" s="185">
        <v>8.1620102451568657E-2</v>
      </c>
      <c r="AD104" s="188">
        <v>1041</v>
      </c>
      <c r="AE104" s="185">
        <v>0.13563517915309448</v>
      </c>
      <c r="AF104" s="185">
        <v>0.14277387279273102</v>
      </c>
      <c r="AG104" s="188">
        <v>1041</v>
      </c>
      <c r="AH104" s="185">
        <v>0.13563517915309448</v>
      </c>
      <c r="AI104" s="185">
        <v>0.14277387279273102</v>
      </c>
      <c r="AJ104" s="303">
        <v>1041</v>
      </c>
      <c r="AK104" s="185">
        <v>0.13563517915309448</v>
      </c>
      <c r="AL104" s="185">
        <v>0.14277387279273102</v>
      </c>
      <c r="AM104" s="314">
        <v>1041</v>
      </c>
      <c r="AN104" s="185">
        <v>0.13563517915309448</v>
      </c>
      <c r="AO104" s="185">
        <v>0.14277387279273102</v>
      </c>
      <c r="AP104" s="185"/>
      <c r="AQ104" s="188">
        <v>1041</v>
      </c>
      <c r="AR104" s="185">
        <v>0.13563517915309448</v>
      </c>
      <c r="AS104" s="185">
        <v>0.14277387279273102</v>
      </c>
      <c r="AT104" s="188">
        <v>1041</v>
      </c>
      <c r="AU104" s="185">
        <v>0.13563517915309448</v>
      </c>
      <c r="AV104" s="185">
        <v>0.14277387279273102</v>
      </c>
      <c r="AW104" s="185"/>
      <c r="AX104" s="185"/>
      <c r="AY104" s="185"/>
      <c r="AZ104" s="185"/>
      <c r="BA104" s="185"/>
      <c r="BB104" s="185"/>
      <c r="BC104" s="188">
        <v>1041</v>
      </c>
      <c r="BD104" s="185">
        <v>0.13563517915309448</v>
      </c>
      <c r="BE104" s="185">
        <v>0.14277387279273102</v>
      </c>
      <c r="BF104" s="188"/>
      <c r="BG104" s="188">
        <v>1041</v>
      </c>
      <c r="BH104" s="185">
        <v>0.13563517915309448</v>
      </c>
      <c r="BI104" s="185">
        <v>0.14277387279273102</v>
      </c>
      <c r="BJ104" s="188">
        <v>7291.25</v>
      </c>
      <c r="BK104" s="188">
        <v>2567</v>
      </c>
      <c r="BL104" s="185">
        <v>0.33446254071661236</v>
      </c>
      <c r="BM104" s="185">
        <v>0.35206583233327621</v>
      </c>
      <c r="BN104" s="188">
        <v>2704.6</v>
      </c>
      <c r="BO104" s="185">
        <v>0.35239087947882736</v>
      </c>
      <c r="BP104" s="185">
        <v>0.37093776787244986</v>
      </c>
      <c r="BQ104" s="188">
        <v>2823.0630000000001</v>
      </c>
      <c r="BR104" s="185">
        <f t="shared" si="123"/>
        <v>0.36782579804560261</v>
      </c>
      <c r="BS104" s="185">
        <f t="shared" si="121"/>
        <v>0.38718505057431857</v>
      </c>
      <c r="BT104" s="205">
        <f t="shared" si="122"/>
        <v>1782.0630000000001</v>
      </c>
      <c r="BU104" s="205"/>
      <c r="BV104" s="189" t="e">
        <f>#REF!+#REF!</f>
        <v>#REF!</v>
      </c>
      <c r="BW104" s="186" t="e">
        <f t="shared" si="124"/>
        <v>#REF!</v>
      </c>
      <c r="BX104" s="189" t="e">
        <f>#REF!+#REF!</f>
        <v>#REF!</v>
      </c>
      <c r="BY104" s="186" t="e">
        <f t="shared" si="125"/>
        <v>#REF!</v>
      </c>
      <c r="BZ104" s="189" t="e">
        <f>#REF!+#REF!</f>
        <v>#REF!</v>
      </c>
      <c r="CA104" s="186" t="e">
        <f t="shared" si="126"/>
        <v>#REF!</v>
      </c>
      <c r="CB104" s="189" t="e">
        <f>#REF!+#REF!</f>
        <v>#REF!</v>
      </c>
      <c r="CC104" s="186" t="e">
        <f t="shared" si="127"/>
        <v>#REF!</v>
      </c>
      <c r="CD104" s="189" t="e">
        <f>#REF!+#REF!</f>
        <v>#REF!</v>
      </c>
      <c r="CE104" s="186" t="e">
        <f t="shared" si="128"/>
        <v>#REF!</v>
      </c>
      <c r="CF104" s="189" t="e">
        <f>#REF!+#REF!</f>
        <v>#REF!</v>
      </c>
      <c r="CG104" s="186" t="e">
        <f t="shared" si="129"/>
        <v>#REF!</v>
      </c>
      <c r="CH104" s="189" t="e">
        <f>#REF!+#REF!</f>
        <v>#REF!</v>
      </c>
      <c r="CI104" s="186" t="e">
        <f t="shared" si="130"/>
        <v>#REF!</v>
      </c>
      <c r="CJ104" s="189" t="e">
        <f>#REF!+#REF!</f>
        <v>#REF!</v>
      </c>
      <c r="CK104" s="186" t="e">
        <f t="shared" ref="CK104:CK125" si="137">CJ104/$D104</f>
        <v>#REF!</v>
      </c>
      <c r="CL104" s="189" t="e">
        <f>#REF!+#REF!</f>
        <v>#REF!</v>
      </c>
      <c r="CM104" s="186" t="e">
        <f t="shared" si="132"/>
        <v>#REF!</v>
      </c>
      <c r="CN104" s="189" t="e">
        <f>#REF!+#REF!</f>
        <v>#REF!</v>
      </c>
      <c r="CO104" s="186" t="e">
        <f t="shared" ref="CO104:CO125" si="138">CN104/$D104</f>
        <v>#REF!</v>
      </c>
      <c r="CP104" s="189" t="e">
        <f>#REF!+#REF!</f>
        <v>#REF!</v>
      </c>
      <c r="CQ104" s="186" t="e">
        <f t="shared" si="134"/>
        <v>#REF!</v>
      </c>
      <c r="CR104" s="189" t="e">
        <f>#REF!+#REF!</f>
        <v>#REF!</v>
      </c>
      <c r="CS104" s="186" t="e">
        <f t="shared" si="135"/>
        <v>#REF!</v>
      </c>
      <c r="CT104" s="189" t="e">
        <f>#REF!+#REF!</f>
        <v>#REF!</v>
      </c>
      <c r="CU104" s="186" t="e">
        <f t="shared" si="136"/>
        <v>#REF!</v>
      </c>
      <c r="CV104" s="416">
        <f t="shared" si="118"/>
        <v>118.46300000000019</v>
      </c>
      <c r="CW104" s="191" t="str">
        <f t="shared" si="119"/>
        <v>Cao hơn</v>
      </c>
      <c r="CX104" s="191" t="str">
        <f t="shared" si="120"/>
        <v>Thấp hơn</v>
      </c>
      <c r="CY104" s="213"/>
      <c r="CZ104" s="213"/>
      <c r="DA104" s="231"/>
      <c r="DB104" s="163"/>
      <c r="DD104" s="195"/>
      <c r="DE104" s="196"/>
      <c r="DF104" s="196"/>
      <c r="DG104" s="197"/>
      <c r="DH104" s="196"/>
      <c r="DI104" s="196"/>
      <c r="DJ104" s="196"/>
      <c r="DL104" s="199"/>
      <c r="DM104" s="200"/>
    </row>
    <row r="105" spans="1:117" ht="18" customHeight="1" x14ac:dyDescent="0.25">
      <c r="A105" s="191">
        <v>40</v>
      </c>
      <c r="B105" s="240" t="s">
        <v>430</v>
      </c>
      <c r="C105" s="240"/>
      <c r="D105" s="188">
        <v>5040</v>
      </c>
      <c r="E105" s="188">
        <v>0</v>
      </c>
      <c r="F105" s="188">
        <v>5040</v>
      </c>
      <c r="G105" s="188">
        <v>3000</v>
      </c>
      <c r="H105" s="188">
        <v>2040</v>
      </c>
      <c r="I105" s="188">
        <v>0</v>
      </c>
      <c r="J105" s="188"/>
      <c r="K105" s="188">
        <v>0</v>
      </c>
      <c r="L105" s="188">
        <v>0</v>
      </c>
      <c r="M105" s="188">
        <v>0</v>
      </c>
      <c r="N105" s="188">
        <v>0</v>
      </c>
      <c r="O105" s="188">
        <v>3000</v>
      </c>
      <c r="P105" s="188">
        <v>0</v>
      </c>
      <c r="Q105" s="186">
        <v>0</v>
      </c>
      <c r="R105" s="188">
        <v>0</v>
      </c>
      <c r="S105" s="185">
        <v>0</v>
      </c>
      <c r="T105" s="185">
        <v>0</v>
      </c>
      <c r="U105" s="188">
        <v>0</v>
      </c>
      <c r="V105" s="185">
        <v>0</v>
      </c>
      <c r="W105" s="185">
        <v>0</v>
      </c>
      <c r="X105" s="188">
        <v>0</v>
      </c>
      <c r="Y105" s="185">
        <v>0</v>
      </c>
      <c r="Z105" s="185">
        <v>0</v>
      </c>
      <c r="AA105" s="188">
        <v>0</v>
      </c>
      <c r="AB105" s="185">
        <v>0</v>
      </c>
      <c r="AC105" s="185">
        <v>0</v>
      </c>
      <c r="AD105" s="188">
        <v>732</v>
      </c>
      <c r="AE105" s="185">
        <v>0.14523809523809525</v>
      </c>
      <c r="AF105" s="185">
        <v>0.15288220551378445</v>
      </c>
      <c r="AG105" s="188">
        <v>732</v>
      </c>
      <c r="AH105" s="185">
        <v>0.14523809523809525</v>
      </c>
      <c r="AI105" s="185">
        <v>0.15288220551378445</v>
      </c>
      <c r="AJ105" s="303">
        <v>732</v>
      </c>
      <c r="AK105" s="185">
        <v>0.14523809523809525</v>
      </c>
      <c r="AL105" s="185">
        <v>0.15288220551378445</v>
      </c>
      <c r="AM105" s="188">
        <v>1593</v>
      </c>
      <c r="AN105" s="185">
        <v>0.31607142857142856</v>
      </c>
      <c r="AO105" s="185">
        <v>0.33270676691729323</v>
      </c>
      <c r="AP105" s="185"/>
      <c r="AQ105" s="188">
        <v>1593</v>
      </c>
      <c r="AR105" s="185">
        <v>0.31607142857142856</v>
      </c>
      <c r="AS105" s="185">
        <v>0.33270676691729323</v>
      </c>
      <c r="AT105" s="188">
        <v>1593</v>
      </c>
      <c r="AU105" s="185">
        <v>0.31607142857142856</v>
      </c>
      <c r="AV105" s="185">
        <v>0.33270676691729323</v>
      </c>
      <c r="AW105" s="185"/>
      <c r="AX105" s="185"/>
      <c r="AY105" s="185"/>
      <c r="AZ105" s="185"/>
      <c r="BA105" s="185"/>
      <c r="BB105" s="185"/>
      <c r="BC105" s="188">
        <v>1593</v>
      </c>
      <c r="BD105" s="185">
        <v>0.31607142857142856</v>
      </c>
      <c r="BE105" s="185">
        <v>0.33270676691729323</v>
      </c>
      <c r="BF105" s="188"/>
      <c r="BG105" s="188">
        <v>3165</v>
      </c>
      <c r="BH105" s="185">
        <v>0.95</v>
      </c>
      <c r="BI105" s="185">
        <v>1</v>
      </c>
      <c r="BJ105" s="188">
        <v>4788</v>
      </c>
      <c r="BK105" s="188">
        <v>4032</v>
      </c>
      <c r="BL105" s="185">
        <v>0.8</v>
      </c>
      <c r="BM105" s="185">
        <v>0.84210526315789469</v>
      </c>
      <c r="BN105" s="188">
        <v>4090</v>
      </c>
      <c r="BO105" s="185">
        <v>0.81150793650793651</v>
      </c>
      <c r="BP105" s="185">
        <v>0.85421888053466999</v>
      </c>
      <c r="BQ105" s="188">
        <v>4120</v>
      </c>
      <c r="BR105" s="185">
        <f t="shared" si="123"/>
        <v>0.81746031746031744</v>
      </c>
      <c r="BS105" s="185">
        <f t="shared" si="121"/>
        <v>0.86048454469507096</v>
      </c>
      <c r="BT105" s="205">
        <f t="shared" si="122"/>
        <v>3388</v>
      </c>
      <c r="BU105" s="205"/>
      <c r="BV105" s="189" t="e">
        <f>#REF!+#REF!</f>
        <v>#REF!</v>
      </c>
      <c r="BW105" s="186" t="e">
        <f t="shared" si="124"/>
        <v>#REF!</v>
      </c>
      <c r="BX105" s="189" t="e">
        <f>#REF!+#REF!</f>
        <v>#REF!</v>
      </c>
      <c r="BY105" s="186" t="e">
        <f t="shared" si="125"/>
        <v>#REF!</v>
      </c>
      <c r="BZ105" s="189" t="e">
        <f>#REF!+#REF!</f>
        <v>#REF!</v>
      </c>
      <c r="CA105" s="186" t="e">
        <f t="shared" si="126"/>
        <v>#REF!</v>
      </c>
      <c r="CB105" s="189" t="e">
        <f>#REF!+#REF!</f>
        <v>#REF!</v>
      </c>
      <c r="CC105" s="186" t="e">
        <f t="shared" si="127"/>
        <v>#REF!</v>
      </c>
      <c r="CD105" s="189" t="e">
        <f>#REF!+#REF!</f>
        <v>#REF!</v>
      </c>
      <c r="CE105" s="186" t="e">
        <f t="shared" si="128"/>
        <v>#REF!</v>
      </c>
      <c r="CF105" s="189" t="e">
        <f>#REF!+#REF!</f>
        <v>#REF!</v>
      </c>
      <c r="CG105" s="186" t="e">
        <f t="shared" si="129"/>
        <v>#REF!</v>
      </c>
      <c r="CH105" s="189" t="e">
        <f>#REF!+#REF!</f>
        <v>#REF!</v>
      </c>
      <c r="CI105" s="186" t="e">
        <f t="shared" si="130"/>
        <v>#REF!</v>
      </c>
      <c r="CJ105" s="189" t="e">
        <f>#REF!+#REF!</f>
        <v>#REF!</v>
      </c>
      <c r="CK105" s="186" t="e">
        <f t="shared" si="137"/>
        <v>#REF!</v>
      </c>
      <c r="CL105" s="189" t="e">
        <f>#REF!+#REF!</f>
        <v>#REF!</v>
      </c>
      <c r="CM105" s="186" t="e">
        <f t="shared" si="132"/>
        <v>#REF!</v>
      </c>
      <c r="CN105" s="189" t="e">
        <f>#REF!+#REF!</f>
        <v>#REF!</v>
      </c>
      <c r="CO105" s="186" t="e">
        <f t="shared" si="138"/>
        <v>#REF!</v>
      </c>
      <c r="CP105" s="189" t="e">
        <f>#REF!+#REF!</f>
        <v>#REF!</v>
      </c>
      <c r="CQ105" s="186" t="e">
        <f t="shared" si="134"/>
        <v>#REF!</v>
      </c>
      <c r="CR105" s="189" t="e">
        <f>#REF!+#REF!</f>
        <v>#REF!</v>
      </c>
      <c r="CS105" s="186" t="e">
        <f t="shared" si="135"/>
        <v>#REF!</v>
      </c>
      <c r="CT105" s="189" t="e">
        <f>#REF!+#REF!</f>
        <v>#REF!</v>
      </c>
      <c r="CU105" s="186" t="e">
        <f t="shared" si="136"/>
        <v>#REF!</v>
      </c>
      <c r="CV105" s="416">
        <f t="shared" si="118"/>
        <v>30</v>
      </c>
      <c r="CW105" s="191" t="str">
        <f t="shared" si="119"/>
        <v>Cao hơn</v>
      </c>
      <c r="CX105" s="191" t="str">
        <f t="shared" si="120"/>
        <v>Cao hơn</v>
      </c>
      <c r="CY105" s="213"/>
      <c r="CZ105" s="213"/>
      <c r="DA105" s="231"/>
      <c r="DB105" s="163"/>
      <c r="DD105" s="195"/>
      <c r="DE105" s="196"/>
      <c r="DF105" s="196"/>
      <c r="DG105" s="197"/>
      <c r="DH105" s="196"/>
      <c r="DI105" s="196"/>
      <c r="DJ105" s="196"/>
      <c r="DL105" s="199"/>
      <c r="DM105" s="200"/>
    </row>
    <row r="106" spans="1:117" ht="18" customHeight="1" x14ac:dyDescent="0.25">
      <c r="A106" s="191">
        <v>41</v>
      </c>
      <c r="B106" s="240" t="s">
        <v>431</v>
      </c>
      <c r="C106" s="240"/>
      <c r="D106" s="188">
        <v>11500</v>
      </c>
      <c r="E106" s="188">
        <v>0</v>
      </c>
      <c r="F106" s="188">
        <v>11500</v>
      </c>
      <c r="G106" s="188">
        <v>3000</v>
      </c>
      <c r="H106" s="188">
        <v>8500</v>
      </c>
      <c r="I106" s="188">
        <v>0</v>
      </c>
      <c r="J106" s="188"/>
      <c r="K106" s="188">
        <v>0</v>
      </c>
      <c r="L106" s="188">
        <v>0</v>
      </c>
      <c r="M106" s="188">
        <v>0</v>
      </c>
      <c r="N106" s="188">
        <v>0</v>
      </c>
      <c r="O106" s="188">
        <v>3000</v>
      </c>
      <c r="P106" s="188">
        <v>0</v>
      </c>
      <c r="Q106" s="186">
        <v>0</v>
      </c>
      <c r="R106" s="188">
        <v>0</v>
      </c>
      <c r="S106" s="185">
        <v>0</v>
      </c>
      <c r="T106" s="185">
        <v>0</v>
      </c>
      <c r="U106" s="188">
        <v>0</v>
      </c>
      <c r="V106" s="185">
        <v>0</v>
      </c>
      <c r="W106" s="185">
        <v>0</v>
      </c>
      <c r="X106" s="188">
        <v>0</v>
      </c>
      <c r="Y106" s="185">
        <v>0</v>
      </c>
      <c r="Z106" s="185">
        <v>0</v>
      </c>
      <c r="AA106" s="188">
        <v>0</v>
      </c>
      <c r="AB106" s="185">
        <v>0</v>
      </c>
      <c r="AC106" s="185">
        <v>0</v>
      </c>
      <c r="AD106" s="188">
        <v>413</v>
      </c>
      <c r="AE106" s="185">
        <v>3.5913043478260867E-2</v>
      </c>
      <c r="AF106" s="185">
        <v>3.780320366132723E-2</v>
      </c>
      <c r="AG106" s="188">
        <v>413</v>
      </c>
      <c r="AH106" s="185">
        <v>3.5913043478260867E-2</v>
      </c>
      <c r="AI106" s="185">
        <v>3.780320366132723E-2</v>
      </c>
      <c r="AJ106" s="303">
        <v>413</v>
      </c>
      <c r="AK106" s="185">
        <v>3.5913043478260867E-2</v>
      </c>
      <c r="AL106" s="185">
        <v>3.780320366132723E-2</v>
      </c>
      <c r="AM106" s="188">
        <v>1549</v>
      </c>
      <c r="AN106" s="185">
        <v>0.13469565217391305</v>
      </c>
      <c r="AO106" s="185">
        <v>0.14178489702517164</v>
      </c>
      <c r="AP106" s="185"/>
      <c r="AQ106" s="188">
        <v>2417</v>
      </c>
      <c r="AR106" s="185">
        <v>0.21017391304347827</v>
      </c>
      <c r="AS106" s="185">
        <v>0.22123569794050343</v>
      </c>
      <c r="AT106" s="188">
        <v>2417</v>
      </c>
      <c r="AU106" s="185">
        <v>0.21017391304347827</v>
      </c>
      <c r="AV106" s="185">
        <v>0.22123569794050343</v>
      </c>
      <c r="AW106" s="185"/>
      <c r="AX106" s="185"/>
      <c r="AY106" s="185"/>
      <c r="AZ106" s="185"/>
      <c r="BA106" s="185"/>
      <c r="BB106" s="185"/>
      <c r="BC106" s="188">
        <v>2417</v>
      </c>
      <c r="BD106" s="185">
        <v>0.21017391304347827</v>
      </c>
      <c r="BE106" s="185">
        <v>0.22123569794050343</v>
      </c>
      <c r="BF106" s="188"/>
      <c r="BG106" s="188">
        <v>4361.5556319999996</v>
      </c>
      <c r="BH106" s="185">
        <v>0.37926570713043473</v>
      </c>
      <c r="BI106" s="185">
        <v>0.39922706013729975</v>
      </c>
      <c r="BJ106" s="188">
        <v>10925</v>
      </c>
      <c r="BK106" s="188">
        <v>6555.8</v>
      </c>
      <c r="BL106" s="185">
        <v>0.57006956521739127</v>
      </c>
      <c r="BM106" s="185">
        <v>0.60007322654462247</v>
      </c>
      <c r="BN106" s="188">
        <v>6555.8</v>
      </c>
      <c r="BO106" s="185">
        <v>0.57006956521739127</v>
      </c>
      <c r="BP106" s="185">
        <v>0.60007322654462247</v>
      </c>
      <c r="BQ106" s="188">
        <v>6555.8</v>
      </c>
      <c r="BR106" s="185">
        <f t="shared" si="123"/>
        <v>0.57006956521739127</v>
      </c>
      <c r="BS106" s="185">
        <f t="shared" si="121"/>
        <v>0.60007322654462247</v>
      </c>
      <c r="BT106" s="205">
        <f t="shared" si="122"/>
        <v>6142.8</v>
      </c>
      <c r="BU106" s="205"/>
      <c r="BV106" s="189" t="e">
        <f>#REF!+#REF!</f>
        <v>#REF!</v>
      </c>
      <c r="BW106" s="186" t="e">
        <f t="shared" si="124"/>
        <v>#REF!</v>
      </c>
      <c r="BX106" s="189" t="e">
        <f>#REF!+#REF!</f>
        <v>#REF!</v>
      </c>
      <c r="BY106" s="186" t="e">
        <f t="shared" si="125"/>
        <v>#REF!</v>
      </c>
      <c r="BZ106" s="189" t="e">
        <f>#REF!+#REF!</f>
        <v>#REF!</v>
      </c>
      <c r="CA106" s="186" t="e">
        <f t="shared" si="126"/>
        <v>#REF!</v>
      </c>
      <c r="CB106" s="189" t="e">
        <f>#REF!+#REF!</f>
        <v>#REF!</v>
      </c>
      <c r="CC106" s="186" t="e">
        <f t="shared" si="127"/>
        <v>#REF!</v>
      </c>
      <c r="CD106" s="189" t="e">
        <f>#REF!+#REF!</f>
        <v>#REF!</v>
      </c>
      <c r="CE106" s="186" t="e">
        <f t="shared" si="128"/>
        <v>#REF!</v>
      </c>
      <c r="CF106" s="189" t="e">
        <f>#REF!+#REF!</f>
        <v>#REF!</v>
      </c>
      <c r="CG106" s="186" t="e">
        <f t="shared" si="129"/>
        <v>#REF!</v>
      </c>
      <c r="CH106" s="189" t="e">
        <f>#REF!+#REF!</f>
        <v>#REF!</v>
      </c>
      <c r="CI106" s="186" t="e">
        <f t="shared" si="130"/>
        <v>#REF!</v>
      </c>
      <c r="CJ106" s="189" t="e">
        <f>#REF!+#REF!</f>
        <v>#REF!</v>
      </c>
      <c r="CK106" s="186" t="e">
        <f t="shared" si="137"/>
        <v>#REF!</v>
      </c>
      <c r="CL106" s="189" t="e">
        <f>#REF!+#REF!</f>
        <v>#REF!</v>
      </c>
      <c r="CM106" s="186" t="e">
        <f t="shared" si="132"/>
        <v>#REF!</v>
      </c>
      <c r="CN106" s="189" t="e">
        <f>#REF!+#REF!</f>
        <v>#REF!</v>
      </c>
      <c r="CO106" s="186" t="e">
        <f t="shared" si="138"/>
        <v>#REF!</v>
      </c>
      <c r="CP106" s="189" t="e">
        <f>#REF!+#REF!</f>
        <v>#REF!</v>
      </c>
      <c r="CQ106" s="186" t="e">
        <f t="shared" si="134"/>
        <v>#REF!</v>
      </c>
      <c r="CR106" s="189" t="e">
        <f>#REF!+#REF!</f>
        <v>#REF!</v>
      </c>
      <c r="CS106" s="186" t="e">
        <f t="shared" si="135"/>
        <v>#REF!</v>
      </c>
      <c r="CT106" s="189" t="e">
        <f>#REF!+#REF!</f>
        <v>#REF!</v>
      </c>
      <c r="CU106" s="186" t="e">
        <f t="shared" si="136"/>
        <v>#REF!</v>
      </c>
      <c r="CV106" s="416">
        <f t="shared" si="118"/>
        <v>0</v>
      </c>
      <c r="CW106" s="191" t="str">
        <f t="shared" si="119"/>
        <v>Cao hơn</v>
      </c>
      <c r="CX106" s="191" t="str">
        <f t="shared" si="120"/>
        <v>Cao hơn</v>
      </c>
      <c r="CY106" s="213"/>
      <c r="CZ106" s="213"/>
      <c r="DA106" s="231"/>
      <c r="DB106" s="163"/>
      <c r="DD106" s="195"/>
      <c r="DE106" s="196"/>
      <c r="DF106" s="196"/>
      <c r="DG106" s="197"/>
      <c r="DH106" s="196"/>
      <c r="DI106" s="196"/>
      <c r="DJ106" s="196"/>
      <c r="DL106" s="199"/>
      <c r="DM106" s="200"/>
    </row>
    <row r="107" spans="1:117" ht="18" customHeight="1" x14ac:dyDescent="0.25">
      <c r="A107" s="191">
        <v>42</v>
      </c>
      <c r="B107" s="240" t="s">
        <v>432</v>
      </c>
      <c r="C107" s="240"/>
      <c r="D107" s="188">
        <v>4275</v>
      </c>
      <c r="E107" s="188">
        <v>0</v>
      </c>
      <c r="F107" s="188">
        <v>4275</v>
      </c>
      <c r="G107" s="188">
        <v>3000</v>
      </c>
      <c r="H107" s="188">
        <v>1275</v>
      </c>
      <c r="I107" s="188">
        <v>0</v>
      </c>
      <c r="J107" s="188"/>
      <c r="K107" s="188">
        <v>0</v>
      </c>
      <c r="L107" s="188">
        <v>0</v>
      </c>
      <c r="M107" s="188">
        <v>0</v>
      </c>
      <c r="N107" s="188">
        <v>0</v>
      </c>
      <c r="O107" s="188">
        <v>3000</v>
      </c>
      <c r="P107" s="188">
        <v>0</v>
      </c>
      <c r="Q107" s="186">
        <v>0</v>
      </c>
      <c r="R107" s="188">
        <v>0</v>
      </c>
      <c r="S107" s="185">
        <v>0</v>
      </c>
      <c r="T107" s="185">
        <v>0</v>
      </c>
      <c r="U107" s="188">
        <v>0</v>
      </c>
      <c r="V107" s="185">
        <v>0</v>
      </c>
      <c r="W107" s="185">
        <v>0</v>
      </c>
      <c r="X107" s="188">
        <v>0</v>
      </c>
      <c r="Y107" s="185">
        <v>0</v>
      </c>
      <c r="Z107" s="185">
        <v>0</v>
      </c>
      <c r="AA107" s="188">
        <v>0</v>
      </c>
      <c r="AB107" s="185">
        <v>0</v>
      </c>
      <c r="AC107" s="185">
        <v>0</v>
      </c>
      <c r="AD107" s="188">
        <v>0</v>
      </c>
      <c r="AE107" s="185">
        <v>0</v>
      </c>
      <c r="AF107" s="185">
        <v>0</v>
      </c>
      <c r="AG107" s="188">
        <v>0</v>
      </c>
      <c r="AH107" s="185">
        <v>0</v>
      </c>
      <c r="AI107" s="185">
        <v>0</v>
      </c>
      <c r="AJ107" s="303">
        <v>0</v>
      </c>
      <c r="AK107" s="185">
        <v>0</v>
      </c>
      <c r="AL107" s="185">
        <v>0</v>
      </c>
      <c r="AM107" s="314">
        <v>0</v>
      </c>
      <c r="AN107" s="185">
        <v>0</v>
      </c>
      <c r="AO107" s="185">
        <v>0</v>
      </c>
      <c r="AP107" s="185"/>
      <c r="AQ107" s="188">
        <v>1800.9659999999999</v>
      </c>
      <c r="AR107" s="185">
        <v>0.42127859649122806</v>
      </c>
      <c r="AS107" s="185">
        <v>0.44345115420129266</v>
      </c>
      <c r="AT107" s="188">
        <v>1800.9659999999999</v>
      </c>
      <c r="AU107" s="185">
        <v>0.42127859649122806</v>
      </c>
      <c r="AV107" s="185">
        <v>0.44345115420129266</v>
      </c>
      <c r="AW107" s="185"/>
      <c r="AX107" s="185"/>
      <c r="AY107" s="185"/>
      <c r="AZ107" s="185"/>
      <c r="BA107" s="185"/>
      <c r="BB107" s="185"/>
      <c r="BC107" s="188">
        <v>1800.9659999999999</v>
      </c>
      <c r="BD107" s="185">
        <v>0.42127859649122806</v>
      </c>
      <c r="BE107" s="185">
        <v>0.44345115420129266</v>
      </c>
      <c r="BF107" s="188"/>
      <c r="BG107" s="188">
        <v>1800.9659999999999</v>
      </c>
      <c r="BH107" s="185">
        <v>0.42127859649122806</v>
      </c>
      <c r="BI107" s="185">
        <v>0.44345115420129266</v>
      </c>
      <c r="BJ107" s="188">
        <v>4061.25</v>
      </c>
      <c r="BK107" s="188">
        <v>1800.9659999999999</v>
      </c>
      <c r="BL107" s="185">
        <v>0.42127859649122806</v>
      </c>
      <c r="BM107" s="185">
        <v>0.44345115420129266</v>
      </c>
      <c r="BN107" s="188">
        <v>1800.9659999999999</v>
      </c>
      <c r="BO107" s="185">
        <v>0.42127859649122806</v>
      </c>
      <c r="BP107" s="185">
        <v>0.44345115420129266</v>
      </c>
      <c r="BQ107" s="188">
        <v>1800.9659999999999</v>
      </c>
      <c r="BR107" s="185">
        <f t="shared" si="123"/>
        <v>0.42127859649122806</v>
      </c>
      <c r="BS107" s="185">
        <f t="shared" si="121"/>
        <v>0.44345115420129266</v>
      </c>
      <c r="BT107" s="205">
        <f t="shared" si="122"/>
        <v>1800.9659999999999</v>
      </c>
      <c r="BU107" s="205"/>
      <c r="BV107" s="189" t="e">
        <f>#REF!+#REF!</f>
        <v>#REF!</v>
      </c>
      <c r="BW107" s="186" t="e">
        <f t="shared" si="124"/>
        <v>#REF!</v>
      </c>
      <c r="BX107" s="189" t="e">
        <f>#REF!+#REF!</f>
        <v>#REF!</v>
      </c>
      <c r="BY107" s="186" t="e">
        <f t="shared" si="125"/>
        <v>#REF!</v>
      </c>
      <c r="BZ107" s="189" t="e">
        <f>#REF!+#REF!</f>
        <v>#REF!</v>
      </c>
      <c r="CA107" s="186" t="e">
        <f t="shared" si="126"/>
        <v>#REF!</v>
      </c>
      <c r="CB107" s="189" t="e">
        <f>#REF!+#REF!</f>
        <v>#REF!</v>
      </c>
      <c r="CC107" s="186" t="e">
        <f t="shared" si="127"/>
        <v>#REF!</v>
      </c>
      <c r="CD107" s="189" t="e">
        <f>#REF!+#REF!</f>
        <v>#REF!</v>
      </c>
      <c r="CE107" s="186" t="e">
        <f t="shared" si="128"/>
        <v>#REF!</v>
      </c>
      <c r="CF107" s="189" t="e">
        <f>#REF!+#REF!</f>
        <v>#REF!</v>
      </c>
      <c r="CG107" s="186" t="e">
        <f t="shared" si="129"/>
        <v>#REF!</v>
      </c>
      <c r="CH107" s="189" t="e">
        <f>#REF!+#REF!</f>
        <v>#REF!</v>
      </c>
      <c r="CI107" s="186" t="e">
        <f t="shared" si="130"/>
        <v>#REF!</v>
      </c>
      <c r="CJ107" s="189" t="e">
        <f>#REF!+#REF!</f>
        <v>#REF!</v>
      </c>
      <c r="CK107" s="186" t="e">
        <f t="shared" si="137"/>
        <v>#REF!</v>
      </c>
      <c r="CL107" s="189" t="e">
        <f>#REF!+#REF!</f>
        <v>#REF!</v>
      </c>
      <c r="CM107" s="186" t="e">
        <f t="shared" si="132"/>
        <v>#REF!</v>
      </c>
      <c r="CN107" s="189" t="e">
        <f>#REF!+#REF!</f>
        <v>#REF!</v>
      </c>
      <c r="CO107" s="186" t="e">
        <f t="shared" si="138"/>
        <v>#REF!</v>
      </c>
      <c r="CP107" s="189" t="e">
        <f>#REF!+#REF!</f>
        <v>#REF!</v>
      </c>
      <c r="CQ107" s="186" t="e">
        <f t="shared" si="134"/>
        <v>#REF!</v>
      </c>
      <c r="CR107" s="189" t="e">
        <f>#REF!+#REF!</f>
        <v>#REF!</v>
      </c>
      <c r="CS107" s="186" t="e">
        <f t="shared" si="135"/>
        <v>#REF!</v>
      </c>
      <c r="CT107" s="189" t="e">
        <f>#REF!+#REF!</f>
        <v>#REF!</v>
      </c>
      <c r="CU107" s="186" t="e">
        <f t="shared" si="136"/>
        <v>#REF!</v>
      </c>
      <c r="CV107" s="416">
        <f t="shared" si="118"/>
        <v>0</v>
      </c>
      <c r="CW107" s="191" t="str">
        <f t="shared" si="119"/>
        <v>Cao hơn</v>
      </c>
      <c r="CX107" s="191" t="str">
        <f t="shared" si="120"/>
        <v>Cao hơn</v>
      </c>
      <c r="CY107" s="213"/>
      <c r="CZ107" s="213"/>
      <c r="DA107" s="229"/>
      <c r="DB107" s="163"/>
      <c r="DD107" s="195"/>
      <c r="DE107" s="196"/>
      <c r="DF107" s="196"/>
      <c r="DG107" s="197"/>
      <c r="DH107" s="196"/>
      <c r="DI107" s="196"/>
      <c r="DJ107" s="196"/>
      <c r="DL107" s="199"/>
      <c r="DM107" s="200"/>
    </row>
    <row r="108" spans="1:117" ht="18" customHeight="1" x14ac:dyDescent="0.25">
      <c r="A108" s="191">
        <v>43</v>
      </c>
      <c r="B108" s="240" t="s">
        <v>433</v>
      </c>
      <c r="C108" s="240"/>
      <c r="D108" s="188">
        <v>6825</v>
      </c>
      <c r="E108" s="188">
        <v>0</v>
      </c>
      <c r="F108" s="188">
        <v>6825</v>
      </c>
      <c r="G108" s="188">
        <v>3000</v>
      </c>
      <c r="H108" s="188">
        <v>3825</v>
      </c>
      <c r="I108" s="188">
        <v>0</v>
      </c>
      <c r="J108" s="188"/>
      <c r="K108" s="188">
        <v>0</v>
      </c>
      <c r="L108" s="188">
        <v>0</v>
      </c>
      <c r="M108" s="188">
        <v>0</v>
      </c>
      <c r="N108" s="188">
        <v>0</v>
      </c>
      <c r="O108" s="188">
        <v>3000</v>
      </c>
      <c r="P108" s="188">
        <v>0</v>
      </c>
      <c r="Q108" s="186">
        <v>0</v>
      </c>
      <c r="R108" s="188">
        <v>0</v>
      </c>
      <c r="S108" s="185">
        <v>0</v>
      </c>
      <c r="T108" s="185">
        <v>0</v>
      </c>
      <c r="U108" s="188">
        <v>181.10059999999999</v>
      </c>
      <c r="V108" s="185">
        <v>2.6534886446886445E-2</v>
      </c>
      <c r="W108" s="185">
        <v>2.7931459417775206E-2</v>
      </c>
      <c r="X108" s="188">
        <v>181.10059999999999</v>
      </c>
      <c r="Y108" s="185">
        <v>2.6534886446886445E-2</v>
      </c>
      <c r="Z108" s="185">
        <v>2.7931459417775206E-2</v>
      </c>
      <c r="AA108" s="188">
        <v>181.10059999999999</v>
      </c>
      <c r="AB108" s="185">
        <v>2.6534886446886445E-2</v>
      </c>
      <c r="AC108" s="185">
        <v>2.7931459417775206E-2</v>
      </c>
      <c r="AD108" s="188">
        <v>1612</v>
      </c>
      <c r="AE108" s="185">
        <v>0.2361904761904762</v>
      </c>
      <c r="AF108" s="185">
        <v>0.24862155388471177</v>
      </c>
      <c r="AG108" s="188">
        <v>1612</v>
      </c>
      <c r="AH108" s="185">
        <v>0.2361904761904762</v>
      </c>
      <c r="AI108" s="185">
        <v>0.24862155388471177</v>
      </c>
      <c r="AJ108" s="303">
        <v>1612</v>
      </c>
      <c r="AK108" s="185">
        <v>0.2361904761904762</v>
      </c>
      <c r="AL108" s="185">
        <v>0.24862155388471177</v>
      </c>
      <c r="AM108" s="314">
        <v>1612</v>
      </c>
      <c r="AN108" s="185">
        <v>0.2361904761904762</v>
      </c>
      <c r="AO108" s="185">
        <v>0.24862155388471177</v>
      </c>
      <c r="AP108" s="185"/>
      <c r="AQ108" s="188">
        <v>1612</v>
      </c>
      <c r="AR108" s="185">
        <v>0.2361904761904762</v>
      </c>
      <c r="AS108" s="185">
        <v>0.24862155388471177</v>
      </c>
      <c r="AT108" s="188">
        <v>1612</v>
      </c>
      <c r="AU108" s="185">
        <v>0.2361904761904762</v>
      </c>
      <c r="AV108" s="185">
        <v>0.24862155388471177</v>
      </c>
      <c r="AW108" s="185"/>
      <c r="AX108" s="185"/>
      <c r="AY108" s="185"/>
      <c r="AZ108" s="185"/>
      <c r="BA108" s="185"/>
      <c r="BB108" s="185"/>
      <c r="BC108" s="188">
        <v>1612</v>
      </c>
      <c r="BD108" s="185">
        <v>0.2361904761904762</v>
      </c>
      <c r="BE108" s="185">
        <v>0.24862155388471177</v>
      </c>
      <c r="BF108" s="188"/>
      <c r="BG108" s="188">
        <v>1811</v>
      </c>
      <c r="BH108" s="185">
        <v>0.26534798534798537</v>
      </c>
      <c r="BI108" s="185">
        <v>0.27931366878735298</v>
      </c>
      <c r="BJ108" s="188">
        <v>6483.75</v>
      </c>
      <c r="BK108" s="188">
        <v>3442</v>
      </c>
      <c r="BL108" s="185">
        <v>0.50432234432234435</v>
      </c>
      <c r="BM108" s="185">
        <v>0.53086562560246775</v>
      </c>
      <c r="BN108" s="188">
        <v>3442</v>
      </c>
      <c r="BO108" s="185">
        <v>0.50432234432234435</v>
      </c>
      <c r="BP108" s="185">
        <v>0.53086562560246775</v>
      </c>
      <c r="BQ108" s="188">
        <v>4387.3310609999999</v>
      </c>
      <c r="BR108" s="185">
        <f t="shared" si="123"/>
        <v>0.64283238989010982</v>
      </c>
      <c r="BS108" s="185">
        <f t="shared" si="121"/>
        <v>0.67666567356853669</v>
      </c>
      <c r="BT108" s="205">
        <f t="shared" si="122"/>
        <v>2775.3310609999999</v>
      </c>
      <c r="BU108" s="205"/>
      <c r="BV108" s="189" t="e">
        <f>#REF!+#REF!</f>
        <v>#REF!</v>
      </c>
      <c r="BW108" s="186" t="e">
        <f t="shared" si="124"/>
        <v>#REF!</v>
      </c>
      <c r="BX108" s="189" t="e">
        <f>#REF!+#REF!</f>
        <v>#REF!</v>
      </c>
      <c r="BY108" s="186" t="e">
        <f t="shared" si="125"/>
        <v>#REF!</v>
      </c>
      <c r="BZ108" s="189" t="e">
        <f>#REF!+#REF!</f>
        <v>#REF!</v>
      </c>
      <c r="CA108" s="186" t="e">
        <f t="shared" si="126"/>
        <v>#REF!</v>
      </c>
      <c r="CB108" s="189" t="e">
        <f>#REF!+#REF!</f>
        <v>#REF!</v>
      </c>
      <c r="CC108" s="186" t="e">
        <f t="shared" si="127"/>
        <v>#REF!</v>
      </c>
      <c r="CD108" s="189" t="e">
        <f>#REF!+#REF!</f>
        <v>#REF!</v>
      </c>
      <c r="CE108" s="186" t="e">
        <f t="shared" si="128"/>
        <v>#REF!</v>
      </c>
      <c r="CF108" s="189" t="e">
        <f>#REF!+#REF!</f>
        <v>#REF!</v>
      </c>
      <c r="CG108" s="186" t="e">
        <f t="shared" si="129"/>
        <v>#REF!</v>
      </c>
      <c r="CH108" s="189" t="e">
        <f>#REF!+#REF!</f>
        <v>#REF!</v>
      </c>
      <c r="CI108" s="186" t="e">
        <f t="shared" si="130"/>
        <v>#REF!</v>
      </c>
      <c r="CJ108" s="189" t="e">
        <f>#REF!+#REF!</f>
        <v>#REF!</v>
      </c>
      <c r="CK108" s="186" t="e">
        <f t="shared" si="137"/>
        <v>#REF!</v>
      </c>
      <c r="CL108" s="189" t="e">
        <f>#REF!+#REF!</f>
        <v>#REF!</v>
      </c>
      <c r="CM108" s="186" t="e">
        <f t="shared" si="132"/>
        <v>#REF!</v>
      </c>
      <c r="CN108" s="189" t="e">
        <f>#REF!+#REF!</f>
        <v>#REF!</v>
      </c>
      <c r="CO108" s="186" t="e">
        <f t="shared" si="138"/>
        <v>#REF!</v>
      </c>
      <c r="CP108" s="189" t="e">
        <f>#REF!+#REF!</f>
        <v>#REF!</v>
      </c>
      <c r="CQ108" s="186" t="e">
        <f t="shared" si="134"/>
        <v>#REF!</v>
      </c>
      <c r="CR108" s="189" t="e">
        <f>#REF!+#REF!</f>
        <v>#REF!</v>
      </c>
      <c r="CS108" s="186" t="e">
        <f t="shared" si="135"/>
        <v>#REF!</v>
      </c>
      <c r="CT108" s="189" t="e">
        <f>#REF!+#REF!</f>
        <v>#REF!</v>
      </c>
      <c r="CU108" s="186" t="e">
        <f t="shared" si="136"/>
        <v>#REF!</v>
      </c>
      <c r="CV108" s="416">
        <f t="shared" si="118"/>
        <v>945.33106099999986</v>
      </c>
      <c r="CW108" s="191" t="str">
        <f t="shared" si="119"/>
        <v>Cao hơn</v>
      </c>
      <c r="CX108" s="191" t="str">
        <f t="shared" si="120"/>
        <v>Cao hơn</v>
      </c>
      <c r="CY108" s="213"/>
      <c r="CZ108" s="213"/>
      <c r="DA108" s="231"/>
      <c r="DB108" s="163"/>
      <c r="DD108" s="195"/>
      <c r="DE108" s="196"/>
      <c r="DF108" s="196"/>
      <c r="DG108" s="197"/>
      <c r="DH108" s="196"/>
      <c r="DI108" s="196"/>
      <c r="DJ108" s="196"/>
      <c r="DL108" s="199"/>
      <c r="DM108" s="200"/>
    </row>
    <row r="109" spans="1:117" ht="18" customHeight="1" x14ac:dyDescent="0.25">
      <c r="A109" s="191">
        <v>44</v>
      </c>
      <c r="B109" s="240" t="s">
        <v>434</v>
      </c>
      <c r="C109" s="240"/>
      <c r="D109" s="188">
        <v>4275</v>
      </c>
      <c r="E109" s="188">
        <v>0</v>
      </c>
      <c r="F109" s="188">
        <v>4275</v>
      </c>
      <c r="G109" s="188">
        <v>3000</v>
      </c>
      <c r="H109" s="188">
        <v>1275</v>
      </c>
      <c r="I109" s="188">
        <v>0</v>
      </c>
      <c r="J109" s="188"/>
      <c r="K109" s="188">
        <v>0</v>
      </c>
      <c r="L109" s="188">
        <v>0</v>
      </c>
      <c r="M109" s="188">
        <v>0</v>
      </c>
      <c r="N109" s="188">
        <v>0</v>
      </c>
      <c r="O109" s="188">
        <v>3000</v>
      </c>
      <c r="P109" s="188">
        <v>0</v>
      </c>
      <c r="Q109" s="186">
        <v>0</v>
      </c>
      <c r="R109" s="188">
        <v>0</v>
      </c>
      <c r="S109" s="185">
        <v>0</v>
      </c>
      <c r="T109" s="185">
        <v>0</v>
      </c>
      <c r="U109" s="188">
        <v>0</v>
      </c>
      <c r="V109" s="185">
        <v>0</v>
      </c>
      <c r="W109" s="185">
        <v>0</v>
      </c>
      <c r="X109" s="188">
        <v>0</v>
      </c>
      <c r="Y109" s="185">
        <v>0</v>
      </c>
      <c r="Z109" s="185">
        <v>0</v>
      </c>
      <c r="AA109" s="188">
        <v>0</v>
      </c>
      <c r="AB109" s="185">
        <v>0</v>
      </c>
      <c r="AC109" s="185">
        <v>0</v>
      </c>
      <c r="AD109" s="188">
        <v>1289</v>
      </c>
      <c r="AE109" s="185">
        <v>0.3015204678362573</v>
      </c>
      <c r="AF109" s="185">
        <v>0.31738996614342874</v>
      </c>
      <c r="AG109" s="188">
        <v>1289</v>
      </c>
      <c r="AH109" s="185">
        <v>0.3015204678362573</v>
      </c>
      <c r="AI109" s="185">
        <v>0.31738996614342874</v>
      </c>
      <c r="AJ109" s="303">
        <v>1289</v>
      </c>
      <c r="AK109" s="185">
        <v>0.3015204678362573</v>
      </c>
      <c r="AL109" s="185">
        <v>0.31738996614342874</v>
      </c>
      <c r="AM109" s="188">
        <v>1289</v>
      </c>
      <c r="AN109" s="185">
        <v>0.3015204678362573</v>
      </c>
      <c r="AO109" s="185">
        <v>0.31738996614342874</v>
      </c>
      <c r="AP109" s="185"/>
      <c r="AQ109" s="188">
        <v>1289</v>
      </c>
      <c r="AR109" s="185">
        <v>0.3015204678362573</v>
      </c>
      <c r="AS109" s="185">
        <v>0.31738996614342874</v>
      </c>
      <c r="AT109" s="188">
        <v>1289</v>
      </c>
      <c r="AU109" s="185">
        <v>0.3015204678362573</v>
      </c>
      <c r="AV109" s="185">
        <v>0.31738996614342874</v>
      </c>
      <c r="AW109" s="185"/>
      <c r="AX109" s="185"/>
      <c r="AY109" s="185"/>
      <c r="AZ109" s="185"/>
      <c r="BA109" s="185"/>
      <c r="BB109" s="185"/>
      <c r="BC109" s="188">
        <v>1289</v>
      </c>
      <c r="BD109" s="185">
        <v>0.3015204678362573</v>
      </c>
      <c r="BE109" s="185">
        <v>0.31738996614342874</v>
      </c>
      <c r="BF109" s="188"/>
      <c r="BG109" s="188">
        <v>2727</v>
      </c>
      <c r="BH109" s="185">
        <v>0.63789473684210529</v>
      </c>
      <c r="BI109" s="185">
        <v>0.67146814404432131</v>
      </c>
      <c r="BJ109" s="188">
        <v>4061.25</v>
      </c>
      <c r="BK109" s="188">
        <v>2856</v>
      </c>
      <c r="BL109" s="185">
        <v>0.66807017543859648</v>
      </c>
      <c r="BM109" s="185">
        <v>0.70323176361957529</v>
      </c>
      <c r="BN109" s="188">
        <v>2856</v>
      </c>
      <c r="BO109" s="185">
        <v>0.66807017543859648</v>
      </c>
      <c r="BP109" s="185">
        <v>0.70323176361957529</v>
      </c>
      <c r="BQ109" s="188">
        <v>2856</v>
      </c>
      <c r="BR109" s="185">
        <f t="shared" si="123"/>
        <v>0.66807017543859648</v>
      </c>
      <c r="BS109" s="185">
        <f t="shared" si="121"/>
        <v>0.70323176361957529</v>
      </c>
      <c r="BT109" s="205">
        <f t="shared" si="122"/>
        <v>1567</v>
      </c>
      <c r="BU109" s="205"/>
      <c r="BV109" s="189" t="e">
        <f>#REF!+#REF!</f>
        <v>#REF!</v>
      </c>
      <c r="BW109" s="186" t="e">
        <f t="shared" si="124"/>
        <v>#REF!</v>
      </c>
      <c r="BX109" s="189" t="e">
        <f>#REF!+#REF!</f>
        <v>#REF!</v>
      </c>
      <c r="BY109" s="186" t="e">
        <f t="shared" si="125"/>
        <v>#REF!</v>
      </c>
      <c r="BZ109" s="189" t="e">
        <f>#REF!+#REF!</f>
        <v>#REF!</v>
      </c>
      <c r="CA109" s="186" t="e">
        <f t="shared" si="126"/>
        <v>#REF!</v>
      </c>
      <c r="CB109" s="189" t="e">
        <f>#REF!+#REF!</f>
        <v>#REF!</v>
      </c>
      <c r="CC109" s="186" t="e">
        <f t="shared" si="127"/>
        <v>#REF!</v>
      </c>
      <c r="CD109" s="189" t="e">
        <f>#REF!+#REF!</f>
        <v>#REF!</v>
      </c>
      <c r="CE109" s="186" t="e">
        <f t="shared" si="128"/>
        <v>#REF!</v>
      </c>
      <c r="CF109" s="189" t="e">
        <f>#REF!+#REF!</f>
        <v>#REF!</v>
      </c>
      <c r="CG109" s="186" t="e">
        <f t="shared" si="129"/>
        <v>#REF!</v>
      </c>
      <c r="CH109" s="189" t="e">
        <f>#REF!+#REF!</f>
        <v>#REF!</v>
      </c>
      <c r="CI109" s="186" t="e">
        <f t="shared" si="130"/>
        <v>#REF!</v>
      </c>
      <c r="CJ109" s="189" t="e">
        <f>#REF!+#REF!</f>
        <v>#REF!</v>
      </c>
      <c r="CK109" s="186" t="e">
        <f t="shared" si="137"/>
        <v>#REF!</v>
      </c>
      <c r="CL109" s="189" t="e">
        <f>#REF!+#REF!</f>
        <v>#REF!</v>
      </c>
      <c r="CM109" s="186" t="e">
        <f t="shared" si="132"/>
        <v>#REF!</v>
      </c>
      <c r="CN109" s="189" t="e">
        <f>#REF!+#REF!</f>
        <v>#REF!</v>
      </c>
      <c r="CO109" s="186" t="e">
        <f t="shared" si="138"/>
        <v>#REF!</v>
      </c>
      <c r="CP109" s="189" t="e">
        <f>#REF!+#REF!</f>
        <v>#REF!</v>
      </c>
      <c r="CQ109" s="186" t="e">
        <f t="shared" si="134"/>
        <v>#REF!</v>
      </c>
      <c r="CR109" s="189" t="e">
        <f>#REF!+#REF!</f>
        <v>#REF!</v>
      </c>
      <c r="CS109" s="186" t="e">
        <f t="shared" si="135"/>
        <v>#REF!</v>
      </c>
      <c r="CT109" s="189" t="e">
        <f>#REF!+#REF!</f>
        <v>#REF!</v>
      </c>
      <c r="CU109" s="186" t="e">
        <f t="shared" si="136"/>
        <v>#REF!</v>
      </c>
      <c r="CV109" s="416">
        <f t="shared" si="118"/>
        <v>0</v>
      </c>
      <c r="CW109" s="191" t="str">
        <f t="shared" si="119"/>
        <v>Cao hơn</v>
      </c>
      <c r="CX109" s="191" t="str">
        <f t="shared" si="120"/>
        <v>Cao hơn</v>
      </c>
      <c r="CY109" s="213"/>
      <c r="CZ109" s="213"/>
      <c r="DA109" s="231"/>
      <c r="DB109" s="163"/>
      <c r="DD109" s="195"/>
      <c r="DE109" s="196"/>
      <c r="DF109" s="196"/>
      <c r="DG109" s="197"/>
      <c r="DH109" s="196"/>
      <c r="DI109" s="196"/>
      <c r="DJ109" s="196"/>
      <c r="DL109" s="199"/>
      <c r="DM109" s="200"/>
    </row>
    <row r="110" spans="1:117" ht="18" customHeight="1" x14ac:dyDescent="0.25">
      <c r="A110" s="191">
        <v>45</v>
      </c>
      <c r="B110" s="240" t="s">
        <v>435</v>
      </c>
      <c r="C110" s="240"/>
      <c r="D110" s="188">
        <v>4275</v>
      </c>
      <c r="E110" s="188">
        <v>0</v>
      </c>
      <c r="F110" s="188">
        <v>4275</v>
      </c>
      <c r="G110" s="188">
        <v>3000</v>
      </c>
      <c r="H110" s="188">
        <v>1275</v>
      </c>
      <c r="I110" s="188">
        <v>0</v>
      </c>
      <c r="J110" s="188"/>
      <c r="K110" s="188">
        <v>0</v>
      </c>
      <c r="L110" s="188">
        <v>0</v>
      </c>
      <c r="M110" s="188">
        <v>0</v>
      </c>
      <c r="N110" s="188">
        <v>0</v>
      </c>
      <c r="O110" s="188">
        <v>3000</v>
      </c>
      <c r="P110" s="188">
        <v>0</v>
      </c>
      <c r="Q110" s="186">
        <v>0</v>
      </c>
      <c r="R110" s="188">
        <v>0</v>
      </c>
      <c r="S110" s="185">
        <v>0</v>
      </c>
      <c r="T110" s="185">
        <v>0</v>
      </c>
      <c r="U110" s="188">
        <v>0</v>
      </c>
      <c r="V110" s="185">
        <v>0</v>
      </c>
      <c r="W110" s="185">
        <v>0</v>
      </c>
      <c r="X110" s="188">
        <v>0</v>
      </c>
      <c r="Y110" s="185">
        <v>0</v>
      </c>
      <c r="Z110" s="185">
        <v>0</v>
      </c>
      <c r="AA110" s="188">
        <v>0</v>
      </c>
      <c r="AB110" s="185">
        <v>0</v>
      </c>
      <c r="AC110" s="185">
        <v>0</v>
      </c>
      <c r="AD110" s="188">
        <v>0</v>
      </c>
      <c r="AE110" s="185">
        <v>0</v>
      </c>
      <c r="AF110" s="185">
        <v>0</v>
      </c>
      <c r="AG110" s="188">
        <v>0</v>
      </c>
      <c r="AH110" s="185">
        <v>0</v>
      </c>
      <c r="AI110" s="185">
        <v>0</v>
      </c>
      <c r="AJ110" s="303">
        <v>0</v>
      </c>
      <c r="AK110" s="185">
        <v>0</v>
      </c>
      <c r="AL110" s="185">
        <v>0</v>
      </c>
      <c r="AM110" s="314">
        <v>0</v>
      </c>
      <c r="AN110" s="185">
        <v>0</v>
      </c>
      <c r="AO110" s="185">
        <v>0</v>
      </c>
      <c r="AP110" s="185"/>
      <c r="AQ110" s="188">
        <v>1723.8980000000001</v>
      </c>
      <c r="AR110" s="185">
        <v>0.40325099415204679</v>
      </c>
      <c r="AS110" s="185">
        <v>0.42447473068636504</v>
      </c>
      <c r="AT110" s="188">
        <v>1723.8980000000001</v>
      </c>
      <c r="AU110" s="185">
        <v>0.40325099415204679</v>
      </c>
      <c r="AV110" s="185">
        <v>0.42447473068636504</v>
      </c>
      <c r="AW110" s="185"/>
      <c r="AX110" s="185"/>
      <c r="AY110" s="185"/>
      <c r="AZ110" s="185"/>
      <c r="BA110" s="185"/>
      <c r="BB110" s="185"/>
      <c r="BC110" s="188">
        <v>1723.8980000000001</v>
      </c>
      <c r="BD110" s="185">
        <v>0.40325099415204679</v>
      </c>
      <c r="BE110" s="185">
        <v>0.42447473068636504</v>
      </c>
      <c r="BF110" s="188"/>
      <c r="BG110" s="188">
        <v>2387.67</v>
      </c>
      <c r="BH110" s="185">
        <v>0.55851929824561408</v>
      </c>
      <c r="BI110" s="185">
        <v>0.58791505078485695</v>
      </c>
      <c r="BJ110" s="188">
        <v>4061.25</v>
      </c>
      <c r="BK110" s="188">
        <v>2668</v>
      </c>
      <c r="BL110" s="185">
        <v>0.62409356725146203</v>
      </c>
      <c r="BM110" s="185">
        <v>0.65694059710680208</v>
      </c>
      <c r="BN110" s="188">
        <v>2668</v>
      </c>
      <c r="BO110" s="185">
        <v>0.62409356725146203</v>
      </c>
      <c r="BP110" s="185">
        <v>0.65694059710680208</v>
      </c>
      <c r="BQ110" s="188">
        <v>2668</v>
      </c>
      <c r="BR110" s="185">
        <f t="shared" si="123"/>
        <v>0.62409356725146203</v>
      </c>
      <c r="BS110" s="185">
        <f t="shared" si="121"/>
        <v>0.65694059710680208</v>
      </c>
      <c r="BT110" s="205">
        <f t="shared" si="122"/>
        <v>2668</v>
      </c>
      <c r="BU110" s="205"/>
      <c r="BV110" s="189" t="e">
        <f>#REF!+#REF!</f>
        <v>#REF!</v>
      </c>
      <c r="BW110" s="186" t="e">
        <f t="shared" si="124"/>
        <v>#REF!</v>
      </c>
      <c r="BX110" s="189" t="e">
        <f>#REF!+#REF!</f>
        <v>#REF!</v>
      </c>
      <c r="BY110" s="186" t="e">
        <f t="shared" si="125"/>
        <v>#REF!</v>
      </c>
      <c r="BZ110" s="189" t="e">
        <f>#REF!+#REF!</f>
        <v>#REF!</v>
      </c>
      <c r="CA110" s="186" t="e">
        <f t="shared" si="126"/>
        <v>#REF!</v>
      </c>
      <c r="CB110" s="189" t="e">
        <f>#REF!+#REF!</f>
        <v>#REF!</v>
      </c>
      <c r="CC110" s="186" t="e">
        <f t="shared" si="127"/>
        <v>#REF!</v>
      </c>
      <c r="CD110" s="189" t="e">
        <f>#REF!+#REF!</f>
        <v>#REF!</v>
      </c>
      <c r="CE110" s="186" t="e">
        <f t="shared" si="128"/>
        <v>#REF!</v>
      </c>
      <c r="CF110" s="189" t="e">
        <f>#REF!+#REF!</f>
        <v>#REF!</v>
      </c>
      <c r="CG110" s="186" t="e">
        <f t="shared" si="129"/>
        <v>#REF!</v>
      </c>
      <c r="CH110" s="189" t="e">
        <f>#REF!+#REF!</f>
        <v>#REF!</v>
      </c>
      <c r="CI110" s="186" t="e">
        <f t="shared" si="130"/>
        <v>#REF!</v>
      </c>
      <c r="CJ110" s="189" t="e">
        <f>#REF!+#REF!</f>
        <v>#REF!</v>
      </c>
      <c r="CK110" s="186" t="e">
        <f t="shared" si="137"/>
        <v>#REF!</v>
      </c>
      <c r="CL110" s="189" t="e">
        <f>#REF!+#REF!</f>
        <v>#REF!</v>
      </c>
      <c r="CM110" s="186" t="e">
        <f t="shared" si="132"/>
        <v>#REF!</v>
      </c>
      <c r="CN110" s="189" t="e">
        <f>#REF!+#REF!</f>
        <v>#REF!</v>
      </c>
      <c r="CO110" s="186" t="e">
        <f t="shared" si="138"/>
        <v>#REF!</v>
      </c>
      <c r="CP110" s="189" t="e">
        <f>#REF!+#REF!</f>
        <v>#REF!</v>
      </c>
      <c r="CQ110" s="186" t="e">
        <f t="shared" si="134"/>
        <v>#REF!</v>
      </c>
      <c r="CR110" s="189" t="e">
        <f>#REF!+#REF!</f>
        <v>#REF!</v>
      </c>
      <c r="CS110" s="186" t="e">
        <f t="shared" si="135"/>
        <v>#REF!</v>
      </c>
      <c r="CT110" s="189" t="e">
        <f>#REF!+#REF!</f>
        <v>#REF!</v>
      </c>
      <c r="CU110" s="186" t="e">
        <f t="shared" si="136"/>
        <v>#REF!</v>
      </c>
      <c r="CV110" s="416">
        <f t="shared" si="118"/>
        <v>0</v>
      </c>
      <c r="CW110" s="191" t="str">
        <f t="shared" si="119"/>
        <v>Cao hơn</v>
      </c>
      <c r="CX110" s="191" t="str">
        <f t="shared" si="120"/>
        <v>Cao hơn</v>
      </c>
      <c r="CY110" s="213"/>
      <c r="CZ110" s="213"/>
      <c r="DA110" s="231"/>
      <c r="DB110" s="163"/>
      <c r="DD110" s="195"/>
      <c r="DE110" s="196"/>
      <c r="DF110" s="196"/>
      <c r="DG110" s="197"/>
      <c r="DH110" s="196"/>
      <c r="DI110" s="196"/>
      <c r="DJ110" s="196"/>
      <c r="DL110" s="199"/>
      <c r="DM110" s="200"/>
    </row>
    <row r="111" spans="1:117" ht="18" customHeight="1" x14ac:dyDescent="0.25">
      <c r="A111" s="191">
        <v>46</v>
      </c>
      <c r="B111" s="240" t="s">
        <v>436</v>
      </c>
      <c r="C111" s="240"/>
      <c r="D111" s="188">
        <v>3111</v>
      </c>
      <c r="E111" s="188">
        <v>0</v>
      </c>
      <c r="F111" s="188">
        <v>3111</v>
      </c>
      <c r="G111" s="188">
        <v>3000</v>
      </c>
      <c r="H111" s="188">
        <v>111</v>
      </c>
      <c r="I111" s="188">
        <v>0</v>
      </c>
      <c r="J111" s="188"/>
      <c r="K111" s="188">
        <v>0</v>
      </c>
      <c r="L111" s="188">
        <v>0</v>
      </c>
      <c r="M111" s="188">
        <v>0</v>
      </c>
      <c r="N111" s="188">
        <v>0</v>
      </c>
      <c r="O111" s="188">
        <v>3000</v>
      </c>
      <c r="P111" s="188">
        <v>0</v>
      </c>
      <c r="Q111" s="186">
        <v>0</v>
      </c>
      <c r="R111" s="188">
        <v>0</v>
      </c>
      <c r="S111" s="185">
        <v>0</v>
      </c>
      <c r="T111" s="185">
        <v>0</v>
      </c>
      <c r="U111" s="188">
        <v>0</v>
      </c>
      <c r="V111" s="185">
        <v>0</v>
      </c>
      <c r="W111" s="185">
        <v>0</v>
      </c>
      <c r="X111" s="188">
        <v>0</v>
      </c>
      <c r="Y111" s="185">
        <v>0</v>
      </c>
      <c r="Z111" s="185">
        <v>0</v>
      </c>
      <c r="AA111" s="188">
        <v>0</v>
      </c>
      <c r="AB111" s="185">
        <v>0</v>
      </c>
      <c r="AC111" s="185">
        <v>0</v>
      </c>
      <c r="AD111" s="188">
        <v>0</v>
      </c>
      <c r="AE111" s="185">
        <v>0</v>
      </c>
      <c r="AF111" s="185">
        <v>0</v>
      </c>
      <c r="AG111" s="188">
        <v>0</v>
      </c>
      <c r="AH111" s="185">
        <v>0</v>
      </c>
      <c r="AI111" s="185">
        <v>0</v>
      </c>
      <c r="AJ111" s="303">
        <v>0</v>
      </c>
      <c r="AK111" s="185">
        <v>0</v>
      </c>
      <c r="AL111" s="185">
        <v>0</v>
      </c>
      <c r="AM111" s="188">
        <v>1122</v>
      </c>
      <c r="AN111" s="185">
        <v>0.36065573770491804</v>
      </c>
      <c r="AO111" s="185">
        <v>0.37963761863675582</v>
      </c>
      <c r="AP111" s="185"/>
      <c r="AQ111" s="188">
        <v>1295</v>
      </c>
      <c r="AR111" s="185">
        <v>0.41626486660237866</v>
      </c>
      <c r="AS111" s="185">
        <v>0.43817354379197754</v>
      </c>
      <c r="AT111" s="188">
        <v>1295</v>
      </c>
      <c r="AU111" s="185">
        <v>0.41626486660237866</v>
      </c>
      <c r="AV111" s="185">
        <v>0.43817354379197754</v>
      </c>
      <c r="AW111" s="185"/>
      <c r="AX111" s="185"/>
      <c r="AY111" s="185"/>
      <c r="AZ111" s="185"/>
      <c r="BA111" s="185"/>
      <c r="BB111" s="185"/>
      <c r="BC111" s="188">
        <v>1295</v>
      </c>
      <c r="BD111" s="185">
        <v>0.41626486660237866</v>
      </c>
      <c r="BE111" s="185">
        <v>0.43817354379197754</v>
      </c>
      <c r="BF111" s="188"/>
      <c r="BG111" s="188">
        <v>1438</v>
      </c>
      <c r="BH111" s="185">
        <v>0.46223079395692701</v>
      </c>
      <c r="BI111" s="185">
        <v>0.48655873048097587</v>
      </c>
      <c r="BJ111" s="188">
        <v>2955.45</v>
      </c>
      <c r="BK111" s="188">
        <v>1935</v>
      </c>
      <c r="BL111" s="185">
        <v>0.62198649951783991</v>
      </c>
      <c r="BM111" s="185">
        <v>0.65472263107141049</v>
      </c>
      <c r="BN111" s="188">
        <v>1935</v>
      </c>
      <c r="BO111" s="185">
        <v>0.62198649951783991</v>
      </c>
      <c r="BP111" s="185">
        <v>0.65472263107141049</v>
      </c>
      <c r="BQ111" s="188">
        <v>1935</v>
      </c>
      <c r="BR111" s="185">
        <f t="shared" si="123"/>
        <v>0.62198649951783991</v>
      </c>
      <c r="BS111" s="185">
        <f t="shared" si="121"/>
        <v>0.65472263107141049</v>
      </c>
      <c r="BT111" s="205">
        <f t="shared" si="122"/>
        <v>1935</v>
      </c>
      <c r="BU111" s="205"/>
      <c r="BV111" s="189" t="e">
        <f>#REF!+#REF!</f>
        <v>#REF!</v>
      </c>
      <c r="BW111" s="186" t="e">
        <f t="shared" si="124"/>
        <v>#REF!</v>
      </c>
      <c r="BX111" s="189" t="e">
        <f>#REF!+#REF!</f>
        <v>#REF!</v>
      </c>
      <c r="BY111" s="186" t="e">
        <f t="shared" si="125"/>
        <v>#REF!</v>
      </c>
      <c r="BZ111" s="189" t="e">
        <f>#REF!+#REF!</f>
        <v>#REF!</v>
      </c>
      <c r="CA111" s="186" t="e">
        <f t="shared" si="126"/>
        <v>#REF!</v>
      </c>
      <c r="CB111" s="189" t="e">
        <f>#REF!+#REF!</f>
        <v>#REF!</v>
      </c>
      <c r="CC111" s="186" t="e">
        <f t="shared" si="127"/>
        <v>#REF!</v>
      </c>
      <c r="CD111" s="189" t="e">
        <f>#REF!+#REF!</f>
        <v>#REF!</v>
      </c>
      <c r="CE111" s="186" t="e">
        <f t="shared" si="128"/>
        <v>#REF!</v>
      </c>
      <c r="CF111" s="189" t="e">
        <f>#REF!+#REF!</f>
        <v>#REF!</v>
      </c>
      <c r="CG111" s="186" t="e">
        <f t="shared" si="129"/>
        <v>#REF!</v>
      </c>
      <c r="CH111" s="189" t="e">
        <f>#REF!+#REF!</f>
        <v>#REF!</v>
      </c>
      <c r="CI111" s="186" t="e">
        <f t="shared" si="130"/>
        <v>#REF!</v>
      </c>
      <c r="CJ111" s="189" t="e">
        <f>#REF!+#REF!</f>
        <v>#REF!</v>
      </c>
      <c r="CK111" s="186" t="e">
        <f t="shared" si="137"/>
        <v>#REF!</v>
      </c>
      <c r="CL111" s="189" t="e">
        <f>#REF!+#REF!</f>
        <v>#REF!</v>
      </c>
      <c r="CM111" s="186" t="e">
        <f t="shared" si="132"/>
        <v>#REF!</v>
      </c>
      <c r="CN111" s="189" t="e">
        <f>#REF!+#REF!</f>
        <v>#REF!</v>
      </c>
      <c r="CO111" s="186" t="e">
        <f t="shared" si="138"/>
        <v>#REF!</v>
      </c>
      <c r="CP111" s="189" t="e">
        <f>#REF!+#REF!</f>
        <v>#REF!</v>
      </c>
      <c r="CQ111" s="186" t="e">
        <f t="shared" si="134"/>
        <v>#REF!</v>
      </c>
      <c r="CR111" s="189" t="e">
        <f>#REF!+#REF!</f>
        <v>#REF!</v>
      </c>
      <c r="CS111" s="186" t="e">
        <f t="shared" si="135"/>
        <v>#REF!</v>
      </c>
      <c r="CT111" s="189" t="e">
        <f>#REF!+#REF!</f>
        <v>#REF!</v>
      </c>
      <c r="CU111" s="186" t="e">
        <f t="shared" si="136"/>
        <v>#REF!</v>
      </c>
      <c r="CV111" s="416">
        <f t="shared" si="118"/>
        <v>0</v>
      </c>
      <c r="CW111" s="191" t="str">
        <f t="shared" si="119"/>
        <v>Cao hơn</v>
      </c>
      <c r="CX111" s="191" t="str">
        <f t="shared" si="120"/>
        <v>Cao hơn</v>
      </c>
      <c r="CY111" s="213"/>
      <c r="CZ111" s="213"/>
      <c r="DA111" s="231"/>
      <c r="DB111" s="163"/>
      <c r="DD111" s="195"/>
      <c r="DE111" s="196"/>
      <c r="DF111" s="196"/>
      <c r="DG111" s="197"/>
      <c r="DH111" s="196"/>
      <c r="DI111" s="196"/>
      <c r="DJ111" s="196"/>
      <c r="DL111" s="199"/>
      <c r="DM111" s="200"/>
    </row>
    <row r="112" spans="1:117" ht="18" customHeight="1" x14ac:dyDescent="0.25">
      <c r="A112" s="191">
        <v>47</v>
      </c>
      <c r="B112" s="240" t="s">
        <v>437</v>
      </c>
      <c r="C112" s="240"/>
      <c r="D112" s="188">
        <v>3009</v>
      </c>
      <c r="E112" s="188">
        <v>0</v>
      </c>
      <c r="F112" s="188">
        <v>3009</v>
      </c>
      <c r="G112" s="188">
        <v>3000</v>
      </c>
      <c r="H112" s="188">
        <v>9</v>
      </c>
      <c r="I112" s="188">
        <v>0</v>
      </c>
      <c r="J112" s="188"/>
      <c r="K112" s="188">
        <v>0</v>
      </c>
      <c r="L112" s="188">
        <v>0</v>
      </c>
      <c r="M112" s="188">
        <v>0</v>
      </c>
      <c r="N112" s="188">
        <v>0</v>
      </c>
      <c r="O112" s="188">
        <v>3000</v>
      </c>
      <c r="P112" s="188">
        <v>0</v>
      </c>
      <c r="Q112" s="186">
        <v>0</v>
      </c>
      <c r="R112" s="189">
        <v>0</v>
      </c>
      <c r="S112" s="185">
        <v>0</v>
      </c>
      <c r="T112" s="185">
        <v>0</v>
      </c>
      <c r="U112" s="189">
        <v>784.26800000000003</v>
      </c>
      <c r="V112" s="185">
        <v>0.2606407444333666</v>
      </c>
      <c r="W112" s="185">
        <v>0.27435867835091221</v>
      </c>
      <c r="X112" s="189">
        <v>784.26800000000003</v>
      </c>
      <c r="Y112" s="185">
        <v>0.2606407444333666</v>
      </c>
      <c r="Z112" s="185">
        <v>0.27435867835091221</v>
      </c>
      <c r="AA112" s="189">
        <v>784.26800000000003</v>
      </c>
      <c r="AB112" s="185">
        <v>0.2606407444333666</v>
      </c>
      <c r="AC112" s="185">
        <v>0.27435867835091221</v>
      </c>
      <c r="AD112" s="189">
        <v>970</v>
      </c>
      <c r="AE112" s="185">
        <v>0.32236623462944503</v>
      </c>
      <c r="AF112" s="185">
        <v>0.33933287855731054</v>
      </c>
      <c r="AG112" s="189">
        <v>970</v>
      </c>
      <c r="AH112" s="185">
        <v>0.32236623462944503</v>
      </c>
      <c r="AI112" s="185">
        <v>0.33933287855731054</v>
      </c>
      <c r="AJ112" s="303">
        <v>970</v>
      </c>
      <c r="AK112" s="185">
        <v>0.32236623462944503</v>
      </c>
      <c r="AL112" s="185">
        <v>0.33933287855731054</v>
      </c>
      <c r="AM112" s="189">
        <v>991</v>
      </c>
      <c r="AN112" s="185">
        <v>0.32934529744101032</v>
      </c>
      <c r="AO112" s="185">
        <v>0.34667926046422143</v>
      </c>
      <c r="AP112" s="185"/>
      <c r="AQ112" s="189">
        <v>1005</v>
      </c>
      <c r="AR112" s="185">
        <v>0.33399800598205381</v>
      </c>
      <c r="AS112" s="185">
        <v>0.35157684840216197</v>
      </c>
      <c r="AT112" s="189">
        <v>1005</v>
      </c>
      <c r="AU112" s="185">
        <v>0.33399800598205381</v>
      </c>
      <c r="AV112" s="185">
        <v>0.35157684840216197</v>
      </c>
      <c r="AW112" s="185"/>
      <c r="AX112" s="185"/>
      <c r="AY112" s="185"/>
      <c r="AZ112" s="185"/>
      <c r="BA112" s="185"/>
      <c r="BB112" s="185"/>
      <c r="BC112" s="189">
        <v>1005</v>
      </c>
      <c r="BD112" s="185">
        <v>0.33399800598205381</v>
      </c>
      <c r="BE112" s="185">
        <v>0.35157684840216197</v>
      </c>
      <c r="BF112" s="189"/>
      <c r="BG112" s="189">
        <v>1260</v>
      </c>
      <c r="BH112" s="185">
        <v>0.41874376869391827</v>
      </c>
      <c r="BI112" s="185">
        <v>0.44078291441465084</v>
      </c>
      <c r="BJ112" s="189">
        <v>2858.5499999999997</v>
      </c>
      <c r="BK112" s="189">
        <v>1546.9059999999999</v>
      </c>
      <c r="BL112" s="185">
        <v>0.51409305417082085</v>
      </c>
      <c r="BM112" s="185">
        <v>0.54115058333770616</v>
      </c>
      <c r="BN112" s="189">
        <v>1546.9059999999999</v>
      </c>
      <c r="BO112" s="185">
        <v>0.51409305417082085</v>
      </c>
      <c r="BP112" s="185">
        <v>0.54115058333770616</v>
      </c>
      <c r="BQ112" s="189">
        <v>1546.9059999999999</v>
      </c>
      <c r="BR112" s="185">
        <f t="shared" si="123"/>
        <v>0.51409305417082085</v>
      </c>
      <c r="BS112" s="185">
        <f t="shared" si="121"/>
        <v>0.54115058333770616</v>
      </c>
      <c r="BT112" s="205">
        <f t="shared" si="122"/>
        <v>576.90599999999995</v>
      </c>
      <c r="BU112" s="205"/>
      <c r="BV112" s="189" t="e">
        <f>#REF!+#REF!</f>
        <v>#REF!</v>
      </c>
      <c r="BW112" s="186" t="e">
        <f t="shared" si="124"/>
        <v>#REF!</v>
      </c>
      <c r="BX112" s="189" t="e">
        <f>#REF!+#REF!</f>
        <v>#REF!</v>
      </c>
      <c r="BY112" s="186" t="e">
        <f t="shared" si="125"/>
        <v>#REF!</v>
      </c>
      <c r="BZ112" s="189" t="e">
        <f>#REF!+#REF!</f>
        <v>#REF!</v>
      </c>
      <c r="CA112" s="186" t="e">
        <f t="shared" si="126"/>
        <v>#REF!</v>
      </c>
      <c r="CB112" s="189" t="e">
        <f>#REF!+#REF!</f>
        <v>#REF!</v>
      </c>
      <c r="CC112" s="186" t="e">
        <f t="shared" si="127"/>
        <v>#REF!</v>
      </c>
      <c r="CD112" s="189" t="e">
        <f>#REF!+#REF!</f>
        <v>#REF!</v>
      </c>
      <c r="CE112" s="186" t="e">
        <f t="shared" si="128"/>
        <v>#REF!</v>
      </c>
      <c r="CF112" s="189" t="e">
        <f>#REF!+#REF!</f>
        <v>#REF!</v>
      </c>
      <c r="CG112" s="186" t="e">
        <f t="shared" si="129"/>
        <v>#REF!</v>
      </c>
      <c r="CH112" s="189" t="e">
        <f>#REF!+#REF!</f>
        <v>#REF!</v>
      </c>
      <c r="CI112" s="186" t="e">
        <f t="shared" si="130"/>
        <v>#REF!</v>
      </c>
      <c r="CJ112" s="189" t="e">
        <f>#REF!+#REF!</f>
        <v>#REF!</v>
      </c>
      <c r="CK112" s="186" t="e">
        <f t="shared" si="137"/>
        <v>#REF!</v>
      </c>
      <c r="CL112" s="189" t="e">
        <f>#REF!+#REF!</f>
        <v>#REF!</v>
      </c>
      <c r="CM112" s="186" t="e">
        <f t="shared" si="132"/>
        <v>#REF!</v>
      </c>
      <c r="CN112" s="189" t="e">
        <f>#REF!+#REF!</f>
        <v>#REF!</v>
      </c>
      <c r="CO112" s="186" t="e">
        <f t="shared" si="138"/>
        <v>#REF!</v>
      </c>
      <c r="CP112" s="189" t="e">
        <f>#REF!+#REF!</f>
        <v>#REF!</v>
      </c>
      <c r="CQ112" s="186" t="e">
        <f t="shared" si="134"/>
        <v>#REF!</v>
      </c>
      <c r="CR112" s="189" t="e">
        <f>#REF!+#REF!</f>
        <v>#REF!</v>
      </c>
      <c r="CS112" s="186" t="e">
        <f t="shared" si="135"/>
        <v>#REF!</v>
      </c>
      <c r="CT112" s="189" t="e">
        <f>#REF!+#REF!</f>
        <v>#REF!</v>
      </c>
      <c r="CU112" s="186" t="e">
        <f t="shared" si="136"/>
        <v>#REF!</v>
      </c>
      <c r="CV112" s="416">
        <f t="shared" si="118"/>
        <v>0</v>
      </c>
      <c r="CW112" s="191" t="str">
        <f t="shared" si="119"/>
        <v>Cao hơn</v>
      </c>
      <c r="CX112" s="191" t="str">
        <f t="shared" si="120"/>
        <v>Cao hơn</v>
      </c>
      <c r="CY112" s="213"/>
      <c r="CZ112" s="213"/>
      <c r="DA112" s="231"/>
      <c r="DB112" s="163"/>
      <c r="DD112" s="195"/>
      <c r="DE112" s="196"/>
      <c r="DF112" s="196"/>
      <c r="DG112" s="197"/>
      <c r="DH112" s="196"/>
      <c r="DI112" s="196"/>
      <c r="DJ112" s="196"/>
      <c r="DL112" s="199"/>
      <c r="DM112" s="200"/>
    </row>
    <row r="113" spans="1:117" ht="18" customHeight="1" x14ac:dyDescent="0.25">
      <c r="A113" s="191">
        <v>48</v>
      </c>
      <c r="B113" s="240" t="s">
        <v>438</v>
      </c>
      <c r="C113" s="240"/>
      <c r="D113" s="188">
        <v>4360</v>
      </c>
      <c r="E113" s="188">
        <v>0</v>
      </c>
      <c r="F113" s="188">
        <v>4360</v>
      </c>
      <c r="G113" s="188">
        <v>3000</v>
      </c>
      <c r="H113" s="188">
        <v>1360</v>
      </c>
      <c r="I113" s="188">
        <v>0</v>
      </c>
      <c r="J113" s="188"/>
      <c r="K113" s="188">
        <v>0</v>
      </c>
      <c r="L113" s="188">
        <v>0</v>
      </c>
      <c r="M113" s="188">
        <v>0</v>
      </c>
      <c r="N113" s="188">
        <v>0</v>
      </c>
      <c r="O113" s="188">
        <v>3000</v>
      </c>
      <c r="P113" s="188">
        <v>0</v>
      </c>
      <c r="Q113" s="186">
        <v>0</v>
      </c>
      <c r="R113" s="188">
        <v>0</v>
      </c>
      <c r="S113" s="185">
        <v>0</v>
      </c>
      <c r="T113" s="185">
        <v>0</v>
      </c>
      <c r="U113" s="188">
        <v>0</v>
      </c>
      <c r="V113" s="185">
        <v>0</v>
      </c>
      <c r="W113" s="185">
        <v>0</v>
      </c>
      <c r="X113" s="188">
        <v>0</v>
      </c>
      <c r="Y113" s="185">
        <v>0</v>
      </c>
      <c r="Z113" s="185">
        <v>0</v>
      </c>
      <c r="AA113" s="188">
        <v>0</v>
      </c>
      <c r="AB113" s="185">
        <v>0</v>
      </c>
      <c r="AC113" s="185">
        <v>0</v>
      </c>
      <c r="AD113" s="188">
        <v>574</v>
      </c>
      <c r="AE113" s="185">
        <v>0.13165137614678898</v>
      </c>
      <c r="AF113" s="185">
        <v>0.13858039594398841</v>
      </c>
      <c r="AG113" s="188">
        <v>574</v>
      </c>
      <c r="AH113" s="185">
        <v>0.13165137614678898</v>
      </c>
      <c r="AI113" s="185">
        <v>0.13858039594398841</v>
      </c>
      <c r="AJ113" s="303">
        <v>574</v>
      </c>
      <c r="AK113" s="185">
        <v>0.13165137614678898</v>
      </c>
      <c r="AL113" s="185">
        <v>0.13858039594398841</v>
      </c>
      <c r="AM113" s="188">
        <v>945</v>
      </c>
      <c r="AN113" s="185">
        <v>0.21674311926605505</v>
      </c>
      <c r="AO113" s="185">
        <v>0.22815065185900532</v>
      </c>
      <c r="AP113" s="185"/>
      <c r="AQ113" s="188">
        <v>945</v>
      </c>
      <c r="AR113" s="185">
        <v>0.21674311926605505</v>
      </c>
      <c r="AS113" s="185">
        <v>0.22815065185900532</v>
      </c>
      <c r="AT113" s="188">
        <v>945</v>
      </c>
      <c r="AU113" s="185">
        <v>0.21674311926605505</v>
      </c>
      <c r="AV113" s="185">
        <v>0.22815065185900532</v>
      </c>
      <c r="AW113" s="185"/>
      <c r="AX113" s="185"/>
      <c r="AY113" s="185"/>
      <c r="AZ113" s="185"/>
      <c r="BA113" s="185"/>
      <c r="BB113" s="185"/>
      <c r="BC113" s="188">
        <v>945</v>
      </c>
      <c r="BD113" s="185">
        <v>0.21674311926605505</v>
      </c>
      <c r="BE113" s="185">
        <v>0.22815065185900532</v>
      </c>
      <c r="BF113" s="188"/>
      <c r="BG113" s="188">
        <v>1565</v>
      </c>
      <c r="BH113" s="185">
        <v>0.35894495412844035</v>
      </c>
      <c r="BI113" s="185">
        <v>0.37783679381941093</v>
      </c>
      <c r="BJ113" s="188">
        <v>4142</v>
      </c>
      <c r="BK113" s="188">
        <v>2299</v>
      </c>
      <c r="BL113" s="185">
        <v>0.52729357798165133</v>
      </c>
      <c r="BM113" s="185">
        <v>0.55504587155963303</v>
      </c>
      <c r="BN113" s="188">
        <v>2299</v>
      </c>
      <c r="BO113" s="185">
        <v>0.52729357798165133</v>
      </c>
      <c r="BP113" s="185">
        <v>0.55504587155963303</v>
      </c>
      <c r="BQ113" s="188">
        <v>2388.21</v>
      </c>
      <c r="BR113" s="185">
        <f t="shared" si="123"/>
        <v>0.54775458715596326</v>
      </c>
      <c r="BS113" s="185">
        <f t="shared" si="121"/>
        <v>0.57658377595364563</v>
      </c>
      <c r="BT113" s="205">
        <f t="shared" si="122"/>
        <v>1814.21</v>
      </c>
      <c r="BU113" s="205"/>
      <c r="BV113" s="189" t="e">
        <f>#REF!+#REF!</f>
        <v>#REF!</v>
      </c>
      <c r="BW113" s="186" t="e">
        <f t="shared" si="124"/>
        <v>#REF!</v>
      </c>
      <c r="BX113" s="189" t="e">
        <f>#REF!+#REF!</f>
        <v>#REF!</v>
      </c>
      <c r="BY113" s="186" t="e">
        <f t="shared" si="125"/>
        <v>#REF!</v>
      </c>
      <c r="BZ113" s="189" t="e">
        <f>#REF!+#REF!</f>
        <v>#REF!</v>
      </c>
      <c r="CA113" s="186" t="e">
        <f t="shared" si="126"/>
        <v>#REF!</v>
      </c>
      <c r="CB113" s="189" t="e">
        <f>#REF!+#REF!</f>
        <v>#REF!</v>
      </c>
      <c r="CC113" s="186" t="e">
        <f t="shared" si="127"/>
        <v>#REF!</v>
      </c>
      <c r="CD113" s="189" t="e">
        <f>#REF!+#REF!</f>
        <v>#REF!</v>
      </c>
      <c r="CE113" s="186" t="e">
        <f t="shared" si="128"/>
        <v>#REF!</v>
      </c>
      <c r="CF113" s="189" t="e">
        <f>#REF!+#REF!</f>
        <v>#REF!</v>
      </c>
      <c r="CG113" s="186" t="e">
        <f t="shared" si="129"/>
        <v>#REF!</v>
      </c>
      <c r="CH113" s="189" t="e">
        <f>#REF!+#REF!</f>
        <v>#REF!</v>
      </c>
      <c r="CI113" s="186" t="e">
        <f t="shared" si="130"/>
        <v>#REF!</v>
      </c>
      <c r="CJ113" s="189" t="e">
        <f>#REF!+#REF!</f>
        <v>#REF!</v>
      </c>
      <c r="CK113" s="186" t="e">
        <f t="shared" si="137"/>
        <v>#REF!</v>
      </c>
      <c r="CL113" s="189" t="e">
        <f>#REF!+#REF!</f>
        <v>#REF!</v>
      </c>
      <c r="CM113" s="186" t="e">
        <f t="shared" si="132"/>
        <v>#REF!</v>
      </c>
      <c r="CN113" s="189" t="e">
        <f>#REF!+#REF!</f>
        <v>#REF!</v>
      </c>
      <c r="CO113" s="186" t="e">
        <f t="shared" si="138"/>
        <v>#REF!</v>
      </c>
      <c r="CP113" s="189" t="e">
        <f>#REF!+#REF!</f>
        <v>#REF!</v>
      </c>
      <c r="CQ113" s="186" t="e">
        <f t="shared" si="134"/>
        <v>#REF!</v>
      </c>
      <c r="CR113" s="189" t="e">
        <f>#REF!+#REF!</f>
        <v>#REF!</v>
      </c>
      <c r="CS113" s="186" t="e">
        <f t="shared" si="135"/>
        <v>#REF!</v>
      </c>
      <c r="CT113" s="189" t="e">
        <f>#REF!+#REF!</f>
        <v>#REF!</v>
      </c>
      <c r="CU113" s="186" t="e">
        <f t="shared" si="136"/>
        <v>#REF!</v>
      </c>
      <c r="CV113" s="416">
        <f t="shared" si="118"/>
        <v>89.210000000000036</v>
      </c>
      <c r="CW113" s="191" t="str">
        <f t="shared" si="119"/>
        <v>Cao hơn</v>
      </c>
      <c r="CX113" s="191" t="str">
        <f t="shared" si="120"/>
        <v>Cao hơn</v>
      </c>
      <c r="CY113" s="213"/>
      <c r="CZ113" s="213"/>
      <c r="DA113" s="231"/>
      <c r="DB113" s="163"/>
      <c r="DD113" s="195"/>
      <c r="DE113" s="196"/>
      <c r="DF113" s="196"/>
      <c r="DG113" s="197"/>
      <c r="DH113" s="196"/>
      <c r="DI113" s="196"/>
      <c r="DJ113" s="196"/>
      <c r="DL113" s="199"/>
      <c r="DM113" s="200"/>
    </row>
    <row r="114" spans="1:117" ht="18" customHeight="1" x14ac:dyDescent="0.25">
      <c r="A114" s="191">
        <v>49</v>
      </c>
      <c r="B114" s="240" t="s">
        <v>439</v>
      </c>
      <c r="C114" s="240"/>
      <c r="D114" s="188">
        <v>3009</v>
      </c>
      <c r="E114" s="188">
        <v>0</v>
      </c>
      <c r="F114" s="188">
        <v>3009</v>
      </c>
      <c r="G114" s="188">
        <v>3000</v>
      </c>
      <c r="H114" s="188">
        <v>9</v>
      </c>
      <c r="I114" s="188">
        <v>0</v>
      </c>
      <c r="J114" s="188"/>
      <c r="K114" s="188">
        <v>0</v>
      </c>
      <c r="L114" s="188">
        <v>0</v>
      </c>
      <c r="M114" s="188">
        <v>0</v>
      </c>
      <c r="N114" s="188">
        <v>0</v>
      </c>
      <c r="O114" s="188">
        <v>3000</v>
      </c>
      <c r="P114" s="188">
        <v>0</v>
      </c>
      <c r="Q114" s="186">
        <v>0</v>
      </c>
      <c r="R114" s="188">
        <v>512.505</v>
      </c>
      <c r="S114" s="185">
        <v>0.17032402791625126</v>
      </c>
      <c r="T114" s="185">
        <v>0.17928845043815922</v>
      </c>
      <c r="U114" s="315">
        <v>557.74099999999999</v>
      </c>
      <c r="V114" s="185">
        <v>0.18535759388501163</v>
      </c>
      <c r="W114" s="185">
        <v>0.19511325672106489</v>
      </c>
      <c r="X114" s="315">
        <v>557.74099999999999</v>
      </c>
      <c r="Y114" s="185">
        <v>0.18535759388501163</v>
      </c>
      <c r="Z114" s="185">
        <v>0.19511325672106489</v>
      </c>
      <c r="AA114" s="315">
        <v>557.74099999999999</v>
      </c>
      <c r="AB114" s="185">
        <v>0.18535759388501163</v>
      </c>
      <c r="AC114" s="185">
        <v>0.19511325672106489</v>
      </c>
      <c r="AD114" s="315">
        <v>1210</v>
      </c>
      <c r="AE114" s="185">
        <v>0.40212695247590563</v>
      </c>
      <c r="AF114" s="185">
        <v>0.42329152892200594</v>
      </c>
      <c r="AG114" s="315">
        <v>1210</v>
      </c>
      <c r="AH114" s="185">
        <v>0.40212695247590563</v>
      </c>
      <c r="AI114" s="185">
        <v>0.42329152892200594</v>
      </c>
      <c r="AJ114" s="303">
        <v>1210</v>
      </c>
      <c r="AK114" s="185">
        <v>0.40212695247590563</v>
      </c>
      <c r="AL114" s="185">
        <v>0.42329152892200594</v>
      </c>
      <c r="AM114" s="346">
        <v>1210</v>
      </c>
      <c r="AN114" s="185">
        <v>0.40212695247590563</v>
      </c>
      <c r="AO114" s="185">
        <v>0.42329152892200594</v>
      </c>
      <c r="AP114" s="185"/>
      <c r="AQ114" s="188">
        <v>1351</v>
      </c>
      <c r="AR114" s="185">
        <v>0.44898637421070126</v>
      </c>
      <c r="AS114" s="185">
        <v>0.47261723601126449</v>
      </c>
      <c r="AT114" s="188">
        <v>1351</v>
      </c>
      <c r="AU114" s="185">
        <v>0.44898637421070126</v>
      </c>
      <c r="AV114" s="185">
        <v>0.47261723601126449</v>
      </c>
      <c r="AW114" s="185"/>
      <c r="AX114" s="185"/>
      <c r="AY114" s="185"/>
      <c r="AZ114" s="185"/>
      <c r="BA114" s="185"/>
      <c r="BB114" s="185"/>
      <c r="BC114" s="188">
        <v>1351</v>
      </c>
      <c r="BD114" s="185">
        <v>0.44898637421070126</v>
      </c>
      <c r="BE114" s="185">
        <v>0.47261723601126449</v>
      </c>
      <c r="BF114" s="188"/>
      <c r="BG114" s="188">
        <v>2041</v>
      </c>
      <c r="BH114" s="185">
        <v>0.67829843801927547</v>
      </c>
      <c r="BI114" s="185">
        <v>0.71399835580976379</v>
      </c>
      <c r="BJ114" s="188">
        <v>2858.5499999999997</v>
      </c>
      <c r="BK114" s="188">
        <v>2590.1149999999998</v>
      </c>
      <c r="BL114" s="185">
        <v>0.86078929877035548</v>
      </c>
      <c r="BM114" s="185">
        <v>0.90609399870563745</v>
      </c>
      <c r="BN114" s="188">
        <v>2590</v>
      </c>
      <c r="BO114" s="185">
        <v>0.86075108009305412</v>
      </c>
      <c r="BP114" s="185">
        <v>0.90605376851900443</v>
      </c>
      <c r="BQ114" s="188">
        <v>2590</v>
      </c>
      <c r="BR114" s="185">
        <f t="shared" ref="BR114:BR126" si="139">BQ114/$D114</f>
        <v>0.86075108009305412</v>
      </c>
      <c r="BS114" s="185">
        <f t="shared" si="121"/>
        <v>0.90605376851900443</v>
      </c>
      <c r="BT114" s="205">
        <f t="shared" si="122"/>
        <v>1380</v>
      </c>
      <c r="BU114" s="205"/>
      <c r="BV114" s="189" t="e">
        <f>#REF!+#REF!</f>
        <v>#REF!</v>
      </c>
      <c r="BW114" s="186" t="e">
        <f t="shared" ref="BW114:BW126" si="140">BV114/$D114</f>
        <v>#REF!</v>
      </c>
      <c r="BX114" s="189" t="e">
        <f>#REF!+#REF!</f>
        <v>#REF!</v>
      </c>
      <c r="BY114" s="186" t="e">
        <f t="shared" ref="BY114:BY126" si="141">BX114/$D114</f>
        <v>#REF!</v>
      </c>
      <c r="BZ114" s="189" t="e">
        <f>#REF!+#REF!</f>
        <v>#REF!</v>
      </c>
      <c r="CA114" s="186" t="e">
        <f t="shared" ref="CA114:CA126" si="142">BZ114/$D114</f>
        <v>#REF!</v>
      </c>
      <c r="CB114" s="189" t="e">
        <f>#REF!+#REF!</f>
        <v>#REF!</v>
      </c>
      <c r="CC114" s="186" t="e">
        <f t="shared" ref="CC114:CC126" si="143">CB114/$D114</f>
        <v>#REF!</v>
      </c>
      <c r="CD114" s="189" t="e">
        <f>#REF!+#REF!</f>
        <v>#REF!</v>
      </c>
      <c r="CE114" s="186" t="e">
        <f t="shared" ref="CE114:CE126" si="144">CD114/$D114</f>
        <v>#REF!</v>
      </c>
      <c r="CF114" s="189" t="e">
        <f>#REF!+#REF!</f>
        <v>#REF!</v>
      </c>
      <c r="CG114" s="186" t="e">
        <f t="shared" ref="CG114:CG126" si="145">CF114/$D114</f>
        <v>#REF!</v>
      </c>
      <c r="CH114" s="189" t="e">
        <f>#REF!+#REF!</f>
        <v>#REF!</v>
      </c>
      <c r="CI114" s="186" t="e">
        <f t="shared" ref="CI114:CI126" si="146">CH114/$D114</f>
        <v>#REF!</v>
      </c>
      <c r="CJ114" s="189" t="e">
        <f>#REF!+#REF!</f>
        <v>#REF!</v>
      </c>
      <c r="CK114" s="186" t="e">
        <f t="shared" si="137"/>
        <v>#REF!</v>
      </c>
      <c r="CL114" s="189" t="e">
        <f>#REF!+#REF!</f>
        <v>#REF!</v>
      </c>
      <c r="CM114" s="186" t="e">
        <f t="shared" ref="CM114:CM126" si="147">CL114/$D114</f>
        <v>#REF!</v>
      </c>
      <c r="CN114" s="189" t="e">
        <f>#REF!+#REF!</f>
        <v>#REF!</v>
      </c>
      <c r="CO114" s="186" t="e">
        <f t="shared" si="138"/>
        <v>#REF!</v>
      </c>
      <c r="CP114" s="189" t="e">
        <f>#REF!+#REF!</f>
        <v>#REF!</v>
      </c>
      <c r="CQ114" s="186" t="e">
        <f t="shared" ref="CQ114:CQ126" si="148">CP114/$D114</f>
        <v>#REF!</v>
      </c>
      <c r="CR114" s="189" t="e">
        <f>#REF!+#REF!</f>
        <v>#REF!</v>
      </c>
      <c r="CS114" s="186" t="e">
        <f t="shared" ref="CS114:CS126" si="149">CR114/$D114</f>
        <v>#REF!</v>
      </c>
      <c r="CT114" s="189" t="e">
        <f>#REF!+#REF!</f>
        <v>#REF!</v>
      </c>
      <c r="CU114" s="186" t="e">
        <f t="shared" ref="CU114:CU126" si="150">CT114/$D114</f>
        <v>#REF!</v>
      </c>
      <c r="CV114" s="416">
        <f t="shared" si="118"/>
        <v>0</v>
      </c>
      <c r="CW114" s="191" t="str">
        <f t="shared" si="119"/>
        <v>Cao hơn</v>
      </c>
      <c r="CX114" s="191" t="str">
        <f t="shared" si="120"/>
        <v>Cao hơn</v>
      </c>
      <c r="CY114" s="213"/>
      <c r="CZ114" s="213"/>
      <c r="DA114" s="231"/>
      <c r="DB114" s="163"/>
      <c r="DD114" s="195"/>
      <c r="DE114" s="196"/>
      <c r="DF114" s="196"/>
      <c r="DG114" s="197"/>
      <c r="DH114" s="196"/>
      <c r="DI114" s="196"/>
      <c r="DJ114" s="196"/>
      <c r="DL114" s="199"/>
      <c r="DM114" s="200"/>
    </row>
    <row r="115" spans="1:117" ht="18" customHeight="1" x14ac:dyDescent="0.25">
      <c r="A115" s="191">
        <v>50</v>
      </c>
      <c r="B115" s="240" t="s">
        <v>440</v>
      </c>
      <c r="C115" s="240"/>
      <c r="D115" s="188">
        <v>3170</v>
      </c>
      <c r="E115" s="188">
        <v>0</v>
      </c>
      <c r="F115" s="188">
        <v>3170</v>
      </c>
      <c r="G115" s="188">
        <v>3000</v>
      </c>
      <c r="H115" s="188">
        <v>170</v>
      </c>
      <c r="I115" s="188">
        <v>0</v>
      </c>
      <c r="J115" s="188"/>
      <c r="K115" s="188">
        <v>0</v>
      </c>
      <c r="L115" s="188">
        <v>0</v>
      </c>
      <c r="M115" s="188">
        <v>0</v>
      </c>
      <c r="N115" s="188">
        <v>0</v>
      </c>
      <c r="O115" s="188">
        <v>3000</v>
      </c>
      <c r="P115" s="188">
        <v>0</v>
      </c>
      <c r="Q115" s="186">
        <v>0</v>
      </c>
      <c r="R115" s="188">
        <v>0</v>
      </c>
      <c r="S115" s="185">
        <v>0</v>
      </c>
      <c r="T115" s="185">
        <v>0</v>
      </c>
      <c r="U115" s="188">
        <v>0</v>
      </c>
      <c r="V115" s="185">
        <v>0</v>
      </c>
      <c r="W115" s="185">
        <v>0</v>
      </c>
      <c r="X115" s="188">
        <v>0</v>
      </c>
      <c r="Y115" s="185">
        <v>0</v>
      </c>
      <c r="Z115" s="185">
        <v>0</v>
      </c>
      <c r="AA115" s="188">
        <v>0</v>
      </c>
      <c r="AB115" s="185">
        <v>0</v>
      </c>
      <c r="AC115" s="185">
        <v>0</v>
      </c>
      <c r="AD115" s="188">
        <v>0</v>
      </c>
      <c r="AE115" s="185">
        <v>0</v>
      </c>
      <c r="AF115" s="185">
        <v>0</v>
      </c>
      <c r="AG115" s="188">
        <v>0</v>
      </c>
      <c r="AH115" s="185">
        <v>0</v>
      </c>
      <c r="AI115" s="185">
        <v>0</v>
      </c>
      <c r="AJ115" s="303">
        <v>0</v>
      </c>
      <c r="AK115" s="185">
        <v>0</v>
      </c>
      <c r="AL115" s="185">
        <v>0</v>
      </c>
      <c r="AM115" s="188">
        <v>498</v>
      </c>
      <c r="AN115" s="185">
        <v>0.15709779179810726</v>
      </c>
      <c r="AO115" s="185">
        <v>0.1653660966295866</v>
      </c>
      <c r="AP115" s="185"/>
      <c r="AQ115" s="188">
        <v>666</v>
      </c>
      <c r="AR115" s="185">
        <v>0.21009463722397476</v>
      </c>
      <c r="AS115" s="185">
        <v>0.22115224970944711</v>
      </c>
      <c r="AT115" s="188">
        <v>707</v>
      </c>
      <c r="AU115" s="185">
        <v>0.22302839116719242</v>
      </c>
      <c r="AV115" s="185">
        <v>0.23476672754441308</v>
      </c>
      <c r="AW115" s="185"/>
      <c r="AX115" s="185"/>
      <c r="AY115" s="185"/>
      <c r="AZ115" s="185"/>
      <c r="BA115" s="185"/>
      <c r="BB115" s="185"/>
      <c r="BC115" s="188">
        <v>707</v>
      </c>
      <c r="BD115" s="185">
        <v>0.22302839116719242</v>
      </c>
      <c r="BE115" s="185">
        <v>0.23476672754441308</v>
      </c>
      <c r="BF115" s="188"/>
      <c r="BG115" s="188">
        <v>984</v>
      </c>
      <c r="BH115" s="185">
        <v>0.31041009463722397</v>
      </c>
      <c r="BI115" s="185">
        <v>0.32674746803918314</v>
      </c>
      <c r="BJ115" s="188">
        <v>3011.5</v>
      </c>
      <c r="BK115" s="188">
        <v>989</v>
      </c>
      <c r="BL115" s="185">
        <v>0.31198738170347001</v>
      </c>
      <c r="BM115" s="185">
        <v>0.328407770214179</v>
      </c>
      <c r="BN115" s="188">
        <v>989</v>
      </c>
      <c r="BO115" s="185">
        <v>0.31198738170347001</v>
      </c>
      <c r="BP115" s="185">
        <v>0.328407770214179</v>
      </c>
      <c r="BQ115" s="188">
        <v>1506</v>
      </c>
      <c r="BR115" s="185">
        <f t="shared" si="139"/>
        <v>0.47507886435331231</v>
      </c>
      <c r="BS115" s="185">
        <f t="shared" ref="BS115:BS126" si="151">BQ115/(E115+0.95*F115)</f>
        <v>0.50008301510874975</v>
      </c>
      <c r="BT115" s="205">
        <f t="shared" si="122"/>
        <v>1506</v>
      </c>
      <c r="BU115" s="205"/>
      <c r="BV115" s="189" t="e">
        <f>#REF!+#REF!</f>
        <v>#REF!</v>
      </c>
      <c r="BW115" s="186" t="e">
        <f t="shared" si="140"/>
        <v>#REF!</v>
      </c>
      <c r="BX115" s="189" t="e">
        <f>#REF!+#REF!</f>
        <v>#REF!</v>
      </c>
      <c r="BY115" s="186" t="e">
        <f t="shared" si="141"/>
        <v>#REF!</v>
      </c>
      <c r="BZ115" s="189" t="e">
        <f>#REF!+#REF!</f>
        <v>#REF!</v>
      </c>
      <c r="CA115" s="186" t="e">
        <f t="shared" si="142"/>
        <v>#REF!</v>
      </c>
      <c r="CB115" s="189" t="e">
        <f>#REF!+#REF!</f>
        <v>#REF!</v>
      </c>
      <c r="CC115" s="186" t="e">
        <f t="shared" si="143"/>
        <v>#REF!</v>
      </c>
      <c r="CD115" s="189" t="e">
        <f>#REF!+#REF!</f>
        <v>#REF!</v>
      </c>
      <c r="CE115" s="186" t="e">
        <f t="shared" si="144"/>
        <v>#REF!</v>
      </c>
      <c r="CF115" s="189" t="e">
        <f>#REF!+#REF!</f>
        <v>#REF!</v>
      </c>
      <c r="CG115" s="186" t="e">
        <f t="shared" si="145"/>
        <v>#REF!</v>
      </c>
      <c r="CH115" s="189" t="e">
        <f>#REF!+#REF!</f>
        <v>#REF!</v>
      </c>
      <c r="CI115" s="186" t="e">
        <f t="shared" si="146"/>
        <v>#REF!</v>
      </c>
      <c r="CJ115" s="189" t="e">
        <f>#REF!+#REF!</f>
        <v>#REF!</v>
      </c>
      <c r="CK115" s="186" t="e">
        <f t="shared" si="137"/>
        <v>#REF!</v>
      </c>
      <c r="CL115" s="189" t="e">
        <f>#REF!+#REF!</f>
        <v>#REF!</v>
      </c>
      <c r="CM115" s="186" t="e">
        <f t="shared" si="147"/>
        <v>#REF!</v>
      </c>
      <c r="CN115" s="189" t="e">
        <f>#REF!+#REF!</f>
        <v>#REF!</v>
      </c>
      <c r="CO115" s="186" t="e">
        <f t="shared" si="138"/>
        <v>#REF!</v>
      </c>
      <c r="CP115" s="189" t="e">
        <f>#REF!+#REF!</f>
        <v>#REF!</v>
      </c>
      <c r="CQ115" s="186" t="e">
        <f t="shared" si="148"/>
        <v>#REF!</v>
      </c>
      <c r="CR115" s="189" t="e">
        <f>#REF!+#REF!</f>
        <v>#REF!</v>
      </c>
      <c r="CS115" s="186" t="e">
        <f t="shared" si="149"/>
        <v>#REF!</v>
      </c>
      <c r="CT115" s="189" t="e">
        <f>#REF!+#REF!</f>
        <v>#REF!</v>
      </c>
      <c r="CU115" s="186" t="e">
        <f t="shared" si="150"/>
        <v>#REF!</v>
      </c>
      <c r="CV115" s="416">
        <f t="shared" si="118"/>
        <v>517</v>
      </c>
      <c r="CW115" s="191" t="str">
        <f t="shared" si="119"/>
        <v>Cao hơn</v>
      </c>
      <c r="CX115" s="191" t="str">
        <f t="shared" si="120"/>
        <v>Cao hơn</v>
      </c>
      <c r="CY115" s="213"/>
      <c r="CZ115" s="213"/>
      <c r="DA115" s="231"/>
      <c r="DB115" s="163"/>
      <c r="DD115" s="195"/>
      <c r="DE115" s="196"/>
      <c r="DF115" s="196"/>
      <c r="DG115" s="197"/>
      <c r="DH115" s="196"/>
      <c r="DI115" s="196"/>
      <c r="DJ115" s="196"/>
      <c r="DL115" s="199"/>
      <c r="DM115" s="200"/>
    </row>
    <row r="116" spans="1:117" ht="18" customHeight="1" x14ac:dyDescent="0.25">
      <c r="A116" s="191">
        <v>51</v>
      </c>
      <c r="B116" s="240" t="s">
        <v>441</v>
      </c>
      <c r="C116" s="240"/>
      <c r="D116" s="188">
        <v>3000</v>
      </c>
      <c r="E116" s="188">
        <v>0</v>
      </c>
      <c r="F116" s="188">
        <v>3000</v>
      </c>
      <c r="G116" s="188">
        <v>3000</v>
      </c>
      <c r="H116" s="188">
        <v>0</v>
      </c>
      <c r="I116" s="188">
        <v>0</v>
      </c>
      <c r="J116" s="188"/>
      <c r="K116" s="188">
        <v>0</v>
      </c>
      <c r="L116" s="188">
        <v>0</v>
      </c>
      <c r="M116" s="231"/>
      <c r="N116" s="231"/>
      <c r="O116" s="188">
        <v>3000</v>
      </c>
      <c r="P116" s="188">
        <v>0</v>
      </c>
      <c r="Q116" s="186">
        <v>0</v>
      </c>
      <c r="R116" s="188">
        <v>0</v>
      </c>
      <c r="S116" s="185">
        <v>0</v>
      </c>
      <c r="T116" s="185">
        <v>0</v>
      </c>
      <c r="U116" s="188">
        <v>0</v>
      </c>
      <c r="V116" s="185">
        <v>0</v>
      </c>
      <c r="W116" s="185">
        <v>0</v>
      </c>
      <c r="X116" s="188">
        <v>0</v>
      </c>
      <c r="Y116" s="185">
        <v>0</v>
      </c>
      <c r="Z116" s="185">
        <v>0</v>
      </c>
      <c r="AA116" s="188">
        <v>0</v>
      </c>
      <c r="AB116" s="185">
        <v>0</v>
      </c>
      <c r="AC116" s="185">
        <v>0</v>
      </c>
      <c r="AD116" s="188">
        <v>0</v>
      </c>
      <c r="AE116" s="185">
        <v>0</v>
      </c>
      <c r="AF116" s="185">
        <v>0</v>
      </c>
      <c r="AG116" s="188">
        <v>0</v>
      </c>
      <c r="AH116" s="185">
        <v>0</v>
      </c>
      <c r="AI116" s="185">
        <v>0</v>
      </c>
      <c r="AJ116" s="303">
        <v>0</v>
      </c>
      <c r="AK116" s="185">
        <v>0</v>
      </c>
      <c r="AL116" s="185">
        <v>0</v>
      </c>
      <c r="AM116" s="188">
        <v>718</v>
      </c>
      <c r="AN116" s="185">
        <v>0.23933333333333334</v>
      </c>
      <c r="AO116" s="185">
        <v>0.2519298245614035</v>
      </c>
      <c r="AP116" s="185"/>
      <c r="AQ116" s="188">
        <v>1343</v>
      </c>
      <c r="AR116" s="185">
        <v>0.44766666666666666</v>
      </c>
      <c r="AS116" s="185">
        <v>0.47122807017543861</v>
      </c>
      <c r="AT116" s="188">
        <v>1343</v>
      </c>
      <c r="AU116" s="185">
        <v>0.44766666666666666</v>
      </c>
      <c r="AV116" s="185">
        <v>0.47122807017543861</v>
      </c>
      <c r="AW116" s="185"/>
      <c r="AX116" s="185"/>
      <c r="AY116" s="185"/>
      <c r="AZ116" s="185"/>
      <c r="BA116" s="185"/>
      <c r="BB116" s="185"/>
      <c r="BC116" s="188">
        <v>1343</v>
      </c>
      <c r="BD116" s="185">
        <v>0.44766666666666666</v>
      </c>
      <c r="BE116" s="185">
        <v>0.47122807017543861</v>
      </c>
      <c r="BF116" s="188"/>
      <c r="BG116" s="188">
        <v>2338</v>
      </c>
      <c r="BH116" s="185">
        <v>0.77933333333333332</v>
      </c>
      <c r="BI116" s="185">
        <v>0.8203508771929825</v>
      </c>
      <c r="BJ116" s="188">
        <v>2850</v>
      </c>
      <c r="BK116" s="188">
        <v>2360.4699999999998</v>
      </c>
      <c r="BL116" s="185">
        <v>0.78682333333333332</v>
      </c>
      <c r="BM116" s="185">
        <v>0.82823508771929821</v>
      </c>
      <c r="BN116" s="188">
        <v>2360.4699999999998</v>
      </c>
      <c r="BO116" s="185">
        <v>0.78682333333333332</v>
      </c>
      <c r="BP116" s="185">
        <v>0.82823508771929821</v>
      </c>
      <c r="BQ116" s="188">
        <v>2360.4699999999998</v>
      </c>
      <c r="BR116" s="185">
        <f t="shared" si="139"/>
        <v>0.78682333333333332</v>
      </c>
      <c r="BS116" s="185">
        <f t="shared" si="151"/>
        <v>0.82823508771929821</v>
      </c>
      <c r="BT116" s="205">
        <f t="shared" si="122"/>
        <v>2360.4699999999998</v>
      </c>
      <c r="BU116" s="205"/>
      <c r="BV116" s="189" t="e">
        <f>#REF!</f>
        <v>#REF!</v>
      </c>
      <c r="BW116" s="186" t="e">
        <f t="shared" si="140"/>
        <v>#REF!</v>
      </c>
      <c r="BX116" s="189" t="e">
        <f>#REF!</f>
        <v>#REF!</v>
      </c>
      <c r="BY116" s="186" t="e">
        <f t="shared" si="141"/>
        <v>#REF!</v>
      </c>
      <c r="BZ116" s="189" t="e">
        <f>#REF!</f>
        <v>#REF!</v>
      </c>
      <c r="CA116" s="186" t="e">
        <f t="shared" si="142"/>
        <v>#REF!</v>
      </c>
      <c r="CB116" s="189" t="e">
        <f>#REF!</f>
        <v>#REF!</v>
      </c>
      <c r="CC116" s="186" t="e">
        <f t="shared" si="143"/>
        <v>#REF!</v>
      </c>
      <c r="CD116" s="189" t="e">
        <f>#REF!</f>
        <v>#REF!</v>
      </c>
      <c r="CE116" s="186" t="e">
        <f t="shared" si="144"/>
        <v>#REF!</v>
      </c>
      <c r="CF116" s="189" t="e">
        <f>#REF!</f>
        <v>#REF!</v>
      </c>
      <c r="CG116" s="186" t="e">
        <f t="shared" si="145"/>
        <v>#REF!</v>
      </c>
      <c r="CH116" s="189" t="e">
        <f>#REF!</f>
        <v>#REF!</v>
      </c>
      <c r="CI116" s="186" t="e">
        <f t="shared" si="146"/>
        <v>#REF!</v>
      </c>
      <c r="CJ116" s="189" t="e">
        <f>#REF!</f>
        <v>#REF!</v>
      </c>
      <c r="CK116" s="186" t="e">
        <f t="shared" si="137"/>
        <v>#REF!</v>
      </c>
      <c r="CL116" s="189" t="e">
        <f>#REF!</f>
        <v>#REF!</v>
      </c>
      <c r="CM116" s="186" t="e">
        <f t="shared" si="147"/>
        <v>#REF!</v>
      </c>
      <c r="CN116" s="189" t="e">
        <f>#REF!</f>
        <v>#REF!</v>
      </c>
      <c r="CO116" s="186" t="e">
        <f t="shared" si="138"/>
        <v>#REF!</v>
      </c>
      <c r="CP116" s="189" t="e">
        <f>#REF!</f>
        <v>#REF!</v>
      </c>
      <c r="CQ116" s="186" t="e">
        <f t="shared" si="148"/>
        <v>#REF!</v>
      </c>
      <c r="CR116" s="189" t="e">
        <f>#REF!</f>
        <v>#REF!</v>
      </c>
      <c r="CS116" s="186" t="e">
        <f t="shared" si="149"/>
        <v>#REF!</v>
      </c>
      <c r="CT116" s="189" t="e">
        <f>#REF!</f>
        <v>#REF!</v>
      </c>
      <c r="CU116" s="186" t="e">
        <f t="shared" si="150"/>
        <v>#REF!</v>
      </c>
      <c r="CV116" s="416">
        <f t="shared" si="118"/>
        <v>0</v>
      </c>
      <c r="CW116" s="191" t="str">
        <f t="shared" si="119"/>
        <v>Cao hơn</v>
      </c>
      <c r="CX116" s="191" t="str">
        <f t="shared" si="120"/>
        <v>Cao hơn</v>
      </c>
      <c r="CY116" s="213"/>
      <c r="CZ116" s="213"/>
      <c r="DA116" s="231"/>
      <c r="DB116" s="163"/>
      <c r="DD116" s="195"/>
      <c r="DE116" s="196"/>
      <c r="DF116" s="196"/>
      <c r="DG116" s="197"/>
      <c r="DH116" s="196"/>
      <c r="DI116" s="196"/>
      <c r="DJ116" s="196"/>
      <c r="DL116" s="199"/>
      <c r="DM116" s="200"/>
    </row>
    <row r="117" spans="1:117" ht="18" customHeight="1" x14ac:dyDescent="0.25">
      <c r="A117" s="191">
        <v>52</v>
      </c>
      <c r="B117" s="240" t="s">
        <v>442</v>
      </c>
      <c r="C117" s="240"/>
      <c r="D117" s="188">
        <v>3000</v>
      </c>
      <c r="E117" s="188">
        <v>0</v>
      </c>
      <c r="F117" s="188">
        <v>3000</v>
      </c>
      <c r="G117" s="188">
        <v>3000</v>
      </c>
      <c r="H117" s="188">
        <v>0</v>
      </c>
      <c r="I117" s="188">
        <v>0</v>
      </c>
      <c r="J117" s="188"/>
      <c r="K117" s="188">
        <v>0</v>
      </c>
      <c r="L117" s="188">
        <v>0</v>
      </c>
      <c r="M117" s="231"/>
      <c r="N117" s="231"/>
      <c r="O117" s="188">
        <v>3000</v>
      </c>
      <c r="P117" s="188">
        <v>0</v>
      </c>
      <c r="Q117" s="186">
        <v>0</v>
      </c>
      <c r="R117" s="188">
        <v>0</v>
      </c>
      <c r="S117" s="185">
        <v>0</v>
      </c>
      <c r="T117" s="185">
        <v>0</v>
      </c>
      <c r="U117" s="188">
        <v>0</v>
      </c>
      <c r="V117" s="185">
        <v>0</v>
      </c>
      <c r="W117" s="185">
        <v>0</v>
      </c>
      <c r="X117" s="188">
        <v>0</v>
      </c>
      <c r="Y117" s="185">
        <v>0</v>
      </c>
      <c r="Z117" s="185">
        <v>0</v>
      </c>
      <c r="AA117" s="188">
        <v>0</v>
      </c>
      <c r="AB117" s="185">
        <v>0</v>
      </c>
      <c r="AC117" s="185">
        <v>0</v>
      </c>
      <c r="AD117" s="188">
        <v>598</v>
      </c>
      <c r="AE117" s="185">
        <v>0.19933333333333333</v>
      </c>
      <c r="AF117" s="185">
        <v>0.20982456140350877</v>
      </c>
      <c r="AG117" s="188">
        <v>598</v>
      </c>
      <c r="AH117" s="185">
        <v>0.19933333333333333</v>
      </c>
      <c r="AI117" s="185">
        <v>0.20982456140350877</v>
      </c>
      <c r="AJ117" s="303">
        <v>598</v>
      </c>
      <c r="AK117" s="185">
        <v>0.19933333333333333</v>
      </c>
      <c r="AL117" s="185">
        <v>0.20982456140350877</v>
      </c>
      <c r="AM117" s="188">
        <v>857</v>
      </c>
      <c r="AN117" s="185">
        <v>0.28566666666666668</v>
      </c>
      <c r="AO117" s="185">
        <v>0.30070175438596491</v>
      </c>
      <c r="AP117" s="185"/>
      <c r="AQ117" s="188">
        <v>857</v>
      </c>
      <c r="AR117" s="185">
        <v>0.28566666666666668</v>
      </c>
      <c r="AS117" s="185">
        <v>0.30070175438596491</v>
      </c>
      <c r="AT117" s="188">
        <v>857</v>
      </c>
      <c r="AU117" s="185">
        <v>0.28566666666666668</v>
      </c>
      <c r="AV117" s="185">
        <v>0.30070175438596491</v>
      </c>
      <c r="AW117" s="185"/>
      <c r="AX117" s="185"/>
      <c r="AY117" s="185"/>
      <c r="AZ117" s="185"/>
      <c r="BA117" s="185"/>
      <c r="BB117" s="185"/>
      <c r="BC117" s="188">
        <v>857</v>
      </c>
      <c r="BD117" s="185">
        <v>0.28566666666666668</v>
      </c>
      <c r="BE117" s="185">
        <v>0.30070175438596491</v>
      </c>
      <c r="BF117" s="188"/>
      <c r="BG117" s="188">
        <v>1661</v>
      </c>
      <c r="BH117" s="185">
        <v>0.55366666666666664</v>
      </c>
      <c r="BI117" s="185">
        <v>0.58280701754385966</v>
      </c>
      <c r="BJ117" s="188">
        <v>2850</v>
      </c>
      <c r="BK117" s="188">
        <v>1888</v>
      </c>
      <c r="BL117" s="185">
        <v>0.6293333333333333</v>
      </c>
      <c r="BM117" s="185">
        <v>0.66245614035087719</v>
      </c>
      <c r="BN117" s="188">
        <v>1888</v>
      </c>
      <c r="BO117" s="185">
        <v>0.6293333333333333</v>
      </c>
      <c r="BP117" s="185">
        <v>0.66245614035087719</v>
      </c>
      <c r="BQ117" s="188">
        <v>1927.732</v>
      </c>
      <c r="BR117" s="185">
        <f t="shared" si="139"/>
        <v>0.64257733333333333</v>
      </c>
      <c r="BS117" s="185">
        <f t="shared" si="151"/>
        <v>0.67639719298245615</v>
      </c>
      <c r="BT117" s="205">
        <f t="shared" si="122"/>
        <v>1329.732</v>
      </c>
      <c r="BU117" s="205"/>
      <c r="BV117" s="189" t="e">
        <f>#REF!</f>
        <v>#REF!</v>
      </c>
      <c r="BW117" s="186" t="e">
        <f t="shared" si="140"/>
        <v>#REF!</v>
      </c>
      <c r="BX117" s="189" t="e">
        <f>#REF!</f>
        <v>#REF!</v>
      </c>
      <c r="BY117" s="186" t="e">
        <f t="shared" si="141"/>
        <v>#REF!</v>
      </c>
      <c r="BZ117" s="189" t="e">
        <f>#REF!</f>
        <v>#REF!</v>
      </c>
      <c r="CA117" s="186" t="e">
        <f t="shared" si="142"/>
        <v>#REF!</v>
      </c>
      <c r="CB117" s="189" t="e">
        <f>#REF!</f>
        <v>#REF!</v>
      </c>
      <c r="CC117" s="186" t="e">
        <f t="shared" si="143"/>
        <v>#REF!</v>
      </c>
      <c r="CD117" s="189" t="e">
        <f>#REF!</f>
        <v>#REF!</v>
      </c>
      <c r="CE117" s="186" t="e">
        <f t="shared" si="144"/>
        <v>#REF!</v>
      </c>
      <c r="CF117" s="189" t="e">
        <f>#REF!</f>
        <v>#REF!</v>
      </c>
      <c r="CG117" s="186" t="e">
        <f t="shared" si="145"/>
        <v>#REF!</v>
      </c>
      <c r="CH117" s="189" t="e">
        <f>#REF!</f>
        <v>#REF!</v>
      </c>
      <c r="CI117" s="186" t="e">
        <f t="shared" si="146"/>
        <v>#REF!</v>
      </c>
      <c r="CJ117" s="189" t="e">
        <f>#REF!</f>
        <v>#REF!</v>
      </c>
      <c r="CK117" s="186" t="e">
        <f t="shared" si="137"/>
        <v>#REF!</v>
      </c>
      <c r="CL117" s="189" t="e">
        <f>#REF!</f>
        <v>#REF!</v>
      </c>
      <c r="CM117" s="186" t="e">
        <f t="shared" si="147"/>
        <v>#REF!</v>
      </c>
      <c r="CN117" s="189" t="e">
        <f>#REF!</f>
        <v>#REF!</v>
      </c>
      <c r="CO117" s="186" t="e">
        <f t="shared" si="138"/>
        <v>#REF!</v>
      </c>
      <c r="CP117" s="189" t="e">
        <f>#REF!</f>
        <v>#REF!</v>
      </c>
      <c r="CQ117" s="186" t="e">
        <f t="shared" si="148"/>
        <v>#REF!</v>
      </c>
      <c r="CR117" s="189" t="e">
        <f>#REF!</f>
        <v>#REF!</v>
      </c>
      <c r="CS117" s="186" t="e">
        <f t="shared" si="149"/>
        <v>#REF!</v>
      </c>
      <c r="CT117" s="189" t="e">
        <f>#REF!</f>
        <v>#REF!</v>
      </c>
      <c r="CU117" s="186" t="e">
        <f t="shared" si="150"/>
        <v>#REF!</v>
      </c>
      <c r="CV117" s="416">
        <f t="shared" si="118"/>
        <v>39.731999999999971</v>
      </c>
      <c r="CW117" s="191" t="str">
        <f t="shared" si="119"/>
        <v>Cao hơn</v>
      </c>
      <c r="CX117" s="191" t="str">
        <f t="shared" si="120"/>
        <v>Cao hơn</v>
      </c>
      <c r="CY117" s="213"/>
      <c r="CZ117" s="213"/>
      <c r="DA117" s="231"/>
      <c r="DB117" s="163"/>
      <c r="DD117" s="195"/>
      <c r="DE117" s="196"/>
      <c r="DF117" s="196"/>
      <c r="DG117" s="197"/>
      <c r="DH117" s="196"/>
      <c r="DI117" s="196"/>
      <c r="DJ117" s="196"/>
      <c r="DL117" s="199"/>
      <c r="DM117" s="200"/>
    </row>
    <row r="118" spans="1:117" ht="18" customHeight="1" x14ac:dyDescent="0.25">
      <c r="A118" s="191">
        <v>53</v>
      </c>
      <c r="B118" s="240" t="s">
        <v>443</v>
      </c>
      <c r="C118" s="240"/>
      <c r="D118" s="188">
        <v>3144</v>
      </c>
      <c r="E118" s="188">
        <v>0</v>
      </c>
      <c r="F118" s="188">
        <v>3144</v>
      </c>
      <c r="G118" s="188">
        <v>3000</v>
      </c>
      <c r="H118" s="188">
        <v>144</v>
      </c>
      <c r="I118" s="188">
        <v>0</v>
      </c>
      <c r="J118" s="188"/>
      <c r="K118" s="188">
        <v>0</v>
      </c>
      <c r="L118" s="188">
        <v>0</v>
      </c>
      <c r="M118" s="188">
        <v>0</v>
      </c>
      <c r="N118" s="188">
        <v>0</v>
      </c>
      <c r="O118" s="188">
        <v>3000</v>
      </c>
      <c r="P118" s="188">
        <v>0</v>
      </c>
      <c r="Q118" s="186">
        <v>0</v>
      </c>
      <c r="R118" s="188">
        <v>0</v>
      </c>
      <c r="S118" s="185">
        <v>0</v>
      </c>
      <c r="T118" s="185">
        <v>0</v>
      </c>
      <c r="U118" s="188">
        <v>0</v>
      </c>
      <c r="V118" s="185">
        <v>0</v>
      </c>
      <c r="W118" s="185">
        <v>0</v>
      </c>
      <c r="X118" s="188">
        <v>0</v>
      </c>
      <c r="Y118" s="185">
        <v>0</v>
      </c>
      <c r="Z118" s="185">
        <v>0</v>
      </c>
      <c r="AA118" s="188">
        <v>0</v>
      </c>
      <c r="AB118" s="185">
        <v>0</v>
      </c>
      <c r="AC118" s="185">
        <v>0</v>
      </c>
      <c r="AD118" s="188">
        <v>0</v>
      </c>
      <c r="AE118" s="185">
        <v>0</v>
      </c>
      <c r="AF118" s="185">
        <v>0</v>
      </c>
      <c r="AG118" s="188">
        <v>0</v>
      </c>
      <c r="AH118" s="185">
        <v>0</v>
      </c>
      <c r="AI118" s="185">
        <v>0</v>
      </c>
      <c r="AJ118" s="303">
        <v>0</v>
      </c>
      <c r="AK118" s="185">
        <v>0</v>
      </c>
      <c r="AL118" s="185">
        <v>0</v>
      </c>
      <c r="AM118" s="188">
        <v>979</v>
      </c>
      <c r="AN118" s="185">
        <v>0.31138676844783714</v>
      </c>
      <c r="AO118" s="185">
        <v>0.32777554573456547</v>
      </c>
      <c r="AP118" s="185"/>
      <c r="AQ118" s="188">
        <v>1595</v>
      </c>
      <c r="AR118" s="185">
        <v>0.50731552162849869</v>
      </c>
      <c r="AS118" s="185">
        <v>0.53401633855631447</v>
      </c>
      <c r="AT118" s="188">
        <v>1599.7</v>
      </c>
      <c r="AU118" s="185">
        <v>0.5088104325699746</v>
      </c>
      <c r="AV118" s="185">
        <v>0.53558992902102587</v>
      </c>
      <c r="AW118" s="185"/>
      <c r="AX118" s="185"/>
      <c r="AY118" s="185"/>
      <c r="AZ118" s="185"/>
      <c r="BA118" s="185"/>
      <c r="BB118" s="185"/>
      <c r="BC118" s="188">
        <v>1599.7</v>
      </c>
      <c r="BD118" s="185">
        <v>0.5088104325699746</v>
      </c>
      <c r="BE118" s="185">
        <v>0.53558992902102587</v>
      </c>
      <c r="BF118" s="188"/>
      <c r="BG118" s="188">
        <v>2146</v>
      </c>
      <c r="BH118" s="185">
        <v>0.68256997455470736</v>
      </c>
      <c r="BI118" s="185">
        <v>0.71849471005758681</v>
      </c>
      <c r="BJ118" s="188">
        <v>2986.7999999999997</v>
      </c>
      <c r="BK118" s="188">
        <v>2545</v>
      </c>
      <c r="BL118" s="185">
        <v>0.80947837150127222</v>
      </c>
      <c r="BM118" s="185">
        <v>0.85208249631712873</v>
      </c>
      <c r="BN118" s="188">
        <v>2545</v>
      </c>
      <c r="BO118" s="185">
        <v>0.80947837150127222</v>
      </c>
      <c r="BP118" s="185">
        <v>0.85208249631712873</v>
      </c>
      <c r="BQ118" s="188">
        <v>2545</v>
      </c>
      <c r="BR118" s="185">
        <f t="shared" si="139"/>
        <v>0.80947837150127222</v>
      </c>
      <c r="BS118" s="185">
        <f t="shared" si="151"/>
        <v>0.85208249631712873</v>
      </c>
      <c r="BT118" s="205">
        <f t="shared" si="122"/>
        <v>2545</v>
      </c>
      <c r="BU118" s="205"/>
      <c r="BV118" s="189" t="e">
        <f>#REF!+#REF!</f>
        <v>#REF!</v>
      </c>
      <c r="BW118" s="186" t="e">
        <f t="shared" si="140"/>
        <v>#REF!</v>
      </c>
      <c r="BX118" s="189" t="e">
        <f>#REF!+#REF!</f>
        <v>#REF!</v>
      </c>
      <c r="BY118" s="186" t="e">
        <f t="shared" si="141"/>
        <v>#REF!</v>
      </c>
      <c r="BZ118" s="189" t="e">
        <f>#REF!+#REF!</f>
        <v>#REF!</v>
      </c>
      <c r="CA118" s="186" t="e">
        <f t="shared" si="142"/>
        <v>#REF!</v>
      </c>
      <c r="CB118" s="189" t="e">
        <f>#REF!+#REF!</f>
        <v>#REF!</v>
      </c>
      <c r="CC118" s="186" t="e">
        <f t="shared" si="143"/>
        <v>#REF!</v>
      </c>
      <c r="CD118" s="189" t="e">
        <f>#REF!+#REF!</f>
        <v>#REF!</v>
      </c>
      <c r="CE118" s="186" t="e">
        <f t="shared" si="144"/>
        <v>#REF!</v>
      </c>
      <c r="CF118" s="189" t="e">
        <f>#REF!+#REF!</f>
        <v>#REF!</v>
      </c>
      <c r="CG118" s="186" t="e">
        <f t="shared" si="145"/>
        <v>#REF!</v>
      </c>
      <c r="CH118" s="189" t="e">
        <f>#REF!+#REF!</f>
        <v>#REF!</v>
      </c>
      <c r="CI118" s="186" t="e">
        <f t="shared" si="146"/>
        <v>#REF!</v>
      </c>
      <c r="CJ118" s="189" t="e">
        <f>#REF!+#REF!</f>
        <v>#REF!</v>
      </c>
      <c r="CK118" s="186" t="e">
        <f t="shared" si="137"/>
        <v>#REF!</v>
      </c>
      <c r="CL118" s="189" t="e">
        <f>#REF!+#REF!</f>
        <v>#REF!</v>
      </c>
      <c r="CM118" s="186" t="e">
        <f t="shared" si="147"/>
        <v>#REF!</v>
      </c>
      <c r="CN118" s="189" t="e">
        <f>#REF!+#REF!</f>
        <v>#REF!</v>
      </c>
      <c r="CO118" s="186" t="e">
        <f t="shared" si="138"/>
        <v>#REF!</v>
      </c>
      <c r="CP118" s="189" t="e">
        <f>#REF!+#REF!</f>
        <v>#REF!</v>
      </c>
      <c r="CQ118" s="186" t="e">
        <f t="shared" si="148"/>
        <v>#REF!</v>
      </c>
      <c r="CR118" s="189" t="e">
        <f>#REF!+#REF!</f>
        <v>#REF!</v>
      </c>
      <c r="CS118" s="186" t="e">
        <f t="shared" si="149"/>
        <v>#REF!</v>
      </c>
      <c r="CT118" s="189" t="e">
        <f>#REF!+#REF!</f>
        <v>#REF!</v>
      </c>
      <c r="CU118" s="186" t="e">
        <f t="shared" si="150"/>
        <v>#REF!</v>
      </c>
      <c r="CV118" s="416">
        <f t="shared" si="118"/>
        <v>0</v>
      </c>
      <c r="CW118" s="191" t="str">
        <f t="shared" si="119"/>
        <v>Cao hơn</v>
      </c>
      <c r="CX118" s="191" t="str">
        <f t="shared" si="120"/>
        <v>Cao hơn</v>
      </c>
      <c r="CY118" s="213"/>
      <c r="CZ118" s="213"/>
      <c r="DA118" s="231"/>
      <c r="DB118" s="163"/>
      <c r="DD118" s="195"/>
      <c r="DE118" s="196"/>
      <c r="DF118" s="196"/>
      <c r="DG118" s="197"/>
      <c r="DH118" s="196"/>
      <c r="DI118" s="196"/>
      <c r="DJ118" s="196"/>
      <c r="DL118" s="199"/>
      <c r="DM118" s="200"/>
    </row>
    <row r="119" spans="1:117" ht="18" customHeight="1" x14ac:dyDescent="0.25">
      <c r="A119" s="191">
        <v>54</v>
      </c>
      <c r="B119" s="240" t="s">
        <v>444</v>
      </c>
      <c r="C119" s="240"/>
      <c r="D119" s="188">
        <v>3077</v>
      </c>
      <c r="E119" s="188">
        <v>0</v>
      </c>
      <c r="F119" s="188">
        <v>3077</v>
      </c>
      <c r="G119" s="188">
        <v>3000</v>
      </c>
      <c r="H119" s="188">
        <v>77</v>
      </c>
      <c r="I119" s="188">
        <v>0</v>
      </c>
      <c r="J119" s="188"/>
      <c r="K119" s="188">
        <v>0</v>
      </c>
      <c r="L119" s="188">
        <v>0</v>
      </c>
      <c r="M119" s="188">
        <v>0</v>
      </c>
      <c r="N119" s="188">
        <v>0</v>
      </c>
      <c r="O119" s="188">
        <v>3000</v>
      </c>
      <c r="P119" s="188">
        <v>0</v>
      </c>
      <c r="Q119" s="186">
        <v>0</v>
      </c>
      <c r="R119" s="188">
        <v>0</v>
      </c>
      <c r="S119" s="185">
        <v>0</v>
      </c>
      <c r="T119" s="185">
        <v>0</v>
      </c>
      <c r="U119" s="188">
        <v>0</v>
      </c>
      <c r="V119" s="185">
        <v>0</v>
      </c>
      <c r="W119" s="185">
        <v>0</v>
      </c>
      <c r="X119" s="188">
        <v>0</v>
      </c>
      <c r="Y119" s="185">
        <v>0</v>
      </c>
      <c r="Z119" s="185">
        <v>0</v>
      </c>
      <c r="AA119" s="188">
        <v>0</v>
      </c>
      <c r="AB119" s="185">
        <v>0</v>
      </c>
      <c r="AC119" s="185">
        <v>0</v>
      </c>
      <c r="AD119" s="188">
        <v>6</v>
      </c>
      <c r="AE119" s="185">
        <v>1.9499512512187196E-3</v>
      </c>
      <c r="AF119" s="185">
        <v>2.0525802644407575E-3</v>
      </c>
      <c r="AG119" s="188">
        <v>6</v>
      </c>
      <c r="AH119" s="185">
        <v>1.9499512512187196E-3</v>
      </c>
      <c r="AI119" s="185">
        <v>2.0525802644407575E-3</v>
      </c>
      <c r="AJ119" s="303">
        <v>6</v>
      </c>
      <c r="AK119" s="185">
        <v>1.9499512512187196E-3</v>
      </c>
      <c r="AL119" s="185">
        <v>2.0525802644407575E-3</v>
      </c>
      <c r="AM119" s="188">
        <v>783</v>
      </c>
      <c r="AN119" s="185">
        <v>0.25446863828404293</v>
      </c>
      <c r="AO119" s="185">
        <v>0.26786172450951889</v>
      </c>
      <c r="AP119" s="185"/>
      <c r="AQ119" s="314">
        <v>783</v>
      </c>
      <c r="AR119" s="185">
        <v>0.25446863828404293</v>
      </c>
      <c r="AS119" s="185">
        <v>0.26786172450951889</v>
      </c>
      <c r="AT119" s="314">
        <v>809.83100000000002</v>
      </c>
      <c r="AU119" s="185">
        <v>0.26318849528761784</v>
      </c>
      <c r="AV119" s="185">
        <v>0.2770405213553872</v>
      </c>
      <c r="AW119" s="185"/>
      <c r="AX119" s="185"/>
      <c r="AY119" s="185"/>
      <c r="AZ119" s="185"/>
      <c r="BA119" s="185"/>
      <c r="BB119" s="185"/>
      <c r="BC119" s="314">
        <v>809.83100000000002</v>
      </c>
      <c r="BD119" s="185">
        <v>0.26318849528761784</v>
      </c>
      <c r="BE119" s="185">
        <v>0.2770405213553872</v>
      </c>
      <c r="BF119" s="314"/>
      <c r="BG119" s="314">
        <v>1381</v>
      </c>
      <c r="BH119" s="185">
        <v>0.44881377965550862</v>
      </c>
      <c r="BI119" s="185">
        <v>0.47243555753211441</v>
      </c>
      <c r="BJ119" s="188">
        <v>2923.1499999999996</v>
      </c>
      <c r="BK119" s="188">
        <v>1381</v>
      </c>
      <c r="BL119" s="185">
        <v>0.44881377965550862</v>
      </c>
      <c r="BM119" s="185">
        <v>0.47243555753211441</v>
      </c>
      <c r="BN119" s="188">
        <v>1381</v>
      </c>
      <c r="BO119" s="185">
        <v>0.44881377965550862</v>
      </c>
      <c r="BP119" s="185">
        <v>0.47243555753211441</v>
      </c>
      <c r="BQ119" s="188">
        <v>1381</v>
      </c>
      <c r="BR119" s="185">
        <f t="shared" si="139"/>
        <v>0.44881377965550862</v>
      </c>
      <c r="BS119" s="185">
        <f t="shared" si="151"/>
        <v>0.47243555753211441</v>
      </c>
      <c r="BT119" s="205">
        <f t="shared" si="122"/>
        <v>1375</v>
      </c>
      <c r="BU119" s="205"/>
      <c r="BV119" s="189" t="e">
        <f>#REF!+#REF!</f>
        <v>#REF!</v>
      </c>
      <c r="BW119" s="186" t="e">
        <f t="shared" si="140"/>
        <v>#REF!</v>
      </c>
      <c r="BX119" s="189" t="e">
        <f>#REF!+#REF!</f>
        <v>#REF!</v>
      </c>
      <c r="BY119" s="186" t="e">
        <f t="shared" si="141"/>
        <v>#REF!</v>
      </c>
      <c r="BZ119" s="189" t="e">
        <f>#REF!+#REF!</f>
        <v>#REF!</v>
      </c>
      <c r="CA119" s="186" t="e">
        <f t="shared" si="142"/>
        <v>#REF!</v>
      </c>
      <c r="CB119" s="189" t="e">
        <f>#REF!+#REF!</f>
        <v>#REF!</v>
      </c>
      <c r="CC119" s="186" t="e">
        <f t="shared" si="143"/>
        <v>#REF!</v>
      </c>
      <c r="CD119" s="189" t="e">
        <f>#REF!+#REF!</f>
        <v>#REF!</v>
      </c>
      <c r="CE119" s="186" t="e">
        <f t="shared" si="144"/>
        <v>#REF!</v>
      </c>
      <c r="CF119" s="189" t="e">
        <f>#REF!+#REF!</f>
        <v>#REF!</v>
      </c>
      <c r="CG119" s="186" t="e">
        <f t="shared" si="145"/>
        <v>#REF!</v>
      </c>
      <c r="CH119" s="189" t="e">
        <f>#REF!+#REF!</f>
        <v>#REF!</v>
      </c>
      <c r="CI119" s="186" t="e">
        <f t="shared" si="146"/>
        <v>#REF!</v>
      </c>
      <c r="CJ119" s="189" t="e">
        <f>#REF!+#REF!</f>
        <v>#REF!</v>
      </c>
      <c r="CK119" s="186" t="e">
        <f t="shared" si="137"/>
        <v>#REF!</v>
      </c>
      <c r="CL119" s="189" t="e">
        <f>#REF!+#REF!</f>
        <v>#REF!</v>
      </c>
      <c r="CM119" s="186" t="e">
        <f t="shared" si="147"/>
        <v>#REF!</v>
      </c>
      <c r="CN119" s="189" t="e">
        <f>#REF!+#REF!</f>
        <v>#REF!</v>
      </c>
      <c r="CO119" s="186" t="e">
        <f t="shared" si="138"/>
        <v>#REF!</v>
      </c>
      <c r="CP119" s="189" t="e">
        <f>#REF!+#REF!</f>
        <v>#REF!</v>
      </c>
      <c r="CQ119" s="186" t="e">
        <f t="shared" si="148"/>
        <v>#REF!</v>
      </c>
      <c r="CR119" s="189" t="e">
        <f>#REF!+#REF!</f>
        <v>#REF!</v>
      </c>
      <c r="CS119" s="186" t="e">
        <f t="shared" si="149"/>
        <v>#REF!</v>
      </c>
      <c r="CT119" s="189" t="e">
        <f>#REF!+#REF!</f>
        <v>#REF!</v>
      </c>
      <c r="CU119" s="186" t="e">
        <f t="shared" si="150"/>
        <v>#REF!</v>
      </c>
      <c r="CV119" s="416">
        <f t="shared" si="118"/>
        <v>0</v>
      </c>
      <c r="CW119" s="191" t="str">
        <f t="shared" si="119"/>
        <v>Cao hơn</v>
      </c>
      <c r="CX119" s="191" t="str">
        <f t="shared" si="120"/>
        <v>Cao hơn</v>
      </c>
      <c r="CY119" s="213"/>
      <c r="CZ119" s="213"/>
      <c r="DA119" s="231"/>
      <c r="DB119" s="163"/>
      <c r="DD119" s="195"/>
      <c r="DE119" s="196"/>
      <c r="DF119" s="196"/>
      <c r="DG119" s="197"/>
      <c r="DH119" s="196"/>
      <c r="DI119" s="196"/>
      <c r="DJ119" s="196"/>
      <c r="DL119" s="199"/>
      <c r="DM119" s="200"/>
    </row>
    <row r="120" spans="1:117" ht="18" customHeight="1" x14ac:dyDescent="0.25">
      <c r="A120" s="191">
        <v>55</v>
      </c>
      <c r="B120" s="240" t="s">
        <v>445</v>
      </c>
      <c r="C120" s="240"/>
      <c r="D120" s="188">
        <v>4600</v>
      </c>
      <c r="E120" s="188">
        <v>0</v>
      </c>
      <c r="F120" s="188">
        <v>4600</v>
      </c>
      <c r="G120" s="188">
        <v>3000</v>
      </c>
      <c r="H120" s="188">
        <v>1600</v>
      </c>
      <c r="I120" s="188">
        <v>0</v>
      </c>
      <c r="J120" s="188"/>
      <c r="K120" s="188">
        <v>0</v>
      </c>
      <c r="L120" s="188">
        <v>0</v>
      </c>
      <c r="M120" s="188">
        <v>0</v>
      </c>
      <c r="N120" s="188">
        <v>0</v>
      </c>
      <c r="O120" s="188">
        <v>3000</v>
      </c>
      <c r="P120" s="188">
        <v>0</v>
      </c>
      <c r="Q120" s="186">
        <v>0</v>
      </c>
      <c r="R120" s="188">
        <v>0</v>
      </c>
      <c r="S120" s="185">
        <v>0</v>
      </c>
      <c r="T120" s="185">
        <v>0</v>
      </c>
      <c r="U120" s="188">
        <v>0</v>
      </c>
      <c r="V120" s="185">
        <v>0</v>
      </c>
      <c r="W120" s="185">
        <v>0</v>
      </c>
      <c r="X120" s="188">
        <v>0</v>
      </c>
      <c r="Y120" s="185">
        <v>0</v>
      </c>
      <c r="Z120" s="185">
        <v>0</v>
      </c>
      <c r="AA120" s="188">
        <v>0</v>
      </c>
      <c r="AB120" s="185">
        <v>0</v>
      </c>
      <c r="AC120" s="185">
        <v>0</v>
      </c>
      <c r="AD120" s="188">
        <v>31</v>
      </c>
      <c r="AE120" s="185">
        <v>6.7391304347826086E-3</v>
      </c>
      <c r="AF120" s="185">
        <v>7.0938215102974832E-3</v>
      </c>
      <c r="AG120" s="188">
        <v>31</v>
      </c>
      <c r="AH120" s="185">
        <v>6.7391304347826086E-3</v>
      </c>
      <c r="AI120" s="185">
        <v>7.0938215102974832E-3</v>
      </c>
      <c r="AJ120" s="303">
        <v>31</v>
      </c>
      <c r="AK120" s="185">
        <v>6.7391304347826086E-3</v>
      </c>
      <c r="AL120" s="185">
        <v>7.0938215102974832E-3</v>
      </c>
      <c r="AM120" s="188">
        <v>230</v>
      </c>
      <c r="AN120" s="185">
        <v>0.05</v>
      </c>
      <c r="AO120" s="185">
        <v>5.2631578947368418E-2</v>
      </c>
      <c r="AP120" s="185"/>
      <c r="AQ120" s="188">
        <v>538</v>
      </c>
      <c r="AR120" s="185">
        <v>0.11695652173913043</v>
      </c>
      <c r="AS120" s="185">
        <v>0.12311212814645309</v>
      </c>
      <c r="AT120" s="188">
        <v>697</v>
      </c>
      <c r="AU120" s="185">
        <v>0.15152173913043479</v>
      </c>
      <c r="AV120" s="185">
        <v>0.15949656750572083</v>
      </c>
      <c r="AW120" s="185"/>
      <c r="AX120" s="185"/>
      <c r="AY120" s="185"/>
      <c r="AZ120" s="185"/>
      <c r="BA120" s="185"/>
      <c r="BB120" s="185"/>
      <c r="BC120" s="188">
        <v>697</v>
      </c>
      <c r="BD120" s="185">
        <v>0.15152173913043479</v>
      </c>
      <c r="BE120" s="185">
        <v>0.15949656750572083</v>
      </c>
      <c r="BF120" s="188"/>
      <c r="BG120" s="188">
        <v>1366</v>
      </c>
      <c r="BH120" s="185">
        <v>0.29695652173913045</v>
      </c>
      <c r="BI120" s="185">
        <v>0.31258581235697941</v>
      </c>
      <c r="BJ120" s="188">
        <v>4370</v>
      </c>
      <c r="BK120" s="188">
        <v>1384.2190000000001</v>
      </c>
      <c r="BL120" s="185">
        <v>0.30091717391304351</v>
      </c>
      <c r="BM120" s="185">
        <v>0.31675491990846683</v>
      </c>
      <c r="BN120" s="188">
        <v>1384.2190000000001</v>
      </c>
      <c r="BO120" s="185">
        <v>0.30091717391304351</v>
      </c>
      <c r="BP120" s="185">
        <v>0.31675491990846683</v>
      </c>
      <c r="BQ120" s="188">
        <v>1384.2190000000001</v>
      </c>
      <c r="BR120" s="185">
        <f t="shared" si="139"/>
        <v>0.30091717391304351</v>
      </c>
      <c r="BS120" s="185">
        <f t="shared" si="151"/>
        <v>0.31675491990846683</v>
      </c>
      <c r="BT120" s="205">
        <f t="shared" ref="BT120:BT126" si="152">BQ120-AD120</f>
        <v>1353.2190000000001</v>
      </c>
      <c r="BU120" s="205"/>
      <c r="BV120" s="189" t="e">
        <f>#REF!+#REF!</f>
        <v>#REF!</v>
      </c>
      <c r="BW120" s="186" t="e">
        <f t="shared" si="140"/>
        <v>#REF!</v>
      </c>
      <c r="BX120" s="189" t="e">
        <f>#REF!+#REF!</f>
        <v>#REF!</v>
      </c>
      <c r="BY120" s="186" t="e">
        <f t="shared" si="141"/>
        <v>#REF!</v>
      </c>
      <c r="BZ120" s="189" t="e">
        <f>#REF!+#REF!</f>
        <v>#REF!</v>
      </c>
      <c r="CA120" s="186" t="e">
        <f t="shared" si="142"/>
        <v>#REF!</v>
      </c>
      <c r="CB120" s="189" t="e">
        <f>#REF!+#REF!</f>
        <v>#REF!</v>
      </c>
      <c r="CC120" s="186" t="e">
        <f t="shared" si="143"/>
        <v>#REF!</v>
      </c>
      <c r="CD120" s="189" t="e">
        <f>#REF!+#REF!</f>
        <v>#REF!</v>
      </c>
      <c r="CE120" s="186" t="e">
        <f t="shared" si="144"/>
        <v>#REF!</v>
      </c>
      <c r="CF120" s="189" t="e">
        <f>#REF!+#REF!</f>
        <v>#REF!</v>
      </c>
      <c r="CG120" s="186" t="e">
        <f t="shared" si="145"/>
        <v>#REF!</v>
      </c>
      <c r="CH120" s="189" t="e">
        <f>#REF!+#REF!</f>
        <v>#REF!</v>
      </c>
      <c r="CI120" s="186" t="e">
        <f t="shared" si="146"/>
        <v>#REF!</v>
      </c>
      <c r="CJ120" s="189" t="e">
        <f>#REF!+#REF!</f>
        <v>#REF!</v>
      </c>
      <c r="CK120" s="186" t="e">
        <f t="shared" si="137"/>
        <v>#REF!</v>
      </c>
      <c r="CL120" s="189" t="e">
        <f>#REF!+#REF!</f>
        <v>#REF!</v>
      </c>
      <c r="CM120" s="186" t="e">
        <f t="shared" si="147"/>
        <v>#REF!</v>
      </c>
      <c r="CN120" s="189" t="e">
        <f>#REF!+#REF!</f>
        <v>#REF!</v>
      </c>
      <c r="CO120" s="186" t="e">
        <f t="shared" si="138"/>
        <v>#REF!</v>
      </c>
      <c r="CP120" s="189" t="e">
        <f>#REF!+#REF!</f>
        <v>#REF!</v>
      </c>
      <c r="CQ120" s="186" t="e">
        <f t="shared" si="148"/>
        <v>#REF!</v>
      </c>
      <c r="CR120" s="189" t="e">
        <f>#REF!+#REF!</f>
        <v>#REF!</v>
      </c>
      <c r="CS120" s="186" t="e">
        <f t="shared" si="149"/>
        <v>#REF!</v>
      </c>
      <c r="CT120" s="189" t="e">
        <f>#REF!+#REF!</f>
        <v>#REF!</v>
      </c>
      <c r="CU120" s="186" t="e">
        <f t="shared" si="150"/>
        <v>#REF!</v>
      </c>
      <c r="CV120" s="416">
        <f t="shared" si="118"/>
        <v>0</v>
      </c>
      <c r="CW120" s="191" t="str">
        <f t="shared" si="119"/>
        <v>Thấp hơn</v>
      </c>
      <c r="CX120" s="191" t="str">
        <f t="shared" si="120"/>
        <v>Thấp hơn</v>
      </c>
      <c r="CY120" s="213"/>
      <c r="CZ120" s="213"/>
      <c r="DA120" s="231"/>
      <c r="DB120" s="163"/>
      <c r="DD120" s="195"/>
      <c r="DE120" s="196"/>
      <c r="DF120" s="196"/>
      <c r="DG120" s="197"/>
      <c r="DH120" s="196"/>
      <c r="DI120" s="196"/>
      <c r="DJ120" s="196"/>
      <c r="DL120" s="199"/>
      <c r="DM120" s="200"/>
    </row>
    <row r="121" spans="1:117" ht="18" customHeight="1" x14ac:dyDescent="0.25">
      <c r="A121" s="191">
        <v>56</v>
      </c>
      <c r="B121" s="240" t="s">
        <v>446</v>
      </c>
      <c r="C121" s="240"/>
      <c r="D121" s="188">
        <v>3111</v>
      </c>
      <c r="E121" s="188">
        <v>0</v>
      </c>
      <c r="F121" s="188">
        <v>3111</v>
      </c>
      <c r="G121" s="188">
        <v>3000</v>
      </c>
      <c r="H121" s="188">
        <v>111</v>
      </c>
      <c r="I121" s="188">
        <v>0</v>
      </c>
      <c r="J121" s="188"/>
      <c r="K121" s="188">
        <v>0</v>
      </c>
      <c r="L121" s="188">
        <v>0</v>
      </c>
      <c r="M121" s="188">
        <v>0</v>
      </c>
      <c r="N121" s="188">
        <v>0</v>
      </c>
      <c r="O121" s="188">
        <v>3000</v>
      </c>
      <c r="P121" s="188">
        <v>0</v>
      </c>
      <c r="Q121" s="186">
        <v>0</v>
      </c>
      <c r="R121" s="188">
        <v>0</v>
      </c>
      <c r="S121" s="185">
        <v>0</v>
      </c>
      <c r="T121" s="185">
        <v>0</v>
      </c>
      <c r="U121" s="188">
        <v>0</v>
      </c>
      <c r="V121" s="185">
        <v>0</v>
      </c>
      <c r="W121" s="185">
        <v>0</v>
      </c>
      <c r="X121" s="188">
        <v>0</v>
      </c>
      <c r="Y121" s="185">
        <v>0</v>
      </c>
      <c r="Z121" s="185">
        <v>0</v>
      </c>
      <c r="AA121" s="188">
        <v>0</v>
      </c>
      <c r="AB121" s="185">
        <v>0</v>
      </c>
      <c r="AC121" s="185">
        <v>0</v>
      </c>
      <c r="AD121" s="188">
        <v>0</v>
      </c>
      <c r="AE121" s="185">
        <v>0</v>
      </c>
      <c r="AF121" s="185">
        <v>0</v>
      </c>
      <c r="AG121" s="188">
        <v>0</v>
      </c>
      <c r="AH121" s="185">
        <v>0</v>
      </c>
      <c r="AI121" s="185">
        <v>0</v>
      </c>
      <c r="AJ121" s="303">
        <v>0</v>
      </c>
      <c r="AK121" s="185">
        <v>0</v>
      </c>
      <c r="AL121" s="185">
        <v>0</v>
      </c>
      <c r="AM121" s="188">
        <v>743</v>
      </c>
      <c r="AN121" s="185">
        <v>0.23882995821279332</v>
      </c>
      <c r="AO121" s="185">
        <v>0.25139995601346665</v>
      </c>
      <c r="AP121" s="185"/>
      <c r="AQ121" s="188">
        <v>1504.0450000000001</v>
      </c>
      <c r="AR121" s="185">
        <v>0.48346030215364838</v>
      </c>
      <c r="AS121" s="185">
        <v>0.50890558121436669</v>
      </c>
      <c r="AT121" s="188">
        <v>1590.365</v>
      </c>
      <c r="AU121" s="185">
        <v>0.51120700739312119</v>
      </c>
      <c r="AV121" s="185">
        <v>0.53811263936118026</v>
      </c>
      <c r="AW121" s="185"/>
      <c r="AX121" s="185"/>
      <c r="AY121" s="185"/>
      <c r="AZ121" s="185"/>
      <c r="BA121" s="185"/>
      <c r="BB121" s="185"/>
      <c r="BC121" s="188">
        <v>1590.365</v>
      </c>
      <c r="BD121" s="185">
        <v>0.51120700739312119</v>
      </c>
      <c r="BE121" s="185">
        <v>0.53811263936118026</v>
      </c>
      <c r="BF121" s="188"/>
      <c r="BG121" s="188">
        <v>1801</v>
      </c>
      <c r="BH121" s="185">
        <v>0.57891353262616518</v>
      </c>
      <c r="BI121" s="185">
        <v>0.60938266592227919</v>
      </c>
      <c r="BJ121" s="188">
        <v>2955.45</v>
      </c>
      <c r="BK121" s="188">
        <v>2237</v>
      </c>
      <c r="BL121" s="185">
        <v>0.71906139504982325</v>
      </c>
      <c r="BM121" s="185">
        <v>0.75690673163139288</v>
      </c>
      <c r="BN121" s="188">
        <v>2237</v>
      </c>
      <c r="BO121" s="185">
        <v>0.71906139504982325</v>
      </c>
      <c r="BP121" s="185">
        <v>0.75690673163139288</v>
      </c>
      <c r="BQ121" s="188">
        <v>2484.1559999999999</v>
      </c>
      <c r="BR121" s="185">
        <f t="shared" si="139"/>
        <v>0.79850723240115717</v>
      </c>
      <c r="BS121" s="185">
        <f t="shared" si="151"/>
        <v>0.84053392884332334</v>
      </c>
      <c r="BT121" s="205">
        <f t="shared" si="152"/>
        <v>2484.1559999999999</v>
      </c>
      <c r="BU121" s="205"/>
      <c r="BV121" s="189" t="e">
        <f>#REF!+#REF!</f>
        <v>#REF!</v>
      </c>
      <c r="BW121" s="186" t="e">
        <f t="shared" si="140"/>
        <v>#REF!</v>
      </c>
      <c r="BX121" s="189" t="e">
        <f>#REF!+#REF!</f>
        <v>#REF!</v>
      </c>
      <c r="BY121" s="186" t="e">
        <f t="shared" si="141"/>
        <v>#REF!</v>
      </c>
      <c r="BZ121" s="189" t="e">
        <f>#REF!+#REF!</f>
        <v>#REF!</v>
      </c>
      <c r="CA121" s="186" t="e">
        <f t="shared" si="142"/>
        <v>#REF!</v>
      </c>
      <c r="CB121" s="189" t="e">
        <f>#REF!+#REF!</f>
        <v>#REF!</v>
      </c>
      <c r="CC121" s="186" t="e">
        <f t="shared" si="143"/>
        <v>#REF!</v>
      </c>
      <c r="CD121" s="189" t="e">
        <f>#REF!+#REF!</f>
        <v>#REF!</v>
      </c>
      <c r="CE121" s="186" t="e">
        <f t="shared" si="144"/>
        <v>#REF!</v>
      </c>
      <c r="CF121" s="189" t="e">
        <f>#REF!+#REF!</f>
        <v>#REF!</v>
      </c>
      <c r="CG121" s="186" t="e">
        <f t="shared" si="145"/>
        <v>#REF!</v>
      </c>
      <c r="CH121" s="189" t="e">
        <f>#REF!+#REF!</f>
        <v>#REF!</v>
      </c>
      <c r="CI121" s="186" t="e">
        <f t="shared" si="146"/>
        <v>#REF!</v>
      </c>
      <c r="CJ121" s="189" t="e">
        <f>#REF!+#REF!</f>
        <v>#REF!</v>
      </c>
      <c r="CK121" s="186" t="e">
        <f t="shared" si="137"/>
        <v>#REF!</v>
      </c>
      <c r="CL121" s="189" t="e">
        <f>#REF!+#REF!</f>
        <v>#REF!</v>
      </c>
      <c r="CM121" s="186" t="e">
        <f t="shared" si="147"/>
        <v>#REF!</v>
      </c>
      <c r="CN121" s="189" t="e">
        <f>#REF!+#REF!</f>
        <v>#REF!</v>
      </c>
      <c r="CO121" s="186" t="e">
        <f t="shared" si="138"/>
        <v>#REF!</v>
      </c>
      <c r="CP121" s="189" t="e">
        <f>#REF!+#REF!</f>
        <v>#REF!</v>
      </c>
      <c r="CQ121" s="186" t="e">
        <f t="shared" si="148"/>
        <v>#REF!</v>
      </c>
      <c r="CR121" s="189" t="e">
        <f>#REF!+#REF!</f>
        <v>#REF!</v>
      </c>
      <c r="CS121" s="186" t="e">
        <f t="shared" si="149"/>
        <v>#REF!</v>
      </c>
      <c r="CT121" s="189" t="e">
        <f>#REF!+#REF!</f>
        <v>#REF!</v>
      </c>
      <c r="CU121" s="186" t="e">
        <f t="shared" si="150"/>
        <v>#REF!</v>
      </c>
      <c r="CV121" s="416">
        <f t="shared" si="118"/>
        <v>247.15599999999995</v>
      </c>
      <c r="CW121" s="191" t="str">
        <f t="shared" si="119"/>
        <v>Cao hơn</v>
      </c>
      <c r="CX121" s="191" t="str">
        <f t="shared" si="120"/>
        <v>Cao hơn</v>
      </c>
      <c r="CY121" s="213"/>
      <c r="CZ121" s="213"/>
      <c r="DA121" s="231"/>
      <c r="DB121" s="163"/>
      <c r="DD121" s="195"/>
      <c r="DE121" s="196"/>
      <c r="DF121" s="196"/>
      <c r="DG121" s="197"/>
      <c r="DH121" s="196"/>
      <c r="DI121" s="196"/>
      <c r="DJ121" s="196"/>
      <c r="DL121" s="199"/>
      <c r="DM121" s="200"/>
    </row>
    <row r="122" spans="1:117" ht="18" customHeight="1" x14ac:dyDescent="0.25">
      <c r="A122" s="191">
        <v>57</v>
      </c>
      <c r="B122" s="240" t="s">
        <v>447</v>
      </c>
      <c r="C122" s="240"/>
      <c r="D122" s="188">
        <v>3153</v>
      </c>
      <c r="E122" s="188">
        <v>0</v>
      </c>
      <c r="F122" s="188">
        <v>3153</v>
      </c>
      <c r="G122" s="188">
        <v>3000</v>
      </c>
      <c r="H122" s="188">
        <v>153</v>
      </c>
      <c r="I122" s="188">
        <v>0</v>
      </c>
      <c r="J122" s="188"/>
      <c r="K122" s="188">
        <v>0</v>
      </c>
      <c r="L122" s="188">
        <v>0</v>
      </c>
      <c r="M122" s="188">
        <v>0</v>
      </c>
      <c r="N122" s="188">
        <v>0</v>
      </c>
      <c r="O122" s="188">
        <v>3000</v>
      </c>
      <c r="P122" s="188">
        <v>0</v>
      </c>
      <c r="Q122" s="186">
        <v>0</v>
      </c>
      <c r="R122" s="188">
        <v>0</v>
      </c>
      <c r="S122" s="185">
        <v>0</v>
      </c>
      <c r="T122" s="185">
        <v>0</v>
      </c>
      <c r="U122" s="188">
        <v>0</v>
      </c>
      <c r="V122" s="185">
        <v>0</v>
      </c>
      <c r="W122" s="185">
        <v>0</v>
      </c>
      <c r="X122" s="188">
        <v>0</v>
      </c>
      <c r="Y122" s="185">
        <v>0</v>
      </c>
      <c r="Z122" s="185">
        <v>0</v>
      </c>
      <c r="AA122" s="188">
        <v>0</v>
      </c>
      <c r="AB122" s="185">
        <v>0</v>
      </c>
      <c r="AC122" s="185">
        <v>0</v>
      </c>
      <c r="AD122" s="188">
        <v>2291</v>
      </c>
      <c r="AE122" s="185">
        <v>0.72660957817951155</v>
      </c>
      <c r="AF122" s="185">
        <v>0.7648521875573806</v>
      </c>
      <c r="AG122" s="188">
        <v>2291</v>
      </c>
      <c r="AH122" s="185">
        <v>0.72660957817951155</v>
      </c>
      <c r="AI122" s="185">
        <v>0.7648521875573806</v>
      </c>
      <c r="AJ122" s="303">
        <v>2291</v>
      </c>
      <c r="AK122" s="185">
        <v>0.72660957817951155</v>
      </c>
      <c r="AL122" s="185">
        <v>0.7648521875573806</v>
      </c>
      <c r="AM122" s="188">
        <v>2291</v>
      </c>
      <c r="AN122" s="185">
        <v>0.72660957817951155</v>
      </c>
      <c r="AO122" s="185">
        <v>0.7648521875573806</v>
      </c>
      <c r="AP122" s="185"/>
      <c r="AQ122" s="188">
        <v>2291</v>
      </c>
      <c r="AR122" s="185">
        <v>0.72660957817951155</v>
      </c>
      <c r="AS122" s="185">
        <v>0.7648521875573806</v>
      </c>
      <c r="AT122" s="188">
        <v>2291</v>
      </c>
      <c r="AU122" s="185">
        <v>0.72660957817951155</v>
      </c>
      <c r="AV122" s="185">
        <v>0.7648521875573806</v>
      </c>
      <c r="AW122" s="185"/>
      <c r="AX122" s="185"/>
      <c r="AY122" s="185"/>
      <c r="AZ122" s="185"/>
      <c r="BA122" s="185"/>
      <c r="BB122" s="185"/>
      <c r="BC122" s="188">
        <v>2291</v>
      </c>
      <c r="BD122" s="185">
        <v>0.72660957817951155</v>
      </c>
      <c r="BE122" s="185">
        <v>0.7648521875573806</v>
      </c>
      <c r="BF122" s="188"/>
      <c r="BG122" s="188">
        <v>2377</v>
      </c>
      <c r="BH122" s="185">
        <v>0.75388518870916588</v>
      </c>
      <c r="BI122" s="185">
        <v>0.7935633565359641</v>
      </c>
      <c r="BJ122" s="188">
        <v>2995.35</v>
      </c>
      <c r="BK122" s="188">
        <v>2480</v>
      </c>
      <c r="BL122" s="185">
        <v>0.78655248969235647</v>
      </c>
      <c r="BM122" s="185">
        <v>0.82794998914984896</v>
      </c>
      <c r="BN122" s="188">
        <v>2480</v>
      </c>
      <c r="BO122" s="185">
        <v>0.78655248969235647</v>
      </c>
      <c r="BP122" s="185">
        <v>0.82794998914984896</v>
      </c>
      <c r="BQ122" s="188">
        <v>2480</v>
      </c>
      <c r="BR122" s="185">
        <f t="shared" si="139"/>
        <v>0.78655248969235647</v>
      </c>
      <c r="BS122" s="185">
        <f t="shared" si="151"/>
        <v>0.82794998914984896</v>
      </c>
      <c r="BT122" s="205">
        <f t="shared" si="152"/>
        <v>189</v>
      </c>
      <c r="BU122" s="205"/>
      <c r="BV122" s="189" t="e">
        <f>#REF!+#REF!</f>
        <v>#REF!</v>
      </c>
      <c r="BW122" s="186" t="e">
        <f t="shared" si="140"/>
        <v>#REF!</v>
      </c>
      <c r="BX122" s="189" t="e">
        <f>#REF!+#REF!</f>
        <v>#REF!</v>
      </c>
      <c r="BY122" s="186" t="e">
        <f t="shared" si="141"/>
        <v>#REF!</v>
      </c>
      <c r="BZ122" s="189" t="e">
        <f>#REF!+#REF!</f>
        <v>#REF!</v>
      </c>
      <c r="CA122" s="186" t="e">
        <f t="shared" si="142"/>
        <v>#REF!</v>
      </c>
      <c r="CB122" s="189" t="e">
        <f>#REF!+#REF!</f>
        <v>#REF!</v>
      </c>
      <c r="CC122" s="186" t="e">
        <f t="shared" si="143"/>
        <v>#REF!</v>
      </c>
      <c r="CD122" s="189" t="e">
        <f>#REF!+#REF!</f>
        <v>#REF!</v>
      </c>
      <c r="CE122" s="186" t="e">
        <f t="shared" si="144"/>
        <v>#REF!</v>
      </c>
      <c r="CF122" s="189" t="e">
        <f>#REF!+#REF!</f>
        <v>#REF!</v>
      </c>
      <c r="CG122" s="186" t="e">
        <f t="shared" si="145"/>
        <v>#REF!</v>
      </c>
      <c r="CH122" s="189" t="e">
        <f>#REF!+#REF!</f>
        <v>#REF!</v>
      </c>
      <c r="CI122" s="186" t="e">
        <f t="shared" si="146"/>
        <v>#REF!</v>
      </c>
      <c r="CJ122" s="189" t="e">
        <f>#REF!+#REF!</f>
        <v>#REF!</v>
      </c>
      <c r="CK122" s="186" t="e">
        <f t="shared" si="137"/>
        <v>#REF!</v>
      </c>
      <c r="CL122" s="189" t="e">
        <f>#REF!+#REF!</f>
        <v>#REF!</v>
      </c>
      <c r="CM122" s="186" t="e">
        <f t="shared" si="147"/>
        <v>#REF!</v>
      </c>
      <c r="CN122" s="189" t="e">
        <f>#REF!+#REF!</f>
        <v>#REF!</v>
      </c>
      <c r="CO122" s="186" t="e">
        <f t="shared" si="138"/>
        <v>#REF!</v>
      </c>
      <c r="CP122" s="189" t="e">
        <f>#REF!+#REF!</f>
        <v>#REF!</v>
      </c>
      <c r="CQ122" s="186" t="e">
        <f t="shared" si="148"/>
        <v>#REF!</v>
      </c>
      <c r="CR122" s="189" t="e">
        <f>#REF!+#REF!</f>
        <v>#REF!</v>
      </c>
      <c r="CS122" s="186" t="e">
        <f t="shared" si="149"/>
        <v>#REF!</v>
      </c>
      <c r="CT122" s="189" t="e">
        <f>#REF!+#REF!</f>
        <v>#REF!</v>
      </c>
      <c r="CU122" s="186" t="e">
        <f t="shared" si="150"/>
        <v>#REF!</v>
      </c>
      <c r="CV122" s="416">
        <f t="shared" si="118"/>
        <v>0</v>
      </c>
      <c r="CW122" s="191" t="str">
        <f t="shared" si="119"/>
        <v>Cao hơn</v>
      </c>
      <c r="CX122" s="191" t="str">
        <f t="shared" si="120"/>
        <v>Cao hơn</v>
      </c>
      <c r="CY122" s="213"/>
      <c r="CZ122" s="213"/>
      <c r="DA122" s="231"/>
      <c r="DB122" s="163"/>
      <c r="DD122" s="195"/>
      <c r="DE122" s="196"/>
      <c r="DF122" s="196"/>
      <c r="DG122" s="197"/>
      <c r="DH122" s="196"/>
      <c r="DI122" s="196"/>
      <c r="DJ122" s="196"/>
      <c r="DL122" s="199"/>
      <c r="DM122" s="200"/>
    </row>
    <row r="123" spans="1:117" ht="18" customHeight="1" x14ac:dyDescent="0.25">
      <c r="A123" s="191">
        <v>58</v>
      </c>
      <c r="B123" s="240" t="s">
        <v>448</v>
      </c>
      <c r="C123" s="240"/>
      <c r="D123" s="188">
        <v>3535</v>
      </c>
      <c r="E123" s="188">
        <v>0</v>
      </c>
      <c r="F123" s="188">
        <v>3535</v>
      </c>
      <c r="G123" s="188">
        <v>3000</v>
      </c>
      <c r="H123" s="188">
        <v>535</v>
      </c>
      <c r="I123" s="188">
        <v>0</v>
      </c>
      <c r="J123" s="188"/>
      <c r="K123" s="188">
        <v>0</v>
      </c>
      <c r="L123" s="188">
        <v>0</v>
      </c>
      <c r="M123" s="188">
        <v>0</v>
      </c>
      <c r="N123" s="188">
        <v>0</v>
      </c>
      <c r="O123" s="188">
        <v>3000</v>
      </c>
      <c r="P123" s="188">
        <v>0</v>
      </c>
      <c r="Q123" s="186">
        <v>0</v>
      </c>
      <c r="R123" s="188">
        <v>0</v>
      </c>
      <c r="S123" s="185">
        <v>0</v>
      </c>
      <c r="T123" s="185">
        <v>0</v>
      </c>
      <c r="U123" s="188">
        <v>0</v>
      </c>
      <c r="V123" s="185">
        <v>0</v>
      </c>
      <c r="W123" s="185">
        <v>0</v>
      </c>
      <c r="X123" s="188">
        <v>0</v>
      </c>
      <c r="Y123" s="185">
        <v>0</v>
      </c>
      <c r="Z123" s="185">
        <v>0</v>
      </c>
      <c r="AA123" s="188">
        <v>0</v>
      </c>
      <c r="AB123" s="185">
        <v>0</v>
      </c>
      <c r="AC123" s="185">
        <v>0</v>
      </c>
      <c r="AD123" s="188">
        <v>316</v>
      </c>
      <c r="AE123" s="185">
        <v>8.9391796322489392E-2</v>
      </c>
      <c r="AF123" s="185">
        <v>9.4096627707883573E-2</v>
      </c>
      <c r="AG123" s="188">
        <v>316</v>
      </c>
      <c r="AH123" s="185">
        <v>8.9391796322489392E-2</v>
      </c>
      <c r="AI123" s="185">
        <v>9.4096627707883573E-2</v>
      </c>
      <c r="AJ123" s="303">
        <v>316</v>
      </c>
      <c r="AK123" s="185">
        <v>8.9391796322489392E-2</v>
      </c>
      <c r="AL123" s="185">
        <v>9.4096627707883573E-2</v>
      </c>
      <c r="AM123" s="188">
        <v>971</v>
      </c>
      <c r="AN123" s="185">
        <v>0.2746817538896747</v>
      </c>
      <c r="AO123" s="185">
        <v>0.28913868830492073</v>
      </c>
      <c r="AP123" s="185"/>
      <c r="AQ123" s="188">
        <v>971</v>
      </c>
      <c r="AR123" s="185">
        <v>0.2746817538896747</v>
      </c>
      <c r="AS123" s="185">
        <v>0.28913868830492073</v>
      </c>
      <c r="AT123" s="188">
        <v>971</v>
      </c>
      <c r="AU123" s="185">
        <v>0.2746817538896747</v>
      </c>
      <c r="AV123" s="185">
        <v>0.28913868830492073</v>
      </c>
      <c r="AW123" s="185"/>
      <c r="AX123" s="185"/>
      <c r="AY123" s="185"/>
      <c r="AZ123" s="185"/>
      <c r="BA123" s="185"/>
      <c r="BB123" s="185"/>
      <c r="BC123" s="188">
        <v>971</v>
      </c>
      <c r="BD123" s="185">
        <v>0.2746817538896747</v>
      </c>
      <c r="BE123" s="185">
        <v>0.28913868830492073</v>
      </c>
      <c r="BF123" s="188"/>
      <c r="BG123" s="188">
        <v>971</v>
      </c>
      <c r="BH123" s="185">
        <v>0.2746817538896747</v>
      </c>
      <c r="BI123" s="185">
        <v>0.28913868830492073</v>
      </c>
      <c r="BJ123" s="188">
        <v>3358.25</v>
      </c>
      <c r="BK123" s="188">
        <v>971</v>
      </c>
      <c r="BL123" s="185">
        <v>0.2746817538896747</v>
      </c>
      <c r="BM123" s="185">
        <v>0.28913868830492073</v>
      </c>
      <c r="BN123" s="188">
        <v>1595.8440000000001</v>
      </c>
      <c r="BO123" s="185">
        <v>0.45144101838755307</v>
      </c>
      <c r="BP123" s="185">
        <v>0.47520107198689793</v>
      </c>
      <c r="BQ123" s="188">
        <v>1595.8440000000001</v>
      </c>
      <c r="BR123" s="185">
        <f t="shared" si="139"/>
        <v>0.45144101838755307</v>
      </c>
      <c r="BS123" s="185">
        <f t="shared" si="151"/>
        <v>0.47520107198689793</v>
      </c>
      <c r="BT123" s="205">
        <f t="shared" si="152"/>
        <v>1279.8440000000001</v>
      </c>
      <c r="BU123" s="205"/>
      <c r="BV123" s="189" t="e">
        <f>#REF!+#REF!</f>
        <v>#REF!</v>
      </c>
      <c r="BW123" s="186" t="e">
        <f t="shared" si="140"/>
        <v>#REF!</v>
      </c>
      <c r="BX123" s="189" t="e">
        <f>#REF!+#REF!</f>
        <v>#REF!</v>
      </c>
      <c r="BY123" s="186" t="e">
        <f t="shared" si="141"/>
        <v>#REF!</v>
      </c>
      <c r="BZ123" s="189" t="e">
        <f>#REF!+#REF!</f>
        <v>#REF!</v>
      </c>
      <c r="CA123" s="186" t="e">
        <f t="shared" si="142"/>
        <v>#REF!</v>
      </c>
      <c r="CB123" s="189" t="e">
        <f>#REF!+#REF!</f>
        <v>#REF!</v>
      </c>
      <c r="CC123" s="186" t="e">
        <f t="shared" si="143"/>
        <v>#REF!</v>
      </c>
      <c r="CD123" s="189" t="e">
        <f>#REF!+#REF!</f>
        <v>#REF!</v>
      </c>
      <c r="CE123" s="186" t="e">
        <f t="shared" si="144"/>
        <v>#REF!</v>
      </c>
      <c r="CF123" s="189" t="e">
        <f>#REF!+#REF!</f>
        <v>#REF!</v>
      </c>
      <c r="CG123" s="186" t="e">
        <f t="shared" si="145"/>
        <v>#REF!</v>
      </c>
      <c r="CH123" s="189" t="e">
        <f>#REF!+#REF!</f>
        <v>#REF!</v>
      </c>
      <c r="CI123" s="186" t="e">
        <f t="shared" si="146"/>
        <v>#REF!</v>
      </c>
      <c r="CJ123" s="189" t="e">
        <f>#REF!+#REF!</f>
        <v>#REF!</v>
      </c>
      <c r="CK123" s="186" t="e">
        <f t="shared" si="137"/>
        <v>#REF!</v>
      </c>
      <c r="CL123" s="189" t="e">
        <f>#REF!+#REF!</f>
        <v>#REF!</v>
      </c>
      <c r="CM123" s="186" t="e">
        <f t="shared" si="147"/>
        <v>#REF!</v>
      </c>
      <c r="CN123" s="189" t="e">
        <f>#REF!+#REF!</f>
        <v>#REF!</v>
      </c>
      <c r="CO123" s="186" t="e">
        <f t="shared" si="138"/>
        <v>#REF!</v>
      </c>
      <c r="CP123" s="189" t="e">
        <f>#REF!+#REF!</f>
        <v>#REF!</v>
      </c>
      <c r="CQ123" s="186" t="e">
        <f t="shared" si="148"/>
        <v>#REF!</v>
      </c>
      <c r="CR123" s="189" t="e">
        <f>#REF!+#REF!</f>
        <v>#REF!</v>
      </c>
      <c r="CS123" s="186" t="e">
        <f t="shared" si="149"/>
        <v>#REF!</v>
      </c>
      <c r="CT123" s="189" t="e">
        <f>#REF!+#REF!</f>
        <v>#REF!</v>
      </c>
      <c r="CU123" s="186" t="e">
        <f t="shared" si="150"/>
        <v>#REF!</v>
      </c>
      <c r="CV123" s="416">
        <f t="shared" si="118"/>
        <v>0</v>
      </c>
      <c r="CW123" s="191" t="str">
        <f t="shared" si="119"/>
        <v>Cao hơn</v>
      </c>
      <c r="CX123" s="191" t="str">
        <f t="shared" si="120"/>
        <v>Cao hơn</v>
      </c>
      <c r="CY123" s="213"/>
      <c r="CZ123" s="213"/>
      <c r="DA123" s="231"/>
      <c r="DB123" s="163"/>
      <c r="DD123" s="195"/>
      <c r="DE123" s="196"/>
      <c r="DF123" s="196"/>
      <c r="DG123" s="197"/>
      <c r="DH123" s="196"/>
      <c r="DI123" s="196"/>
      <c r="DJ123" s="196"/>
      <c r="DL123" s="199"/>
      <c r="DM123" s="200"/>
    </row>
    <row r="124" spans="1:117" ht="18" customHeight="1" x14ac:dyDescent="0.25">
      <c r="A124" s="191">
        <v>59</v>
      </c>
      <c r="B124" s="240" t="s">
        <v>449</v>
      </c>
      <c r="C124" s="240"/>
      <c r="D124" s="188">
        <v>3017</v>
      </c>
      <c r="E124" s="188">
        <v>0</v>
      </c>
      <c r="F124" s="188">
        <v>3017</v>
      </c>
      <c r="G124" s="188">
        <v>3000</v>
      </c>
      <c r="H124" s="188">
        <v>17</v>
      </c>
      <c r="I124" s="188">
        <v>0</v>
      </c>
      <c r="J124" s="188"/>
      <c r="K124" s="188">
        <v>0</v>
      </c>
      <c r="L124" s="188">
        <v>0</v>
      </c>
      <c r="M124" s="188">
        <v>0</v>
      </c>
      <c r="N124" s="188">
        <v>0</v>
      </c>
      <c r="O124" s="188">
        <v>3000</v>
      </c>
      <c r="P124" s="188">
        <v>0</v>
      </c>
      <c r="Q124" s="186">
        <v>0</v>
      </c>
      <c r="R124" s="188">
        <v>0</v>
      </c>
      <c r="S124" s="185">
        <v>0</v>
      </c>
      <c r="T124" s="185">
        <v>0</v>
      </c>
      <c r="U124" s="188">
        <v>0</v>
      </c>
      <c r="V124" s="185">
        <v>0</v>
      </c>
      <c r="W124" s="185">
        <v>0</v>
      </c>
      <c r="X124" s="188">
        <v>0</v>
      </c>
      <c r="Y124" s="185">
        <v>0</v>
      </c>
      <c r="Z124" s="185">
        <v>0</v>
      </c>
      <c r="AA124" s="188">
        <v>0</v>
      </c>
      <c r="AB124" s="185">
        <v>0</v>
      </c>
      <c r="AC124" s="185">
        <v>0</v>
      </c>
      <c r="AD124" s="188">
        <v>0</v>
      </c>
      <c r="AE124" s="185">
        <v>0</v>
      </c>
      <c r="AF124" s="185">
        <v>0</v>
      </c>
      <c r="AG124" s="188">
        <v>0</v>
      </c>
      <c r="AH124" s="185">
        <v>0</v>
      </c>
      <c r="AI124" s="185">
        <v>0</v>
      </c>
      <c r="AJ124" s="303">
        <v>0</v>
      </c>
      <c r="AK124" s="185">
        <v>0</v>
      </c>
      <c r="AL124" s="185">
        <v>0</v>
      </c>
      <c r="AM124" s="188">
        <v>851</v>
      </c>
      <c r="AN124" s="185">
        <v>0.28206827974809412</v>
      </c>
      <c r="AO124" s="185">
        <v>0.29691397868220432</v>
      </c>
      <c r="AP124" s="185"/>
      <c r="AQ124" s="188">
        <v>851</v>
      </c>
      <c r="AR124" s="185">
        <v>0.28206827974809412</v>
      </c>
      <c r="AS124" s="185">
        <v>0.29691397868220432</v>
      </c>
      <c r="AT124" s="188">
        <v>851</v>
      </c>
      <c r="AU124" s="185">
        <v>0.28206827974809412</v>
      </c>
      <c r="AV124" s="185">
        <v>0.29691397868220432</v>
      </c>
      <c r="AW124" s="185"/>
      <c r="AX124" s="185"/>
      <c r="AY124" s="185"/>
      <c r="AZ124" s="185"/>
      <c r="BA124" s="185"/>
      <c r="BB124" s="185"/>
      <c r="BC124" s="188">
        <v>851</v>
      </c>
      <c r="BD124" s="185">
        <v>0.28206827974809412</v>
      </c>
      <c r="BE124" s="185">
        <v>0.29691397868220432</v>
      </c>
      <c r="BF124" s="188"/>
      <c r="BG124" s="188">
        <v>1523</v>
      </c>
      <c r="BH124" s="185">
        <v>0.50480609877361615</v>
      </c>
      <c r="BI124" s="185">
        <v>0.53137484081433284</v>
      </c>
      <c r="BJ124" s="188">
        <v>2866.15</v>
      </c>
      <c r="BK124" s="188">
        <v>1523</v>
      </c>
      <c r="BL124" s="185">
        <v>0.50480609877361615</v>
      </c>
      <c r="BM124" s="185">
        <v>0.53137484081433284</v>
      </c>
      <c r="BN124" s="188">
        <v>1880.9659999999999</v>
      </c>
      <c r="BO124" s="185">
        <v>0.62345575074577386</v>
      </c>
      <c r="BP124" s="185">
        <v>0.65626921131134097</v>
      </c>
      <c r="BQ124" s="188">
        <v>1880.9659999999999</v>
      </c>
      <c r="BR124" s="185">
        <f t="shared" si="139"/>
        <v>0.62345575074577386</v>
      </c>
      <c r="BS124" s="185">
        <f t="shared" si="151"/>
        <v>0.65626921131134097</v>
      </c>
      <c r="BT124" s="205">
        <f t="shared" si="152"/>
        <v>1880.9659999999999</v>
      </c>
      <c r="BU124" s="205"/>
      <c r="BV124" s="189" t="e">
        <f>#REF!+#REF!</f>
        <v>#REF!</v>
      </c>
      <c r="BW124" s="186" t="e">
        <f t="shared" si="140"/>
        <v>#REF!</v>
      </c>
      <c r="BX124" s="189" t="e">
        <f>#REF!+#REF!</f>
        <v>#REF!</v>
      </c>
      <c r="BY124" s="186" t="e">
        <f t="shared" si="141"/>
        <v>#REF!</v>
      </c>
      <c r="BZ124" s="189" t="e">
        <f>#REF!+#REF!</f>
        <v>#REF!</v>
      </c>
      <c r="CA124" s="186" t="e">
        <f t="shared" si="142"/>
        <v>#REF!</v>
      </c>
      <c r="CB124" s="189" t="e">
        <f>#REF!+#REF!</f>
        <v>#REF!</v>
      </c>
      <c r="CC124" s="186" t="e">
        <f t="shared" si="143"/>
        <v>#REF!</v>
      </c>
      <c r="CD124" s="189" t="e">
        <f>#REF!+#REF!</f>
        <v>#REF!</v>
      </c>
      <c r="CE124" s="186" t="e">
        <f t="shared" si="144"/>
        <v>#REF!</v>
      </c>
      <c r="CF124" s="189" t="e">
        <f>#REF!+#REF!</f>
        <v>#REF!</v>
      </c>
      <c r="CG124" s="186" t="e">
        <f t="shared" si="145"/>
        <v>#REF!</v>
      </c>
      <c r="CH124" s="189" t="e">
        <f>#REF!+#REF!</f>
        <v>#REF!</v>
      </c>
      <c r="CI124" s="186" t="e">
        <f t="shared" si="146"/>
        <v>#REF!</v>
      </c>
      <c r="CJ124" s="189" t="e">
        <f>#REF!+#REF!</f>
        <v>#REF!</v>
      </c>
      <c r="CK124" s="186" t="e">
        <f t="shared" si="137"/>
        <v>#REF!</v>
      </c>
      <c r="CL124" s="189" t="e">
        <f>#REF!+#REF!</f>
        <v>#REF!</v>
      </c>
      <c r="CM124" s="186" t="e">
        <f t="shared" si="147"/>
        <v>#REF!</v>
      </c>
      <c r="CN124" s="189" t="e">
        <f>#REF!+#REF!</f>
        <v>#REF!</v>
      </c>
      <c r="CO124" s="186" t="e">
        <f t="shared" si="138"/>
        <v>#REF!</v>
      </c>
      <c r="CP124" s="189" t="e">
        <f>#REF!+#REF!</f>
        <v>#REF!</v>
      </c>
      <c r="CQ124" s="186" t="e">
        <f t="shared" si="148"/>
        <v>#REF!</v>
      </c>
      <c r="CR124" s="189" t="e">
        <f>#REF!+#REF!</f>
        <v>#REF!</v>
      </c>
      <c r="CS124" s="186" t="e">
        <f t="shared" si="149"/>
        <v>#REF!</v>
      </c>
      <c r="CT124" s="189" t="e">
        <f>#REF!+#REF!</f>
        <v>#REF!</v>
      </c>
      <c r="CU124" s="186" t="e">
        <f t="shared" si="150"/>
        <v>#REF!</v>
      </c>
      <c r="CV124" s="416">
        <f t="shared" si="118"/>
        <v>0</v>
      </c>
      <c r="CW124" s="191" t="str">
        <f t="shared" si="119"/>
        <v>Cao hơn</v>
      </c>
      <c r="CX124" s="191" t="str">
        <f t="shared" si="120"/>
        <v>Cao hơn</v>
      </c>
      <c r="CY124" s="213"/>
      <c r="CZ124" s="213"/>
      <c r="DA124" s="231"/>
      <c r="DB124" s="163"/>
      <c r="DD124" s="195"/>
      <c r="DE124" s="196"/>
      <c r="DF124" s="196"/>
      <c r="DG124" s="197"/>
      <c r="DH124" s="196"/>
      <c r="DI124" s="196"/>
      <c r="DJ124" s="196"/>
      <c r="DL124" s="199"/>
      <c r="DM124" s="200"/>
    </row>
    <row r="125" spans="1:117" ht="18" customHeight="1" x14ac:dyDescent="0.25">
      <c r="A125" s="191">
        <v>60</v>
      </c>
      <c r="B125" s="240" t="s">
        <v>450</v>
      </c>
      <c r="C125" s="240"/>
      <c r="D125" s="188">
        <v>3000</v>
      </c>
      <c r="E125" s="188">
        <v>0</v>
      </c>
      <c r="F125" s="188">
        <v>3000</v>
      </c>
      <c r="G125" s="188">
        <v>3000</v>
      </c>
      <c r="H125" s="188">
        <v>0</v>
      </c>
      <c r="I125" s="188">
        <v>0</v>
      </c>
      <c r="J125" s="188"/>
      <c r="K125" s="188">
        <v>0</v>
      </c>
      <c r="L125" s="188">
        <v>0</v>
      </c>
      <c r="M125" s="231"/>
      <c r="N125" s="231"/>
      <c r="O125" s="188">
        <v>3000</v>
      </c>
      <c r="P125" s="188">
        <v>0</v>
      </c>
      <c r="Q125" s="186">
        <v>0</v>
      </c>
      <c r="R125" s="188">
        <v>0</v>
      </c>
      <c r="S125" s="185">
        <v>0</v>
      </c>
      <c r="T125" s="185">
        <v>0</v>
      </c>
      <c r="U125" s="188">
        <v>0</v>
      </c>
      <c r="V125" s="185">
        <v>0</v>
      </c>
      <c r="W125" s="185">
        <v>0</v>
      </c>
      <c r="X125" s="188">
        <v>0</v>
      </c>
      <c r="Y125" s="185">
        <v>0</v>
      </c>
      <c r="Z125" s="185">
        <v>0</v>
      </c>
      <c r="AA125" s="188">
        <v>0</v>
      </c>
      <c r="AB125" s="185">
        <v>0</v>
      </c>
      <c r="AC125" s="185">
        <v>0</v>
      </c>
      <c r="AD125" s="188">
        <v>0</v>
      </c>
      <c r="AE125" s="185">
        <v>0</v>
      </c>
      <c r="AF125" s="185">
        <v>0</v>
      </c>
      <c r="AG125" s="188">
        <v>0</v>
      </c>
      <c r="AH125" s="185">
        <v>0</v>
      </c>
      <c r="AI125" s="185">
        <v>0</v>
      </c>
      <c r="AJ125" s="303">
        <v>0</v>
      </c>
      <c r="AK125" s="185">
        <v>0</v>
      </c>
      <c r="AL125" s="185">
        <v>0</v>
      </c>
      <c r="AM125" s="188">
        <v>987</v>
      </c>
      <c r="AN125" s="185">
        <v>0.32900000000000001</v>
      </c>
      <c r="AO125" s="185">
        <v>0.34631578947368419</v>
      </c>
      <c r="AP125" s="185"/>
      <c r="AQ125" s="188">
        <v>1324</v>
      </c>
      <c r="AR125" s="185">
        <v>0.44133333333333336</v>
      </c>
      <c r="AS125" s="185">
        <v>0.46456140350877195</v>
      </c>
      <c r="AT125" s="188">
        <v>1324</v>
      </c>
      <c r="AU125" s="185">
        <v>0.44133333333333336</v>
      </c>
      <c r="AV125" s="185">
        <v>0.46456140350877195</v>
      </c>
      <c r="AW125" s="185"/>
      <c r="AX125" s="185"/>
      <c r="AY125" s="185"/>
      <c r="AZ125" s="185"/>
      <c r="BA125" s="185"/>
      <c r="BB125" s="185"/>
      <c r="BC125" s="188">
        <v>1324</v>
      </c>
      <c r="BD125" s="185">
        <v>0.44133333333333336</v>
      </c>
      <c r="BE125" s="185">
        <v>0.46456140350877195</v>
      </c>
      <c r="BF125" s="188"/>
      <c r="BG125" s="188">
        <v>1969.8820000000001</v>
      </c>
      <c r="BH125" s="185">
        <v>0.65662733333333334</v>
      </c>
      <c r="BI125" s="185">
        <v>0.69118666666666673</v>
      </c>
      <c r="BJ125" s="188">
        <v>2850</v>
      </c>
      <c r="BK125" s="188">
        <v>2104</v>
      </c>
      <c r="BL125" s="185">
        <v>0.70133333333333336</v>
      </c>
      <c r="BM125" s="185">
        <v>0.7382456140350877</v>
      </c>
      <c r="BN125" s="188">
        <v>2326.2800000000002</v>
      </c>
      <c r="BO125" s="185">
        <v>0.77542666666666671</v>
      </c>
      <c r="BP125" s="185">
        <v>0.8162385964912281</v>
      </c>
      <c r="BQ125" s="188">
        <v>2326.2800000000002</v>
      </c>
      <c r="BR125" s="185">
        <f t="shared" si="139"/>
        <v>0.77542666666666671</v>
      </c>
      <c r="BS125" s="185">
        <f t="shared" si="151"/>
        <v>0.8162385964912281</v>
      </c>
      <c r="BT125" s="205">
        <f t="shared" si="152"/>
        <v>2326.2800000000002</v>
      </c>
      <c r="BU125" s="205"/>
      <c r="BV125" s="189" t="e">
        <f>#REF!</f>
        <v>#REF!</v>
      </c>
      <c r="BW125" s="186" t="e">
        <f t="shared" si="140"/>
        <v>#REF!</v>
      </c>
      <c r="BX125" s="189" t="e">
        <f>#REF!</f>
        <v>#REF!</v>
      </c>
      <c r="BY125" s="186" t="e">
        <f t="shared" si="141"/>
        <v>#REF!</v>
      </c>
      <c r="BZ125" s="189" t="e">
        <f>#REF!</f>
        <v>#REF!</v>
      </c>
      <c r="CA125" s="186" t="e">
        <f t="shared" si="142"/>
        <v>#REF!</v>
      </c>
      <c r="CB125" s="189" t="e">
        <f>#REF!</f>
        <v>#REF!</v>
      </c>
      <c r="CC125" s="186" t="e">
        <f t="shared" si="143"/>
        <v>#REF!</v>
      </c>
      <c r="CD125" s="189" t="e">
        <f>#REF!</f>
        <v>#REF!</v>
      </c>
      <c r="CE125" s="186" t="e">
        <f t="shared" si="144"/>
        <v>#REF!</v>
      </c>
      <c r="CF125" s="189" t="e">
        <f>#REF!</f>
        <v>#REF!</v>
      </c>
      <c r="CG125" s="186" t="e">
        <f t="shared" si="145"/>
        <v>#REF!</v>
      </c>
      <c r="CH125" s="189" t="e">
        <f>#REF!</f>
        <v>#REF!</v>
      </c>
      <c r="CI125" s="186" t="e">
        <f t="shared" si="146"/>
        <v>#REF!</v>
      </c>
      <c r="CJ125" s="189" t="e">
        <f>#REF!</f>
        <v>#REF!</v>
      </c>
      <c r="CK125" s="186" t="e">
        <f t="shared" si="137"/>
        <v>#REF!</v>
      </c>
      <c r="CL125" s="189" t="e">
        <f>#REF!</f>
        <v>#REF!</v>
      </c>
      <c r="CM125" s="186" t="e">
        <f t="shared" si="147"/>
        <v>#REF!</v>
      </c>
      <c r="CN125" s="189" t="e">
        <f>#REF!</f>
        <v>#REF!</v>
      </c>
      <c r="CO125" s="186" t="e">
        <f t="shared" si="138"/>
        <v>#REF!</v>
      </c>
      <c r="CP125" s="189" t="e">
        <f>#REF!</f>
        <v>#REF!</v>
      </c>
      <c r="CQ125" s="186" t="e">
        <f t="shared" si="148"/>
        <v>#REF!</v>
      </c>
      <c r="CR125" s="189" t="e">
        <f>#REF!</f>
        <v>#REF!</v>
      </c>
      <c r="CS125" s="186" t="e">
        <f t="shared" si="149"/>
        <v>#REF!</v>
      </c>
      <c r="CT125" s="189" t="e">
        <f>#REF!</f>
        <v>#REF!</v>
      </c>
      <c r="CU125" s="186" t="e">
        <f t="shared" si="150"/>
        <v>#REF!</v>
      </c>
      <c r="CV125" s="416">
        <f t="shared" si="118"/>
        <v>0</v>
      </c>
      <c r="CW125" s="191" t="str">
        <f t="shared" si="119"/>
        <v>Cao hơn</v>
      </c>
      <c r="CX125" s="191" t="str">
        <f t="shared" si="120"/>
        <v>Cao hơn</v>
      </c>
      <c r="CY125" s="213"/>
      <c r="CZ125" s="213"/>
      <c r="DA125" s="231"/>
      <c r="DB125" s="163"/>
      <c r="DD125" s="195"/>
      <c r="DE125" s="196"/>
      <c r="DF125" s="196"/>
      <c r="DG125" s="197"/>
      <c r="DH125" s="196"/>
      <c r="DI125" s="196"/>
      <c r="DJ125" s="196"/>
      <c r="DL125" s="199"/>
      <c r="DM125" s="200"/>
    </row>
    <row r="126" spans="1:117" ht="18" customHeight="1" x14ac:dyDescent="0.25">
      <c r="A126" s="191">
        <v>61</v>
      </c>
      <c r="B126" s="240" t="s">
        <v>451</v>
      </c>
      <c r="C126" s="240"/>
      <c r="D126" s="188">
        <v>14948.663</v>
      </c>
      <c r="E126" s="188">
        <v>0</v>
      </c>
      <c r="F126" s="188">
        <v>14948.663</v>
      </c>
      <c r="G126" s="188">
        <v>3573.663</v>
      </c>
      <c r="H126" s="188">
        <v>11375</v>
      </c>
      <c r="I126" s="188">
        <v>0</v>
      </c>
      <c r="J126" s="188">
        <v>0</v>
      </c>
      <c r="K126" s="188">
        <v>0</v>
      </c>
      <c r="L126" s="188">
        <v>0</v>
      </c>
      <c r="M126" s="188">
        <v>0</v>
      </c>
      <c r="N126" s="188">
        <v>0</v>
      </c>
      <c r="O126" s="188">
        <v>3000</v>
      </c>
      <c r="P126" s="188">
        <v>0</v>
      </c>
      <c r="Q126" s="188">
        <v>0</v>
      </c>
      <c r="R126" s="188">
        <v>0</v>
      </c>
      <c r="S126" s="188">
        <v>0</v>
      </c>
      <c r="T126" s="188">
        <v>0</v>
      </c>
      <c r="U126" s="188">
        <v>0</v>
      </c>
      <c r="V126" s="188">
        <v>0</v>
      </c>
      <c r="W126" s="188">
        <v>0</v>
      </c>
      <c r="X126" s="188">
        <v>0</v>
      </c>
      <c r="Y126" s="188">
        <v>0</v>
      </c>
      <c r="Z126" s="188">
        <v>0</v>
      </c>
      <c r="AA126" s="188">
        <v>0</v>
      </c>
      <c r="AB126" s="188">
        <v>0</v>
      </c>
      <c r="AC126" s="188">
        <v>0</v>
      </c>
      <c r="AD126" s="188">
        <v>3176</v>
      </c>
      <c r="AE126" s="188">
        <v>0.31759999999999999</v>
      </c>
      <c r="AF126" s="188">
        <v>0.33431578947368423</v>
      </c>
      <c r="AG126" s="188">
        <v>3176</v>
      </c>
      <c r="AH126" s="188">
        <v>0.31759999999999999</v>
      </c>
      <c r="AI126" s="188">
        <v>0.33431578947368423</v>
      </c>
      <c r="AJ126" s="188">
        <v>3176</v>
      </c>
      <c r="AK126" s="188">
        <v>0.31759999999999999</v>
      </c>
      <c r="AL126" s="188">
        <v>0.33431578947368423</v>
      </c>
      <c r="AM126" s="188">
        <v>3176</v>
      </c>
      <c r="AN126" s="188">
        <v>0.31759999999999999</v>
      </c>
      <c r="AO126" s="188">
        <v>0.33431578947368423</v>
      </c>
      <c r="AP126" s="188">
        <v>0</v>
      </c>
      <c r="AQ126" s="188">
        <v>2430</v>
      </c>
      <c r="AR126" s="188">
        <v>0.81</v>
      </c>
      <c r="AS126" s="188">
        <v>0.85263157894736841</v>
      </c>
      <c r="AT126" s="188">
        <v>2430</v>
      </c>
      <c r="AU126" s="188">
        <v>0.81</v>
      </c>
      <c r="AV126" s="188">
        <v>0.85263157894736841</v>
      </c>
      <c r="AW126" s="188">
        <v>0</v>
      </c>
      <c r="AX126" s="188">
        <v>0</v>
      </c>
      <c r="AY126" s="188">
        <v>0</v>
      </c>
      <c r="AZ126" s="188">
        <v>0</v>
      </c>
      <c r="BA126" s="188">
        <v>0</v>
      </c>
      <c r="BB126" s="188">
        <v>0</v>
      </c>
      <c r="BC126" s="188">
        <v>2430</v>
      </c>
      <c r="BD126" s="185">
        <v>0.16904347826086957</v>
      </c>
      <c r="BE126" s="185">
        <v>0.17794050343249429</v>
      </c>
      <c r="BF126" s="188"/>
      <c r="BG126" s="188">
        <v>3730.663</v>
      </c>
      <c r="BH126" s="185">
        <v>0.24956499454165232</v>
      </c>
      <c r="BI126" s="185">
        <v>0.26269999425437085</v>
      </c>
      <c r="BJ126" s="188">
        <v>14201.22985</v>
      </c>
      <c r="BK126" s="188">
        <v>4335</v>
      </c>
      <c r="BL126" s="185">
        <v>0.2899924896293401</v>
      </c>
      <c r="BM126" s="185">
        <v>0.30525525224141065</v>
      </c>
      <c r="BN126" s="188">
        <v>4335</v>
      </c>
      <c r="BO126" s="185">
        <v>0.2899924896293401</v>
      </c>
      <c r="BP126" s="185">
        <v>0.30525525224141065</v>
      </c>
      <c r="BQ126" s="188">
        <v>4335</v>
      </c>
      <c r="BR126" s="185">
        <f t="shared" si="139"/>
        <v>0.2899924896293401</v>
      </c>
      <c r="BS126" s="185">
        <f t="shared" si="151"/>
        <v>0.30525525224141065</v>
      </c>
      <c r="BT126" s="205">
        <f t="shared" si="152"/>
        <v>1159</v>
      </c>
      <c r="BU126" s="205"/>
      <c r="BV126" s="189" t="e">
        <f>#REF!+#REF!+#REF!</f>
        <v>#REF!</v>
      </c>
      <c r="BW126" s="186" t="e">
        <f t="shared" si="140"/>
        <v>#REF!</v>
      </c>
      <c r="BX126" s="189" t="e">
        <f>#REF!+#REF!+#REF!</f>
        <v>#REF!</v>
      </c>
      <c r="BY126" s="186" t="e">
        <f t="shared" si="141"/>
        <v>#REF!</v>
      </c>
      <c r="BZ126" s="189" t="e">
        <f>#REF!+#REF!+#REF!</f>
        <v>#REF!</v>
      </c>
      <c r="CA126" s="186" t="e">
        <f t="shared" si="142"/>
        <v>#REF!</v>
      </c>
      <c r="CB126" s="189" t="e">
        <f>#REF!+#REF!+#REF!</f>
        <v>#REF!</v>
      </c>
      <c r="CC126" s="186" t="e">
        <f t="shared" si="143"/>
        <v>#REF!</v>
      </c>
      <c r="CD126" s="189" t="e">
        <f>#REF!+#REF!+#REF!</f>
        <v>#REF!</v>
      </c>
      <c r="CE126" s="186" t="e">
        <f t="shared" si="144"/>
        <v>#REF!</v>
      </c>
      <c r="CF126" s="189" t="e">
        <f>#REF!+#REF!+#REF!</f>
        <v>#REF!</v>
      </c>
      <c r="CG126" s="186" t="e">
        <f t="shared" si="145"/>
        <v>#REF!</v>
      </c>
      <c r="CH126" s="189" t="e">
        <f>#REF!+#REF!+#REF!</f>
        <v>#REF!</v>
      </c>
      <c r="CI126" s="186" t="e">
        <f t="shared" si="146"/>
        <v>#REF!</v>
      </c>
      <c r="CJ126" s="189" t="e">
        <f>#REF!+#REF!+#REF!</f>
        <v>#REF!</v>
      </c>
      <c r="CK126" s="186" t="e">
        <f t="shared" ref="CK126" si="153">CJ126/$D126</f>
        <v>#REF!</v>
      </c>
      <c r="CL126" s="189" t="e">
        <f>#REF!+#REF!+#REF!</f>
        <v>#REF!</v>
      </c>
      <c r="CM126" s="186" t="e">
        <f t="shared" si="147"/>
        <v>#REF!</v>
      </c>
      <c r="CN126" s="189" t="e">
        <f>#REF!+#REF!+#REF!</f>
        <v>#REF!</v>
      </c>
      <c r="CO126" s="186" t="e">
        <f t="shared" ref="CO126" si="154">CN126/$D126</f>
        <v>#REF!</v>
      </c>
      <c r="CP126" s="189" t="e">
        <f>#REF!+#REF!+#REF!</f>
        <v>#REF!</v>
      </c>
      <c r="CQ126" s="186" t="e">
        <f t="shared" si="148"/>
        <v>#REF!</v>
      </c>
      <c r="CR126" s="189" t="e">
        <f>#REF!+#REF!+#REF!</f>
        <v>#REF!</v>
      </c>
      <c r="CS126" s="186" t="e">
        <f t="shared" si="149"/>
        <v>#REF!</v>
      </c>
      <c r="CT126" s="189" t="e">
        <f>#REF!+#REF!+#REF!</f>
        <v>#REF!</v>
      </c>
      <c r="CU126" s="186" t="e">
        <f t="shared" si="150"/>
        <v>#REF!</v>
      </c>
      <c r="CV126" s="416">
        <f t="shared" si="118"/>
        <v>0</v>
      </c>
      <c r="CW126" s="191" t="str">
        <f t="shared" si="119"/>
        <v>Thấp hơn</v>
      </c>
      <c r="CX126" s="191" t="str">
        <f t="shared" si="120"/>
        <v>Thấp hơn</v>
      </c>
      <c r="CY126" s="213"/>
      <c r="CZ126" s="213"/>
      <c r="DA126" s="231"/>
      <c r="DB126" s="163"/>
      <c r="DD126" s="195"/>
      <c r="DE126" s="196"/>
      <c r="DF126" s="196"/>
      <c r="DG126" s="197"/>
      <c r="DH126" s="196"/>
      <c r="DI126" s="196"/>
      <c r="DJ126" s="196"/>
      <c r="DL126" s="199"/>
      <c r="DM126" s="200"/>
    </row>
    <row r="127" spans="1:117" ht="11.45" customHeight="1" x14ac:dyDescent="0.25">
      <c r="A127" s="384"/>
      <c r="B127" s="385"/>
      <c r="C127" s="385"/>
      <c r="D127" s="383"/>
      <c r="E127" s="383"/>
      <c r="F127" s="383"/>
      <c r="G127" s="383"/>
      <c r="H127" s="383"/>
      <c r="I127" s="386"/>
      <c r="J127" s="386"/>
      <c r="K127" s="383"/>
      <c r="L127" s="386"/>
      <c r="M127" s="387"/>
      <c r="N127" s="387"/>
      <c r="O127" s="383"/>
      <c r="P127" s="383"/>
      <c r="Q127" s="388"/>
      <c r="R127" s="383"/>
      <c r="S127" s="389"/>
      <c r="T127" s="389"/>
      <c r="U127" s="383"/>
      <c r="V127" s="389"/>
      <c r="W127" s="389"/>
      <c r="X127" s="383"/>
      <c r="Y127" s="389"/>
      <c r="Z127" s="389"/>
      <c r="AA127" s="383"/>
      <c r="AB127" s="389"/>
      <c r="AC127" s="389"/>
      <c r="AD127" s="383"/>
      <c r="AE127" s="389"/>
      <c r="AF127" s="389"/>
      <c r="AG127" s="383"/>
      <c r="AH127" s="389"/>
      <c r="AI127" s="389"/>
      <c r="AJ127" s="179"/>
      <c r="AK127" s="389"/>
      <c r="AL127" s="389"/>
      <c r="AM127" s="383"/>
      <c r="AN127" s="389"/>
      <c r="AO127" s="389"/>
      <c r="AP127" s="389"/>
      <c r="AQ127" s="383"/>
      <c r="AR127" s="389"/>
      <c r="AS127" s="389"/>
      <c r="AT127" s="383"/>
      <c r="AU127" s="389"/>
      <c r="AV127" s="389"/>
      <c r="AW127" s="389"/>
      <c r="AX127" s="389"/>
      <c r="AY127" s="389"/>
      <c r="AZ127" s="389"/>
      <c r="BA127" s="389"/>
      <c r="BB127" s="389"/>
      <c r="BC127" s="383"/>
      <c r="BD127" s="389"/>
      <c r="BE127" s="389"/>
      <c r="BF127" s="383"/>
      <c r="BG127" s="383"/>
      <c r="BH127" s="389"/>
      <c r="BI127" s="389"/>
      <c r="BJ127" s="383">
        <f t="shared" ref="BJ127" si="155">E127+(F127*0.95)</f>
        <v>0</v>
      </c>
      <c r="BK127" s="383"/>
      <c r="BL127" s="389"/>
      <c r="BM127" s="389"/>
      <c r="BN127" s="389"/>
      <c r="BO127" s="389"/>
      <c r="BP127" s="389"/>
      <c r="BQ127" s="383"/>
      <c r="BR127" s="389"/>
      <c r="BS127" s="389"/>
      <c r="BT127" s="383">
        <f>BQ127-R127</f>
        <v>0</v>
      </c>
      <c r="BU127" s="383"/>
      <c r="BV127" s="390"/>
      <c r="BW127" s="388"/>
      <c r="BX127" s="390"/>
      <c r="BY127" s="388"/>
      <c r="BZ127" s="390"/>
      <c r="CA127" s="388"/>
      <c r="CB127" s="390"/>
      <c r="CC127" s="388"/>
      <c r="CD127" s="390"/>
      <c r="CE127" s="388"/>
      <c r="CF127" s="390"/>
      <c r="CG127" s="388"/>
      <c r="CH127" s="390"/>
      <c r="CI127" s="388"/>
      <c r="CJ127" s="390"/>
      <c r="CK127" s="388"/>
      <c r="CL127" s="390"/>
      <c r="CM127" s="388"/>
      <c r="CN127" s="390"/>
      <c r="CO127" s="388"/>
      <c r="CP127" s="390"/>
      <c r="CQ127" s="388"/>
      <c r="CR127" s="390"/>
      <c r="CS127" s="388"/>
      <c r="CT127" s="390"/>
      <c r="CU127" s="388"/>
      <c r="CV127" s="416">
        <f t="shared" si="118"/>
        <v>0</v>
      </c>
      <c r="CW127" s="191"/>
      <c r="CX127" s="213"/>
      <c r="CY127" s="384"/>
      <c r="CZ127" s="384"/>
      <c r="DA127" s="387"/>
      <c r="DB127" s="163"/>
      <c r="DD127" s="382"/>
      <c r="DE127" s="197"/>
      <c r="DF127" s="197"/>
      <c r="DG127" s="197"/>
      <c r="DH127" s="197"/>
      <c r="DI127" s="197"/>
      <c r="DJ127" s="197"/>
      <c r="DL127" s="199"/>
      <c r="DM127" s="200"/>
    </row>
    <row r="128" spans="1:117" x14ac:dyDescent="0.25">
      <c r="A128" s="197"/>
      <c r="B128" s="217"/>
      <c r="C128" s="217"/>
      <c r="D128" s="219"/>
      <c r="E128" s="219"/>
      <c r="F128" s="219"/>
      <c r="G128" s="219"/>
      <c r="H128" s="219"/>
      <c r="I128" s="391"/>
      <c r="J128" s="391"/>
      <c r="K128" s="219"/>
      <c r="L128" s="391"/>
      <c r="M128" s="219"/>
      <c r="N128" s="391"/>
      <c r="O128" s="219"/>
      <c r="P128" s="219"/>
      <c r="Q128" s="219"/>
      <c r="R128" s="219"/>
      <c r="S128" s="219"/>
      <c r="T128" s="219"/>
      <c r="U128" s="219"/>
      <c r="V128" s="219"/>
      <c r="W128" s="219"/>
      <c r="X128" s="219"/>
      <c r="Y128" s="219"/>
      <c r="Z128" s="219"/>
      <c r="AA128" s="219"/>
      <c r="AB128" s="219"/>
      <c r="AC128" s="219"/>
      <c r="AD128" s="219"/>
      <c r="AE128" s="219"/>
      <c r="AF128" s="219"/>
      <c r="AG128" s="219"/>
      <c r="AH128" s="219"/>
      <c r="AI128" s="219"/>
      <c r="AJ128" s="219"/>
      <c r="AK128" s="219"/>
      <c r="AL128" s="219"/>
      <c r="AM128" s="219"/>
      <c r="AN128" s="219"/>
      <c r="AO128" s="219"/>
      <c r="AP128" s="219"/>
      <c r="AQ128" s="219"/>
      <c r="AR128" s="219"/>
      <c r="AS128" s="219"/>
      <c r="AT128" s="219"/>
      <c r="AU128" s="219"/>
      <c r="AV128" s="219"/>
      <c r="AW128" s="219"/>
      <c r="AX128" s="219"/>
      <c r="AY128" s="219"/>
      <c r="AZ128" s="219"/>
      <c r="BA128" s="219"/>
      <c r="BB128" s="219"/>
      <c r="BC128" s="219"/>
      <c r="BD128" s="219"/>
      <c r="BE128" s="219"/>
      <c r="BF128" s="219"/>
      <c r="BG128" s="219"/>
      <c r="BH128" s="219"/>
      <c r="BI128" s="219"/>
      <c r="BJ128" s="219"/>
      <c r="BK128" s="219"/>
      <c r="BL128" s="219"/>
      <c r="BM128" s="219"/>
      <c r="BN128" s="219"/>
      <c r="BO128" s="219"/>
      <c r="BP128" s="219"/>
      <c r="BQ128" s="392"/>
      <c r="BR128" s="393"/>
      <c r="BS128" s="393"/>
      <c r="BT128" s="393"/>
      <c r="BU128" s="393"/>
      <c r="BV128" s="392"/>
      <c r="BW128" s="394"/>
      <c r="BX128" s="395"/>
      <c r="BY128" s="395"/>
      <c r="BZ128" s="395"/>
      <c r="CA128" s="395"/>
      <c r="CB128" s="395"/>
      <c r="CC128" s="395"/>
      <c r="CD128" s="395"/>
      <c r="CE128" s="395"/>
      <c r="CF128" s="395"/>
      <c r="CG128" s="395"/>
      <c r="CH128" s="395"/>
      <c r="CI128" s="395"/>
      <c r="CJ128" s="395"/>
      <c r="CK128" s="395"/>
      <c r="CL128" s="395"/>
      <c r="CM128" s="395"/>
      <c r="CN128" s="395"/>
      <c r="CO128" s="395"/>
      <c r="CP128" s="395"/>
      <c r="CQ128" s="395"/>
      <c r="CR128" s="395"/>
      <c r="CS128" s="395"/>
      <c r="CT128" s="395"/>
      <c r="CU128" s="395"/>
      <c r="CV128" s="395"/>
      <c r="CW128" s="197"/>
      <c r="CX128" s="197"/>
      <c r="CY128" s="197"/>
      <c r="CZ128" s="197"/>
      <c r="DA128" s="219"/>
    </row>
  </sheetData>
  <autoFilter ref="A13:DM127" xr:uid="{00000000-0009-0000-0000-000004000000}"/>
  <mergeCells count="143">
    <mergeCell ref="CV7:CV13"/>
    <mergeCell ref="BK7:BM13"/>
    <mergeCell ref="CR11:CR13"/>
    <mergeCell ref="CS11:CS13"/>
    <mergeCell ref="CT11:CT13"/>
    <mergeCell ref="CU11:CU13"/>
    <mergeCell ref="CL11:CL13"/>
    <mergeCell ref="CM11:CM13"/>
    <mergeCell ref="CN11:CN13"/>
    <mergeCell ref="CO11:CO13"/>
    <mergeCell ref="CP11:CP13"/>
    <mergeCell ref="CQ11:CQ13"/>
    <mergeCell ref="CF11:CF13"/>
    <mergeCell ref="CG11:CG13"/>
    <mergeCell ref="CH11:CH13"/>
    <mergeCell ref="CI11:CI13"/>
    <mergeCell ref="CJ11:CJ13"/>
    <mergeCell ref="CK11:CK13"/>
    <mergeCell ref="BZ11:BZ13"/>
    <mergeCell ref="CA11:CA13"/>
    <mergeCell ref="CB11:CB13"/>
    <mergeCell ref="CC11:CC13"/>
    <mergeCell ref="CD11:CD13"/>
    <mergeCell ref="CE11:CE13"/>
    <mergeCell ref="BR11:BR13"/>
    <mergeCell ref="BS11:BS13"/>
    <mergeCell ref="BV11:BV13"/>
    <mergeCell ref="BW11:BW13"/>
    <mergeCell ref="BX11:BX13"/>
    <mergeCell ref="BY11:BY13"/>
    <mergeCell ref="BD11:BD13"/>
    <mergeCell ref="BE11:BE13"/>
    <mergeCell ref="BG11:BG13"/>
    <mergeCell ref="BH11:BH13"/>
    <mergeCell ref="BI11:BI13"/>
    <mergeCell ref="BQ11:BQ13"/>
    <mergeCell ref="BN7:BP13"/>
    <mergeCell ref="AV11:AV13"/>
    <mergeCell ref="AW11:AW13"/>
    <mergeCell ref="AX11:AX13"/>
    <mergeCell ref="AY11:AY13"/>
    <mergeCell ref="AM11:AM13"/>
    <mergeCell ref="AN11:AN13"/>
    <mergeCell ref="AO11:AO13"/>
    <mergeCell ref="AQ11:AQ13"/>
    <mergeCell ref="AR11:AR13"/>
    <mergeCell ref="AS11:AS13"/>
    <mergeCell ref="DH10:DI11"/>
    <mergeCell ref="DJ10:DJ13"/>
    <mergeCell ref="G11:G13"/>
    <mergeCell ref="H11:H13"/>
    <mergeCell ref="I11:I13"/>
    <mergeCell ref="K11:K13"/>
    <mergeCell ref="L11:L13"/>
    <mergeCell ref="M11:M13"/>
    <mergeCell ref="N11:N13"/>
    <mergeCell ref="R11:R13"/>
    <mergeCell ref="AJ7:AL10"/>
    <mergeCell ref="AM7:AO10"/>
    <mergeCell ref="AQ7:AS10"/>
    <mergeCell ref="AT7:AV10"/>
    <mergeCell ref="P7:P13"/>
    <mergeCell ref="Q7:Q13"/>
    <mergeCell ref="R7:T10"/>
    <mergeCell ref="U7:W10"/>
    <mergeCell ref="X7:Z10"/>
    <mergeCell ref="AA7:AC10"/>
    <mergeCell ref="W11:W13"/>
    <mergeCell ref="X11:X13"/>
    <mergeCell ref="Y11:Y13"/>
    <mergeCell ref="Z11:Z13"/>
    <mergeCell ref="DB9:DB13"/>
    <mergeCell ref="E10:E13"/>
    <mergeCell ref="F10:F13"/>
    <mergeCell ref="G10:N10"/>
    <mergeCell ref="S11:S13"/>
    <mergeCell ref="T11:T13"/>
    <mergeCell ref="U11:U13"/>
    <mergeCell ref="V11:V13"/>
    <mergeCell ref="BT7:BT13"/>
    <mergeCell ref="CT8:CU10"/>
    <mergeCell ref="AW7:AY10"/>
    <mergeCell ref="AZ7:BB10"/>
    <mergeCell ref="BC7:BE10"/>
    <mergeCell ref="BG7:BI10"/>
    <mergeCell ref="BJ7:BJ13"/>
    <mergeCell ref="BQ7:BS10"/>
    <mergeCell ref="AZ11:AZ13"/>
    <mergeCell ref="BA11:BA13"/>
    <mergeCell ref="BB11:BB13"/>
    <mergeCell ref="BC11:BC13"/>
    <mergeCell ref="AD7:AF10"/>
    <mergeCell ref="AG7:AI10"/>
    <mergeCell ref="AG11:AG13"/>
    <mergeCell ref="AH11:AH13"/>
    <mergeCell ref="DH7:DJ9"/>
    <mergeCell ref="DL7:DL13"/>
    <mergeCell ref="DM7:DM13"/>
    <mergeCell ref="BV8:BW10"/>
    <mergeCell ref="BX8:BY10"/>
    <mergeCell ref="CD8:CE10"/>
    <mergeCell ref="CF8:CG10"/>
    <mergeCell ref="CH8:CI10"/>
    <mergeCell ref="CJ8:CK10"/>
    <mergeCell ref="CL8:CM10"/>
    <mergeCell ref="CZ7:CZ13"/>
    <mergeCell ref="DA7:DA13"/>
    <mergeCell ref="DC7:DC13"/>
    <mergeCell ref="DD7:DD13"/>
    <mergeCell ref="DE7:DE13"/>
    <mergeCell ref="DF7:DF13"/>
    <mergeCell ref="BV7:BY7"/>
    <mergeCell ref="BZ7:CA10"/>
    <mergeCell ref="CB7:CC10"/>
    <mergeCell ref="CW7:CW13"/>
    <mergeCell ref="CX7:CX13"/>
    <mergeCell ref="CN8:CO10"/>
    <mergeCell ref="CP8:CQ10"/>
    <mergeCell ref="CR8:CS10"/>
    <mergeCell ref="A1:DA1"/>
    <mergeCell ref="A2:DA2"/>
    <mergeCell ref="A3:DA3"/>
    <mergeCell ref="A4:DA4"/>
    <mergeCell ref="A5:DA5"/>
    <mergeCell ref="A7:A13"/>
    <mergeCell ref="B7:B13"/>
    <mergeCell ref="C7:C13"/>
    <mergeCell ref="D7:N8"/>
    <mergeCell ref="O7:O13"/>
    <mergeCell ref="D9:D13"/>
    <mergeCell ref="E9:N9"/>
    <mergeCell ref="AI11:AI13"/>
    <mergeCell ref="AJ11:AJ13"/>
    <mergeCell ref="AK11:AK13"/>
    <mergeCell ref="AL11:AL13"/>
    <mergeCell ref="AA11:AA13"/>
    <mergeCell ref="AB11:AB13"/>
    <mergeCell ref="AC11:AC13"/>
    <mergeCell ref="AD11:AD13"/>
    <mergeCell ref="AE11:AE13"/>
    <mergeCell ref="AF11:AF13"/>
    <mergeCell ref="AT11:AT13"/>
    <mergeCell ref="AU11:AU13"/>
  </mergeCells>
  <conditionalFormatting sqref="DD1:DD1048576">
    <cfRule type="containsText" dxfId="30" priority="4" operator="containsText" text="FALSE">
      <formula>NOT(ISERROR(SEARCH("FALSE",DD1)))</formula>
    </cfRule>
  </conditionalFormatting>
  <conditionalFormatting sqref="DE1:DE1048576">
    <cfRule type="containsText" dxfId="29" priority="2" operator="containsText" text="0">
      <formula>NOT(ISERROR(SEARCH("0",DE1)))</formula>
    </cfRule>
    <cfRule type="containsText" dxfId="28" priority="3" operator="containsText" text="kiểm tra">
      <formula>NOT(ISERROR(SEARCH("kiểm tra",DE1)))</formula>
    </cfRule>
  </conditionalFormatting>
  <conditionalFormatting sqref="DF7:DG13">
    <cfRule type="containsText" dxfId="27" priority="20" operator="containsText" text="0">
      <formula>NOT(ISERROR(SEARCH("0",DF7)))</formula>
    </cfRule>
    <cfRule type="containsText" dxfId="26" priority="21" operator="containsText" text="kiểm tra">
      <formula>NOT(ISERROR(SEARCH("kiểm tra",DF7)))</formula>
    </cfRule>
  </conditionalFormatting>
  <conditionalFormatting sqref="DF1:DJ6 DF7:DG13 DH10">
    <cfRule type="containsText" dxfId="25" priority="19" operator="containsText" text="trống">
      <formula>NOT(ISERROR(SEARCH("trống",DF1)))</formula>
    </cfRule>
  </conditionalFormatting>
  <conditionalFormatting sqref="DF14:DJ1048576">
    <cfRule type="containsText" dxfId="24" priority="1" operator="containsText" text="trống">
      <formula>NOT(ISERROR(SEARCH("trống",DF14)))</formula>
    </cfRule>
  </conditionalFormatting>
  <conditionalFormatting sqref="DH10">
    <cfRule type="containsText" dxfId="23" priority="22" operator="containsText" text="0">
      <formula>NOT(ISERROR(SEARCH("0",DH10)))</formula>
    </cfRule>
    <cfRule type="containsText" dxfId="22" priority="23" operator="containsText" text="kiểm tra">
      <formula>NOT(ISERROR(SEARCH("kiểm tra",DH10)))</formula>
    </cfRule>
  </conditionalFormatting>
  <conditionalFormatting sqref="DH13:DI13">
    <cfRule type="containsText" dxfId="21" priority="13" operator="containsText" text="trống">
      <formula>NOT(ISERROR(SEARCH("trống",DH13)))</formula>
    </cfRule>
    <cfRule type="containsText" dxfId="20" priority="14" operator="containsText" text="0">
      <formula>NOT(ISERROR(SEARCH("0",DH13)))</formula>
    </cfRule>
    <cfRule type="containsText" dxfId="19" priority="15" operator="containsText" text="kiểm tra">
      <formula>NOT(ISERROR(SEARCH("kiểm tra",DH13)))</formula>
    </cfRule>
  </conditionalFormatting>
  <conditionalFormatting sqref="DJ10">
    <cfRule type="containsText" dxfId="18" priority="16" operator="containsText" text="trống">
      <formula>NOT(ISERROR(SEARCH("trống",DJ10)))</formula>
    </cfRule>
    <cfRule type="containsText" dxfId="17" priority="17" operator="containsText" text="0">
      <formula>NOT(ISERROR(SEARCH("0",DJ10)))</formula>
    </cfRule>
    <cfRule type="containsText" dxfId="16" priority="18" operator="containsText" text="kiểm tra">
      <formula>NOT(ISERROR(SEARCH("kiểm tra",DJ10)))</formula>
    </cfRule>
  </conditionalFormatting>
  <pageMargins left="0.44" right="0.196850393700787" top="0.35" bottom="0.56000000000000005" header="0.31496062992126" footer="0.31496062992126"/>
  <pageSetup paperSize="9" scale="70" orientation="landscape" r:id="rId1"/>
  <headerFooter>
    <oddFooter>&amp;R&amp;P/&amp;N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1"/>
  <sheetViews>
    <sheetView tabSelected="1" topLeftCell="A4" zoomScale="106" zoomScaleNormal="106" workbookViewId="0">
      <selection activeCell="C6" sqref="C6"/>
    </sheetView>
  </sheetViews>
  <sheetFormatPr defaultColWidth="9.140625" defaultRowHeight="15.75" x14ac:dyDescent="0.25"/>
  <cols>
    <col min="1" max="1" width="4.28515625" style="143" customWidth="1"/>
    <col min="2" max="2" width="59.28515625" style="429" customWidth="1"/>
    <col min="3" max="3" width="10.42578125" style="431" customWidth="1"/>
    <col min="4" max="4" width="8.7109375" style="426" customWidth="1"/>
    <col min="5" max="5" width="6.85546875" style="141" customWidth="1"/>
    <col min="6" max="6" width="7.28515625" style="144" customWidth="1"/>
    <col min="7" max="7" width="11.140625" style="144" customWidth="1"/>
    <col min="8" max="8" width="8.28515625" style="144" customWidth="1"/>
    <col min="9" max="9" width="9.140625" style="144" customWidth="1"/>
    <col min="10" max="10" width="7.5703125" style="144" customWidth="1"/>
    <col min="11" max="11" width="10.7109375" style="144" customWidth="1"/>
    <col min="12" max="16384" width="9.140625" style="144"/>
  </cols>
  <sheetData>
    <row r="1" spans="1:11" ht="63.75" customHeight="1" x14ac:dyDescent="0.25">
      <c r="A1" s="502" t="s">
        <v>552</v>
      </c>
      <c r="B1" s="502"/>
      <c r="C1" s="502"/>
      <c r="D1" s="502"/>
      <c r="E1" s="502"/>
      <c r="F1" s="502"/>
      <c r="G1" s="502"/>
      <c r="H1" s="502"/>
      <c r="I1" s="502"/>
      <c r="J1" s="502"/>
      <c r="K1" s="502"/>
    </row>
    <row r="2" spans="1:11" ht="22.5" customHeight="1" x14ac:dyDescent="0.25">
      <c r="A2" s="503" t="s">
        <v>545</v>
      </c>
      <c r="B2" s="503"/>
      <c r="C2" s="503"/>
      <c r="D2" s="503"/>
      <c r="E2" s="503"/>
      <c r="F2" s="503"/>
      <c r="G2" s="503"/>
      <c r="H2" s="503"/>
      <c r="I2" s="503"/>
      <c r="J2" s="503"/>
      <c r="K2" s="503"/>
    </row>
    <row r="3" spans="1:11" s="427" customFormat="1" ht="25.5" customHeight="1" x14ac:dyDescent="0.25">
      <c r="A3" s="505" t="s">
        <v>85</v>
      </c>
      <c r="B3" s="506" t="s">
        <v>544</v>
      </c>
      <c r="C3" s="506" t="s">
        <v>551</v>
      </c>
      <c r="D3" s="506"/>
      <c r="E3" s="506"/>
      <c r="F3" s="506"/>
      <c r="G3" s="507" t="s">
        <v>550</v>
      </c>
      <c r="H3" s="505"/>
      <c r="I3" s="505"/>
      <c r="J3" s="505"/>
      <c r="K3" s="508" t="s">
        <v>17</v>
      </c>
    </row>
    <row r="4" spans="1:11" s="438" customFormat="1" ht="31.5" customHeight="1" x14ac:dyDescent="0.25">
      <c r="A4" s="505"/>
      <c r="B4" s="505"/>
      <c r="C4" s="444" t="s">
        <v>543</v>
      </c>
      <c r="D4" s="444" t="s">
        <v>538</v>
      </c>
      <c r="E4" s="444" t="s">
        <v>539</v>
      </c>
      <c r="F4" s="444" t="s">
        <v>541</v>
      </c>
      <c r="G4" s="437" t="s">
        <v>540</v>
      </c>
      <c r="H4" s="437" t="s">
        <v>538</v>
      </c>
      <c r="I4" s="437" t="s">
        <v>542</v>
      </c>
      <c r="J4" s="437" t="s">
        <v>541</v>
      </c>
      <c r="K4" s="508"/>
    </row>
    <row r="5" spans="1:11" s="441" customFormat="1" ht="19.149999999999999" customHeight="1" x14ac:dyDescent="0.25">
      <c r="A5" s="439">
        <v>1</v>
      </c>
      <c r="B5" s="439">
        <v>2</v>
      </c>
      <c r="C5" s="439" t="s">
        <v>547</v>
      </c>
      <c r="D5" s="439">
        <v>4</v>
      </c>
      <c r="E5" s="439">
        <v>5</v>
      </c>
      <c r="F5" s="439">
        <v>6</v>
      </c>
      <c r="G5" s="440" t="s">
        <v>548</v>
      </c>
      <c r="H5" s="440">
        <v>8</v>
      </c>
      <c r="I5" s="440">
        <v>9</v>
      </c>
      <c r="J5" s="440">
        <v>10</v>
      </c>
      <c r="K5" s="439">
        <v>11</v>
      </c>
    </row>
    <row r="6" spans="1:11" s="427" customFormat="1" ht="21.95" customHeight="1" x14ac:dyDescent="0.25">
      <c r="A6" s="445"/>
      <c r="B6" s="445" t="s">
        <v>546</v>
      </c>
      <c r="C6" s="432">
        <f>D6+E6</f>
        <v>260</v>
      </c>
      <c r="D6" s="432">
        <f>D7</f>
        <v>200</v>
      </c>
      <c r="E6" s="432">
        <f t="shared" ref="E6:I6" si="0">E7</f>
        <v>60</v>
      </c>
      <c r="F6" s="432"/>
      <c r="G6" s="432">
        <f t="shared" si="0"/>
        <v>0</v>
      </c>
      <c r="H6" s="432">
        <f t="shared" si="0"/>
        <v>0</v>
      </c>
      <c r="I6" s="432">
        <f t="shared" si="0"/>
        <v>0</v>
      </c>
      <c r="J6" s="432"/>
      <c r="K6" s="504" t="s">
        <v>553</v>
      </c>
    </row>
    <row r="7" spans="1:11" s="427" customFormat="1" ht="25.5" customHeight="1" x14ac:dyDescent="0.25">
      <c r="A7" s="445" t="s">
        <v>25</v>
      </c>
      <c r="B7" s="433" t="s">
        <v>558</v>
      </c>
      <c r="C7" s="432">
        <f>D7+E7</f>
        <v>260</v>
      </c>
      <c r="D7" s="432">
        <f>D8</f>
        <v>200</v>
      </c>
      <c r="E7" s="432">
        <f t="shared" ref="E7:I7" si="1">E8</f>
        <v>60</v>
      </c>
      <c r="F7" s="432"/>
      <c r="G7" s="432">
        <f t="shared" si="1"/>
        <v>0</v>
      </c>
      <c r="H7" s="432">
        <f t="shared" si="1"/>
        <v>0</v>
      </c>
      <c r="I7" s="432">
        <f t="shared" si="1"/>
        <v>0</v>
      </c>
      <c r="J7" s="432"/>
      <c r="K7" s="504"/>
    </row>
    <row r="8" spans="1:11" s="427" customFormat="1" ht="27" customHeight="1" x14ac:dyDescent="0.25">
      <c r="A8" s="445" t="s">
        <v>27</v>
      </c>
      <c r="B8" s="433" t="s">
        <v>549</v>
      </c>
      <c r="C8" s="432">
        <f>D8+E8</f>
        <v>260</v>
      </c>
      <c r="D8" s="432">
        <f>D9</f>
        <v>200</v>
      </c>
      <c r="E8" s="432">
        <f t="shared" ref="E8:I8" si="2">E9</f>
        <v>60</v>
      </c>
      <c r="F8" s="432"/>
      <c r="G8" s="432">
        <f t="shared" si="2"/>
        <v>0</v>
      </c>
      <c r="H8" s="432">
        <f t="shared" si="2"/>
        <v>0</v>
      </c>
      <c r="I8" s="432">
        <f t="shared" si="2"/>
        <v>0</v>
      </c>
      <c r="J8" s="432"/>
      <c r="K8" s="504"/>
    </row>
    <row r="9" spans="1:11" s="427" customFormat="1" ht="28.5" customHeight="1" x14ac:dyDescent="0.25">
      <c r="A9" s="435">
        <v>1</v>
      </c>
      <c r="B9" s="436" t="s">
        <v>556</v>
      </c>
      <c r="C9" s="434">
        <f>D9+E9</f>
        <v>260</v>
      </c>
      <c r="D9" s="434">
        <f>D10</f>
        <v>200</v>
      </c>
      <c r="E9" s="434">
        <f t="shared" ref="E9:I9" si="3">E10</f>
        <v>60</v>
      </c>
      <c r="F9" s="434"/>
      <c r="G9" s="434">
        <f t="shared" si="3"/>
        <v>0</v>
      </c>
      <c r="H9" s="434">
        <f t="shared" si="3"/>
        <v>0</v>
      </c>
      <c r="I9" s="434">
        <f t="shared" si="3"/>
        <v>0</v>
      </c>
      <c r="J9" s="434"/>
      <c r="K9" s="504"/>
    </row>
    <row r="10" spans="1:11" s="427" customFormat="1" ht="192" customHeight="1" x14ac:dyDescent="0.25">
      <c r="A10" s="435" t="s">
        <v>555</v>
      </c>
      <c r="B10" s="436" t="s">
        <v>557</v>
      </c>
      <c r="C10" s="434">
        <f>D10+E10</f>
        <v>260</v>
      </c>
      <c r="D10" s="434">
        <f>D11</f>
        <v>200</v>
      </c>
      <c r="E10" s="434">
        <f>E11</f>
        <v>60</v>
      </c>
      <c r="F10" s="434"/>
      <c r="G10" s="434">
        <f t="shared" ref="G10:I10" si="4">G11</f>
        <v>0</v>
      </c>
      <c r="H10" s="434">
        <f t="shared" si="4"/>
        <v>0</v>
      </c>
      <c r="I10" s="434">
        <f t="shared" si="4"/>
        <v>0</v>
      </c>
      <c r="J10" s="434"/>
      <c r="K10" s="504"/>
    </row>
    <row r="11" spans="1:11" s="427" customFormat="1" ht="57" customHeight="1" x14ac:dyDescent="0.25">
      <c r="A11" s="435"/>
      <c r="B11" s="436" t="s">
        <v>554</v>
      </c>
      <c r="C11" s="434">
        <f>D11+E11</f>
        <v>260</v>
      </c>
      <c r="D11" s="434">
        <v>200</v>
      </c>
      <c r="E11" s="434">
        <v>60</v>
      </c>
      <c r="F11" s="434"/>
      <c r="G11" s="434">
        <f>H11+I11</f>
        <v>0</v>
      </c>
      <c r="H11" s="434">
        <v>0</v>
      </c>
      <c r="I11" s="434">
        <v>0</v>
      </c>
      <c r="J11" s="434"/>
      <c r="K11" s="504"/>
    </row>
    <row r="15" spans="1:11" ht="46.5" customHeight="1" x14ac:dyDescent="0.25">
      <c r="A15" s="144"/>
      <c r="B15" s="428"/>
      <c r="C15" s="400"/>
      <c r="D15" s="400"/>
      <c r="E15" s="442"/>
    </row>
    <row r="16" spans="1:11" ht="18" customHeight="1" x14ac:dyDescent="0.25">
      <c r="A16" s="144"/>
      <c r="B16" s="428"/>
      <c r="C16" s="400"/>
      <c r="D16" s="400"/>
      <c r="E16" s="442"/>
    </row>
    <row r="17" spans="1:5" s="425" customFormat="1" ht="18" customHeight="1" x14ac:dyDescent="0.25">
      <c r="B17" s="428"/>
      <c r="C17" s="430"/>
      <c r="D17" s="430"/>
      <c r="E17" s="443"/>
    </row>
    <row r="18" spans="1:5" ht="36.75" customHeight="1" x14ac:dyDescent="0.25">
      <c r="A18" s="144"/>
      <c r="B18" s="428"/>
      <c r="C18" s="400"/>
      <c r="D18" s="400"/>
      <c r="E18" s="442"/>
    </row>
    <row r="19" spans="1:5" ht="34.5" customHeight="1" x14ac:dyDescent="0.25">
      <c r="A19" s="144"/>
      <c r="B19" s="428"/>
      <c r="C19" s="400"/>
      <c r="D19" s="400"/>
      <c r="E19" s="442"/>
    </row>
    <row r="20" spans="1:5" ht="21.75" customHeight="1" x14ac:dyDescent="0.25">
      <c r="A20" s="144"/>
      <c r="B20" s="428"/>
      <c r="C20" s="400"/>
      <c r="D20" s="400"/>
      <c r="E20" s="442"/>
    </row>
    <row r="21" spans="1:5" ht="32.25" customHeight="1" x14ac:dyDescent="0.25">
      <c r="A21" s="144"/>
      <c r="B21" s="428"/>
      <c r="C21" s="400"/>
      <c r="D21" s="400"/>
      <c r="E21" s="442"/>
    </row>
  </sheetData>
  <mergeCells count="8">
    <mergeCell ref="A1:K1"/>
    <mergeCell ref="A2:K2"/>
    <mergeCell ref="K6:K11"/>
    <mergeCell ref="A3:A4"/>
    <mergeCell ref="B3:B4"/>
    <mergeCell ref="C3:F3"/>
    <mergeCell ref="G3:J3"/>
    <mergeCell ref="K3:K4"/>
  </mergeCells>
  <printOptions horizontalCentered="1"/>
  <pageMargins left="0.35433070866141703" right="0.10433070899999999" top="0.5" bottom="0.45866141700000002" header="0.15748031496063" footer="0.15748031496063"/>
  <pageSetup paperSize="9" scale="95" orientation="landscape" r:id="rId1"/>
  <headerFooter>
    <oddFooter>&amp;R&amp;P/&amp;N</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L128"/>
  <sheetViews>
    <sheetView topLeftCell="A5" zoomScale="85" zoomScaleNormal="85" workbookViewId="0">
      <pane xSplit="3" ySplit="10" topLeftCell="BJ15" activePane="bottomRight" state="frozen"/>
      <selection activeCell="A5" sqref="A5"/>
      <selection pane="topRight" activeCell="D5" sqref="D5"/>
      <selection pane="bottomLeft" activeCell="A15" sqref="A15"/>
      <selection pane="bottomRight" activeCell="BP18" sqref="BP18"/>
    </sheetView>
  </sheetViews>
  <sheetFormatPr defaultColWidth="9.140625" defaultRowHeight="15.75" outlineLevelCol="1" x14ac:dyDescent="0.25"/>
  <cols>
    <col min="1" max="1" width="4.28515625" style="143" customWidth="1"/>
    <col min="2" max="2" width="35.7109375" style="142" customWidth="1"/>
    <col min="3" max="3" width="10.140625" style="142" hidden="1" customWidth="1" outlineLevel="1"/>
    <col min="4" max="4" width="10.85546875" style="144" customWidth="1" collapsed="1"/>
    <col min="5" max="6" width="10.85546875" style="144" customWidth="1"/>
    <col min="7" max="7" width="11" style="144" customWidth="1"/>
    <col min="8" max="8" width="11.42578125" style="144" customWidth="1"/>
    <col min="9" max="9" width="10.5703125" style="396" hidden="1" customWidth="1" outlineLevel="1"/>
    <col min="10" max="10" width="9.5703125" style="396" hidden="1" customWidth="1" outlineLevel="1"/>
    <col min="11" max="11" width="9.28515625" style="144" customWidth="1" collapsed="1"/>
    <col min="12" max="12" width="7.7109375" style="396" hidden="1" customWidth="1" outlineLevel="1"/>
    <col min="13" max="13" width="9.42578125" style="144" hidden="1" customWidth="1" outlineLevel="1"/>
    <col min="14" max="14" width="8.85546875" style="396" hidden="1" customWidth="1" outlineLevel="1"/>
    <col min="15" max="15" width="10.7109375" style="144" hidden="1" customWidth="1" outlineLevel="1" collapsed="1"/>
    <col min="16" max="16" width="9.5703125" style="144" hidden="1" customWidth="1" collapsed="1"/>
    <col min="17" max="17" width="7.42578125" style="144" hidden="1" customWidth="1"/>
    <col min="18" max="18" width="11.28515625" style="144" hidden="1" customWidth="1"/>
    <col min="19" max="19" width="7.42578125" style="144" hidden="1" customWidth="1" outlineLevel="1"/>
    <col min="20" max="23" width="9.28515625" style="144" hidden="1" customWidth="1" outlineLevel="1"/>
    <col min="24" max="24" width="10.28515625" style="144" hidden="1" customWidth="1" outlineLevel="1"/>
    <col min="25" max="29" width="9.28515625" style="144" hidden="1" customWidth="1" outlineLevel="1"/>
    <col min="30" max="30" width="10.85546875" style="144" hidden="1" customWidth="1" outlineLevel="1"/>
    <col min="31" max="42" width="9.28515625" style="144" hidden="1" customWidth="1" outlineLevel="1"/>
    <col min="43" max="43" width="11.85546875" style="144" hidden="1" customWidth="1" outlineLevel="1"/>
    <col min="44" max="47" width="9.28515625" style="144" hidden="1" customWidth="1" outlineLevel="1"/>
    <col min="48" max="48" width="8.28515625" style="144" hidden="1" customWidth="1" outlineLevel="1"/>
    <col min="49" max="49" width="9.85546875" style="144" hidden="1" customWidth="1" outlineLevel="1"/>
    <col min="50" max="51" width="8.28515625" style="144" hidden="1" customWidth="1" outlineLevel="1"/>
    <col min="52" max="52" width="9.85546875" style="144" hidden="1" customWidth="1" outlineLevel="1"/>
    <col min="53" max="54" width="8.28515625" style="144" hidden="1" customWidth="1" outlineLevel="1"/>
    <col min="55" max="55" width="12.28515625" style="144" hidden="1" customWidth="1" outlineLevel="1"/>
    <col min="56" max="57" width="8.28515625" style="144" hidden="1" customWidth="1" outlineLevel="1"/>
    <col min="58" max="61" width="9.7109375" style="144" hidden="1" customWidth="1" outlineLevel="1"/>
    <col min="62" max="62" width="11.28515625" style="144" customWidth="1" collapsed="1"/>
    <col min="63" max="65" width="11.28515625" style="144" customWidth="1"/>
    <col min="66" max="66" width="9.5703125" style="397" customWidth="1"/>
    <col min="67" max="67" width="8.28515625" style="398" customWidth="1"/>
    <col min="68" max="68" width="10" style="398" customWidth="1"/>
    <col min="69" max="70" width="9.28515625" style="398" hidden="1" customWidth="1"/>
    <col min="71" max="71" width="9" style="397" hidden="1" customWidth="1"/>
    <col min="72" max="72" width="6.7109375" style="399" hidden="1" customWidth="1"/>
    <col min="73" max="73" width="10.28515625" style="400" hidden="1" customWidth="1"/>
    <col min="74" max="74" width="6.7109375" style="400" hidden="1" customWidth="1"/>
    <col min="75" max="75" width="9.140625" style="400" hidden="1" customWidth="1"/>
    <col min="76" max="76" width="8.140625" style="400" hidden="1" customWidth="1"/>
    <col min="77" max="77" width="11.42578125" style="400" hidden="1" customWidth="1"/>
    <col min="78" max="78" width="6.7109375" style="400" hidden="1" customWidth="1"/>
    <col min="79" max="79" width="11.7109375" style="400" hidden="1" customWidth="1"/>
    <col min="80" max="80" width="6.7109375" style="400" hidden="1" customWidth="1"/>
    <col min="81" max="81" width="11.7109375" style="400" hidden="1" customWidth="1"/>
    <col min="82" max="82" width="7.7109375" style="400" hidden="1" customWidth="1"/>
    <col min="83" max="83" width="11" style="400" hidden="1" customWidth="1"/>
    <col min="84" max="84" width="7.7109375" style="400" hidden="1" customWidth="1"/>
    <col min="85" max="85" width="11.140625" style="400" hidden="1" customWidth="1"/>
    <col min="86" max="86" width="7.7109375" style="400" hidden="1" customWidth="1"/>
    <col min="87" max="87" width="10.85546875" style="400" hidden="1" customWidth="1"/>
    <col min="88" max="88" width="7.7109375" style="400" hidden="1" customWidth="1"/>
    <col min="89" max="89" width="11" style="400" hidden="1" customWidth="1"/>
    <col min="90" max="90" width="7.7109375" style="400" hidden="1" customWidth="1"/>
    <col min="91" max="91" width="11" style="400" hidden="1" customWidth="1"/>
    <col min="92" max="92" width="8.7109375" style="400" hidden="1" customWidth="1"/>
    <col min="93" max="93" width="11" style="400" hidden="1" customWidth="1"/>
    <col min="94" max="94" width="8.7109375" style="400" hidden="1" customWidth="1"/>
    <col min="95" max="95" width="11" style="400" hidden="1" customWidth="1"/>
    <col min="96" max="96" width="7" style="400" hidden="1" customWidth="1"/>
    <col min="97" max="99" width="13.140625" style="143" customWidth="1"/>
    <col min="100" max="100" width="13.140625" style="143" hidden="1" customWidth="1"/>
    <col min="101" max="101" width="10.42578125" style="144" hidden="1" customWidth="1"/>
    <col min="102" max="102" width="11.28515625" style="141" hidden="1" customWidth="1"/>
    <col min="103" max="103" width="25.28515625" style="142" hidden="1" customWidth="1"/>
    <col min="104" max="104" width="9.140625" style="143" hidden="1" customWidth="1"/>
    <col min="105" max="105" width="11" style="143" hidden="1" customWidth="1"/>
    <col min="106" max="111" width="9.140625" style="144" hidden="1" customWidth="1"/>
    <col min="112" max="112" width="10.5703125" style="144" hidden="1" customWidth="1"/>
    <col min="113" max="113" width="9.140625" style="144" hidden="1" customWidth="1"/>
    <col min="114" max="114" width="15.42578125" style="144" customWidth="1"/>
    <col min="115" max="115" width="14.28515625" style="144" customWidth="1"/>
    <col min="116" max="16384" width="9.140625" style="144"/>
  </cols>
  <sheetData>
    <row r="1" spans="1:116" ht="18.75" x14ac:dyDescent="0.25">
      <c r="A1" s="457" t="s">
        <v>82</v>
      </c>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c r="AR1" s="457"/>
      <c r="AS1" s="457"/>
      <c r="AT1" s="457"/>
      <c r="AU1" s="457"/>
      <c r="AV1" s="457"/>
      <c r="AW1" s="457"/>
      <c r="AX1" s="457"/>
      <c r="AY1" s="457"/>
      <c r="AZ1" s="457"/>
      <c r="BA1" s="457"/>
      <c r="BB1" s="457"/>
      <c r="BC1" s="457"/>
      <c r="BD1" s="457"/>
      <c r="BE1" s="457"/>
      <c r="BF1" s="457"/>
      <c r="BG1" s="457"/>
      <c r="BH1" s="457"/>
      <c r="BI1" s="457"/>
      <c r="BJ1" s="457"/>
      <c r="BK1" s="457"/>
      <c r="BL1" s="457"/>
      <c r="BM1" s="457"/>
      <c r="BN1" s="457"/>
      <c r="BO1" s="457"/>
      <c r="BP1" s="457"/>
      <c r="BQ1" s="457"/>
      <c r="BR1" s="457"/>
      <c r="BS1" s="457"/>
      <c r="BT1" s="457"/>
      <c r="BU1" s="457"/>
      <c r="BV1" s="457"/>
      <c r="BW1" s="457"/>
      <c r="BX1" s="457"/>
      <c r="BY1" s="457"/>
      <c r="BZ1" s="457"/>
      <c r="CA1" s="457"/>
      <c r="CB1" s="457"/>
      <c r="CC1" s="457"/>
      <c r="CD1" s="457"/>
      <c r="CE1" s="457"/>
      <c r="CF1" s="457"/>
      <c r="CG1" s="457"/>
      <c r="CH1" s="457"/>
      <c r="CI1" s="457"/>
      <c r="CJ1" s="457"/>
      <c r="CK1" s="457"/>
      <c r="CL1" s="457"/>
      <c r="CM1" s="457"/>
      <c r="CN1" s="457"/>
      <c r="CO1" s="457"/>
      <c r="CP1" s="457"/>
      <c r="CQ1" s="457"/>
      <c r="CR1" s="457"/>
      <c r="CS1" s="457"/>
      <c r="CT1" s="457"/>
      <c r="CU1" s="457"/>
      <c r="CV1" s="457"/>
      <c r="CW1" s="457"/>
    </row>
    <row r="2" spans="1:116" ht="20.25" x14ac:dyDescent="0.25">
      <c r="A2" s="458" t="s">
        <v>6</v>
      </c>
      <c r="B2" s="458"/>
      <c r="C2" s="458"/>
      <c r="D2" s="458"/>
      <c r="E2" s="458"/>
      <c r="F2" s="458"/>
      <c r="G2" s="458"/>
      <c r="H2" s="458"/>
      <c r="I2" s="458"/>
      <c r="J2" s="458"/>
      <c r="K2" s="458"/>
      <c r="L2" s="458"/>
      <c r="M2" s="458"/>
      <c r="N2" s="458"/>
      <c r="O2" s="458"/>
      <c r="P2" s="458"/>
      <c r="Q2" s="458"/>
      <c r="R2" s="458"/>
      <c r="S2" s="458"/>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c r="BQ2" s="458"/>
      <c r="BR2" s="458"/>
      <c r="BS2" s="458"/>
      <c r="BT2" s="458"/>
      <c r="BU2" s="458"/>
      <c r="BV2" s="458"/>
      <c r="BW2" s="458"/>
      <c r="BX2" s="458"/>
      <c r="BY2" s="458"/>
      <c r="BZ2" s="458"/>
      <c r="CA2" s="458"/>
      <c r="CB2" s="458"/>
      <c r="CC2" s="458"/>
      <c r="CD2" s="458"/>
      <c r="CE2" s="458"/>
      <c r="CF2" s="458"/>
      <c r="CG2" s="458"/>
      <c r="CH2" s="458"/>
      <c r="CI2" s="458"/>
      <c r="CJ2" s="458"/>
      <c r="CK2" s="458"/>
      <c r="CL2" s="458"/>
      <c r="CM2" s="458"/>
      <c r="CN2" s="458"/>
      <c r="CO2" s="458"/>
      <c r="CP2" s="458"/>
      <c r="CQ2" s="458"/>
      <c r="CR2" s="458"/>
      <c r="CS2" s="458"/>
      <c r="CT2" s="458"/>
      <c r="CU2" s="458"/>
      <c r="CV2" s="458"/>
      <c r="CW2" s="458"/>
    </row>
    <row r="3" spans="1:116" ht="18.75" x14ac:dyDescent="0.25">
      <c r="A3" s="457" t="s">
        <v>520</v>
      </c>
      <c r="B3" s="457"/>
      <c r="C3" s="457"/>
      <c r="D3" s="457"/>
      <c r="E3" s="457"/>
      <c r="F3" s="457"/>
      <c r="G3" s="457"/>
      <c r="H3" s="457"/>
      <c r="I3" s="457"/>
      <c r="J3" s="457"/>
      <c r="K3" s="457"/>
      <c r="L3" s="457"/>
      <c r="M3" s="457"/>
      <c r="N3" s="457"/>
      <c r="O3" s="457"/>
      <c r="P3" s="457"/>
      <c r="Q3" s="457"/>
      <c r="R3" s="457"/>
      <c r="S3" s="457"/>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c r="BC3" s="457"/>
      <c r="BD3" s="457"/>
      <c r="BE3" s="457"/>
      <c r="BF3" s="457"/>
      <c r="BG3" s="457"/>
      <c r="BH3" s="457"/>
      <c r="BI3" s="457"/>
      <c r="BJ3" s="457"/>
      <c r="BK3" s="457"/>
      <c r="BL3" s="457"/>
      <c r="BM3" s="457"/>
      <c r="BN3" s="457"/>
      <c r="BO3" s="457"/>
      <c r="BP3" s="457"/>
      <c r="BQ3" s="457"/>
      <c r="BR3" s="457"/>
      <c r="BS3" s="457"/>
      <c r="BT3" s="457"/>
      <c r="BU3" s="457"/>
      <c r="BV3" s="457"/>
      <c r="BW3" s="457"/>
      <c r="BX3" s="457"/>
      <c r="BY3" s="457"/>
      <c r="BZ3" s="457"/>
      <c r="CA3" s="457"/>
      <c r="CB3" s="457"/>
      <c r="CC3" s="457"/>
      <c r="CD3" s="457"/>
      <c r="CE3" s="457"/>
      <c r="CF3" s="457"/>
      <c r="CG3" s="457"/>
      <c r="CH3" s="457"/>
      <c r="CI3" s="457"/>
      <c r="CJ3" s="457"/>
      <c r="CK3" s="457"/>
      <c r="CL3" s="457"/>
      <c r="CM3" s="457"/>
      <c r="CN3" s="457"/>
      <c r="CO3" s="457"/>
      <c r="CP3" s="457"/>
      <c r="CQ3" s="457"/>
      <c r="CR3" s="457"/>
      <c r="CS3" s="457"/>
      <c r="CT3" s="457"/>
      <c r="CU3" s="457"/>
      <c r="CV3" s="457"/>
      <c r="CW3" s="457"/>
      <c r="DF3" s="144">
        <f>96+14</f>
        <v>110</v>
      </c>
    </row>
    <row r="4" spans="1:116" ht="18.75" x14ac:dyDescent="0.25">
      <c r="A4" s="459" t="s">
        <v>537</v>
      </c>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59"/>
      <c r="CM4" s="459"/>
      <c r="CN4" s="459"/>
      <c r="CO4" s="459"/>
      <c r="CP4" s="459"/>
      <c r="CQ4" s="459"/>
      <c r="CR4" s="459"/>
      <c r="CS4" s="459"/>
      <c r="CT4" s="459"/>
      <c r="CU4" s="459"/>
      <c r="CV4" s="459"/>
      <c r="CW4" s="459"/>
      <c r="DD4" s="144">
        <v>33</v>
      </c>
      <c r="DE4" s="144">
        <v>38</v>
      </c>
    </row>
    <row r="5" spans="1:116" ht="13.15" customHeight="1" x14ac:dyDescent="0.25">
      <c r="A5" s="460" t="s">
        <v>84</v>
      </c>
      <c r="B5" s="460"/>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c r="CU5" s="460"/>
      <c r="CV5" s="460"/>
      <c r="CW5" s="460"/>
    </row>
    <row r="6" spans="1:116" ht="9.6" customHeight="1" x14ac:dyDescent="0.25">
      <c r="A6" s="145"/>
      <c r="B6" s="146"/>
      <c r="C6" s="146"/>
      <c r="D6" s="145"/>
      <c r="E6" s="145"/>
      <c r="F6" s="147"/>
      <c r="G6" s="148"/>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9"/>
      <c r="BO6" s="150"/>
      <c r="BP6" s="150"/>
      <c r="BQ6" s="150"/>
      <c r="BR6" s="150"/>
      <c r="BS6" s="149"/>
      <c r="BT6" s="151"/>
      <c r="BU6" s="145"/>
      <c r="BV6" s="145"/>
      <c r="BW6" s="145"/>
      <c r="BX6" s="145"/>
      <c r="BY6" s="145"/>
      <c r="BZ6" s="145"/>
      <c r="CA6" s="145"/>
      <c r="CB6" s="145"/>
      <c r="CC6" s="145"/>
      <c r="CD6" s="145"/>
      <c r="CE6" s="145"/>
      <c r="CF6" s="145"/>
      <c r="CG6" s="145"/>
      <c r="CH6" s="145"/>
      <c r="CI6" s="145"/>
      <c r="CJ6" s="145"/>
      <c r="CK6" s="145"/>
      <c r="CL6" s="145"/>
      <c r="CM6" s="145"/>
      <c r="CN6" s="145"/>
      <c r="CO6" s="145"/>
      <c r="CP6" s="145"/>
      <c r="CQ6" s="145"/>
      <c r="CR6" s="145"/>
      <c r="CS6" s="152"/>
      <c r="CT6" s="152"/>
      <c r="CU6" s="152"/>
      <c r="CV6" s="152"/>
      <c r="CW6" s="145"/>
    </row>
    <row r="7" spans="1:116" s="160" customFormat="1" ht="20.25" customHeight="1" x14ac:dyDescent="0.25">
      <c r="A7" s="461" t="s">
        <v>85</v>
      </c>
      <c r="B7" s="461" t="s">
        <v>86</v>
      </c>
      <c r="C7" s="462" t="s">
        <v>87</v>
      </c>
      <c r="D7" s="461" t="s">
        <v>88</v>
      </c>
      <c r="E7" s="461"/>
      <c r="F7" s="461"/>
      <c r="G7" s="461"/>
      <c r="H7" s="461"/>
      <c r="I7" s="461"/>
      <c r="J7" s="461"/>
      <c r="K7" s="461"/>
      <c r="L7" s="461"/>
      <c r="M7" s="461"/>
      <c r="N7" s="461"/>
      <c r="O7" s="462" t="s">
        <v>89</v>
      </c>
      <c r="P7" s="465" t="s">
        <v>90</v>
      </c>
      <c r="Q7" s="468" t="s">
        <v>91</v>
      </c>
      <c r="R7" s="461" t="s">
        <v>92</v>
      </c>
      <c r="S7" s="461"/>
      <c r="T7" s="461"/>
      <c r="U7" s="471" t="s">
        <v>93</v>
      </c>
      <c r="V7" s="471"/>
      <c r="W7" s="471"/>
      <c r="X7" s="471" t="s">
        <v>94</v>
      </c>
      <c r="Y7" s="471"/>
      <c r="Z7" s="471"/>
      <c r="AA7" s="471" t="s">
        <v>95</v>
      </c>
      <c r="AB7" s="471"/>
      <c r="AC7" s="471"/>
      <c r="AD7" s="471" t="s">
        <v>96</v>
      </c>
      <c r="AE7" s="471"/>
      <c r="AF7" s="471"/>
      <c r="AG7" s="471" t="s">
        <v>97</v>
      </c>
      <c r="AH7" s="471"/>
      <c r="AI7" s="471"/>
      <c r="AJ7" s="471" t="s">
        <v>98</v>
      </c>
      <c r="AK7" s="471"/>
      <c r="AL7" s="471"/>
      <c r="AM7" s="471" t="s">
        <v>99</v>
      </c>
      <c r="AN7" s="471"/>
      <c r="AO7" s="471"/>
      <c r="AP7" s="153"/>
      <c r="AQ7" s="461" t="s">
        <v>100</v>
      </c>
      <c r="AR7" s="461"/>
      <c r="AS7" s="461"/>
      <c r="AT7" s="461" t="s">
        <v>101</v>
      </c>
      <c r="AU7" s="461"/>
      <c r="AV7" s="461"/>
      <c r="AW7" s="461" t="s">
        <v>102</v>
      </c>
      <c r="AX7" s="461"/>
      <c r="AY7" s="461"/>
      <c r="AZ7" s="461" t="s">
        <v>103</v>
      </c>
      <c r="BA7" s="461"/>
      <c r="BB7" s="461"/>
      <c r="BC7" s="484" t="s">
        <v>104</v>
      </c>
      <c r="BD7" s="485"/>
      <c r="BE7" s="486"/>
      <c r="BF7" s="154"/>
      <c r="BG7" s="465" t="s">
        <v>105</v>
      </c>
      <c r="BH7" s="474"/>
      <c r="BI7" s="468"/>
      <c r="BJ7" s="462" t="s">
        <v>516</v>
      </c>
      <c r="BK7" s="465" t="s">
        <v>106</v>
      </c>
      <c r="BL7" s="474"/>
      <c r="BM7" s="468"/>
      <c r="BN7" s="465" t="s">
        <v>521</v>
      </c>
      <c r="BO7" s="474"/>
      <c r="BP7" s="468"/>
      <c r="BQ7" s="462" t="s">
        <v>107</v>
      </c>
      <c r="BR7" s="155"/>
      <c r="BS7" s="480" t="s">
        <v>108</v>
      </c>
      <c r="BT7" s="481"/>
      <c r="BU7" s="481"/>
      <c r="BV7" s="482"/>
      <c r="BW7" s="465" t="s">
        <v>109</v>
      </c>
      <c r="BX7" s="468"/>
      <c r="BY7" s="465" t="s">
        <v>110</v>
      </c>
      <c r="BZ7" s="468"/>
      <c r="CA7" s="156"/>
      <c r="CB7" s="156"/>
      <c r="CC7" s="156"/>
      <c r="CD7" s="156"/>
      <c r="CE7" s="156"/>
      <c r="CF7" s="156"/>
      <c r="CG7" s="156"/>
      <c r="CH7" s="156"/>
      <c r="CI7" s="156"/>
      <c r="CJ7" s="156"/>
      <c r="CK7" s="156"/>
      <c r="CL7" s="156"/>
      <c r="CM7" s="156"/>
      <c r="CN7" s="156"/>
      <c r="CO7" s="156"/>
      <c r="CP7" s="156"/>
      <c r="CQ7" s="156"/>
      <c r="CR7" s="157"/>
      <c r="CS7" s="462" t="s">
        <v>518</v>
      </c>
      <c r="CT7" s="462" t="s">
        <v>519</v>
      </c>
      <c r="CU7" s="405"/>
      <c r="CV7" s="462" t="s">
        <v>111</v>
      </c>
      <c r="CW7" s="461" t="s">
        <v>17</v>
      </c>
      <c r="CX7" s="158"/>
      <c r="CY7" s="478" t="s">
        <v>112</v>
      </c>
      <c r="CZ7" s="461" t="s">
        <v>113</v>
      </c>
      <c r="DA7" s="461" t="s">
        <v>114</v>
      </c>
      <c r="DB7" s="461" t="s">
        <v>115</v>
      </c>
      <c r="DC7" s="159"/>
      <c r="DD7" s="479" t="s">
        <v>116</v>
      </c>
      <c r="DE7" s="479"/>
      <c r="DF7" s="479"/>
      <c r="DH7" s="477" t="s">
        <v>117</v>
      </c>
      <c r="DI7" s="477" t="s">
        <v>118</v>
      </c>
    </row>
    <row r="8" spans="1:116" s="165" customFormat="1" ht="11.45" customHeight="1" x14ac:dyDescent="0.25">
      <c r="A8" s="461"/>
      <c r="B8" s="461"/>
      <c r="C8" s="463"/>
      <c r="D8" s="461"/>
      <c r="E8" s="461"/>
      <c r="F8" s="461"/>
      <c r="G8" s="461"/>
      <c r="H8" s="461"/>
      <c r="I8" s="461"/>
      <c r="J8" s="461"/>
      <c r="K8" s="461"/>
      <c r="L8" s="461"/>
      <c r="M8" s="461"/>
      <c r="N8" s="461"/>
      <c r="O8" s="463"/>
      <c r="P8" s="466"/>
      <c r="Q8" s="469"/>
      <c r="R8" s="461"/>
      <c r="S8" s="461"/>
      <c r="T8" s="461"/>
      <c r="U8" s="471"/>
      <c r="V8" s="471"/>
      <c r="W8" s="471"/>
      <c r="X8" s="471"/>
      <c r="Y8" s="471"/>
      <c r="Z8" s="471"/>
      <c r="AA8" s="471"/>
      <c r="AB8" s="471"/>
      <c r="AC8" s="471"/>
      <c r="AD8" s="471"/>
      <c r="AE8" s="471"/>
      <c r="AF8" s="471"/>
      <c r="AG8" s="471"/>
      <c r="AH8" s="471"/>
      <c r="AI8" s="471"/>
      <c r="AJ8" s="471"/>
      <c r="AK8" s="471"/>
      <c r="AL8" s="471"/>
      <c r="AM8" s="471"/>
      <c r="AN8" s="471"/>
      <c r="AO8" s="471"/>
      <c r="AP8" s="153"/>
      <c r="AQ8" s="461"/>
      <c r="AR8" s="461"/>
      <c r="AS8" s="461"/>
      <c r="AT8" s="461"/>
      <c r="AU8" s="461"/>
      <c r="AV8" s="461"/>
      <c r="AW8" s="461"/>
      <c r="AX8" s="461"/>
      <c r="AY8" s="461"/>
      <c r="AZ8" s="461"/>
      <c r="BA8" s="461"/>
      <c r="BB8" s="461"/>
      <c r="BC8" s="487"/>
      <c r="BD8" s="488"/>
      <c r="BE8" s="489"/>
      <c r="BF8" s="161"/>
      <c r="BG8" s="466"/>
      <c r="BH8" s="475"/>
      <c r="BI8" s="469"/>
      <c r="BJ8" s="463"/>
      <c r="BK8" s="466"/>
      <c r="BL8" s="475"/>
      <c r="BM8" s="469"/>
      <c r="BN8" s="466"/>
      <c r="BO8" s="475"/>
      <c r="BP8" s="469"/>
      <c r="BQ8" s="463"/>
      <c r="BR8" s="162"/>
      <c r="BS8" s="461" t="s">
        <v>119</v>
      </c>
      <c r="BT8" s="461"/>
      <c r="BU8" s="461" t="s">
        <v>120</v>
      </c>
      <c r="BV8" s="461"/>
      <c r="BW8" s="466"/>
      <c r="BX8" s="469"/>
      <c r="BY8" s="466"/>
      <c r="BZ8" s="469"/>
      <c r="CA8" s="461" t="s">
        <v>121</v>
      </c>
      <c r="CB8" s="461"/>
      <c r="CC8" s="461" t="s">
        <v>122</v>
      </c>
      <c r="CD8" s="461"/>
      <c r="CE8" s="461" t="s">
        <v>123</v>
      </c>
      <c r="CF8" s="461"/>
      <c r="CG8" s="461" t="s">
        <v>124</v>
      </c>
      <c r="CH8" s="461"/>
      <c r="CI8" s="461" t="s">
        <v>125</v>
      </c>
      <c r="CJ8" s="461"/>
      <c r="CK8" s="461" t="s">
        <v>126</v>
      </c>
      <c r="CL8" s="461"/>
      <c r="CM8" s="461" t="s">
        <v>127</v>
      </c>
      <c r="CN8" s="461"/>
      <c r="CO8" s="461" t="s">
        <v>128</v>
      </c>
      <c r="CP8" s="461"/>
      <c r="CQ8" s="461" t="s">
        <v>129</v>
      </c>
      <c r="CR8" s="461"/>
      <c r="CS8" s="463"/>
      <c r="CT8" s="463"/>
      <c r="CU8" s="162"/>
      <c r="CV8" s="463"/>
      <c r="CW8" s="461"/>
      <c r="CX8" s="163"/>
      <c r="CY8" s="478"/>
      <c r="CZ8" s="461"/>
      <c r="DA8" s="461"/>
      <c r="DB8" s="461"/>
      <c r="DC8" s="159"/>
      <c r="DD8" s="479"/>
      <c r="DE8" s="479"/>
      <c r="DF8" s="479"/>
      <c r="DG8" s="164"/>
      <c r="DH8" s="477"/>
      <c r="DI8" s="477"/>
    </row>
    <row r="9" spans="1:116" s="165" customFormat="1" ht="17.45" customHeight="1" x14ac:dyDescent="0.25">
      <c r="A9" s="461"/>
      <c r="B9" s="461"/>
      <c r="C9" s="463"/>
      <c r="D9" s="461" t="s">
        <v>130</v>
      </c>
      <c r="E9" s="461" t="s">
        <v>131</v>
      </c>
      <c r="F9" s="461"/>
      <c r="G9" s="461"/>
      <c r="H9" s="461"/>
      <c r="I9" s="461"/>
      <c r="J9" s="461"/>
      <c r="K9" s="461"/>
      <c r="L9" s="461"/>
      <c r="M9" s="461"/>
      <c r="N9" s="461"/>
      <c r="O9" s="463"/>
      <c r="P9" s="466"/>
      <c r="Q9" s="469"/>
      <c r="R9" s="461"/>
      <c r="S9" s="461"/>
      <c r="T9" s="461"/>
      <c r="U9" s="471"/>
      <c r="V9" s="471"/>
      <c r="W9" s="471"/>
      <c r="X9" s="471"/>
      <c r="Y9" s="471"/>
      <c r="Z9" s="471"/>
      <c r="AA9" s="471"/>
      <c r="AB9" s="471"/>
      <c r="AC9" s="471"/>
      <c r="AD9" s="471"/>
      <c r="AE9" s="471"/>
      <c r="AF9" s="471"/>
      <c r="AG9" s="471"/>
      <c r="AH9" s="471"/>
      <c r="AI9" s="471"/>
      <c r="AJ9" s="471"/>
      <c r="AK9" s="471"/>
      <c r="AL9" s="471"/>
      <c r="AM9" s="471"/>
      <c r="AN9" s="471"/>
      <c r="AO9" s="471"/>
      <c r="AP9" s="153"/>
      <c r="AQ9" s="461"/>
      <c r="AR9" s="461"/>
      <c r="AS9" s="461"/>
      <c r="AT9" s="461"/>
      <c r="AU9" s="461"/>
      <c r="AV9" s="461"/>
      <c r="AW9" s="461"/>
      <c r="AX9" s="461"/>
      <c r="AY9" s="461"/>
      <c r="AZ9" s="461"/>
      <c r="BA9" s="461"/>
      <c r="BB9" s="461"/>
      <c r="BC9" s="487"/>
      <c r="BD9" s="488"/>
      <c r="BE9" s="489"/>
      <c r="BF9" s="161"/>
      <c r="BG9" s="466"/>
      <c r="BH9" s="475"/>
      <c r="BI9" s="469"/>
      <c r="BJ9" s="463"/>
      <c r="BK9" s="466"/>
      <c r="BL9" s="475"/>
      <c r="BM9" s="469"/>
      <c r="BN9" s="466"/>
      <c r="BO9" s="475"/>
      <c r="BP9" s="469"/>
      <c r="BQ9" s="463"/>
      <c r="BR9" s="162"/>
      <c r="BS9" s="461"/>
      <c r="BT9" s="461"/>
      <c r="BU9" s="461"/>
      <c r="BV9" s="461"/>
      <c r="BW9" s="466"/>
      <c r="BX9" s="469"/>
      <c r="BY9" s="466"/>
      <c r="BZ9" s="469"/>
      <c r="CA9" s="461"/>
      <c r="CB9" s="461"/>
      <c r="CC9" s="461"/>
      <c r="CD9" s="461"/>
      <c r="CE9" s="461"/>
      <c r="CF9" s="461"/>
      <c r="CG9" s="461"/>
      <c r="CH9" s="461"/>
      <c r="CI9" s="461"/>
      <c r="CJ9" s="461"/>
      <c r="CK9" s="461"/>
      <c r="CL9" s="461"/>
      <c r="CM9" s="461"/>
      <c r="CN9" s="461"/>
      <c r="CO9" s="461"/>
      <c r="CP9" s="461"/>
      <c r="CQ9" s="461"/>
      <c r="CR9" s="461"/>
      <c r="CS9" s="463"/>
      <c r="CT9" s="463"/>
      <c r="CU9" s="162"/>
      <c r="CV9" s="463"/>
      <c r="CW9" s="461"/>
      <c r="CX9" s="483" t="s">
        <v>132</v>
      </c>
      <c r="CY9" s="478"/>
      <c r="CZ9" s="461"/>
      <c r="DA9" s="461"/>
      <c r="DB9" s="461"/>
      <c r="DC9" s="159"/>
      <c r="DD9" s="479"/>
      <c r="DE9" s="479"/>
      <c r="DF9" s="479"/>
      <c r="DG9" s="166"/>
      <c r="DH9" s="477"/>
      <c r="DI9" s="477"/>
    </row>
    <row r="10" spans="1:116" s="165" customFormat="1" ht="20.25" customHeight="1" x14ac:dyDescent="0.25">
      <c r="A10" s="461"/>
      <c r="B10" s="461"/>
      <c r="C10" s="463"/>
      <c r="D10" s="461"/>
      <c r="E10" s="461" t="s">
        <v>133</v>
      </c>
      <c r="F10" s="461" t="s">
        <v>134</v>
      </c>
      <c r="G10" s="461" t="s">
        <v>135</v>
      </c>
      <c r="H10" s="461"/>
      <c r="I10" s="461"/>
      <c r="J10" s="461"/>
      <c r="K10" s="461"/>
      <c r="L10" s="461"/>
      <c r="M10" s="461"/>
      <c r="N10" s="461"/>
      <c r="O10" s="463"/>
      <c r="P10" s="466"/>
      <c r="Q10" s="469"/>
      <c r="R10" s="461"/>
      <c r="S10" s="461"/>
      <c r="T10" s="461"/>
      <c r="U10" s="471"/>
      <c r="V10" s="471"/>
      <c r="W10" s="471"/>
      <c r="X10" s="471"/>
      <c r="Y10" s="471"/>
      <c r="Z10" s="471"/>
      <c r="AA10" s="471"/>
      <c r="AB10" s="471"/>
      <c r="AC10" s="471"/>
      <c r="AD10" s="471"/>
      <c r="AE10" s="471"/>
      <c r="AF10" s="471"/>
      <c r="AG10" s="471"/>
      <c r="AH10" s="471"/>
      <c r="AI10" s="471"/>
      <c r="AJ10" s="471"/>
      <c r="AK10" s="471"/>
      <c r="AL10" s="471"/>
      <c r="AM10" s="471"/>
      <c r="AN10" s="471"/>
      <c r="AO10" s="471"/>
      <c r="AP10" s="153"/>
      <c r="AQ10" s="461"/>
      <c r="AR10" s="461"/>
      <c r="AS10" s="461"/>
      <c r="AT10" s="461"/>
      <c r="AU10" s="461"/>
      <c r="AV10" s="461"/>
      <c r="AW10" s="461"/>
      <c r="AX10" s="461"/>
      <c r="AY10" s="461"/>
      <c r="AZ10" s="461"/>
      <c r="BA10" s="461"/>
      <c r="BB10" s="461"/>
      <c r="BC10" s="490"/>
      <c r="BD10" s="491"/>
      <c r="BE10" s="492"/>
      <c r="BF10" s="167"/>
      <c r="BG10" s="467"/>
      <c r="BH10" s="476"/>
      <c r="BI10" s="470"/>
      <c r="BJ10" s="463"/>
      <c r="BK10" s="467"/>
      <c r="BL10" s="476"/>
      <c r="BM10" s="470"/>
      <c r="BN10" s="467"/>
      <c r="BO10" s="476"/>
      <c r="BP10" s="470"/>
      <c r="BQ10" s="463"/>
      <c r="BR10" s="162"/>
      <c r="BS10" s="461"/>
      <c r="BT10" s="461"/>
      <c r="BU10" s="461"/>
      <c r="BV10" s="461"/>
      <c r="BW10" s="467"/>
      <c r="BX10" s="470"/>
      <c r="BY10" s="467"/>
      <c r="BZ10" s="470"/>
      <c r="CA10" s="461"/>
      <c r="CB10" s="461"/>
      <c r="CC10" s="461"/>
      <c r="CD10" s="461"/>
      <c r="CE10" s="461"/>
      <c r="CF10" s="461"/>
      <c r="CG10" s="461"/>
      <c r="CH10" s="461"/>
      <c r="CI10" s="461"/>
      <c r="CJ10" s="461"/>
      <c r="CK10" s="461"/>
      <c r="CL10" s="461"/>
      <c r="CM10" s="461"/>
      <c r="CN10" s="461"/>
      <c r="CO10" s="461"/>
      <c r="CP10" s="461"/>
      <c r="CQ10" s="461"/>
      <c r="CR10" s="461"/>
      <c r="CS10" s="463"/>
      <c r="CT10" s="463"/>
      <c r="CU10" s="162"/>
      <c r="CV10" s="463"/>
      <c r="CW10" s="461"/>
      <c r="CX10" s="483"/>
      <c r="CY10" s="478"/>
      <c r="CZ10" s="461"/>
      <c r="DA10" s="461"/>
      <c r="DB10" s="461"/>
      <c r="DC10" s="159"/>
      <c r="DD10" s="465" t="s">
        <v>136</v>
      </c>
      <c r="DE10" s="468"/>
      <c r="DF10" s="461" t="s">
        <v>137</v>
      </c>
      <c r="DH10" s="477"/>
      <c r="DI10" s="477"/>
    </row>
    <row r="11" spans="1:116" s="165" customFormat="1" ht="20.25" customHeight="1" x14ac:dyDescent="0.25">
      <c r="A11" s="461"/>
      <c r="B11" s="461"/>
      <c r="C11" s="463"/>
      <c r="D11" s="461"/>
      <c r="E11" s="461"/>
      <c r="F11" s="461"/>
      <c r="G11" s="461" t="s">
        <v>7</v>
      </c>
      <c r="H11" s="461" t="s">
        <v>138</v>
      </c>
      <c r="I11" s="461" t="s">
        <v>139</v>
      </c>
      <c r="J11" s="168"/>
      <c r="K11" s="461" t="s">
        <v>9</v>
      </c>
      <c r="L11" s="461" t="s">
        <v>140</v>
      </c>
      <c r="M11" s="462" t="s">
        <v>141</v>
      </c>
      <c r="N11" s="462" t="s">
        <v>142</v>
      </c>
      <c r="O11" s="463"/>
      <c r="P11" s="466"/>
      <c r="Q11" s="469"/>
      <c r="R11" s="472" t="s">
        <v>18</v>
      </c>
      <c r="S11" s="473" t="s">
        <v>143</v>
      </c>
      <c r="T11" s="473" t="s">
        <v>144</v>
      </c>
      <c r="U11" s="472" t="s">
        <v>18</v>
      </c>
      <c r="V11" s="473" t="s">
        <v>143</v>
      </c>
      <c r="W11" s="473" t="s">
        <v>144</v>
      </c>
      <c r="X11" s="472" t="s">
        <v>18</v>
      </c>
      <c r="Y11" s="473" t="s">
        <v>143</v>
      </c>
      <c r="Z11" s="473" t="s">
        <v>144</v>
      </c>
      <c r="AA11" s="472" t="s">
        <v>18</v>
      </c>
      <c r="AB11" s="473" t="s">
        <v>143</v>
      </c>
      <c r="AC11" s="473" t="s">
        <v>144</v>
      </c>
      <c r="AD11" s="472" t="s">
        <v>18</v>
      </c>
      <c r="AE11" s="473" t="s">
        <v>143</v>
      </c>
      <c r="AF11" s="473" t="s">
        <v>144</v>
      </c>
      <c r="AG11" s="493" t="s">
        <v>18</v>
      </c>
      <c r="AH11" s="473" t="s">
        <v>143</v>
      </c>
      <c r="AI11" s="473" t="s">
        <v>144</v>
      </c>
      <c r="AJ11" s="493" t="s">
        <v>18</v>
      </c>
      <c r="AK11" s="473" t="s">
        <v>143</v>
      </c>
      <c r="AL11" s="473" t="s">
        <v>144</v>
      </c>
      <c r="AM11" s="493" t="s">
        <v>18</v>
      </c>
      <c r="AN11" s="473" t="s">
        <v>143</v>
      </c>
      <c r="AO11" s="473" t="s">
        <v>144</v>
      </c>
      <c r="AP11" s="169"/>
      <c r="AQ11" s="472" t="s">
        <v>18</v>
      </c>
      <c r="AR11" s="473" t="s">
        <v>143</v>
      </c>
      <c r="AS11" s="473" t="s">
        <v>144</v>
      </c>
      <c r="AT11" s="472" t="s">
        <v>18</v>
      </c>
      <c r="AU11" s="473" t="s">
        <v>143</v>
      </c>
      <c r="AV11" s="473" t="s">
        <v>144</v>
      </c>
      <c r="AW11" s="472" t="s">
        <v>18</v>
      </c>
      <c r="AX11" s="473" t="s">
        <v>143</v>
      </c>
      <c r="AY11" s="473" t="s">
        <v>144</v>
      </c>
      <c r="AZ11" s="472" t="s">
        <v>18</v>
      </c>
      <c r="BA11" s="473" t="s">
        <v>143</v>
      </c>
      <c r="BB11" s="473" t="s">
        <v>144</v>
      </c>
      <c r="BC11" s="497" t="s">
        <v>18</v>
      </c>
      <c r="BD11" s="494" t="s">
        <v>143</v>
      </c>
      <c r="BE11" s="494" t="s">
        <v>144</v>
      </c>
      <c r="BF11" s="170"/>
      <c r="BG11" s="497" t="s">
        <v>18</v>
      </c>
      <c r="BH11" s="494" t="s">
        <v>143</v>
      </c>
      <c r="BI11" s="494" t="s">
        <v>144</v>
      </c>
      <c r="BJ11" s="463"/>
      <c r="BK11" s="497" t="s">
        <v>18</v>
      </c>
      <c r="BL11" s="494" t="s">
        <v>143</v>
      </c>
      <c r="BM11" s="494" t="s">
        <v>144</v>
      </c>
      <c r="BN11" s="497" t="s">
        <v>18</v>
      </c>
      <c r="BO11" s="494" t="s">
        <v>143</v>
      </c>
      <c r="BP11" s="494" t="s">
        <v>144</v>
      </c>
      <c r="BQ11" s="463"/>
      <c r="BR11" s="162"/>
      <c r="BS11" s="500" t="s">
        <v>18</v>
      </c>
      <c r="BT11" s="501" t="s">
        <v>145</v>
      </c>
      <c r="BU11" s="461" t="s">
        <v>18</v>
      </c>
      <c r="BV11" s="461" t="s">
        <v>145</v>
      </c>
      <c r="BW11" s="461" t="s">
        <v>18</v>
      </c>
      <c r="BX11" s="461" t="s">
        <v>145</v>
      </c>
      <c r="BY11" s="461" t="s">
        <v>18</v>
      </c>
      <c r="BZ11" s="461" t="s">
        <v>145</v>
      </c>
      <c r="CA11" s="461" t="s">
        <v>18</v>
      </c>
      <c r="CB11" s="461" t="s">
        <v>145</v>
      </c>
      <c r="CC11" s="461" t="s">
        <v>18</v>
      </c>
      <c r="CD11" s="461" t="s">
        <v>145</v>
      </c>
      <c r="CE11" s="461" t="s">
        <v>18</v>
      </c>
      <c r="CF11" s="461" t="s">
        <v>145</v>
      </c>
      <c r="CG11" s="461" t="s">
        <v>18</v>
      </c>
      <c r="CH11" s="461" t="s">
        <v>145</v>
      </c>
      <c r="CI11" s="461" t="s">
        <v>18</v>
      </c>
      <c r="CJ11" s="461" t="s">
        <v>145</v>
      </c>
      <c r="CK11" s="461" t="s">
        <v>18</v>
      </c>
      <c r="CL11" s="461" t="s">
        <v>145</v>
      </c>
      <c r="CM11" s="461" t="s">
        <v>18</v>
      </c>
      <c r="CN11" s="461" t="s">
        <v>145</v>
      </c>
      <c r="CO11" s="461" t="s">
        <v>18</v>
      </c>
      <c r="CP11" s="461" t="s">
        <v>145</v>
      </c>
      <c r="CQ11" s="461" t="s">
        <v>18</v>
      </c>
      <c r="CR11" s="461" t="s">
        <v>145</v>
      </c>
      <c r="CS11" s="463"/>
      <c r="CT11" s="463"/>
      <c r="CU11" s="162"/>
      <c r="CV11" s="463"/>
      <c r="CW11" s="461"/>
      <c r="CX11" s="483"/>
      <c r="CY11" s="478"/>
      <c r="CZ11" s="461"/>
      <c r="DA11" s="461"/>
      <c r="DB11" s="461"/>
      <c r="DC11" s="159"/>
      <c r="DD11" s="467"/>
      <c r="DE11" s="470"/>
      <c r="DF11" s="461"/>
      <c r="DH11" s="477"/>
      <c r="DI11" s="477"/>
    </row>
    <row r="12" spans="1:116" s="165" customFormat="1" ht="20.25" customHeight="1" x14ac:dyDescent="0.25">
      <c r="A12" s="461"/>
      <c r="B12" s="461"/>
      <c r="C12" s="463"/>
      <c r="D12" s="461"/>
      <c r="E12" s="461"/>
      <c r="F12" s="461"/>
      <c r="G12" s="461"/>
      <c r="H12" s="461"/>
      <c r="I12" s="461"/>
      <c r="J12" s="168"/>
      <c r="K12" s="461"/>
      <c r="L12" s="461"/>
      <c r="M12" s="463"/>
      <c r="N12" s="463"/>
      <c r="O12" s="463"/>
      <c r="P12" s="466"/>
      <c r="Q12" s="469"/>
      <c r="R12" s="472"/>
      <c r="S12" s="473"/>
      <c r="T12" s="473"/>
      <c r="U12" s="472"/>
      <c r="V12" s="473"/>
      <c r="W12" s="473"/>
      <c r="X12" s="472"/>
      <c r="Y12" s="473"/>
      <c r="Z12" s="473"/>
      <c r="AA12" s="472"/>
      <c r="AB12" s="473"/>
      <c r="AC12" s="473"/>
      <c r="AD12" s="472"/>
      <c r="AE12" s="473"/>
      <c r="AF12" s="473"/>
      <c r="AG12" s="493"/>
      <c r="AH12" s="473"/>
      <c r="AI12" s="473"/>
      <c r="AJ12" s="493"/>
      <c r="AK12" s="473"/>
      <c r="AL12" s="473"/>
      <c r="AM12" s="493"/>
      <c r="AN12" s="473"/>
      <c r="AO12" s="473"/>
      <c r="AP12" s="169"/>
      <c r="AQ12" s="472"/>
      <c r="AR12" s="473"/>
      <c r="AS12" s="473"/>
      <c r="AT12" s="472"/>
      <c r="AU12" s="473"/>
      <c r="AV12" s="473"/>
      <c r="AW12" s="472"/>
      <c r="AX12" s="473"/>
      <c r="AY12" s="473"/>
      <c r="AZ12" s="472"/>
      <c r="BA12" s="473"/>
      <c r="BB12" s="473"/>
      <c r="BC12" s="498"/>
      <c r="BD12" s="495"/>
      <c r="BE12" s="495"/>
      <c r="BF12" s="171"/>
      <c r="BG12" s="498"/>
      <c r="BH12" s="495"/>
      <c r="BI12" s="495"/>
      <c r="BJ12" s="463"/>
      <c r="BK12" s="498"/>
      <c r="BL12" s="495"/>
      <c r="BM12" s="495"/>
      <c r="BN12" s="498"/>
      <c r="BO12" s="495"/>
      <c r="BP12" s="495"/>
      <c r="BQ12" s="463"/>
      <c r="BR12" s="162"/>
      <c r="BS12" s="500"/>
      <c r="BT12" s="501"/>
      <c r="BU12" s="461"/>
      <c r="BV12" s="461"/>
      <c r="BW12" s="461"/>
      <c r="BX12" s="461"/>
      <c r="BY12" s="461"/>
      <c r="BZ12" s="461"/>
      <c r="CA12" s="461"/>
      <c r="CB12" s="461"/>
      <c r="CC12" s="461"/>
      <c r="CD12" s="461"/>
      <c r="CE12" s="461"/>
      <c r="CF12" s="461"/>
      <c r="CG12" s="461"/>
      <c r="CH12" s="461"/>
      <c r="CI12" s="461"/>
      <c r="CJ12" s="461"/>
      <c r="CK12" s="461"/>
      <c r="CL12" s="461"/>
      <c r="CM12" s="461"/>
      <c r="CN12" s="461"/>
      <c r="CO12" s="461"/>
      <c r="CP12" s="461"/>
      <c r="CQ12" s="461"/>
      <c r="CR12" s="461"/>
      <c r="CS12" s="463"/>
      <c r="CT12" s="463"/>
      <c r="CU12" s="162"/>
      <c r="CV12" s="463"/>
      <c r="CW12" s="461"/>
      <c r="CX12" s="483"/>
      <c r="CY12" s="478"/>
      <c r="CZ12" s="461"/>
      <c r="DA12" s="461"/>
      <c r="DB12" s="461"/>
      <c r="DC12" s="159"/>
      <c r="DD12" s="172"/>
      <c r="DE12" s="173"/>
      <c r="DF12" s="461"/>
      <c r="DH12" s="477"/>
      <c r="DI12" s="477"/>
    </row>
    <row r="13" spans="1:116" s="165" customFormat="1" ht="14.45" customHeight="1" x14ac:dyDescent="0.25">
      <c r="A13" s="461"/>
      <c r="B13" s="461"/>
      <c r="C13" s="464"/>
      <c r="D13" s="461"/>
      <c r="E13" s="461"/>
      <c r="F13" s="461"/>
      <c r="G13" s="461"/>
      <c r="H13" s="461"/>
      <c r="I13" s="461"/>
      <c r="J13" s="168"/>
      <c r="K13" s="461"/>
      <c r="L13" s="461"/>
      <c r="M13" s="464"/>
      <c r="N13" s="464"/>
      <c r="O13" s="464"/>
      <c r="P13" s="467"/>
      <c r="Q13" s="470"/>
      <c r="R13" s="472"/>
      <c r="S13" s="473"/>
      <c r="T13" s="473"/>
      <c r="U13" s="472"/>
      <c r="V13" s="473"/>
      <c r="W13" s="473"/>
      <c r="X13" s="472"/>
      <c r="Y13" s="473"/>
      <c r="Z13" s="473"/>
      <c r="AA13" s="472"/>
      <c r="AB13" s="473"/>
      <c r="AC13" s="473"/>
      <c r="AD13" s="472"/>
      <c r="AE13" s="473"/>
      <c r="AF13" s="473"/>
      <c r="AG13" s="493"/>
      <c r="AH13" s="473"/>
      <c r="AI13" s="473"/>
      <c r="AJ13" s="493"/>
      <c r="AK13" s="473"/>
      <c r="AL13" s="473"/>
      <c r="AM13" s="493"/>
      <c r="AN13" s="473"/>
      <c r="AO13" s="473"/>
      <c r="AP13" s="169"/>
      <c r="AQ13" s="472"/>
      <c r="AR13" s="473"/>
      <c r="AS13" s="473"/>
      <c r="AT13" s="472"/>
      <c r="AU13" s="473"/>
      <c r="AV13" s="473"/>
      <c r="AW13" s="472"/>
      <c r="AX13" s="473"/>
      <c r="AY13" s="473"/>
      <c r="AZ13" s="472"/>
      <c r="BA13" s="473"/>
      <c r="BB13" s="473"/>
      <c r="BC13" s="499"/>
      <c r="BD13" s="496"/>
      <c r="BE13" s="496"/>
      <c r="BF13" s="174"/>
      <c r="BG13" s="499"/>
      <c r="BH13" s="496"/>
      <c r="BI13" s="496"/>
      <c r="BJ13" s="464"/>
      <c r="BK13" s="499"/>
      <c r="BL13" s="496"/>
      <c r="BM13" s="496"/>
      <c r="BN13" s="499"/>
      <c r="BO13" s="496"/>
      <c r="BP13" s="496"/>
      <c r="BQ13" s="464"/>
      <c r="BR13" s="175"/>
      <c r="BS13" s="500"/>
      <c r="BT13" s="501"/>
      <c r="BU13" s="461"/>
      <c r="BV13" s="461"/>
      <c r="BW13" s="461"/>
      <c r="BX13" s="461"/>
      <c r="BY13" s="461"/>
      <c r="BZ13" s="461"/>
      <c r="CA13" s="461"/>
      <c r="CB13" s="461"/>
      <c r="CC13" s="461"/>
      <c r="CD13" s="461"/>
      <c r="CE13" s="461"/>
      <c r="CF13" s="461"/>
      <c r="CG13" s="461"/>
      <c r="CH13" s="461"/>
      <c r="CI13" s="461"/>
      <c r="CJ13" s="461"/>
      <c r="CK13" s="461"/>
      <c r="CL13" s="461"/>
      <c r="CM13" s="461"/>
      <c r="CN13" s="461"/>
      <c r="CO13" s="461"/>
      <c r="CP13" s="461"/>
      <c r="CQ13" s="461"/>
      <c r="CR13" s="461"/>
      <c r="CS13" s="464"/>
      <c r="CT13" s="464"/>
      <c r="CU13" s="175"/>
      <c r="CV13" s="464"/>
      <c r="CW13" s="461"/>
      <c r="CX13" s="483"/>
      <c r="CY13" s="478"/>
      <c r="CZ13" s="461"/>
      <c r="DA13" s="461"/>
      <c r="DB13" s="461"/>
      <c r="DC13" s="159"/>
      <c r="DD13" s="176" t="s">
        <v>146</v>
      </c>
      <c r="DE13" s="176" t="s">
        <v>147</v>
      </c>
      <c r="DF13" s="461"/>
      <c r="DH13" s="477"/>
      <c r="DI13" s="477"/>
    </row>
    <row r="14" spans="1:116" s="184" customFormat="1" ht="21.75" customHeight="1" x14ac:dyDescent="0.25">
      <c r="A14" s="177">
        <v>1</v>
      </c>
      <c r="B14" s="177">
        <v>2</v>
      </c>
      <c r="C14" s="178"/>
      <c r="D14" s="177" t="s">
        <v>148</v>
      </c>
      <c r="E14" s="177">
        <v>4</v>
      </c>
      <c r="F14" s="177" t="s">
        <v>149</v>
      </c>
      <c r="G14" s="177">
        <v>6</v>
      </c>
      <c r="H14" s="177">
        <v>7</v>
      </c>
      <c r="I14" s="177"/>
      <c r="J14" s="177"/>
      <c r="K14" s="177">
        <f>MAX(A14:I14)+1</f>
        <v>8</v>
      </c>
      <c r="L14" s="177"/>
      <c r="M14" s="177"/>
      <c r="N14" s="177"/>
      <c r="O14" s="177"/>
      <c r="P14" s="177">
        <v>9</v>
      </c>
      <c r="Q14" s="177">
        <v>10</v>
      </c>
      <c r="R14" s="177"/>
      <c r="S14" s="177"/>
      <c r="T14" s="177"/>
      <c r="U14" s="177">
        <v>11</v>
      </c>
      <c r="V14" s="177" t="s">
        <v>150</v>
      </c>
      <c r="W14" s="177">
        <v>13</v>
      </c>
      <c r="X14" s="177">
        <v>11</v>
      </c>
      <c r="Y14" s="177" t="s">
        <v>150</v>
      </c>
      <c r="Z14" s="177">
        <v>13</v>
      </c>
      <c r="AA14" s="177">
        <v>11</v>
      </c>
      <c r="AB14" s="177" t="s">
        <v>150</v>
      </c>
      <c r="AC14" s="177">
        <v>13</v>
      </c>
      <c r="AD14" s="177">
        <v>11</v>
      </c>
      <c r="AE14" s="177" t="s">
        <v>150</v>
      </c>
      <c r="AF14" s="177">
        <v>13</v>
      </c>
      <c r="AG14" s="177">
        <v>11</v>
      </c>
      <c r="AH14" s="177" t="s">
        <v>150</v>
      </c>
      <c r="AI14" s="177">
        <v>13</v>
      </c>
      <c r="AJ14" s="179">
        <v>11</v>
      </c>
      <c r="AK14" s="177" t="s">
        <v>150</v>
      </c>
      <c r="AL14" s="177">
        <v>13</v>
      </c>
      <c r="AM14" s="177">
        <v>11</v>
      </c>
      <c r="AN14" s="177" t="s">
        <v>150</v>
      </c>
      <c r="AO14" s="177">
        <v>13</v>
      </c>
      <c r="AP14" s="177"/>
      <c r="AQ14" s="177">
        <v>11</v>
      </c>
      <c r="AR14" s="177" t="s">
        <v>150</v>
      </c>
      <c r="AS14" s="177">
        <v>13</v>
      </c>
      <c r="AT14" s="177"/>
      <c r="AU14" s="177"/>
      <c r="AV14" s="177"/>
      <c r="AW14" s="177"/>
      <c r="AX14" s="177"/>
      <c r="AY14" s="177"/>
      <c r="AZ14" s="177"/>
      <c r="BA14" s="177"/>
      <c r="BB14" s="177"/>
      <c r="BC14" s="177"/>
      <c r="BD14" s="177"/>
      <c r="BE14" s="177"/>
      <c r="BF14" s="177"/>
      <c r="BG14" s="177"/>
      <c r="BH14" s="177"/>
      <c r="BI14" s="177"/>
      <c r="BJ14" s="177"/>
      <c r="BK14" s="177"/>
      <c r="BL14" s="177"/>
      <c r="BM14" s="177"/>
      <c r="BN14" s="177">
        <v>11</v>
      </c>
      <c r="BO14" s="177" t="s">
        <v>150</v>
      </c>
      <c r="BP14" s="177">
        <v>13</v>
      </c>
      <c r="BQ14" s="177">
        <v>14</v>
      </c>
      <c r="BR14" s="177"/>
      <c r="BS14" s="177">
        <f>MAX(G14:O14)+1</f>
        <v>9</v>
      </c>
      <c r="BT14" s="177">
        <f>MAX(H14:BS14)+1</f>
        <v>15</v>
      </c>
      <c r="BU14" s="177">
        <f>MAX(I14:BT14)+1</f>
        <v>16</v>
      </c>
      <c r="BV14" s="177">
        <f>MAX(K14:BU14)+1</f>
        <v>17</v>
      </c>
      <c r="BW14" s="177">
        <v>15</v>
      </c>
      <c r="BX14" s="177">
        <v>16</v>
      </c>
      <c r="BY14" s="177">
        <f>MAX(N14:BX14)+1</f>
        <v>18</v>
      </c>
      <c r="BZ14" s="177">
        <f>MAX(O14:BY14)+1</f>
        <v>19</v>
      </c>
      <c r="CA14" s="177">
        <f t="shared" ref="CA14:CR14" si="0">MAX(BS14:BZ14)+1</f>
        <v>20</v>
      </c>
      <c r="CB14" s="177">
        <f t="shared" si="0"/>
        <v>21</v>
      </c>
      <c r="CC14" s="177">
        <f t="shared" si="0"/>
        <v>22</v>
      </c>
      <c r="CD14" s="177">
        <f t="shared" si="0"/>
        <v>23</v>
      </c>
      <c r="CE14" s="177">
        <f t="shared" si="0"/>
        <v>24</v>
      </c>
      <c r="CF14" s="177">
        <f t="shared" si="0"/>
        <v>25</v>
      </c>
      <c r="CG14" s="177">
        <f t="shared" si="0"/>
        <v>26</v>
      </c>
      <c r="CH14" s="177">
        <f t="shared" si="0"/>
        <v>27</v>
      </c>
      <c r="CI14" s="177">
        <f t="shared" si="0"/>
        <v>28</v>
      </c>
      <c r="CJ14" s="177">
        <f t="shared" si="0"/>
        <v>29</v>
      </c>
      <c r="CK14" s="177">
        <f t="shared" si="0"/>
        <v>30</v>
      </c>
      <c r="CL14" s="177">
        <f t="shared" si="0"/>
        <v>31</v>
      </c>
      <c r="CM14" s="177">
        <f t="shared" si="0"/>
        <v>32</v>
      </c>
      <c r="CN14" s="177">
        <f t="shared" si="0"/>
        <v>33</v>
      </c>
      <c r="CO14" s="177">
        <f t="shared" si="0"/>
        <v>34</v>
      </c>
      <c r="CP14" s="177">
        <f t="shared" si="0"/>
        <v>35</v>
      </c>
      <c r="CQ14" s="177">
        <f t="shared" si="0"/>
        <v>36</v>
      </c>
      <c r="CR14" s="177">
        <f t="shared" si="0"/>
        <v>37</v>
      </c>
      <c r="CS14" s="177">
        <v>17</v>
      </c>
      <c r="CT14" s="177"/>
      <c r="CU14" s="177"/>
      <c r="CV14" s="177"/>
      <c r="CW14" s="180"/>
      <c r="CX14" s="181"/>
      <c r="CY14" s="182"/>
      <c r="CZ14" s="183"/>
      <c r="DA14" s="183"/>
      <c r="DB14" s="183"/>
      <c r="DD14" s="183"/>
      <c r="DE14" s="183"/>
      <c r="DF14" s="183"/>
    </row>
    <row r="15" spans="1:116" s="198" customFormat="1" ht="26.45" customHeight="1" x14ac:dyDescent="0.25">
      <c r="A15" s="191"/>
      <c r="B15" s="191" t="s">
        <v>151</v>
      </c>
      <c r="C15" s="191"/>
      <c r="D15" s="190">
        <v>7052807.874241</v>
      </c>
      <c r="E15" s="190">
        <v>1411910.9842410001</v>
      </c>
      <c r="F15" s="190">
        <v>5640896.8899999997</v>
      </c>
      <c r="G15" s="190">
        <v>2676536.89</v>
      </c>
      <c r="H15" s="190">
        <v>2687360</v>
      </c>
      <c r="I15" s="190">
        <v>210548</v>
      </c>
      <c r="J15" s="190"/>
      <c r="K15" s="190">
        <v>277000</v>
      </c>
      <c r="L15" s="190" t="e">
        <v>#REF!</v>
      </c>
      <c r="M15" s="192"/>
      <c r="N15" s="192"/>
      <c r="O15" s="190" t="e">
        <v>#REF!</v>
      </c>
      <c r="P15" s="190" t="e">
        <v>#REF!</v>
      </c>
      <c r="Q15" s="186" t="e">
        <v>#REF!</v>
      </c>
      <c r="R15" s="190">
        <v>523210.318417</v>
      </c>
      <c r="S15" s="185">
        <v>7.7119217684644595E-2</v>
      </c>
      <c r="T15" s="185">
        <v>8.044833867959332E-2</v>
      </c>
      <c r="U15" s="190">
        <v>578778.154935</v>
      </c>
      <c r="V15" s="185">
        <v>8.5309706155250312E-2</v>
      </c>
      <c r="W15" s="185">
        <v>8.8992398256662789E-2</v>
      </c>
      <c r="X15" s="190">
        <v>583775.60473499994</v>
      </c>
      <c r="Y15" s="185">
        <v>8.6046311312733298E-2</v>
      </c>
      <c r="Z15" s="185">
        <v>8.9760801554329098E-2</v>
      </c>
      <c r="AA15" s="190">
        <v>586432.63640399987</v>
      </c>
      <c r="AB15" s="185">
        <v>8.6437947709157137E-2</v>
      </c>
      <c r="AC15" s="185">
        <v>9.0169344306767235E-2</v>
      </c>
      <c r="AD15" s="190">
        <v>817182.39626099996</v>
      </c>
      <c r="AE15" s="185">
        <v>0.12044958764571626</v>
      </c>
      <c r="AF15" s="185">
        <v>0.1256492157423601</v>
      </c>
      <c r="AG15" s="190">
        <v>846414.40347799996</v>
      </c>
      <c r="AH15" s="185">
        <v>0.12475827470438815</v>
      </c>
      <c r="AI15" s="185">
        <v>0.13014390236091269</v>
      </c>
      <c r="AJ15" s="193">
        <v>846414.40347799996</v>
      </c>
      <c r="AK15" s="185">
        <v>0.12475827470438815</v>
      </c>
      <c r="AL15" s="185">
        <v>0.13014390236091269</v>
      </c>
      <c r="AM15" s="190">
        <v>892909.93214199995</v>
      </c>
      <c r="AN15" s="185">
        <v>0.13161153938626668</v>
      </c>
      <c r="AO15" s="185">
        <v>0.13729301220332799</v>
      </c>
      <c r="AP15" s="185"/>
      <c r="AQ15" s="190">
        <v>1244237</v>
      </c>
      <c r="AR15" s="185">
        <v>0.18339581746897635</v>
      </c>
      <c r="AS15" s="185">
        <v>0.19131273992556039</v>
      </c>
      <c r="AT15" s="190">
        <v>1255786.022505</v>
      </c>
      <c r="AU15" s="185">
        <v>0.18509809960917317</v>
      </c>
      <c r="AV15" s="185">
        <v>0.19308850703334893</v>
      </c>
      <c r="AW15" s="185"/>
      <c r="AX15" s="185"/>
      <c r="AY15" s="185"/>
      <c r="AZ15" s="185"/>
      <c r="BA15" s="185"/>
      <c r="BB15" s="185"/>
      <c r="BC15" s="190">
        <v>1355040.3940760002</v>
      </c>
      <c r="BD15" s="185">
        <v>0.19972781775100076</v>
      </c>
      <c r="BE15" s="185">
        <v>0.20834976817157075</v>
      </c>
      <c r="BF15" s="190"/>
      <c r="BG15" s="190">
        <v>1913454.6009099998</v>
      </c>
      <c r="BH15" s="185">
        <v>0.28205130026454478</v>
      </c>
      <c r="BI15" s="185">
        <v>0.2942268880750884</v>
      </c>
      <c r="BJ15" s="190">
        <v>6770763.0297409995</v>
      </c>
      <c r="BK15" s="190">
        <v>2111805.6743639996</v>
      </c>
      <c r="BL15" s="185">
        <v>0.29942764811118083</v>
      </c>
      <c r="BM15" s="185">
        <v>0.3119006920029192</v>
      </c>
      <c r="BN15" s="190">
        <v>2111805.6743639996</v>
      </c>
      <c r="BO15" s="185">
        <f>BN15/$D15</f>
        <v>0.29942764811118083</v>
      </c>
      <c r="BP15" s="185">
        <f t="shared" ref="BP15:BP16" si="1">BN15/(E15+0.95*F15)</f>
        <v>0.3119006920029192</v>
      </c>
      <c r="BQ15" s="190">
        <f t="shared" ref="BQ15:BQ27" si="2">BN15-AD15</f>
        <v>1294623.2781029996</v>
      </c>
      <c r="BR15" s="190"/>
      <c r="BS15" s="189" t="e">
        <f>BS16+BS30</f>
        <v>#REF!</v>
      </c>
      <c r="BT15" s="186" t="e">
        <f>BS15/$D15</f>
        <v>#REF!</v>
      </c>
      <c r="BU15" s="189" t="e">
        <f>BU16+BU30</f>
        <v>#REF!</v>
      </c>
      <c r="BV15" s="186" t="e">
        <f>BU15/$D15</f>
        <v>#REF!</v>
      </c>
      <c r="BW15" s="189" t="e">
        <f>BW16+BW30</f>
        <v>#REF!</v>
      </c>
      <c r="BX15" s="186" t="e">
        <f>BW15/$D15</f>
        <v>#REF!</v>
      </c>
      <c r="BY15" s="189" t="e">
        <f>BY16+BY30</f>
        <v>#REF!</v>
      </c>
      <c r="BZ15" s="186" t="e">
        <f>BY15/$D15</f>
        <v>#REF!</v>
      </c>
      <c r="CA15" s="189" t="e">
        <f>CA16+CA30</f>
        <v>#REF!</v>
      </c>
      <c r="CB15" s="186" t="e">
        <f>CA15/$D15</f>
        <v>#REF!</v>
      </c>
      <c r="CC15" s="189" t="e">
        <f>CC16+CC30</f>
        <v>#REF!</v>
      </c>
      <c r="CD15" s="186" t="e">
        <f>CC15/$D15</f>
        <v>#REF!</v>
      </c>
      <c r="CE15" s="189" t="e">
        <f>CE16+CE30</f>
        <v>#REF!</v>
      </c>
      <c r="CF15" s="186" t="e">
        <f>CE15/$D15</f>
        <v>#REF!</v>
      </c>
      <c r="CG15" s="189" t="e">
        <f>CG16+CG30</f>
        <v>#REF!</v>
      </c>
      <c r="CH15" s="186" t="e">
        <f>CG15/$D15</f>
        <v>#REF!</v>
      </c>
      <c r="CI15" s="189" t="e">
        <f>CI16+CI30</f>
        <v>#REF!</v>
      </c>
      <c r="CJ15" s="186" t="e">
        <f>CI15/$D15</f>
        <v>#REF!</v>
      </c>
      <c r="CK15" s="189" t="e">
        <f>CK16+CK30</f>
        <v>#REF!</v>
      </c>
      <c r="CL15" s="186" t="e">
        <f>CK15/$D15</f>
        <v>#REF!</v>
      </c>
      <c r="CM15" s="189" t="e">
        <f>CM16+CM30</f>
        <v>#REF!</v>
      </c>
      <c r="CN15" s="186" t="e">
        <f>CM15/$D15</f>
        <v>#REF!</v>
      </c>
      <c r="CO15" s="189" t="e">
        <f>CO16+CO30</f>
        <v>#REF!</v>
      </c>
      <c r="CP15" s="186" t="e">
        <f>CO15/$D15</f>
        <v>#REF!</v>
      </c>
      <c r="CQ15" s="189" t="e">
        <f>CQ16+CQ30</f>
        <v>#REF!</v>
      </c>
      <c r="CR15" s="186" t="e">
        <f>CQ15/$D15</f>
        <v>#REF!</v>
      </c>
      <c r="CS15" s="194"/>
      <c r="CT15" s="194"/>
      <c r="CU15" s="194"/>
      <c r="CV15" s="194"/>
      <c r="CW15" s="194"/>
      <c r="CX15" s="181"/>
      <c r="CY15" s="159"/>
      <c r="CZ15" s="195"/>
      <c r="DA15" s="196"/>
      <c r="DB15" s="196"/>
      <c r="DC15" s="197"/>
      <c r="DD15" s="196"/>
      <c r="DE15" s="196"/>
      <c r="DF15" s="196"/>
      <c r="DH15" s="199"/>
      <c r="DI15" s="200"/>
      <c r="DJ15" s="200"/>
      <c r="DK15" s="200"/>
    </row>
    <row r="16" spans="1:116" s="165" customFormat="1" ht="23.25" customHeight="1" x14ac:dyDescent="0.25">
      <c r="A16" s="201" t="s">
        <v>25</v>
      </c>
      <c r="B16" s="202" t="s">
        <v>152</v>
      </c>
      <c r="C16" s="202"/>
      <c r="D16" s="193">
        <v>5325010.2647350002</v>
      </c>
      <c r="E16" s="193">
        <v>1033710.8737350001</v>
      </c>
      <c r="F16" s="193">
        <v>4291299.3909999998</v>
      </c>
      <c r="G16" s="193">
        <v>2274806</v>
      </c>
      <c r="H16" s="193">
        <v>1739493.3910000001</v>
      </c>
      <c r="I16" s="193">
        <v>129544</v>
      </c>
      <c r="J16" s="193">
        <v>0</v>
      </c>
      <c r="K16" s="193">
        <v>277000</v>
      </c>
      <c r="L16" s="193" t="e">
        <v>#REF!</v>
      </c>
      <c r="M16" s="193" t="e">
        <v>#REF!</v>
      </c>
      <c r="N16" s="193" t="e">
        <v>#REF!</v>
      </c>
      <c r="O16" s="193" t="e">
        <v>#REF!</v>
      </c>
      <c r="P16" s="193" t="e">
        <v>#REF!</v>
      </c>
      <c r="Q16" s="203" t="e">
        <v>#REF!</v>
      </c>
      <c r="R16" s="193">
        <v>482491.04799699999</v>
      </c>
      <c r="S16" s="204">
        <v>9.5424337225565981E-2</v>
      </c>
      <c r="T16" s="204">
        <v>9.9626225093990897E-2</v>
      </c>
      <c r="U16" s="193" t="e">
        <v>#REF!</v>
      </c>
      <c r="V16" s="204">
        <v>9.8780731100148012E-2</v>
      </c>
      <c r="W16" s="204">
        <v>0.10313041345280312</v>
      </c>
      <c r="X16" s="193" t="e">
        <v>#REF!</v>
      </c>
      <c r="Y16" s="204">
        <v>9.9167725796146897E-2</v>
      </c>
      <c r="Z16" s="204">
        <v>0.10353444896213684</v>
      </c>
      <c r="AA16" s="193" t="e">
        <v>#REF!</v>
      </c>
      <c r="AB16" s="204">
        <v>9.9618549516260452E-2</v>
      </c>
      <c r="AC16" s="204">
        <v>0.10400512412450738</v>
      </c>
      <c r="AD16" s="193">
        <v>675215.01730099996</v>
      </c>
      <c r="AE16" s="204">
        <v>0.13354018852407312</v>
      </c>
      <c r="AF16" s="204">
        <v>0.13942045884526055</v>
      </c>
      <c r="AG16" s="193">
        <v>704262.02451799996</v>
      </c>
      <c r="AH16" s="204">
        <v>0.1392849405222194</v>
      </c>
      <c r="AI16" s="204">
        <v>0.14541817360353645</v>
      </c>
      <c r="AJ16" s="205">
        <v>704262.02451799996</v>
      </c>
      <c r="AK16" s="204">
        <v>0.1392849405222194</v>
      </c>
      <c r="AL16" s="204">
        <v>0.14541817360353645</v>
      </c>
      <c r="AM16" s="193">
        <v>725942.15588199999</v>
      </c>
      <c r="AN16" s="204">
        <v>0.14357271368394192</v>
      </c>
      <c r="AO16" s="204">
        <v>0.1498947533376139</v>
      </c>
      <c r="AP16" s="204"/>
      <c r="AQ16" s="193">
        <v>957718.46047799988</v>
      </c>
      <c r="AR16" s="204">
        <v>0.18941211390179158</v>
      </c>
      <c r="AS16" s="204">
        <v>0.19775263254385786</v>
      </c>
      <c r="AT16" s="193">
        <v>961943.05728299986</v>
      </c>
      <c r="AU16" s="204">
        <v>0.19024763064730613</v>
      </c>
      <c r="AV16" s="204">
        <v>0.19862494019386198</v>
      </c>
      <c r="AW16" s="204"/>
      <c r="AX16" s="204"/>
      <c r="AY16" s="204"/>
      <c r="AZ16" s="204"/>
      <c r="BA16" s="204"/>
      <c r="BB16" s="204"/>
      <c r="BC16" s="193">
        <v>1061197.4288540001</v>
      </c>
      <c r="BD16" s="204">
        <v>0.2098775961424621</v>
      </c>
      <c r="BE16" s="204">
        <v>0.2191192859537372</v>
      </c>
      <c r="BF16" s="193"/>
      <c r="BG16" s="193">
        <v>1458361.8485909998</v>
      </c>
      <c r="BH16" s="204">
        <v>0.288426517786321</v>
      </c>
      <c r="BI16" s="204">
        <v>0.30112700826134081</v>
      </c>
      <c r="BJ16" s="193">
        <v>5110445.2951849997</v>
      </c>
      <c r="BK16" s="193">
        <v>1605791.5135619997</v>
      </c>
      <c r="BL16" s="204">
        <v>0.30155651045339571</v>
      </c>
      <c r="BM16" s="204">
        <v>0.31421753307387074</v>
      </c>
      <c r="BN16" s="193">
        <v>1605791.5135619997</v>
      </c>
      <c r="BO16" s="204">
        <f t="shared" ref="BO16" si="3">BN16/$D16</f>
        <v>0.30155651045339571</v>
      </c>
      <c r="BP16" s="204">
        <f t="shared" si="1"/>
        <v>0.31421753307387074</v>
      </c>
      <c r="BQ16" s="193">
        <f t="shared" si="2"/>
        <v>930576.4962609997</v>
      </c>
      <c r="BR16" s="193"/>
      <c r="BS16" s="206" t="e">
        <f>SUM(#REF!,#REF!,#REF!,#REF!,#REF!,#REF!,#REF!,#REF!,#REF!,#REF!,#REF!,#REF!,#REF!,#REF!)</f>
        <v>#REF!</v>
      </c>
      <c r="BT16" s="203" t="e">
        <f t="shared" ref="BT16" si="4">BS16/$D16</f>
        <v>#REF!</v>
      </c>
      <c r="BU16" s="206" t="e">
        <f>SUM(#REF!,#REF!,#REF!,#REF!,#REF!,#REF!,#REF!,#REF!,#REF!,#REF!,#REF!,#REF!,#REF!,#REF!)</f>
        <v>#REF!</v>
      </c>
      <c r="BV16" s="203" t="e">
        <f t="shared" ref="BV16" si="5">BU16/$D16</f>
        <v>#REF!</v>
      </c>
      <c r="BW16" s="206" t="e">
        <f>SUM(#REF!,#REF!,#REF!,#REF!,#REF!,#REF!,#REF!,#REF!,#REF!,#REF!,#REF!,#REF!,#REF!,#REF!)</f>
        <v>#REF!</v>
      </c>
      <c r="BX16" s="203" t="e">
        <f t="shared" ref="BX16" si="6">BW16/$D16</f>
        <v>#REF!</v>
      </c>
      <c r="BY16" s="206" t="e">
        <f>SUM(#REF!,#REF!,#REF!,#REF!,#REF!,#REF!,#REF!,#REF!,#REF!,#REF!,#REF!,#REF!,#REF!,#REF!)</f>
        <v>#REF!</v>
      </c>
      <c r="BZ16" s="203" t="e">
        <f t="shared" ref="BZ16" si="7">BY16/$D16</f>
        <v>#REF!</v>
      </c>
      <c r="CA16" s="206" t="e">
        <f>SUM(#REF!,#REF!,#REF!,#REF!,#REF!,#REF!,#REF!,#REF!,#REF!,#REF!,#REF!,#REF!,#REF!,#REF!)</f>
        <v>#REF!</v>
      </c>
      <c r="CB16" s="203" t="e">
        <f t="shared" ref="CB16" si="8">CA16/$D16</f>
        <v>#REF!</v>
      </c>
      <c r="CC16" s="206" t="e">
        <f>SUM(#REF!,#REF!,#REF!,#REF!,#REF!,#REF!,#REF!,#REF!,#REF!,#REF!,#REF!,#REF!,#REF!,#REF!)</f>
        <v>#REF!</v>
      </c>
      <c r="CD16" s="203" t="e">
        <f t="shared" ref="CD16" si="9">CC16/$D16</f>
        <v>#REF!</v>
      </c>
      <c r="CE16" s="206" t="e">
        <f>SUM(#REF!,#REF!,#REF!,#REF!,#REF!,#REF!,#REF!,#REF!,#REF!,#REF!,#REF!,#REF!,#REF!,#REF!)</f>
        <v>#REF!</v>
      </c>
      <c r="CF16" s="203" t="e">
        <f t="shared" ref="CF16" si="10">CE16/$D16</f>
        <v>#REF!</v>
      </c>
      <c r="CG16" s="206" t="e">
        <f>SUM(#REF!,#REF!,#REF!,#REF!,#REF!,#REF!,#REF!,#REF!,#REF!,#REF!,#REF!,#REF!,#REF!,#REF!)</f>
        <v>#REF!</v>
      </c>
      <c r="CH16" s="203" t="e">
        <f t="shared" ref="CH16" si="11">CG16/$D16</f>
        <v>#REF!</v>
      </c>
      <c r="CI16" s="206" t="e">
        <f>SUM(#REF!,#REF!,#REF!,#REF!,#REF!,#REF!,#REF!,#REF!,#REF!,#REF!,#REF!,#REF!,#REF!,#REF!)</f>
        <v>#REF!</v>
      </c>
      <c r="CJ16" s="203" t="e">
        <f t="shared" ref="CJ16" si="12">CI16/$D16</f>
        <v>#REF!</v>
      </c>
      <c r="CK16" s="206" t="e">
        <f>SUM(#REF!,#REF!,#REF!,#REF!,#REF!,#REF!,#REF!,#REF!,#REF!,#REF!,#REF!,#REF!,#REF!,#REF!)</f>
        <v>#REF!</v>
      </c>
      <c r="CL16" s="203" t="e">
        <f t="shared" ref="CL16" si="13">CK16/$D16</f>
        <v>#REF!</v>
      </c>
      <c r="CM16" s="206" t="e">
        <f>SUM(#REF!,#REF!,#REF!,#REF!,#REF!,#REF!,#REF!,#REF!,#REF!,#REF!,#REF!,#REF!,#REF!,#REF!)</f>
        <v>#REF!</v>
      </c>
      <c r="CN16" s="203" t="e">
        <f t="shared" ref="CN16" si="14">CM16/$D16</f>
        <v>#REF!</v>
      </c>
      <c r="CO16" s="206" t="e">
        <f>SUM(#REF!,#REF!,#REF!,#REF!,#REF!,#REF!,#REF!,#REF!,#REF!,#REF!,#REF!,#REF!,#REF!,#REF!)</f>
        <v>#REF!</v>
      </c>
      <c r="CP16" s="203" t="e">
        <f t="shared" ref="CP16" si="15">CO16/$D16</f>
        <v>#REF!</v>
      </c>
      <c r="CQ16" s="206" t="e">
        <f>SUM(#REF!,#REF!,#REF!,#REF!,#REF!,#REF!,#REF!,#REF!,#REF!,#REF!,#REF!,#REF!,#REF!,#REF!)</f>
        <v>#REF!</v>
      </c>
      <c r="CR16" s="203" t="e">
        <f t="shared" ref="CR16" si="16">CQ16/$D16</f>
        <v>#REF!</v>
      </c>
      <c r="CS16" s="207"/>
      <c r="CT16" s="207"/>
      <c r="CU16" s="207"/>
      <c r="CV16" s="207"/>
      <c r="CW16" s="207"/>
      <c r="CX16" s="163"/>
      <c r="CY16" s="208"/>
      <c r="CZ16" s="195"/>
      <c r="DA16" s="196"/>
      <c r="DB16" s="196"/>
      <c r="DC16" s="197"/>
      <c r="DD16" s="196"/>
      <c r="DE16" s="196"/>
      <c r="DF16" s="196"/>
      <c r="DH16" s="199"/>
      <c r="DI16" s="200"/>
      <c r="DJ16" s="200"/>
      <c r="DL16" s="209"/>
    </row>
    <row r="17" spans="1:116" s="165" customFormat="1" ht="30" customHeight="1" x14ac:dyDescent="0.25">
      <c r="A17" s="191">
        <v>1</v>
      </c>
      <c r="B17" s="210" t="s">
        <v>153</v>
      </c>
      <c r="C17" s="210"/>
      <c r="D17" s="406">
        <v>1781215</v>
      </c>
      <c r="E17" s="407">
        <v>50000</v>
      </c>
      <c r="F17" s="407">
        <v>1731215</v>
      </c>
      <c r="G17" s="407">
        <v>1016382</v>
      </c>
      <c r="H17" s="407">
        <v>714833</v>
      </c>
      <c r="I17" s="408" t="s">
        <v>34</v>
      </c>
      <c r="J17" s="205">
        <f t="shared" ref="J17:M17" si="17">J21+J41+J19+J18</f>
        <v>0</v>
      </c>
      <c r="K17" s="205">
        <f t="shared" si="17"/>
        <v>0</v>
      </c>
      <c r="L17" s="205">
        <f t="shared" si="17"/>
        <v>30000</v>
      </c>
      <c r="M17" s="205">
        <f t="shared" si="17"/>
        <v>0</v>
      </c>
      <c r="N17" s="205">
        <f>N21+N41+N19</f>
        <v>0</v>
      </c>
      <c r="O17" s="205">
        <f>O21+O41+O19</f>
        <v>425000</v>
      </c>
      <c r="P17" s="205">
        <v>28382.410251999998</v>
      </c>
      <c r="Q17" s="186">
        <f t="shared" ref="Q17" si="18">P17/$D17</f>
        <v>1.5934297797851465E-2</v>
      </c>
      <c r="R17" s="205">
        <v>109697.32821199998</v>
      </c>
      <c r="S17" s="211">
        <v>6.1704829961840763E-2</v>
      </c>
      <c r="T17" s="211">
        <v>6.4856447852211424E-2</v>
      </c>
      <c r="U17" s="205">
        <v>112854.77096000001</v>
      </c>
      <c r="V17" s="211">
        <v>6.3480893892067611E-2</v>
      </c>
      <c r="W17" s="211">
        <v>6.6723225505503483E-2</v>
      </c>
      <c r="X17" s="205">
        <v>114811.51996000002</v>
      </c>
      <c r="Y17" s="211">
        <v>6.4581566682289634E-2</v>
      </c>
      <c r="Z17" s="211">
        <v>6.7880115937995214E-2</v>
      </c>
      <c r="AA17" s="205">
        <v>115425.985629</v>
      </c>
      <c r="AB17" s="211">
        <v>6.4927204085141937E-2</v>
      </c>
      <c r="AC17" s="211">
        <v>6.8243407015982582E-2</v>
      </c>
      <c r="AD17" s="205">
        <v>189129.65762899999</v>
      </c>
      <c r="AE17" s="211">
        <v>0.10638557524559636</v>
      </c>
      <c r="AF17" s="211">
        <v>0.11181929384475207</v>
      </c>
      <c r="AG17" s="205">
        <v>200562.174271</v>
      </c>
      <c r="AH17" s="211">
        <v>0.11281637449047127</v>
      </c>
      <c r="AI17" s="211">
        <v>0.1185785507154249</v>
      </c>
      <c r="AJ17" s="205">
        <v>200562.174271</v>
      </c>
      <c r="AK17" s="211">
        <v>0.11281637449047127</v>
      </c>
      <c r="AL17" s="211">
        <v>0.1185785507154249</v>
      </c>
      <c r="AM17" s="205">
        <v>210179.65294599999</v>
      </c>
      <c r="AN17" s="211">
        <v>0.11822621350820577</v>
      </c>
      <c r="AO17" s="211">
        <v>0.12426470109230034</v>
      </c>
      <c r="AP17" s="211"/>
      <c r="AQ17" s="205">
        <v>328308.48786399991</v>
      </c>
      <c r="AR17" s="211">
        <v>0.18467377235958143</v>
      </c>
      <c r="AS17" s="211">
        <v>0.19410611607093478</v>
      </c>
      <c r="AT17" s="205">
        <v>328335.72886399995</v>
      </c>
      <c r="AU17" s="211">
        <v>0.18468909544265366</v>
      </c>
      <c r="AV17" s="211">
        <v>0.19412222179132688</v>
      </c>
      <c r="AW17" s="205">
        <v>335512.77871099999</v>
      </c>
      <c r="AX17" s="211">
        <v>0.18872619140164484</v>
      </c>
      <c r="AY17" s="211">
        <v>0.19836551528554128</v>
      </c>
      <c r="AZ17" s="205">
        <f>AZ21+AZ41+AZ19+AZ18</f>
        <v>0</v>
      </c>
      <c r="BA17" s="211">
        <v>0.19058840958453466</v>
      </c>
      <c r="BB17" s="211">
        <v>0.20032350643489402</v>
      </c>
      <c r="BC17" s="205">
        <v>383848.50755400001</v>
      </c>
      <c r="BD17" s="211">
        <v>0.21549808602232093</v>
      </c>
      <c r="BE17" s="211">
        <v>0.22650544995744745</v>
      </c>
      <c r="BF17" s="205"/>
      <c r="BG17" s="205">
        <v>524443.535776</v>
      </c>
      <c r="BH17" s="211">
        <v>0.29443016180180759</v>
      </c>
      <c r="BI17" s="211">
        <v>0.30946927423315884</v>
      </c>
      <c r="BJ17" s="205">
        <f t="shared" ref="BJ17" si="19">E17+(F17*0.95)</f>
        <v>1694654.25</v>
      </c>
      <c r="BK17" s="205">
        <v>558649.70224599994</v>
      </c>
      <c r="BL17" s="211">
        <f t="shared" ref="BL17" si="20">BK17/$D17</f>
        <v>0.31363406564957064</v>
      </c>
      <c r="BM17" s="211">
        <f t="shared" ref="BM17" si="21">BK17/(E17+0.95*F17)</f>
        <v>0.32965408858237599</v>
      </c>
      <c r="BN17" s="205">
        <f>BK17-AD17</f>
        <v>369520.04461699992</v>
      </c>
      <c r="BO17" s="205"/>
      <c r="BP17" s="189">
        <f>BP21+BP41+BP19</f>
        <v>2.0513187929927073</v>
      </c>
      <c r="BQ17" s="212">
        <f t="shared" ref="BQ17" si="22">BP17/$D17</f>
        <v>1.1516401967155605E-6</v>
      </c>
      <c r="BR17" s="189">
        <f>BR21+BR41+BR19</f>
        <v>0</v>
      </c>
      <c r="BS17" s="212">
        <f t="shared" ref="BS17" si="23">BR17/$D17</f>
        <v>0</v>
      </c>
      <c r="BT17" s="189" t="e">
        <f>BT21+BT41+BT19</f>
        <v>#REF!</v>
      </c>
      <c r="BU17" s="186" t="e">
        <f t="shared" ref="BU17" si="24">BT17/$D17</f>
        <v>#REF!</v>
      </c>
      <c r="BV17" s="189" t="e">
        <f>BV21+BV41+BV19</f>
        <v>#REF!</v>
      </c>
      <c r="BW17" s="212" t="e">
        <f t="shared" ref="BW17" si="25">BV17/$D17</f>
        <v>#REF!</v>
      </c>
      <c r="BX17" s="189" t="e">
        <f>BX21+BX41+BX19</f>
        <v>#REF!</v>
      </c>
      <c r="BY17" s="212" t="e">
        <f t="shared" ref="BY17" si="26">BX17/$D17</f>
        <v>#REF!</v>
      </c>
      <c r="BZ17" s="189" t="e">
        <f>BZ21+BZ41+BZ19</f>
        <v>#REF!</v>
      </c>
      <c r="CA17" s="212" t="e">
        <f t="shared" ref="CA17" si="27">BZ17/$D17</f>
        <v>#REF!</v>
      </c>
      <c r="CB17" s="189" t="e">
        <f>CB21+CB41+CB19</f>
        <v>#REF!</v>
      </c>
      <c r="CC17" s="212" t="e">
        <f t="shared" ref="CC17" si="28">CB17/$D17</f>
        <v>#REF!</v>
      </c>
      <c r="CD17" s="189" t="e">
        <f>CD21+CD41+CD19</f>
        <v>#REF!</v>
      </c>
      <c r="CE17" s="212" t="e">
        <f t="shared" ref="CE17" si="29">CD17/$D17</f>
        <v>#REF!</v>
      </c>
      <c r="CF17" s="189" t="e">
        <f>CF21+CF41+CF19</f>
        <v>#REF!</v>
      </c>
      <c r="CG17" s="212" t="e">
        <f t="shared" ref="CG17" si="30">CF17/$D17</f>
        <v>#REF!</v>
      </c>
      <c r="CH17" s="189" t="e">
        <f>CH21+CH41+CH19</f>
        <v>#REF!</v>
      </c>
      <c r="CI17" s="212" t="e">
        <f t="shared" ref="CI17" si="31">CH17/$D17</f>
        <v>#REF!</v>
      </c>
      <c r="CJ17" s="189" t="e">
        <f>CJ21+CJ41+CJ19</f>
        <v>#REF!</v>
      </c>
      <c r="CK17" s="212" t="e">
        <f t="shared" ref="CK17" si="32">CJ17/$D17</f>
        <v>#REF!</v>
      </c>
      <c r="CL17" s="189" t="e">
        <f>CL21+CL41+CL19</f>
        <v>#REF!</v>
      </c>
      <c r="CM17" s="212" t="e">
        <f t="shared" ref="CM17" si="33">CL17/$D17</f>
        <v>#REF!</v>
      </c>
      <c r="CN17" s="189" t="e">
        <f>CN21+CN41+CN19</f>
        <v>#REF!</v>
      </c>
      <c r="CO17" s="212" t="e">
        <f t="shared" ref="CO17" si="34">CN17/$D17</f>
        <v>#REF!</v>
      </c>
      <c r="CP17" s="213" t="str">
        <f>IF(BM17&gt;30.9%,"Đạt","Không đạt")</f>
        <v>Đạt</v>
      </c>
      <c r="CQ17" s="213" t="str">
        <f>IF(BM17&gt;38.5%,"Đạt","Không đạt")</f>
        <v>Không đạt</v>
      </c>
      <c r="CR17" s="213"/>
      <c r="CS17" s="205">
        <f t="shared" ref="CS17" si="35">BK17-AZ17</f>
        <v>558649.70224599994</v>
      </c>
      <c r="CT17" s="213"/>
      <c r="CU17" s="163"/>
      <c r="CV17" s="208"/>
      <c r="CW17" s="195"/>
      <c r="CX17" s="196"/>
      <c r="CY17" s="196"/>
      <c r="CZ17" s="197"/>
      <c r="DA17" s="196"/>
      <c r="DB17" s="196"/>
      <c r="DC17" s="196"/>
      <c r="DE17" s="199"/>
      <c r="DF17" s="200"/>
      <c r="DG17" s="200"/>
      <c r="DH17" s="209"/>
      <c r="DI17" s="209"/>
    </row>
    <row r="18" spans="1:116" s="165" customFormat="1" ht="30" customHeight="1" x14ac:dyDescent="0.25">
      <c r="A18" s="191">
        <v>1</v>
      </c>
      <c r="B18" s="210" t="s">
        <v>343</v>
      </c>
      <c r="C18" s="210"/>
      <c r="D18" s="205">
        <v>26500</v>
      </c>
      <c r="E18" s="205">
        <v>0</v>
      </c>
      <c r="F18" s="205">
        <v>26500</v>
      </c>
      <c r="G18" s="205">
        <v>21000</v>
      </c>
      <c r="H18" s="205">
        <v>5500</v>
      </c>
      <c r="I18" s="205">
        <v>0</v>
      </c>
      <c r="J18" s="205"/>
      <c r="K18" s="205">
        <v>0</v>
      </c>
      <c r="L18" s="205">
        <v>0</v>
      </c>
      <c r="M18" s="231"/>
      <c r="N18" s="231"/>
      <c r="O18" s="205">
        <v>21000</v>
      </c>
      <c r="P18" s="205">
        <v>18515</v>
      </c>
      <c r="Q18" s="186">
        <v>0.69867924528301883</v>
      </c>
      <c r="R18" s="205">
        <v>19950</v>
      </c>
      <c r="S18" s="185">
        <v>0.75283018867924534</v>
      </c>
      <c r="T18" s="185">
        <v>0.79245283018867929</v>
      </c>
      <c r="U18" s="205">
        <v>19950</v>
      </c>
      <c r="V18" s="185">
        <v>0.75283018867924534</v>
      </c>
      <c r="W18" s="185">
        <v>0.79245283018867929</v>
      </c>
      <c r="X18" s="205">
        <v>19950</v>
      </c>
      <c r="Y18" s="185">
        <v>0.75283018867924534</v>
      </c>
      <c r="Z18" s="185">
        <v>0.79245283018867929</v>
      </c>
      <c r="AA18" s="205">
        <v>19950</v>
      </c>
      <c r="AB18" s="185">
        <v>0.75283018867924534</v>
      </c>
      <c r="AC18" s="185">
        <v>0.79245283018867929</v>
      </c>
      <c r="AD18" s="205">
        <v>19950</v>
      </c>
      <c r="AE18" s="185">
        <v>0.75283018867924534</v>
      </c>
      <c r="AF18" s="185">
        <v>0.79245283018867929</v>
      </c>
      <c r="AG18" s="205">
        <v>19950</v>
      </c>
      <c r="AH18" s="185">
        <v>0.75283018867924534</v>
      </c>
      <c r="AI18" s="185">
        <v>0.79245283018867929</v>
      </c>
      <c r="AJ18" s="189">
        <v>19950</v>
      </c>
      <c r="AK18" s="185">
        <v>0.75283018867924534</v>
      </c>
      <c r="AL18" s="185">
        <v>0.79245283018867929</v>
      </c>
      <c r="AM18" s="205">
        <v>19950</v>
      </c>
      <c r="AN18" s="185">
        <v>0.75283018867924534</v>
      </c>
      <c r="AO18" s="185">
        <v>0.79245283018867929</v>
      </c>
      <c r="AP18" s="185"/>
      <c r="AQ18" s="205">
        <v>19950</v>
      </c>
      <c r="AR18" s="185">
        <v>0.75283018867924534</v>
      </c>
      <c r="AS18" s="185">
        <v>0.79245283018867929</v>
      </c>
      <c r="AT18" s="205">
        <v>19950</v>
      </c>
      <c r="AU18" s="185">
        <v>0.75283018867924534</v>
      </c>
      <c r="AV18" s="185">
        <v>0.79245283018867929</v>
      </c>
      <c r="AW18" s="185"/>
      <c r="AX18" s="185"/>
      <c r="AY18" s="185"/>
      <c r="AZ18" s="205"/>
      <c r="BA18" s="185"/>
      <c r="BB18" s="185"/>
      <c r="BC18" s="205">
        <v>19950</v>
      </c>
      <c r="BD18" s="185">
        <v>0.75283018867924534</v>
      </c>
      <c r="BE18" s="185">
        <v>0.79245283018867929</v>
      </c>
      <c r="BF18" s="205"/>
      <c r="BG18" s="205">
        <v>19950</v>
      </c>
      <c r="BH18" s="185">
        <v>0.75283018867924534</v>
      </c>
      <c r="BI18" s="185">
        <v>0.79245283018867929</v>
      </c>
      <c r="BJ18" s="205">
        <v>25175</v>
      </c>
      <c r="BK18" s="205">
        <v>19950</v>
      </c>
      <c r="BL18" s="185">
        <v>0.75283018867924534</v>
      </c>
      <c r="BM18" s="185">
        <v>0.79245283018867929</v>
      </c>
      <c r="BN18" s="205">
        <v>19950</v>
      </c>
      <c r="BO18" s="185">
        <v>0.75283018867924534</v>
      </c>
      <c r="BP18" s="185">
        <f t="shared" ref="BP18:BP29" si="36">BN18/(E18+0.95*F18)</f>
        <v>0.79245283018867929</v>
      </c>
      <c r="BQ18" s="205">
        <f t="shared" si="2"/>
        <v>0</v>
      </c>
      <c r="BR18" s="205"/>
      <c r="BS18" s="189" t="e">
        <f>BS19</f>
        <v>#REF!</v>
      </c>
      <c r="BT18" s="186" t="e">
        <f t="shared" ref="BT18:BT27" si="37">BS18/$D18</f>
        <v>#REF!</v>
      </c>
      <c r="BU18" s="189" t="e">
        <f>BU19</f>
        <v>#REF!</v>
      </c>
      <c r="BV18" s="186" t="e">
        <f t="shared" ref="BV18:BV27" si="38">BU18/$D18</f>
        <v>#REF!</v>
      </c>
      <c r="BW18" s="189" t="e">
        <f>BW19</f>
        <v>#REF!</v>
      </c>
      <c r="BX18" s="186" t="e">
        <f t="shared" ref="BX18:BX27" si="39">BW18/$D18</f>
        <v>#REF!</v>
      </c>
      <c r="BY18" s="189" t="e">
        <f>BY19</f>
        <v>#REF!</v>
      </c>
      <c r="BZ18" s="186" t="e">
        <f t="shared" ref="BZ18:BZ27" si="40">BY18/$D18</f>
        <v>#REF!</v>
      </c>
      <c r="CA18" s="189" t="e">
        <f>CA19</f>
        <v>#REF!</v>
      </c>
      <c r="CB18" s="186" t="e">
        <f t="shared" ref="CB18:CB27" si="41">CA18/$D18</f>
        <v>#REF!</v>
      </c>
      <c r="CC18" s="189" t="e">
        <f>CC19</f>
        <v>#REF!</v>
      </c>
      <c r="CD18" s="186" t="e">
        <f t="shared" ref="CD18:CD27" si="42">CC18/$D18</f>
        <v>#REF!</v>
      </c>
      <c r="CE18" s="189" t="e">
        <f>CE19</f>
        <v>#REF!</v>
      </c>
      <c r="CF18" s="186" t="e">
        <f t="shared" ref="CF18:CF27" si="43">CE18/$D18</f>
        <v>#REF!</v>
      </c>
      <c r="CG18" s="189" t="e">
        <f>CG19</f>
        <v>#REF!</v>
      </c>
      <c r="CH18" s="186" t="e">
        <f t="shared" ref="CH18:CH27" si="44">CG18/$D18</f>
        <v>#REF!</v>
      </c>
      <c r="CI18" s="189" t="e">
        <f>CI19</f>
        <v>#REF!</v>
      </c>
      <c r="CJ18" s="186" t="e">
        <f t="shared" ref="CJ18:CJ27" si="45">CI18/$D18</f>
        <v>#REF!</v>
      </c>
      <c r="CK18" s="189" t="e">
        <f>CK19</f>
        <v>#REF!</v>
      </c>
      <c r="CL18" s="186" t="e">
        <f t="shared" ref="CL18:CL27" si="46">CK18/$D18</f>
        <v>#REF!</v>
      </c>
      <c r="CM18" s="189" t="e">
        <f>CM19</f>
        <v>#REF!</v>
      </c>
      <c r="CN18" s="186" t="e">
        <f t="shared" ref="CN18:CN27" si="47">CM18/$D18</f>
        <v>#REF!</v>
      </c>
      <c r="CO18" s="189" t="e">
        <f>CO19</f>
        <v>#REF!</v>
      </c>
      <c r="CP18" s="186" t="e">
        <f t="shared" ref="CP18:CP27" si="48">CO18/$D18</f>
        <v>#REF!</v>
      </c>
      <c r="CQ18" s="189" t="e">
        <f>CQ19</f>
        <v>#REF!</v>
      </c>
      <c r="CR18" s="186" t="e">
        <f t="shared" ref="CR18:CR27" si="49">CQ18/$D18</f>
        <v>#REF!</v>
      </c>
      <c r="CS18" s="213" t="str">
        <f t="shared" ref="CS18:CS29" si="50">IF(BP18&gt;30.9%,"Đạt","Không đạt")</f>
        <v>Đạt</v>
      </c>
      <c r="CT18" s="213" t="str">
        <f t="shared" ref="CT18:CT29" si="51">IF(BP18&gt;38.5%,"Đạt","Không đạt")</f>
        <v>Đạt</v>
      </c>
      <c r="CU18" s="213"/>
      <c r="CV18" s="205">
        <f t="shared" ref="CV18:CV21" si="52">BN18-AZ18</f>
        <v>19950</v>
      </c>
      <c r="CW18" s="213"/>
      <c r="CX18" s="163"/>
      <c r="CY18" s="208"/>
      <c r="CZ18" s="195"/>
      <c r="DA18" s="196"/>
      <c r="DB18" s="196"/>
      <c r="DC18" s="197"/>
      <c r="DD18" s="196"/>
      <c r="DE18" s="196"/>
      <c r="DF18" s="196"/>
      <c r="DH18" s="199"/>
      <c r="DI18" s="200"/>
      <c r="DJ18" s="200"/>
      <c r="DK18" s="209"/>
      <c r="DL18" s="209"/>
    </row>
    <row r="19" spans="1:116" s="165" customFormat="1" ht="22.9" customHeight="1" x14ac:dyDescent="0.25">
      <c r="A19" s="191">
        <v>2</v>
      </c>
      <c r="B19" s="210" t="s">
        <v>350</v>
      </c>
      <c r="C19" s="210"/>
      <c r="D19" s="205">
        <v>25000</v>
      </c>
      <c r="E19" s="205">
        <v>0</v>
      </c>
      <c r="F19" s="205">
        <v>25000</v>
      </c>
      <c r="G19" s="205">
        <v>20000</v>
      </c>
      <c r="H19" s="205">
        <v>5000</v>
      </c>
      <c r="I19" s="205">
        <v>0</v>
      </c>
      <c r="J19" s="205"/>
      <c r="K19" s="205">
        <v>0</v>
      </c>
      <c r="L19" s="205">
        <v>0</v>
      </c>
      <c r="M19" s="231"/>
      <c r="N19" s="231"/>
      <c r="O19" s="205">
        <v>20000</v>
      </c>
      <c r="P19" s="205">
        <v>0</v>
      </c>
      <c r="Q19" s="186">
        <v>0</v>
      </c>
      <c r="R19" s="205">
        <v>1426.188042</v>
      </c>
      <c r="S19" s="185">
        <v>6.2008175739130436E-2</v>
      </c>
      <c r="T19" s="185">
        <v>6.5271763935926777E-2</v>
      </c>
      <c r="U19" s="205">
        <v>1426.188042</v>
      </c>
      <c r="V19" s="185">
        <v>6.2008175739130436E-2</v>
      </c>
      <c r="W19" s="185">
        <v>6.5271763935926777E-2</v>
      </c>
      <c r="X19" s="205">
        <v>1426.188042</v>
      </c>
      <c r="Y19" s="185">
        <v>6.2008175739130436E-2</v>
      </c>
      <c r="Z19" s="185">
        <v>6.5271763935926777E-2</v>
      </c>
      <c r="AA19" s="205">
        <v>1426.188042</v>
      </c>
      <c r="AB19" s="185">
        <v>6.2008175739130436E-2</v>
      </c>
      <c r="AC19" s="185">
        <v>6.5271763935926777E-2</v>
      </c>
      <c r="AD19" s="205">
        <v>7600</v>
      </c>
      <c r="AE19" s="185">
        <v>0.33043478260869563</v>
      </c>
      <c r="AF19" s="185">
        <v>0.34782608695652173</v>
      </c>
      <c r="AG19" s="205">
        <v>7600</v>
      </c>
      <c r="AH19" s="185">
        <v>0.33043478260869563</v>
      </c>
      <c r="AI19" s="185">
        <v>0.34782608695652173</v>
      </c>
      <c r="AJ19" s="226">
        <v>7600</v>
      </c>
      <c r="AK19" s="185">
        <v>0.33043478260869563</v>
      </c>
      <c r="AL19" s="185">
        <v>0.34782608695652173</v>
      </c>
      <c r="AM19" s="205">
        <v>7600</v>
      </c>
      <c r="AN19" s="185">
        <v>0.33043478260869563</v>
      </c>
      <c r="AO19" s="185">
        <v>0.34782608695652173</v>
      </c>
      <c r="AP19" s="185"/>
      <c r="AQ19" s="205">
        <v>7600</v>
      </c>
      <c r="AR19" s="185">
        <v>0.33043478260869563</v>
      </c>
      <c r="AS19" s="185">
        <v>0.34782608695652173</v>
      </c>
      <c r="AT19" s="205">
        <v>7600</v>
      </c>
      <c r="AU19" s="185">
        <v>0.33043478260869563</v>
      </c>
      <c r="AV19" s="185">
        <v>0.34782608695652173</v>
      </c>
      <c r="AW19" s="185"/>
      <c r="AX19" s="185"/>
      <c r="AY19" s="185"/>
      <c r="AZ19" s="185"/>
      <c r="BA19" s="185"/>
      <c r="BB19" s="185"/>
      <c r="BC19" s="205">
        <v>7600</v>
      </c>
      <c r="BD19" s="185">
        <v>0.33043478260869563</v>
      </c>
      <c r="BE19" s="185">
        <v>0.34782608695652173</v>
      </c>
      <c r="BF19" s="205"/>
      <c r="BG19" s="205">
        <v>17692</v>
      </c>
      <c r="BH19" s="185">
        <v>0.70767999999999998</v>
      </c>
      <c r="BI19" s="185">
        <v>0.74492631578947366</v>
      </c>
      <c r="BJ19" s="205">
        <v>23750</v>
      </c>
      <c r="BK19" s="205">
        <v>17961.530085999999</v>
      </c>
      <c r="BL19" s="185">
        <v>0.71846120343999997</v>
      </c>
      <c r="BM19" s="185">
        <v>0.75627495098947362</v>
      </c>
      <c r="BN19" s="205">
        <v>17961.530085999999</v>
      </c>
      <c r="BO19" s="185">
        <v>0.71846120343999997</v>
      </c>
      <c r="BP19" s="185">
        <f t="shared" si="36"/>
        <v>0.75627495098947362</v>
      </c>
      <c r="BQ19" s="205">
        <f t="shared" si="2"/>
        <v>10361.530085999999</v>
      </c>
      <c r="BR19" s="205"/>
      <c r="BS19" s="189" t="e">
        <f>#REF!</f>
        <v>#REF!</v>
      </c>
      <c r="BT19" s="186" t="e">
        <f t="shared" si="37"/>
        <v>#REF!</v>
      </c>
      <c r="BU19" s="189" t="e">
        <f>#REF!</f>
        <v>#REF!</v>
      </c>
      <c r="BV19" s="186" t="e">
        <f t="shared" si="38"/>
        <v>#REF!</v>
      </c>
      <c r="BW19" s="189" t="e">
        <f>#REF!</f>
        <v>#REF!</v>
      </c>
      <c r="BX19" s="186" t="e">
        <f t="shared" si="39"/>
        <v>#REF!</v>
      </c>
      <c r="BY19" s="189" t="e">
        <f>#REF!</f>
        <v>#REF!</v>
      </c>
      <c r="BZ19" s="186" t="e">
        <f t="shared" si="40"/>
        <v>#REF!</v>
      </c>
      <c r="CA19" s="189" t="e">
        <f>#REF!</f>
        <v>#REF!</v>
      </c>
      <c r="CB19" s="186" t="e">
        <f t="shared" si="41"/>
        <v>#REF!</v>
      </c>
      <c r="CC19" s="189" t="e">
        <f>#REF!</f>
        <v>#REF!</v>
      </c>
      <c r="CD19" s="186" t="e">
        <f t="shared" si="42"/>
        <v>#REF!</v>
      </c>
      <c r="CE19" s="189" t="e">
        <f>#REF!</f>
        <v>#REF!</v>
      </c>
      <c r="CF19" s="186" t="e">
        <f t="shared" si="43"/>
        <v>#REF!</v>
      </c>
      <c r="CG19" s="189" t="e">
        <f>#REF!</f>
        <v>#REF!</v>
      </c>
      <c r="CH19" s="186" t="e">
        <f t="shared" si="44"/>
        <v>#REF!</v>
      </c>
      <c r="CI19" s="189" t="e">
        <f>#REF!</f>
        <v>#REF!</v>
      </c>
      <c r="CJ19" s="186" t="e">
        <f t="shared" si="45"/>
        <v>#REF!</v>
      </c>
      <c r="CK19" s="189" t="e">
        <f>#REF!</f>
        <v>#REF!</v>
      </c>
      <c r="CL19" s="186" t="e">
        <f t="shared" si="46"/>
        <v>#REF!</v>
      </c>
      <c r="CM19" s="189" t="e">
        <f>#REF!</f>
        <v>#REF!</v>
      </c>
      <c r="CN19" s="186" t="e">
        <f t="shared" si="47"/>
        <v>#REF!</v>
      </c>
      <c r="CO19" s="189" t="e">
        <f>#REF!</f>
        <v>#REF!</v>
      </c>
      <c r="CP19" s="186" t="e">
        <f t="shared" si="48"/>
        <v>#REF!</v>
      </c>
      <c r="CQ19" s="189" t="e">
        <f>#REF!</f>
        <v>#REF!</v>
      </c>
      <c r="CR19" s="186" t="e">
        <f t="shared" si="49"/>
        <v>#REF!</v>
      </c>
      <c r="CS19" s="213" t="str">
        <f t="shared" si="50"/>
        <v>Đạt</v>
      </c>
      <c r="CT19" s="213" t="str">
        <f t="shared" si="51"/>
        <v>Đạt</v>
      </c>
      <c r="CU19" s="213"/>
      <c r="CV19" s="205">
        <f t="shared" si="52"/>
        <v>17961.530085999999</v>
      </c>
      <c r="CW19" s="213"/>
      <c r="CX19" s="163"/>
      <c r="CY19" s="208"/>
      <c r="CZ19" s="195"/>
      <c r="DA19" s="196"/>
      <c r="DB19" s="196"/>
      <c r="DC19" s="197"/>
      <c r="DD19" s="196"/>
      <c r="DE19" s="196"/>
      <c r="DF19" s="196"/>
      <c r="DH19" s="199"/>
      <c r="DI19" s="200"/>
      <c r="DJ19" s="200"/>
      <c r="DK19" s="209"/>
      <c r="DL19" s="209"/>
    </row>
    <row r="20" spans="1:116" s="233" customFormat="1" ht="30" customHeight="1" x14ac:dyDescent="0.25">
      <c r="A20" s="191">
        <v>3</v>
      </c>
      <c r="B20" s="210" t="s">
        <v>354</v>
      </c>
      <c r="C20" s="210"/>
      <c r="D20" s="205">
        <v>15000</v>
      </c>
      <c r="E20" s="205">
        <v>0</v>
      </c>
      <c r="F20" s="205">
        <v>15000</v>
      </c>
      <c r="G20" s="205">
        <v>15000</v>
      </c>
      <c r="H20" s="205">
        <v>0</v>
      </c>
      <c r="I20" s="205">
        <v>0</v>
      </c>
      <c r="J20" s="205"/>
      <c r="K20" s="205">
        <v>0</v>
      </c>
      <c r="L20" s="205">
        <v>0</v>
      </c>
      <c r="M20" s="231"/>
      <c r="N20" s="231"/>
      <c r="O20" s="205">
        <v>15000</v>
      </c>
      <c r="P20" s="205">
        <v>0</v>
      </c>
      <c r="Q20" s="186">
        <v>0</v>
      </c>
      <c r="R20" s="205">
        <v>0</v>
      </c>
      <c r="S20" s="185">
        <v>0</v>
      </c>
      <c r="T20" s="185">
        <v>0</v>
      </c>
      <c r="U20" s="205">
        <v>0</v>
      </c>
      <c r="V20" s="185">
        <v>0</v>
      </c>
      <c r="W20" s="185">
        <v>0</v>
      </c>
      <c r="X20" s="205">
        <v>0</v>
      </c>
      <c r="Y20" s="185">
        <v>0</v>
      </c>
      <c r="Z20" s="185">
        <v>0</v>
      </c>
      <c r="AA20" s="205">
        <v>0</v>
      </c>
      <c r="AB20" s="185">
        <v>0</v>
      </c>
      <c r="AC20" s="185">
        <v>0</v>
      </c>
      <c r="AD20" s="205">
        <v>5672.402</v>
      </c>
      <c r="AE20" s="185">
        <v>0.37816013333333331</v>
      </c>
      <c r="AF20" s="185">
        <v>0.39806329824561404</v>
      </c>
      <c r="AG20" s="205">
        <v>5956.06</v>
      </c>
      <c r="AH20" s="185">
        <v>0.39707066666666668</v>
      </c>
      <c r="AI20" s="185">
        <v>0.41796912280701759</v>
      </c>
      <c r="AJ20" s="226">
        <v>5956.06</v>
      </c>
      <c r="AK20" s="185">
        <v>0.39707066666666668</v>
      </c>
      <c r="AL20" s="185">
        <v>0.41796912280701759</v>
      </c>
      <c r="AM20" s="267">
        <v>5956.06</v>
      </c>
      <c r="AN20" s="185">
        <v>0.39707066666666668</v>
      </c>
      <c r="AO20" s="185">
        <v>0.41796912280701759</v>
      </c>
      <c r="AP20" s="185"/>
      <c r="AQ20" s="205">
        <v>6068</v>
      </c>
      <c r="AR20" s="185">
        <v>0.40453333333333336</v>
      </c>
      <c r="AS20" s="185">
        <v>0.42582456140350877</v>
      </c>
      <c r="AT20" s="205">
        <v>6068</v>
      </c>
      <c r="AU20" s="185">
        <v>0.40453333333333336</v>
      </c>
      <c r="AV20" s="185">
        <v>0.42582456140350877</v>
      </c>
      <c r="AW20" s="185"/>
      <c r="AX20" s="185"/>
      <c r="AY20" s="185"/>
      <c r="AZ20" s="185"/>
      <c r="BA20" s="185"/>
      <c r="BB20" s="185"/>
      <c r="BC20" s="205">
        <v>6068</v>
      </c>
      <c r="BD20" s="185">
        <v>0.40453333333333336</v>
      </c>
      <c r="BE20" s="185">
        <v>0.42582456140350877</v>
      </c>
      <c r="BF20" s="205"/>
      <c r="BG20" s="205">
        <v>6068</v>
      </c>
      <c r="BH20" s="185">
        <v>0.40453333333333336</v>
      </c>
      <c r="BI20" s="185">
        <v>0.42582456140350877</v>
      </c>
      <c r="BJ20" s="205">
        <v>14250</v>
      </c>
      <c r="BK20" s="205">
        <v>6820</v>
      </c>
      <c r="BL20" s="185">
        <v>0.45466666666666666</v>
      </c>
      <c r="BM20" s="185">
        <v>0.47859649122807019</v>
      </c>
      <c r="BN20" s="205">
        <v>6820</v>
      </c>
      <c r="BO20" s="185">
        <v>0.45466666666666666</v>
      </c>
      <c r="BP20" s="185">
        <f t="shared" si="36"/>
        <v>0.47859649122807019</v>
      </c>
      <c r="BQ20" s="205">
        <f t="shared" si="2"/>
        <v>1147.598</v>
      </c>
      <c r="BR20" s="205"/>
      <c r="BS20" s="189" t="e">
        <f>BS21</f>
        <v>#REF!</v>
      </c>
      <c r="BT20" s="186" t="e">
        <f t="shared" si="37"/>
        <v>#REF!</v>
      </c>
      <c r="BU20" s="189" t="e">
        <f>BU21</f>
        <v>#REF!</v>
      </c>
      <c r="BV20" s="186" t="e">
        <f t="shared" si="38"/>
        <v>#REF!</v>
      </c>
      <c r="BW20" s="189" t="e">
        <f>BW21</f>
        <v>#REF!</v>
      </c>
      <c r="BX20" s="186" t="e">
        <f t="shared" si="39"/>
        <v>#REF!</v>
      </c>
      <c r="BY20" s="189" t="e">
        <f>BY21</f>
        <v>#REF!</v>
      </c>
      <c r="BZ20" s="186" t="e">
        <f t="shared" si="40"/>
        <v>#REF!</v>
      </c>
      <c r="CA20" s="189" t="e">
        <f>CA21</f>
        <v>#REF!</v>
      </c>
      <c r="CB20" s="186" t="e">
        <f t="shared" si="41"/>
        <v>#REF!</v>
      </c>
      <c r="CC20" s="189" t="e">
        <f>CC21</f>
        <v>#REF!</v>
      </c>
      <c r="CD20" s="186" t="e">
        <f t="shared" si="42"/>
        <v>#REF!</v>
      </c>
      <c r="CE20" s="189" t="e">
        <f>CE21</f>
        <v>#REF!</v>
      </c>
      <c r="CF20" s="186" t="e">
        <f t="shared" si="43"/>
        <v>#REF!</v>
      </c>
      <c r="CG20" s="189" t="e">
        <f>CG21</f>
        <v>#REF!</v>
      </c>
      <c r="CH20" s="186" t="e">
        <f t="shared" si="44"/>
        <v>#REF!</v>
      </c>
      <c r="CI20" s="189" t="e">
        <f>CI21</f>
        <v>#REF!</v>
      </c>
      <c r="CJ20" s="186" t="e">
        <f t="shared" si="45"/>
        <v>#REF!</v>
      </c>
      <c r="CK20" s="189" t="e">
        <f>CK21</f>
        <v>#REF!</v>
      </c>
      <c r="CL20" s="186" t="e">
        <f t="shared" si="46"/>
        <v>#REF!</v>
      </c>
      <c r="CM20" s="189" t="e">
        <f>CM21</f>
        <v>#REF!</v>
      </c>
      <c r="CN20" s="186" t="e">
        <f t="shared" si="47"/>
        <v>#REF!</v>
      </c>
      <c r="CO20" s="189" t="e">
        <f>CO21</f>
        <v>#REF!</v>
      </c>
      <c r="CP20" s="186" t="e">
        <f t="shared" si="48"/>
        <v>#REF!</v>
      </c>
      <c r="CQ20" s="189" t="e">
        <f>CQ21</f>
        <v>#REF!</v>
      </c>
      <c r="CR20" s="186" t="e">
        <f t="shared" si="49"/>
        <v>#REF!</v>
      </c>
      <c r="CS20" s="213" t="str">
        <f t="shared" si="50"/>
        <v>Đạt</v>
      </c>
      <c r="CT20" s="213" t="str">
        <f t="shared" si="51"/>
        <v>Đạt</v>
      </c>
      <c r="CU20" s="213"/>
      <c r="CV20" s="205">
        <f t="shared" si="52"/>
        <v>6820</v>
      </c>
      <c r="CW20" s="213"/>
      <c r="CX20" s="163"/>
      <c r="CY20" s="232"/>
      <c r="CZ20" s="195"/>
      <c r="DA20" s="196"/>
      <c r="DB20" s="196"/>
      <c r="DC20" s="197"/>
      <c r="DD20" s="196"/>
      <c r="DE20" s="196"/>
      <c r="DF20" s="196"/>
      <c r="DH20" s="199"/>
      <c r="DI20" s="200"/>
      <c r="DJ20" s="181"/>
      <c r="DL20" s="244"/>
    </row>
    <row r="21" spans="1:116" s="233" customFormat="1" ht="19.149999999999999" customHeight="1" x14ac:dyDescent="0.25">
      <c r="A21" s="191">
        <v>4</v>
      </c>
      <c r="B21" s="210" t="s">
        <v>286</v>
      </c>
      <c r="C21" s="210"/>
      <c r="D21" s="205">
        <v>1488134.8597350002</v>
      </c>
      <c r="E21" s="205">
        <v>856774.85973500018</v>
      </c>
      <c r="F21" s="205">
        <v>631360</v>
      </c>
      <c r="G21" s="205">
        <v>424000</v>
      </c>
      <c r="H21" s="205">
        <v>207360</v>
      </c>
      <c r="I21" s="205">
        <v>-52000</v>
      </c>
      <c r="J21" s="205"/>
      <c r="K21" s="205">
        <v>0</v>
      </c>
      <c r="L21" s="205">
        <v>30000</v>
      </c>
      <c r="M21" s="231"/>
      <c r="N21" s="231"/>
      <c r="O21" s="205">
        <v>402000</v>
      </c>
      <c r="P21" s="205">
        <v>75293.688796000002</v>
      </c>
      <c r="Q21" s="186">
        <v>5.0596011714561899E-2</v>
      </c>
      <c r="R21" s="205">
        <v>206894.52794599999</v>
      </c>
      <c r="S21" s="185">
        <v>0.17311944381585762</v>
      </c>
      <c r="T21" s="185">
        <v>0.17833751931552438</v>
      </c>
      <c r="U21" s="205">
        <v>214027.35655399997</v>
      </c>
      <c r="V21" s="185">
        <v>0.17908785358343296</v>
      </c>
      <c r="W21" s="185">
        <v>0.18448582576075589</v>
      </c>
      <c r="X21" s="205">
        <v>214027.35655399997</v>
      </c>
      <c r="Y21" s="185">
        <v>0.17908785358343296</v>
      </c>
      <c r="Z21" s="185">
        <v>0.18448582576075589</v>
      </c>
      <c r="AA21" s="205">
        <v>214027.35655399997</v>
      </c>
      <c r="AB21" s="185">
        <v>0.17908785358343296</v>
      </c>
      <c r="AC21" s="185">
        <v>0.18448582576075589</v>
      </c>
      <c r="AD21" s="205">
        <v>304094.039009</v>
      </c>
      <c r="AE21" s="185">
        <v>0.23157145081113995</v>
      </c>
      <c r="AF21" s="185">
        <v>0.23790656323459408</v>
      </c>
      <c r="AG21" s="205">
        <v>305374.039009</v>
      </c>
      <c r="AH21" s="185">
        <v>0.23254618697500631</v>
      </c>
      <c r="AI21" s="185">
        <v>0.23890796530723146</v>
      </c>
      <c r="AJ21" s="189">
        <v>305374.039009</v>
      </c>
      <c r="AK21" s="185">
        <v>0.23254618697500631</v>
      </c>
      <c r="AL21" s="185">
        <v>0.23890796530723146</v>
      </c>
      <c r="AM21" s="205">
        <v>305374.039009</v>
      </c>
      <c r="AN21" s="185">
        <v>0.23254618697500631</v>
      </c>
      <c r="AO21" s="185">
        <v>0.23890796530723146</v>
      </c>
      <c r="AP21" s="185"/>
      <c r="AQ21" s="205">
        <v>356349.44240499998</v>
      </c>
      <c r="AR21" s="185">
        <v>0.27136460037950405</v>
      </c>
      <c r="AS21" s="185">
        <v>0.27878833609963782</v>
      </c>
      <c r="AT21" s="205">
        <v>356349.44240499998</v>
      </c>
      <c r="AU21" s="185">
        <v>0.27136460037950405</v>
      </c>
      <c r="AV21" s="185">
        <v>0.27878833609963782</v>
      </c>
      <c r="AW21" s="185"/>
      <c r="AX21" s="185"/>
      <c r="AY21" s="185"/>
      <c r="AZ21" s="185"/>
      <c r="BA21" s="185"/>
      <c r="BB21" s="185"/>
      <c r="BC21" s="205">
        <v>356349.44240499998</v>
      </c>
      <c r="BD21" s="185">
        <v>0.27136460037950405</v>
      </c>
      <c r="BE21" s="185">
        <v>0.27878833609963782</v>
      </c>
      <c r="BF21" s="205"/>
      <c r="BG21" s="205">
        <v>548080.71770899999</v>
      </c>
      <c r="BH21" s="185">
        <v>0.36830043602808926</v>
      </c>
      <c r="BI21" s="185">
        <v>0.37628256749485212</v>
      </c>
      <c r="BJ21" s="205">
        <v>1456566.8597350002</v>
      </c>
      <c r="BK21" s="205">
        <v>645202.81626999995</v>
      </c>
      <c r="BL21" s="185">
        <v>0.43356474855033938</v>
      </c>
      <c r="BM21" s="185">
        <v>0.44296134568610507</v>
      </c>
      <c r="BN21" s="205">
        <v>645202.81626999995</v>
      </c>
      <c r="BO21" s="185">
        <v>0.43356474855033938</v>
      </c>
      <c r="BP21" s="185">
        <f t="shared" si="36"/>
        <v>0.44296134568610507</v>
      </c>
      <c r="BQ21" s="205">
        <f t="shared" si="2"/>
        <v>341108.77726099995</v>
      </c>
      <c r="BR21" s="205"/>
      <c r="BS21" s="189" t="e">
        <f>#REF!</f>
        <v>#REF!</v>
      </c>
      <c r="BT21" s="186" t="e">
        <f t="shared" si="37"/>
        <v>#REF!</v>
      </c>
      <c r="BU21" s="189" t="e">
        <f>#REF!</f>
        <v>#REF!</v>
      </c>
      <c r="BV21" s="186" t="e">
        <f t="shared" si="38"/>
        <v>#REF!</v>
      </c>
      <c r="BW21" s="189" t="e">
        <f>#REF!</f>
        <v>#REF!</v>
      </c>
      <c r="BX21" s="186" t="e">
        <f t="shared" si="39"/>
        <v>#REF!</v>
      </c>
      <c r="BY21" s="189" t="e">
        <f>#REF!</f>
        <v>#REF!</v>
      </c>
      <c r="BZ21" s="186" t="e">
        <f t="shared" si="40"/>
        <v>#REF!</v>
      </c>
      <c r="CA21" s="189" t="e">
        <f>#REF!</f>
        <v>#REF!</v>
      </c>
      <c r="CB21" s="186" t="e">
        <f t="shared" si="41"/>
        <v>#REF!</v>
      </c>
      <c r="CC21" s="189" t="e">
        <f>#REF!</f>
        <v>#REF!</v>
      </c>
      <c r="CD21" s="186" t="e">
        <f t="shared" si="42"/>
        <v>#REF!</v>
      </c>
      <c r="CE21" s="189" t="e">
        <f>#REF!</f>
        <v>#REF!</v>
      </c>
      <c r="CF21" s="186" t="e">
        <f t="shared" si="43"/>
        <v>#REF!</v>
      </c>
      <c r="CG21" s="189" t="e">
        <f>#REF!</f>
        <v>#REF!</v>
      </c>
      <c r="CH21" s="186" t="e">
        <f t="shared" si="44"/>
        <v>#REF!</v>
      </c>
      <c r="CI21" s="189" t="e">
        <f>#REF!</f>
        <v>#REF!</v>
      </c>
      <c r="CJ21" s="186" t="e">
        <f t="shared" si="45"/>
        <v>#REF!</v>
      </c>
      <c r="CK21" s="189" t="e">
        <f>#REF!</f>
        <v>#REF!</v>
      </c>
      <c r="CL21" s="186" t="e">
        <f t="shared" si="46"/>
        <v>#REF!</v>
      </c>
      <c r="CM21" s="189" t="e">
        <f>#REF!</f>
        <v>#REF!</v>
      </c>
      <c r="CN21" s="186" t="e">
        <f t="shared" si="47"/>
        <v>#REF!</v>
      </c>
      <c r="CO21" s="189" t="e">
        <f>#REF!</f>
        <v>#REF!</v>
      </c>
      <c r="CP21" s="186" t="e">
        <f t="shared" si="48"/>
        <v>#REF!</v>
      </c>
      <c r="CQ21" s="189" t="e">
        <f>#REF!</f>
        <v>#REF!</v>
      </c>
      <c r="CR21" s="186" t="e">
        <f t="shared" si="49"/>
        <v>#REF!</v>
      </c>
      <c r="CS21" s="213" t="str">
        <f t="shared" si="50"/>
        <v>Đạt</v>
      </c>
      <c r="CT21" s="213" t="str">
        <f t="shared" si="51"/>
        <v>Đạt</v>
      </c>
      <c r="CU21" s="213"/>
      <c r="CV21" s="205">
        <f t="shared" si="52"/>
        <v>645202.81626999995</v>
      </c>
      <c r="CW21" s="213"/>
      <c r="CX21" s="163"/>
      <c r="CY21" s="232"/>
      <c r="CZ21" s="195"/>
      <c r="DA21" s="196"/>
      <c r="DB21" s="196"/>
      <c r="DC21" s="197"/>
      <c r="DD21" s="196"/>
      <c r="DE21" s="196"/>
      <c r="DF21" s="196"/>
      <c r="DH21" s="199"/>
      <c r="DI21" s="200"/>
      <c r="DJ21" s="181"/>
      <c r="DK21" s="244"/>
    </row>
    <row r="22" spans="1:116" s="234" customFormat="1" ht="42" customHeight="1" x14ac:dyDescent="0.25">
      <c r="A22" s="191">
        <v>6</v>
      </c>
      <c r="B22" s="210" t="s">
        <v>206</v>
      </c>
      <c r="C22" s="210"/>
      <c r="D22" s="205">
        <v>1267366</v>
      </c>
      <c r="E22" s="205">
        <v>0</v>
      </c>
      <c r="F22" s="205">
        <v>1267366</v>
      </c>
      <c r="G22" s="205">
        <v>593366</v>
      </c>
      <c r="H22" s="205">
        <v>447000</v>
      </c>
      <c r="I22" s="205">
        <v>20835</v>
      </c>
      <c r="J22" s="205">
        <v>0</v>
      </c>
      <c r="K22" s="205">
        <v>227000</v>
      </c>
      <c r="L22" s="205">
        <v>0</v>
      </c>
      <c r="M22" s="231"/>
      <c r="N22" s="231"/>
      <c r="O22" s="205">
        <v>614201</v>
      </c>
      <c r="P22" s="205">
        <v>34787.741999999998</v>
      </c>
      <c r="Q22" s="186">
        <v>2.7448852186345539E-2</v>
      </c>
      <c r="R22" s="205">
        <v>91789.770329000006</v>
      </c>
      <c r="S22" s="185">
        <v>7.3402455281087575E-2</v>
      </c>
      <c r="T22" s="185">
        <v>7.726574240114481E-2</v>
      </c>
      <c r="U22" s="205">
        <v>97711.616329000011</v>
      </c>
      <c r="V22" s="185">
        <v>7.8138037848060782E-2</v>
      </c>
      <c r="W22" s="185">
        <v>8.2250566155853452E-2</v>
      </c>
      <c r="X22" s="205">
        <v>97711.616329000011</v>
      </c>
      <c r="Y22" s="185">
        <v>7.8138037848060782E-2</v>
      </c>
      <c r="Z22" s="185">
        <v>8.2250566155853452E-2</v>
      </c>
      <c r="AA22" s="205">
        <v>99376.636329000001</v>
      </c>
      <c r="AB22" s="185">
        <v>7.9469521254698125E-2</v>
      </c>
      <c r="AC22" s="185">
        <v>8.365212763652434E-2</v>
      </c>
      <c r="AD22" s="205">
        <v>118426.12832900001</v>
      </c>
      <c r="AE22" s="185">
        <v>9.4703021454618161E-2</v>
      </c>
      <c r="AF22" s="185">
        <v>9.9687391004861223E-2</v>
      </c>
      <c r="AG22" s="205">
        <v>127438.15632900002</v>
      </c>
      <c r="AH22" s="185">
        <v>0.10190976115873653</v>
      </c>
      <c r="AI22" s="185">
        <v>0.10727343279867002</v>
      </c>
      <c r="AJ22" s="226">
        <v>127438.15632900002</v>
      </c>
      <c r="AK22" s="185">
        <v>0.10190976115873653</v>
      </c>
      <c r="AL22" s="185">
        <v>0.10727343279867002</v>
      </c>
      <c r="AM22" s="205">
        <v>136236.79732899999</v>
      </c>
      <c r="AN22" s="185">
        <v>0.10894585951939224</v>
      </c>
      <c r="AO22" s="185">
        <v>0.11467985212567604</v>
      </c>
      <c r="AP22" s="185"/>
      <c r="AQ22" s="205">
        <v>196873.90332900002</v>
      </c>
      <c r="AR22" s="185">
        <v>0.15743614820391846</v>
      </c>
      <c r="AS22" s="185">
        <v>0.16572226126728257</v>
      </c>
      <c r="AT22" s="205">
        <v>198545.90367000003</v>
      </c>
      <c r="AU22" s="185">
        <v>0.15877321365053981</v>
      </c>
      <c r="AV22" s="185">
        <v>0.1671296985795156</v>
      </c>
      <c r="AW22" s="205">
        <v>198545.90367000003</v>
      </c>
      <c r="AX22" s="185">
        <v>0.15877321365053981</v>
      </c>
      <c r="AY22" s="185">
        <v>0.1671296985795156</v>
      </c>
      <c r="AZ22" s="205">
        <v>214472</v>
      </c>
      <c r="BA22" s="185">
        <v>0.16959188104602746</v>
      </c>
      <c r="BB22" s="185">
        <v>0.17851776952213416</v>
      </c>
      <c r="BC22" s="205">
        <v>241906.49655099993</v>
      </c>
      <c r="BD22" s="185">
        <v>0.19057269262844595</v>
      </c>
      <c r="BE22" s="185">
        <v>0.20060283434573259</v>
      </c>
      <c r="BF22" s="205"/>
      <c r="BG22" s="205">
        <v>264417.14743999997</v>
      </c>
      <c r="BH22" s="185">
        <v>0.20863519097087974</v>
      </c>
      <c r="BI22" s="185">
        <v>0.21961599049566288</v>
      </c>
      <c r="BJ22" s="205">
        <v>1203997.7</v>
      </c>
      <c r="BK22" s="205">
        <v>273930.93443999992</v>
      </c>
      <c r="BL22" s="185">
        <v>0.21614193093392117</v>
      </c>
      <c r="BM22" s="185">
        <v>0.2275178220357065</v>
      </c>
      <c r="BN22" s="205">
        <v>273930.93443999992</v>
      </c>
      <c r="BO22" s="185">
        <v>0.21614193093392117</v>
      </c>
      <c r="BP22" s="185">
        <f t="shared" si="36"/>
        <v>0.2275178220357065</v>
      </c>
      <c r="BQ22" s="205">
        <f t="shared" si="2"/>
        <v>155504.8061109999</v>
      </c>
      <c r="BR22" s="205"/>
      <c r="BS22" s="189" t="e">
        <f>#REF!+#REF!</f>
        <v>#REF!</v>
      </c>
      <c r="BT22" s="186" t="e">
        <f t="shared" si="37"/>
        <v>#REF!</v>
      </c>
      <c r="BU22" s="189" t="e">
        <f>#REF!+#REF!</f>
        <v>#REF!</v>
      </c>
      <c r="BV22" s="186" t="e">
        <f t="shared" si="38"/>
        <v>#REF!</v>
      </c>
      <c r="BW22" s="189" t="e">
        <f>#REF!+#REF!</f>
        <v>#REF!</v>
      </c>
      <c r="BX22" s="186" t="e">
        <f t="shared" si="39"/>
        <v>#REF!</v>
      </c>
      <c r="BY22" s="189" t="e">
        <f>#REF!+#REF!</f>
        <v>#REF!</v>
      </c>
      <c r="BZ22" s="186" t="e">
        <f t="shared" si="40"/>
        <v>#REF!</v>
      </c>
      <c r="CA22" s="189" t="e">
        <f>#REF!+#REF!</f>
        <v>#REF!</v>
      </c>
      <c r="CB22" s="186" t="e">
        <f t="shared" si="41"/>
        <v>#REF!</v>
      </c>
      <c r="CC22" s="189" t="e">
        <f>#REF!+#REF!</f>
        <v>#REF!</v>
      </c>
      <c r="CD22" s="186" t="e">
        <f t="shared" si="42"/>
        <v>#REF!</v>
      </c>
      <c r="CE22" s="189" t="e">
        <f>#REF!+#REF!</f>
        <v>#REF!</v>
      </c>
      <c r="CF22" s="186" t="e">
        <f t="shared" si="43"/>
        <v>#REF!</v>
      </c>
      <c r="CG22" s="189" t="e">
        <f>#REF!+#REF!</f>
        <v>#REF!</v>
      </c>
      <c r="CH22" s="186" t="e">
        <f t="shared" si="44"/>
        <v>#REF!</v>
      </c>
      <c r="CI22" s="189" t="e">
        <f>#REF!+#REF!</f>
        <v>#REF!</v>
      </c>
      <c r="CJ22" s="186" t="e">
        <f t="shared" si="45"/>
        <v>#REF!</v>
      </c>
      <c r="CK22" s="189" t="e">
        <f>#REF!+#REF!</f>
        <v>#REF!</v>
      </c>
      <c r="CL22" s="186" t="e">
        <f t="shared" si="46"/>
        <v>#REF!</v>
      </c>
      <c r="CM22" s="189" t="e">
        <f>#REF!+#REF!</f>
        <v>#REF!</v>
      </c>
      <c r="CN22" s="186" t="e">
        <f t="shared" si="47"/>
        <v>#REF!</v>
      </c>
      <c r="CO22" s="189" t="e">
        <f>#REF!+#REF!</f>
        <v>#REF!</v>
      </c>
      <c r="CP22" s="186" t="e">
        <f t="shared" si="48"/>
        <v>#REF!</v>
      </c>
      <c r="CQ22" s="189" t="e">
        <f>#REF!+#REF!</f>
        <v>#REF!</v>
      </c>
      <c r="CR22" s="186" t="e">
        <f t="shared" si="49"/>
        <v>#REF!</v>
      </c>
      <c r="CS22" s="213" t="str">
        <f t="shared" si="50"/>
        <v>Không đạt</v>
      </c>
      <c r="CT22" s="213" t="str">
        <f t="shared" si="51"/>
        <v>Không đạt</v>
      </c>
      <c r="CU22" s="213"/>
      <c r="CV22" s="213"/>
      <c r="CW22" s="213"/>
      <c r="CX22" s="163"/>
      <c r="CY22" s="243"/>
      <c r="CZ22" s="195"/>
      <c r="DA22" s="196"/>
      <c r="DB22" s="196"/>
      <c r="DC22" s="197"/>
      <c r="DD22" s="196"/>
      <c r="DE22" s="196"/>
      <c r="DF22" s="196"/>
      <c r="DH22" s="199"/>
      <c r="DI22" s="200"/>
      <c r="DJ22" s="181"/>
    </row>
    <row r="23" spans="1:116" s="233" customFormat="1" ht="18" customHeight="1" x14ac:dyDescent="0.25">
      <c r="A23" s="191">
        <v>7</v>
      </c>
      <c r="B23" s="210" t="s">
        <v>356</v>
      </c>
      <c r="C23" s="210"/>
      <c r="D23" s="205">
        <v>120538</v>
      </c>
      <c r="E23" s="205">
        <v>0</v>
      </c>
      <c r="F23" s="205">
        <v>120538</v>
      </c>
      <c r="G23" s="205">
        <v>70538</v>
      </c>
      <c r="H23" s="205">
        <v>0</v>
      </c>
      <c r="I23" s="205">
        <v>0</v>
      </c>
      <c r="J23" s="205"/>
      <c r="K23" s="205">
        <v>50000</v>
      </c>
      <c r="L23" s="205">
        <v>0</v>
      </c>
      <c r="M23" s="231"/>
      <c r="N23" s="231"/>
      <c r="O23" s="205">
        <v>70538</v>
      </c>
      <c r="P23" s="205">
        <v>5192</v>
      </c>
      <c r="Q23" s="186">
        <v>4.3073553568169373E-2</v>
      </c>
      <c r="R23" s="205">
        <v>10619.907956999999</v>
      </c>
      <c r="S23" s="185">
        <v>0.21239815913999999</v>
      </c>
      <c r="T23" s="185">
        <v>0.22357700962105262</v>
      </c>
      <c r="U23" s="205">
        <v>10695.719956999999</v>
      </c>
      <c r="V23" s="185">
        <v>0.21391439913999999</v>
      </c>
      <c r="W23" s="185">
        <v>0.22517305172631577</v>
      </c>
      <c r="X23" s="205">
        <v>10695.719956999999</v>
      </c>
      <c r="Y23" s="185">
        <v>0.21391439913999999</v>
      </c>
      <c r="Z23" s="185">
        <v>0.22517305172631577</v>
      </c>
      <c r="AA23" s="205">
        <v>10695.719956999999</v>
      </c>
      <c r="AB23" s="185">
        <v>0.21391439913999999</v>
      </c>
      <c r="AC23" s="185">
        <v>0.22517305172631577</v>
      </c>
      <c r="AD23" s="205">
        <v>10695.719956999999</v>
      </c>
      <c r="AE23" s="185">
        <v>0.21391439913999999</v>
      </c>
      <c r="AF23" s="185">
        <v>0.22517305172631577</v>
      </c>
      <c r="AG23" s="205">
        <v>16216.696532</v>
      </c>
      <c r="AH23" s="185">
        <v>0.32433393063999999</v>
      </c>
      <c r="AI23" s="185">
        <v>0.34140413751578946</v>
      </c>
      <c r="AJ23" s="226">
        <v>16216.696532</v>
      </c>
      <c r="AK23" s="185">
        <v>0.32433393063999999</v>
      </c>
      <c r="AL23" s="185">
        <v>0.34140413751578946</v>
      </c>
      <c r="AM23" s="205">
        <v>16216.696532</v>
      </c>
      <c r="AN23" s="185">
        <v>0.32433393063999999</v>
      </c>
      <c r="AO23" s="185">
        <v>0.34140413751578946</v>
      </c>
      <c r="AP23" s="185"/>
      <c r="AQ23" s="205">
        <v>16216.696532</v>
      </c>
      <c r="AR23" s="185">
        <v>0.32433393063999999</v>
      </c>
      <c r="AS23" s="185">
        <v>0.34140413751578946</v>
      </c>
      <c r="AT23" s="205">
        <v>16216.696532</v>
      </c>
      <c r="AU23" s="185">
        <v>0.32433393063999999</v>
      </c>
      <c r="AV23" s="185">
        <v>0.34140413751578946</v>
      </c>
      <c r="AW23" s="185"/>
      <c r="AX23" s="185"/>
      <c r="AY23" s="185"/>
      <c r="AZ23" s="185"/>
      <c r="BA23" s="185"/>
      <c r="BB23" s="185"/>
      <c r="BC23" s="205">
        <v>16216.696532</v>
      </c>
      <c r="BD23" s="185">
        <v>0.32433393063999999</v>
      </c>
      <c r="BE23" s="185">
        <v>0.34140413751578946</v>
      </c>
      <c r="BF23" s="205"/>
      <c r="BG23" s="205">
        <v>22389</v>
      </c>
      <c r="BH23" s="185">
        <v>0.18574225555426505</v>
      </c>
      <c r="BI23" s="185">
        <v>0.19551816374133163</v>
      </c>
      <c r="BJ23" s="205">
        <v>114511.09999999999</v>
      </c>
      <c r="BK23" s="205">
        <v>22465.08207</v>
      </c>
      <c r="BL23" s="185">
        <v>0.18637344298063682</v>
      </c>
      <c r="BM23" s="185">
        <v>0.19618257155856508</v>
      </c>
      <c r="BN23" s="205">
        <v>22465.08207</v>
      </c>
      <c r="BO23" s="185">
        <v>0.18637344298063682</v>
      </c>
      <c r="BP23" s="185">
        <f t="shared" si="36"/>
        <v>0.19618257155856508</v>
      </c>
      <c r="BQ23" s="205">
        <f t="shared" si="2"/>
        <v>11769.362113000001</v>
      </c>
      <c r="BR23" s="205"/>
      <c r="BS23" s="189" t="e">
        <f>#REF!+#REF!</f>
        <v>#REF!</v>
      </c>
      <c r="BT23" s="186" t="e">
        <f t="shared" si="37"/>
        <v>#REF!</v>
      </c>
      <c r="BU23" s="189" t="e">
        <f>#REF!+#REF!</f>
        <v>#REF!</v>
      </c>
      <c r="BV23" s="186" t="e">
        <f t="shared" si="38"/>
        <v>#REF!</v>
      </c>
      <c r="BW23" s="189" t="e">
        <f>#REF!+#REF!</f>
        <v>#REF!</v>
      </c>
      <c r="BX23" s="186" t="e">
        <f t="shared" si="39"/>
        <v>#REF!</v>
      </c>
      <c r="BY23" s="189" t="e">
        <f>#REF!+#REF!</f>
        <v>#REF!</v>
      </c>
      <c r="BZ23" s="186" t="e">
        <f t="shared" si="40"/>
        <v>#REF!</v>
      </c>
      <c r="CA23" s="189" t="e">
        <f>#REF!+#REF!</f>
        <v>#REF!</v>
      </c>
      <c r="CB23" s="186" t="e">
        <f t="shared" si="41"/>
        <v>#REF!</v>
      </c>
      <c r="CC23" s="189" t="e">
        <f>#REF!+#REF!</f>
        <v>#REF!</v>
      </c>
      <c r="CD23" s="186" t="e">
        <f t="shared" si="42"/>
        <v>#REF!</v>
      </c>
      <c r="CE23" s="189" t="e">
        <f>#REF!+#REF!</f>
        <v>#REF!</v>
      </c>
      <c r="CF23" s="186" t="e">
        <f t="shared" si="43"/>
        <v>#REF!</v>
      </c>
      <c r="CG23" s="189" t="e">
        <f>#REF!+#REF!</f>
        <v>#REF!</v>
      </c>
      <c r="CH23" s="186" t="e">
        <f t="shared" si="44"/>
        <v>#REF!</v>
      </c>
      <c r="CI23" s="189" t="e">
        <f>#REF!+#REF!</f>
        <v>#REF!</v>
      </c>
      <c r="CJ23" s="186" t="e">
        <f t="shared" si="45"/>
        <v>#REF!</v>
      </c>
      <c r="CK23" s="189" t="e">
        <f>#REF!+#REF!</f>
        <v>#REF!</v>
      </c>
      <c r="CL23" s="186" t="e">
        <f t="shared" si="46"/>
        <v>#REF!</v>
      </c>
      <c r="CM23" s="189" t="e">
        <f>#REF!+#REF!</f>
        <v>#REF!</v>
      </c>
      <c r="CN23" s="186" t="e">
        <f t="shared" si="47"/>
        <v>#REF!</v>
      </c>
      <c r="CO23" s="189" t="e">
        <f>#REF!+#REF!</f>
        <v>#REF!</v>
      </c>
      <c r="CP23" s="186" t="e">
        <f t="shared" si="48"/>
        <v>#REF!</v>
      </c>
      <c r="CQ23" s="189" t="e">
        <f>#REF!+#REF!</f>
        <v>#REF!</v>
      </c>
      <c r="CR23" s="186" t="e">
        <f t="shared" si="49"/>
        <v>#REF!</v>
      </c>
      <c r="CS23" s="213" t="str">
        <f t="shared" si="50"/>
        <v>Không đạt</v>
      </c>
      <c r="CT23" s="213" t="str">
        <f t="shared" si="51"/>
        <v>Không đạt</v>
      </c>
      <c r="CU23" s="213"/>
      <c r="CV23" s="213"/>
      <c r="CW23" s="213"/>
      <c r="CX23" s="163"/>
      <c r="CY23" s="232"/>
      <c r="CZ23" s="195"/>
      <c r="DA23" s="196"/>
      <c r="DB23" s="196"/>
      <c r="DC23" s="197"/>
      <c r="DD23" s="196"/>
      <c r="DE23" s="196"/>
      <c r="DF23" s="196"/>
      <c r="DH23" s="199"/>
      <c r="DI23" s="200"/>
      <c r="DJ23" s="181"/>
    </row>
    <row r="24" spans="1:116" s="233" customFormat="1" ht="18" customHeight="1" x14ac:dyDescent="0.25">
      <c r="A24" s="191">
        <v>8</v>
      </c>
      <c r="B24" s="210" t="s">
        <v>301</v>
      </c>
      <c r="C24" s="210"/>
      <c r="D24" s="205">
        <v>224800</v>
      </c>
      <c r="E24" s="205">
        <v>0</v>
      </c>
      <c r="F24" s="205">
        <v>224800</v>
      </c>
      <c r="G24" s="205">
        <v>10000</v>
      </c>
      <c r="H24" s="205">
        <v>214800</v>
      </c>
      <c r="I24" s="205">
        <v>7759</v>
      </c>
      <c r="J24" s="205"/>
      <c r="K24" s="205">
        <v>0</v>
      </c>
      <c r="L24" s="205">
        <v>0</v>
      </c>
      <c r="M24" s="231"/>
      <c r="N24" s="231"/>
      <c r="O24" s="205">
        <v>17759</v>
      </c>
      <c r="P24" s="205">
        <v>11664.517748</v>
      </c>
      <c r="Q24" s="186">
        <v>5.1888424145907476E-2</v>
      </c>
      <c r="R24" s="205">
        <v>12059.126445</v>
      </c>
      <c r="S24" s="185">
        <v>5.364380091192171E-2</v>
      </c>
      <c r="T24" s="185">
        <v>5.6467158854654427E-2</v>
      </c>
      <c r="U24" s="205">
        <v>12416.316709999999</v>
      </c>
      <c r="V24" s="185">
        <v>5.5232725578291814E-2</v>
      </c>
      <c r="W24" s="185">
        <v>5.8139711135044014E-2</v>
      </c>
      <c r="X24" s="205">
        <v>12416.316709999999</v>
      </c>
      <c r="Y24" s="185">
        <v>5.5232725578291814E-2</v>
      </c>
      <c r="Z24" s="185">
        <v>5.8139711135044014E-2</v>
      </c>
      <c r="AA24" s="205">
        <v>12416.316709999999</v>
      </c>
      <c r="AB24" s="185">
        <v>5.5232725578291814E-2</v>
      </c>
      <c r="AC24" s="185">
        <v>5.8139711135044014E-2</v>
      </c>
      <c r="AD24" s="205">
        <v>12516.316709999999</v>
      </c>
      <c r="AE24" s="185">
        <v>5.5677565435943058E-2</v>
      </c>
      <c r="AF24" s="185">
        <v>5.8607963616782166E-2</v>
      </c>
      <c r="AG24" s="205">
        <v>14034.14471</v>
      </c>
      <c r="AH24" s="185">
        <v>6.2429469350533812E-2</v>
      </c>
      <c r="AI24" s="185">
        <v>6.5715230895298751E-2</v>
      </c>
      <c r="AJ24" s="189">
        <v>14034.14471</v>
      </c>
      <c r="AK24" s="185">
        <v>6.2429469350533812E-2</v>
      </c>
      <c r="AL24" s="185">
        <v>6.5715230895298751E-2</v>
      </c>
      <c r="AM24" s="205">
        <v>17048.984</v>
      </c>
      <c r="AN24" s="185">
        <v>7.5840676156583631E-2</v>
      </c>
      <c r="AO24" s="185">
        <v>7.9832290691140659E-2</v>
      </c>
      <c r="AP24" s="185"/>
      <c r="AQ24" s="205">
        <v>17257.156000000003</v>
      </c>
      <c r="AR24" s="185">
        <v>7.6766708185053392E-2</v>
      </c>
      <c r="AS24" s="185">
        <v>8.0807061247424622E-2</v>
      </c>
      <c r="AT24" s="205">
        <v>17257.156000000003</v>
      </c>
      <c r="AU24" s="185">
        <v>7.6766708185053392E-2</v>
      </c>
      <c r="AV24" s="185">
        <v>8.0807061247424622E-2</v>
      </c>
      <c r="AW24" s="205">
        <v>17257.156000000003</v>
      </c>
      <c r="AX24" s="185">
        <v>7.6766708185053392E-2</v>
      </c>
      <c r="AY24" s="185">
        <v>8.0807061247424622E-2</v>
      </c>
      <c r="AZ24" s="205">
        <v>17257.156000000003</v>
      </c>
      <c r="BA24" s="185">
        <v>7.6766708185053392E-2</v>
      </c>
      <c r="BB24" s="185">
        <v>8.0807061247424622E-2</v>
      </c>
      <c r="BC24" s="205">
        <v>17638.156000000003</v>
      </c>
      <c r="BD24" s="185">
        <v>7.8461548042704637E-2</v>
      </c>
      <c r="BE24" s="185">
        <v>8.2591103202846988E-2</v>
      </c>
      <c r="BF24" s="205"/>
      <c r="BG24" s="205">
        <v>38232.16599999999</v>
      </c>
      <c r="BH24" s="185">
        <v>0.17007191281138787</v>
      </c>
      <c r="BI24" s="185">
        <v>0.17902306611725038</v>
      </c>
      <c r="BJ24" s="205">
        <v>213560</v>
      </c>
      <c r="BK24" s="205">
        <v>38522.754999999997</v>
      </c>
      <c r="BL24" s="185">
        <v>0.17136456850533807</v>
      </c>
      <c r="BM24" s="185">
        <v>0.18038375632140849</v>
      </c>
      <c r="BN24" s="205">
        <v>38522.754999999997</v>
      </c>
      <c r="BO24" s="185">
        <v>0.17136456850533807</v>
      </c>
      <c r="BP24" s="185">
        <f t="shared" si="36"/>
        <v>0.18038375632140849</v>
      </c>
      <c r="BQ24" s="205">
        <f t="shared" si="2"/>
        <v>26006.438289999998</v>
      </c>
      <c r="BR24" s="205"/>
      <c r="BS24" s="189" t="e">
        <f>#REF!+#REF!</f>
        <v>#REF!</v>
      </c>
      <c r="BT24" s="186" t="e">
        <f t="shared" si="37"/>
        <v>#REF!</v>
      </c>
      <c r="BU24" s="189" t="e">
        <f>#REF!+#REF!</f>
        <v>#REF!</v>
      </c>
      <c r="BV24" s="186" t="e">
        <f t="shared" si="38"/>
        <v>#REF!</v>
      </c>
      <c r="BW24" s="189" t="e">
        <f>#REF!+#REF!</f>
        <v>#REF!</v>
      </c>
      <c r="BX24" s="186" t="e">
        <f t="shared" si="39"/>
        <v>#REF!</v>
      </c>
      <c r="BY24" s="189" t="e">
        <f>#REF!+#REF!</f>
        <v>#REF!</v>
      </c>
      <c r="BZ24" s="186" t="e">
        <f t="shared" si="40"/>
        <v>#REF!</v>
      </c>
      <c r="CA24" s="189" t="e">
        <f>#REF!+#REF!</f>
        <v>#REF!</v>
      </c>
      <c r="CB24" s="186" t="e">
        <f t="shared" si="41"/>
        <v>#REF!</v>
      </c>
      <c r="CC24" s="189" t="e">
        <f>#REF!+#REF!</f>
        <v>#REF!</v>
      </c>
      <c r="CD24" s="186" t="e">
        <f t="shared" si="42"/>
        <v>#REF!</v>
      </c>
      <c r="CE24" s="189" t="e">
        <f>#REF!+#REF!</f>
        <v>#REF!</v>
      </c>
      <c r="CF24" s="186" t="e">
        <f t="shared" si="43"/>
        <v>#REF!</v>
      </c>
      <c r="CG24" s="189" t="e">
        <f>#REF!+#REF!</f>
        <v>#REF!</v>
      </c>
      <c r="CH24" s="186" t="e">
        <f t="shared" si="44"/>
        <v>#REF!</v>
      </c>
      <c r="CI24" s="189" t="e">
        <f>#REF!+#REF!</f>
        <v>#REF!</v>
      </c>
      <c r="CJ24" s="186" t="e">
        <f t="shared" si="45"/>
        <v>#REF!</v>
      </c>
      <c r="CK24" s="189" t="e">
        <f>#REF!+#REF!</f>
        <v>#REF!</v>
      </c>
      <c r="CL24" s="186" t="e">
        <f t="shared" si="46"/>
        <v>#REF!</v>
      </c>
      <c r="CM24" s="189" t="e">
        <f>#REF!+#REF!</f>
        <v>#REF!</v>
      </c>
      <c r="CN24" s="186" t="e">
        <f t="shared" si="47"/>
        <v>#REF!</v>
      </c>
      <c r="CO24" s="189" t="e">
        <f>#REF!+#REF!</f>
        <v>#REF!</v>
      </c>
      <c r="CP24" s="186" t="e">
        <f t="shared" si="48"/>
        <v>#REF!</v>
      </c>
      <c r="CQ24" s="189" t="e">
        <f>#REF!+#REF!</f>
        <v>#REF!</v>
      </c>
      <c r="CR24" s="186" t="e">
        <f t="shared" si="49"/>
        <v>#REF!</v>
      </c>
      <c r="CS24" s="213" t="str">
        <f t="shared" si="50"/>
        <v>Không đạt</v>
      </c>
      <c r="CT24" s="213" t="str">
        <f t="shared" si="51"/>
        <v>Không đạt</v>
      </c>
      <c r="CU24" s="213"/>
      <c r="CV24" s="213"/>
      <c r="CW24" s="213"/>
      <c r="CX24" s="163"/>
      <c r="CY24" s="232"/>
      <c r="CZ24" s="195"/>
      <c r="DA24" s="196"/>
      <c r="DB24" s="196"/>
      <c r="DC24" s="197"/>
      <c r="DD24" s="196"/>
      <c r="DE24" s="196"/>
      <c r="DF24" s="196"/>
      <c r="DH24" s="199"/>
      <c r="DI24" s="200"/>
      <c r="DJ24" s="181"/>
    </row>
    <row r="25" spans="1:116" s="233" customFormat="1" ht="33.6" customHeight="1" x14ac:dyDescent="0.25">
      <c r="A25" s="191">
        <v>9</v>
      </c>
      <c r="B25" s="210" t="s">
        <v>299</v>
      </c>
      <c r="C25" s="210"/>
      <c r="D25" s="205">
        <v>75000</v>
      </c>
      <c r="E25" s="205">
        <v>0</v>
      </c>
      <c r="F25" s="205">
        <v>75000</v>
      </c>
      <c r="G25" s="205">
        <v>0</v>
      </c>
      <c r="H25" s="205">
        <v>75000</v>
      </c>
      <c r="I25" s="205">
        <v>5000</v>
      </c>
      <c r="J25" s="205"/>
      <c r="K25" s="205">
        <v>0</v>
      </c>
      <c r="L25" s="205">
        <v>0</v>
      </c>
      <c r="M25" s="231"/>
      <c r="N25" s="231"/>
      <c r="O25" s="205">
        <v>5000</v>
      </c>
      <c r="P25" s="205">
        <v>0</v>
      </c>
      <c r="Q25" s="186">
        <v>0</v>
      </c>
      <c r="R25" s="205">
        <v>0</v>
      </c>
      <c r="S25" s="185">
        <v>0</v>
      </c>
      <c r="T25" s="185">
        <v>0</v>
      </c>
      <c r="U25" s="205">
        <v>0</v>
      </c>
      <c r="V25" s="185">
        <v>0</v>
      </c>
      <c r="W25" s="185">
        <v>0</v>
      </c>
      <c r="X25" s="205">
        <v>0</v>
      </c>
      <c r="Y25" s="185">
        <v>0</v>
      </c>
      <c r="Z25" s="185">
        <v>0</v>
      </c>
      <c r="AA25" s="205">
        <v>0</v>
      </c>
      <c r="AB25" s="185">
        <v>0</v>
      </c>
      <c r="AC25" s="185">
        <v>0</v>
      </c>
      <c r="AD25" s="205">
        <v>0</v>
      </c>
      <c r="AE25" s="185">
        <v>0</v>
      </c>
      <c r="AF25" s="185">
        <v>0</v>
      </c>
      <c r="AG25" s="205">
        <v>0</v>
      </c>
      <c r="AH25" s="185">
        <v>0</v>
      </c>
      <c r="AI25" s="185">
        <v>0</v>
      </c>
      <c r="AJ25" s="188">
        <v>0</v>
      </c>
      <c r="AK25" s="185">
        <v>0</v>
      </c>
      <c r="AL25" s="185">
        <v>0</v>
      </c>
      <c r="AM25" s="205">
        <v>0</v>
      </c>
      <c r="AN25" s="185">
        <v>0</v>
      </c>
      <c r="AO25" s="185">
        <v>0</v>
      </c>
      <c r="AP25" s="185"/>
      <c r="AQ25" s="205">
        <v>5000</v>
      </c>
      <c r="AR25" s="185">
        <v>6.6666666666666666E-2</v>
      </c>
      <c r="AS25" s="185">
        <v>7.0175438596491224E-2</v>
      </c>
      <c r="AT25" s="205">
        <v>5000</v>
      </c>
      <c r="AU25" s="185">
        <v>6.6666666666666666E-2</v>
      </c>
      <c r="AV25" s="185">
        <v>7.0175438596491224E-2</v>
      </c>
      <c r="AW25" s="185"/>
      <c r="AX25" s="185"/>
      <c r="AY25" s="185"/>
      <c r="AZ25" s="185"/>
      <c r="BA25" s="185"/>
      <c r="BB25" s="185"/>
      <c r="BC25" s="205">
        <v>5000</v>
      </c>
      <c r="BD25" s="185">
        <v>6.6666666666666666E-2</v>
      </c>
      <c r="BE25" s="185">
        <v>7.0175438596491224E-2</v>
      </c>
      <c r="BF25" s="205"/>
      <c r="BG25" s="205">
        <v>5000</v>
      </c>
      <c r="BH25" s="185">
        <v>6.6666666666666666E-2</v>
      </c>
      <c r="BI25" s="185">
        <v>7.0175438596491224E-2</v>
      </c>
      <c r="BJ25" s="205">
        <v>71250</v>
      </c>
      <c r="BK25" s="205">
        <v>10161.675017</v>
      </c>
      <c r="BL25" s="185">
        <v>0.13548900022666666</v>
      </c>
      <c r="BM25" s="185">
        <v>0.14262000023859647</v>
      </c>
      <c r="BN25" s="205">
        <v>10161.675017</v>
      </c>
      <c r="BO25" s="185">
        <v>0.13548900022666666</v>
      </c>
      <c r="BP25" s="185">
        <f t="shared" si="36"/>
        <v>0.14262000023859647</v>
      </c>
      <c r="BQ25" s="205">
        <f t="shared" si="2"/>
        <v>10161.675017</v>
      </c>
      <c r="BR25" s="205"/>
      <c r="BS25" s="189" t="e">
        <f>#REF!</f>
        <v>#REF!</v>
      </c>
      <c r="BT25" s="186" t="e">
        <f t="shared" si="37"/>
        <v>#REF!</v>
      </c>
      <c r="BU25" s="189" t="e">
        <f>#REF!</f>
        <v>#REF!</v>
      </c>
      <c r="BV25" s="186" t="e">
        <f t="shared" si="38"/>
        <v>#REF!</v>
      </c>
      <c r="BW25" s="189" t="e">
        <f>#REF!</f>
        <v>#REF!</v>
      </c>
      <c r="BX25" s="186" t="e">
        <f t="shared" si="39"/>
        <v>#REF!</v>
      </c>
      <c r="BY25" s="189" t="e">
        <f>#REF!</f>
        <v>#REF!</v>
      </c>
      <c r="BZ25" s="186" t="e">
        <f t="shared" si="40"/>
        <v>#REF!</v>
      </c>
      <c r="CA25" s="189" t="e">
        <f>#REF!</f>
        <v>#REF!</v>
      </c>
      <c r="CB25" s="186" t="e">
        <f t="shared" si="41"/>
        <v>#REF!</v>
      </c>
      <c r="CC25" s="189" t="e">
        <f>#REF!</f>
        <v>#REF!</v>
      </c>
      <c r="CD25" s="186" t="e">
        <f t="shared" si="42"/>
        <v>#REF!</v>
      </c>
      <c r="CE25" s="189" t="e">
        <f>#REF!</f>
        <v>#REF!</v>
      </c>
      <c r="CF25" s="186" t="e">
        <f t="shared" si="43"/>
        <v>#REF!</v>
      </c>
      <c r="CG25" s="189" t="e">
        <f>#REF!</f>
        <v>#REF!</v>
      </c>
      <c r="CH25" s="186" t="e">
        <f t="shared" si="44"/>
        <v>#REF!</v>
      </c>
      <c r="CI25" s="189" t="e">
        <f>#REF!</f>
        <v>#REF!</v>
      </c>
      <c r="CJ25" s="186" t="e">
        <f t="shared" si="45"/>
        <v>#REF!</v>
      </c>
      <c r="CK25" s="189" t="e">
        <f>#REF!</f>
        <v>#REF!</v>
      </c>
      <c r="CL25" s="186" t="e">
        <f t="shared" si="46"/>
        <v>#REF!</v>
      </c>
      <c r="CM25" s="189" t="e">
        <f>#REF!</f>
        <v>#REF!</v>
      </c>
      <c r="CN25" s="186" t="e">
        <f t="shared" si="47"/>
        <v>#REF!</v>
      </c>
      <c r="CO25" s="189" t="e">
        <f>#REF!</f>
        <v>#REF!</v>
      </c>
      <c r="CP25" s="186" t="e">
        <f t="shared" si="48"/>
        <v>#REF!</v>
      </c>
      <c r="CQ25" s="189" t="e">
        <f>#REF!</f>
        <v>#REF!</v>
      </c>
      <c r="CR25" s="186" t="e">
        <f t="shared" si="49"/>
        <v>#REF!</v>
      </c>
      <c r="CS25" s="213" t="str">
        <f t="shared" si="50"/>
        <v>Không đạt</v>
      </c>
      <c r="CT25" s="213" t="str">
        <f t="shared" si="51"/>
        <v>Không đạt</v>
      </c>
      <c r="CU25" s="213"/>
      <c r="CV25" s="213"/>
      <c r="CW25" s="213"/>
      <c r="CX25" s="163"/>
      <c r="CY25" s="232"/>
      <c r="CZ25" s="195"/>
      <c r="DA25" s="196"/>
      <c r="DB25" s="196"/>
      <c r="DC25" s="197"/>
      <c r="DD25" s="196"/>
      <c r="DE25" s="196"/>
      <c r="DF25" s="196"/>
      <c r="DH25" s="199"/>
      <c r="DI25" s="200"/>
      <c r="DJ25" s="181"/>
    </row>
    <row r="26" spans="1:116" s="233" customFormat="1" ht="18" customHeight="1" x14ac:dyDescent="0.25">
      <c r="A26" s="191">
        <v>10</v>
      </c>
      <c r="B26" s="210" t="s">
        <v>361</v>
      </c>
      <c r="C26" s="210"/>
      <c r="D26" s="205">
        <v>105673.814</v>
      </c>
      <c r="E26" s="205">
        <v>81153.813999999998</v>
      </c>
      <c r="F26" s="205">
        <v>24520</v>
      </c>
      <c r="G26" s="205">
        <v>24520</v>
      </c>
      <c r="H26" s="205">
        <v>0</v>
      </c>
      <c r="I26" s="205">
        <v>0</v>
      </c>
      <c r="J26" s="205"/>
      <c r="K26" s="205">
        <v>0</v>
      </c>
      <c r="L26" s="205">
        <v>0</v>
      </c>
      <c r="M26" s="205">
        <v>0</v>
      </c>
      <c r="N26" s="205">
        <v>0</v>
      </c>
      <c r="O26" s="205">
        <v>24520</v>
      </c>
      <c r="P26" s="205">
        <v>2805</v>
      </c>
      <c r="Q26" s="186">
        <v>2.6543945882373472E-2</v>
      </c>
      <c r="R26" s="205">
        <v>3745.926066</v>
      </c>
      <c r="S26" s="185">
        <v>3.6426633357843193E-2</v>
      </c>
      <c r="T26" s="185">
        <v>3.681472176464444E-2</v>
      </c>
      <c r="U26" s="205">
        <v>3745.926066</v>
      </c>
      <c r="V26" s="185">
        <v>3.6426633357843193E-2</v>
      </c>
      <c r="W26" s="185">
        <v>3.681472176464444E-2</v>
      </c>
      <c r="X26" s="205">
        <v>3745.926066</v>
      </c>
      <c r="Y26" s="185">
        <v>3.6426633357843193E-2</v>
      </c>
      <c r="Z26" s="185">
        <v>3.681472176464444E-2</v>
      </c>
      <c r="AA26" s="205">
        <v>3745.926066</v>
      </c>
      <c r="AB26" s="185">
        <v>3.6426633357843193E-2</v>
      </c>
      <c r="AC26" s="185">
        <v>3.681472176464444E-2</v>
      </c>
      <c r="AD26" s="205">
        <v>3745.926066</v>
      </c>
      <c r="AE26" s="185">
        <v>3.6426633357843193E-2</v>
      </c>
      <c r="AF26" s="185">
        <v>3.681472176464444E-2</v>
      </c>
      <c r="AG26" s="205">
        <v>3745.926066</v>
      </c>
      <c r="AH26" s="185">
        <v>3.6426633357843193E-2</v>
      </c>
      <c r="AI26" s="185">
        <v>3.681472176464444E-2</v>
      </c>
      <c r="AJ26" s="205">
        <v>3745.926066</v>
      </c>
      <c r="AK26" s="185">
        <v>3.6426633357843193E-2</v>
      </c>
      <c r="AL26" s="185">
        <v>3.681472176464444E-2</v>
      </c>
      <c r="AM26" s="205">
        <v>3745.926066</v>
      </c>
      <c r="AN26" s="185">
        <v>3.6426633357843193E-2</v>
      </c>
      <c r="AO26" s="185">
        <v>3.681472176464444E-2</v>
      </c>
      <c r="AP26" s="185"/>
      <c r="AQ26" s="205">
        <v>4496.1298120000001</v>
      </c>
      <c r="AR26" s="185">
        <v>4.3721864581774808E-2</v>
      </c>
      <c r="AS26" s="185">
        <v>4.4187676192780238E-2</v>
      </c>
      <c r="AT26" s="205">
        <v>4496.1298120000001</v>
      </c>
      <c r="AU26" s="185">
        <v>4.3721864581774808E-2</v>
      </c>
      <c r="AV26" s="185">
        <v>4.4187676192780238E-2</v>
      </c>
      <c r="AW26" s="185"/>
      <c r="AX26" s="185"/>
      <c r="AY26" s="185"/>
      <c r="AZ26" s="185"/>
      <c r="BA26" s="185"/>
      <c r="BB26" s="185"/>
      <c r="BC26" s="205">
        <v>4496.1298120000001</v>
      </c>
      <c r="BD26" s="185">
        <v>4.3721864581774808E-2</v>
      </c>
      <c r="BE26" s="185">
        <v>4.4187676192780238E-2</v>
      </c>
      <c r="BF26" s="205"/>
      <c r="BG26" s="205">
        <v>9330.2816659999989</v>
      </c>
      <c r="BH26" s="185">
        <v>8.8293223390233641E-2</v>
      </c>
      <c r="BI26" s="185">
        <v>8.9329602111155718E-2</v>
      </c>
      <c r="BJ26" s="205">
        <v>104447.814</v>
      </c>
      <c r="BK26" s="205">
        <v>9330.2816659999989</v>
      </c>
      <c r="BL26" s="185">
        <v>8.8293223390233641E-2</v>
      </c>
      <c r="BM26" s="185">
        <v>8.9329602111155718E-2</v>
      </c>
      <c r="BN26" s="205">
        <v>9330.2816659999989</v>
      </c>
      <c r="BO26" s="185">
        <v>8.8293223390233641E-2</v>
      </c>
      <c r="BP26" s="185">
        <f t="shared" si="36"/>
        <v>8.9329602111155718E-2</v>
      </c>
      <c r="BQ26" s="205">
        <f t="shared" si="2"/>
        <v>5584.355599999999</v>
      </c>
      <c r="BR26" s="205"/>
      <c r="BS26" s="189" t="e">
        <f>#REF!+#REF!+#REF!</f>
        <v>#REF!</v>
      </c>
      <c r="BT26" s="186" t="e">
        <f t="shared" si="37"/>
        <v>#REF!</v>
      </c>
      <c r="BU26" s="189" t="e">
        <f>#REF!+#REF!+#REF!</f>
        <v>#REF!</v>
      </c>
      <c r="BV26" s="186" t="e">
        <f t="shared" si="38"/>
        <v>#REF!</v>
      </c>
      <c r="BW26" s="189" t="e">
        <f>#REF!+#REF!+#REF!</f>
        <v>#REF!</v>
      </c>
      <c r="BX26" s="186" t="e">
        <f t="shared" si="39"/>
        <v>#REF!</v>
      </c>
      <c r="BY26" s="189" t="e">
        <f>#REF!+#REF!+#REF!</f>
        <v>#REF!</v>
      </c>
      <c r="BZ26" s="186" t="e">
        <f t="shared" si="40"/>
        <v>#REF!</v>
      </c>
      <c r="CA26" s="189" t="e">
        <f>#REF!+#REF!+#REF!</f>
        <v>#REF!</v>
      </c>
      <c r="CB26" s="186" t="e">
        <f t="shared" si="41"/>
        <v>#REF!</v>
      </c>
      <c r="CC26" s="189" t="e">
        <f>#REF!+#REF!+#REF!</f>
        <v>#REF!</v>
      </c>
      <c r="CD26" s="186" t="e">
        <f t="shared" si="42"/>
        <v>#REF!</v>
      </c>
      <c r="CE26" s="189" t="e">
        <f>#REF!+#REF!+#REF!</f>
        <v>#REF!</v>
      </c>
      <c r="CF26" s="186" t="e">
        <f t="shared" si="43"/>
        <v>#REF!</v>
      </c>
      <c r="CG26" s="189" t="e">
        <f>#REF!+#REF!+#REF!</f>
        <v>#REF!</v>
      </c>
      <c r="CH26" s="186" t="e">
        <f t="shared" si="44"/>
        <v>#REF!</v>
      </c>
      <c r="CI26" s="189" t="e">
        <f>#REF!+#REF!+#REF!</f>
        <v>#REF!</v>
      </c>
      <c r="CJ26" s="186" t="e">
        <f t="shared" si="45"/>
        <v>#REF!</v>
      </c>
      <c r="CK26" s="189" t="e">
        <f>#REF!+#REF!+#REF!</f>
        <v>#REF!</v>
      </c>
      <c r="CL26" s="186" t="e">
        <f t="shared" si="46"/>
        <v>#REF!</v>
      </c>
      <c r="CM26" s="189" t="e">
        <f>#REF!+#REF!+#REF!</f>
        <v>#REF!</v>
      </c>
      <c r="CN26" s="186" t="e">
        <f t="shared" si="47"/>
        <v>#REF!</v>
      </c>
      <c r="CO26" s="189" t="e">
        <f>#REF!+#REF!+#REF!</f>
        <v>#REF!</v>
      </c>
      <c r="CP26" s="186" t="e">
        <f t="shared" si="48"/>
        <v>#REF!</v>
      </c>
      <c r="CQ26" s="189" t="e">
        <f>#REF!+#REF!+#REF!</f>
        <v>#REF!</v>
      </c>
      <c r="CR26" s="186" t="e">
        <f t="shared" si="49"/>
        <v>#REF!</v>
      </c>
      <c r="CS26" s="213" t="str">
        <f t="shared" si="50"/>
        <v>Không đạt</v>
      </c>
      <c r="CT26" s="213" t="str">
        <f t="shared" si="51"/>
        <v>Không đạt</v>
      </c>
      <c r="CU26" s="213"/>
      <c r="CV26" s="213"/>
      <c r="CW26" s="213"/>
      <c r="CX26" s="163"/>
      <c r="CY26" s="232"/>
      <c r="CZ26" s="195"/>
      <c r="DA26" s="196"/>
      <c r="DB26" s="196"/>
      <c r="DC26" s="197"/>
      <c r="DD26" s="196"/>
      <c r="DE26" s="196"/>
      <c r="DF26" s="196"/>
      <c r="DH26" s="199"/>
      <c r="DI26" s="200"/>
      <c r="DJ26" s="181"/>
    </row>
    <row r="27" spans="1:116" s="233" customFormat="1" ht="18" customHeight="1" x14ac:dyDescent="0.25">
      <c r="A27" s="191">
        <v>11</v>
      </c>
      <c r="B27" s="210" t="s">
        <v>348</v>
      </c>
      <c r="C27" s="210"/>
      <c r="D27" s="205">
        <v>150000</v>
      </c>
      <c r="E27" s="205">
        <v>0</v>
      </c>
      <c r="F27" s="205">
        <v>150000</v>
      </c>
      <c r="G27" s="205">
        <v>80000</v>
      </c>
      <c r="H27" s="205">
        <v>70000</v>
      </c>
      <c r="I27" s="205">
        <v>0</v>
      </c>
      <c r="J27" s="205"/>
      <c r="K27" s="205">
        <v>0</v>
      </c>
      <c r="L27" s="205">
        <v>0</v>
      </c>
      <c r="M27" s="231"/>
      <c r="N27" s="231"/>
      <c r="O27" s="205">
        <v>80000</v>
      </c>
      <c r="P27" s="205">
        <v>1444</v>
      </c>
      <c r="Q27" s="186">
        <v>9.6266666666666671E-3</v>
      </c>
      <c r="R27" s="205">
        <v>1444</v>
      </c>
      <c r="S27" s="185">
        <v>9.6266666666666671E-3</v>
      </c>
      <c r="T27" s="185">
        <v>1.0133333333333333E-2</v>
      </c>
      <c r="U27" s="205">
        <v>1444.167211</v>
      </c>
      <c r="V27" s="185">
        <v>9.6277814066666658E-3</v>
      </c>
      <c r="W27" s="185">
        <v>1.0134506743859649E-2</v>
      </c>
      <c r="X27" s="205">
        <v>1444.167211</v>
      </c>
      <c r="Y27" s="185">
        <v>9.6277814066666658E-3</v>
      </c>
      <c r="Z27" s="185">
        <v>1.0134506743859649E-2</v>
      </c>
      <c r="AA27" s="205">
        <v>1444.167211</v>
      </c>
      <c r="AB27" s="185">
        <v>9.6277814066666658E-3</v>
      </c>
      <c r="AC27" s="185">
        <v>1.0134506743859649E-2</v>
      </c>
      <c r="AD27" s="205">
        <v>2104.827601</v>
      </c>
      <c r="AE27" s="185">
        <v>1.4032184006666667E-2</v>
      </c>
      <c r="AF27" s="185">
        <v>1.4770720007017544E-2</v>
      </c>
      <c r="AG27" s="205">
        <v>2104.827601</v>
      </c>
      <c r="AH27" s="185">
        <v>1.4032184006666667E-2</v>
      </c>
      <c r="AI27" s="185">
        <v>1.4770720007017544E-2</v>
      </c>
      <c r="AJ27" s="189">
        <v>2104.827601</v>
      </c>
      <c r="AK27" s="185">
        <v>1.4032184006666667E-2</v>
      </c>
      <c r="AL27" s="185">
        <v>1.4770720007017544E-2</v>
      </c>
      <c r="AM27" s="205">
        <v>2124</v>
      </c>
      <c r="AN27" s="185">
        <v>1.4160000000000001E-2</v>
      </c>
      <c r="AO27" s="185">
        <v>1.4905263157894737E-2</v>
      </c>
      <c r="AP27" s="185"/>
      <c r="AQ27" s="205">
        <v>2124</v>
      </c>
      <c r="AR27" s="185">
        <v>1.4160000000000001E-2</v>
      </c>
      <c r="AS27" s="185">
        <v>1.4905263157894737E-2</v>
      </c>
      <c r="AT27" s="205">
        <v>2124</v>
      </c>
      <c r="AU27" s="185">
        <v>1.4160000000000001E-2</v>
      </c>
      <c r="AV27" s="185">
        <v>1.4905263157894737E-2</v>
      </c>
      <c r="AW27" s="185"/>
      <c r="AX27" s="185"/>
      <c r="AY27" s="185"/>
      <c r="AZ27" s="185"/>
      <c r="BA27" s="185"/>
      <c r="BB27" s="185"/>
      <c r="BC27" s="205">
        <v>2124</v>
      </c>
      <c r="BD27" s="185">
        <v>1.4160000000000001E-2</v>
      </c>
      <c r="BE27" s="185">
        <v>1.4905263157894737E-2</v>
      </c>
      <c r="BF27" s="205"/>
      <c r="BG27" s="205">
        <v>2759</v>
      </c>
      <c r="BH27" s="185">
        <v>1.8393333333333334E-2</v>
      </c>
      <c r="BI27" s="185">
        <v>1.936140350877193E-2</v>
      </c>
      <c r="BJ27" s="205">
        <v>142500</v>
      </c>
      <c r="BK27" s="205">
        <v>2796.7367669999999</v>
      </c>
      <c r="BL27" s="185">
        <v>1.8644911779999999E-2</v>
      </c>
      <c r="BM27" s="185">
        <v>1.962622292631579E-2</v>
      </c>
      <c r="BN27" s="205">
        <v>2796.7367669999999</v>
      </c>
      <c r="BO27" s="185">
        <v>1.8644911779999999E-2</v>
      </c>
      <c r="BP27" s="185">
        <f t="shared" si="36"/>
        <v>1.962622292631579E-2</v>
      </c>
      <c r="BQ27" s="205">
        <f t="shared" si="2"/>
        <v>691.90916599999991</v>
      </c>
      <c r="BR27" s="205"/>
      <c r="BS27" s="189" t="e">
        <f>#REF!</f>
        <v>#REF!</v>
      </c>
      <c r="BT27" s="186" t="e">
        <f t="shared" si="37"/>
        <v>#REF!</v>
      </c>
      <c r="BU27" s="189" t="e">
        <f>#REF!</f>
        <v>#REF!</v>
      </c>
      <c r="BV27" s="186" t="e">
        <f t="shared" si="38"/>
        <v>#REF!</v>
      </c>
      <c r="BW27" s="189" t="e">
        <f>#REF!</f>
        <v>#REF!</v>
      </c>
      <c r="BX27" s="186" t="e">
        <f t="shared" si="39"/>
        <v>#REF!</v>
      </c>
      <c r="BY27" s="189" t="e">
        <f>#REF!</f>
        <v>#REF!</v>
      </c>
      <c r="BZ27" s="186" t="e">
        <f t="shared" si="40"/>
        <v>#REF!</v>
      </c>
      <c r="CA27" s="189" t="e">
        <f>#REF!</f>
        <v>#REF!</v>
      </c>
      <c r="CB27" s="186" t="e">
        <f t="shared" si="41"/>
        <v>#REF!</v>
      </c>
      <c r="CC27" s="189" t="e">
        <f>#REF!</f>
        <v>#REF!</v>
      </c>
      <c r="CD27" s="186" t="e">
        <f t="shared" si="42"/>
        <v>#REF!</v>
      </c>
      <c r="CE27" s="189" t="e">
        <f>#REF!</f>
        <v>#REF!</v>
      </c>
      <c r="CF27" s="186" t="e">
        <f t="shared" si="43"/>
        <v>#REF!</v>
      </c>
      <c r="CG27" s="189" t="e">
        <f>#REF!</f>
        <v>#REF!</v>
      </c>
      <c r="CH27" s="186" t="e">
        <f t="shared" si="44"/>
        <v>#REF!</v>
      </c>
      <c r="CI27" s="189" t="e">
        <f>#REF!</f>
        <v>#REF!</v>
      </c>
      <c r="CJ27" s="186" t="e">
        <f t="shared" si="45"/>
        <v>#REF!</v>
      </c>
      <c r="CK27" s="189" t="e">
        <f>#REF!</f>
        <v>#REF!</v>
      </c>
      <c r="CL27" s="186" t="e">
        <f t="shared" si="46"/>
        <v>#REF!</v>
      </c>
      <c r="CM27" s="189" t="e">
        <f>#REF!</f>
        <v>#REF!</v>
      </c>
      <c r="CN27" s="186" t="e">
        <f t="shared" si="47"/>
        <v>#REF!</v>
      </c>
      <c r="CO27" s="189" t="e">
        <f>#REF!</f>
        <v>#REF!</v>
      </c>
      <c r="CP27" s="186" t="e">
        <f t="shared" si="48"/>
        <v>#REF!</v>
      </c>
      <c r="CQ27" s="189" t="e">
        <f>#REF!</f>
        <v>#REF!</v>
      </c>
      <c r="CR27" s="186" t="e">
        <f t="shared" si="49"/>
        <v>#REF!</v>
      </c>
      <c r="CS27" s="213" t="str">
        <f t="shared" si="50"/>
        <v>Không đạt</v>
      </c>
      <c r="CT27" s="213" t="str">
        <f t="shared" si="51"/>
        <v>Không đạt</v>
      </c>
      <c r="CU27" s="213"/>
      <c r="CV27" s="213"/>
      <c r="CW27" s="213"/>
      <c r="CX27" s="163"/>
      <c r="CY27" s="232"/>
      <c r="CZ27" s="195"/>
      <c r="DA27" s="196"/>
      <c r="DB27" s="196"/>
      <c r="DC27" s="197"/>
      <c r="DD27" s="196"/>
      <c r="DE27" s="196"/>
      <c r="DF27" s="196"/>
      <c r="DH27" s="199"/>
      <c r="DI27" s="200"/>
      <c r="DJ27" s="181"/>
    </row>
    <row r="28" spans="1:116" s="233" customFormat="1" ht="18" customHeight="1" x14ac:dyDescent="0.25">
      <c r="A28" s="213">
        <v>12</v>
      </c>
      <c r="B28" s="240" t="s">
        <v>372</v>
      </c>
      <c r="C28" s="240"/>
      <c r="D28" s="188">
        <v>8600</v>
      </c>
      <c r="E28" s="188">
        <v>8600</v>
      </c>
      <c r="F28" s="188">
        <v>0</v>
      </c>
      <c r="G28" s="188">
        <v>0</v>
      </c>
      <c r="H28" s="188">
        <v>0</v>
      </c>
      <c r="I28" s="188">
        <v>0</v>
      </c>
      <c r="J28" s="188">
        <v>0</v>
      </c>
      <c r="K28" s="188">
        <v>0</v>
      </c>
      <c r="L28" s="188">
        <v>0</v>
      </c>
      <c r="M28" s="188">
        <v>0</v>
      </c>
      <c r="N28" s="188">
        <v>0</v>
      </c>
      <c r="O28" s="188">
        <v>0</v>
      </c>
      <c r="P28" s="188">
        <v>0</v>
      </c>
      <c r="Q28" s="188">
        <v>0</v>
      </c>
      <c r="R28" s="188">
        <v>0</v>
      </c>
      <c r="S28" s="188">
        <v>0</v>
      </c>
      <c r="T28" s="188">
        <v>0</v>
      </c>
      <c r="U28" s="188">
        <v>0</v>
      </c>
      <c r="V28" s="188">
        <v>0</v>
      </c>
      <c r="W28" s="188">
        <v>0</v>
      </c>
      <c r="X28" s="188">
        <v>0</v>
      </c>
      <c r="Y28" s="188">
        <v>0</v>
      </c>
      <c r="Z28" s="188">
        <v>0</v>
      </c>
      <c r="AA28" s="188">
        <v>0</v>
      </c>
      <c r="AB28" s="188">
        <v>0</v>
      </c>
      <c r="AC28" s="188">
        <v>0</v>
      </c>
      <c r="AD28" s="188">
        <v>0</v>
      </c>
      <c r="AE28" s="188">
        <v>0</v>
      </c>
      <c r="AF28" s="188">
        <v>0</v>
      </c>
      <c r="AG28" s="188">
        <v>0</v>
      </c>
      <c r="AH28" s="188">
        <v>0</v>
      </c>
      <c r="AI28" s="188">
        <v>0</v>
      </c>
      <c r="AJ28" s="188">
        <v>0</v>
      </c>
      <c r="AK28" s="188">
        <v>0</v>
      </c>
      <c r="AL28" s="188">
        <v>0</v>
      </c>
      <c r="AM28" s="188">
        <v>0</v>
      </c>
      <c r="AN28" s="188">
        <v>0</v>
      </c>
      <c r="AO28" s="188">
        <v>0</v>
      </c>
      <c r="AP28" s="188">
        <v>0</v>
      </c>
      <c r="AQ28" s="188">
        <v>0</v>
      </c>
      <c r="AR28" s="188">
        <v>0</v>
      </c>
      <c r="AS28" s="188">
        <v>0</v>
      </c>
      <c r="AT28" s="188">
        <v>0</v>
      </c>
      <c r="AU28" s="188">
        <v>0</v>
      </c>
      <c r="AV28" s="188">
        <v>0</v>
      </c>
      <c r="AW28" s="188">
        <v>0</v>
      </c>
      <c r="AX28" s="188">
        <v>0</v>
      </c>
      <c r="AY28" s="188">
        <v>0</v>
      </c>
      <c r="AZ28" s="188">
        <v>0</v>
      </c>
      <c r="BA28" s="188">
        <v>0</v>
      </c>
      <c r="BB28" s="188">
        <v>0</v>
      </c>
      <c r="BC28" s="231"/>
      <c r="BD28" s="296"/>
      <c r="BE28" s="296"/>
      <c r="BF28" s="231"/>
      <c r="BG28" s="231"/>
      <c r="BH28" s="296">
        <v>0</v>
      </c>
      <c r="BI28" s="296">
        <v>0</v>
      </c>
      <c r="BJ28" s="403">
        <v>8600</v>
      </c>
      <c r="BK28" s="403">
        <v>0</v>
      </c>
      <c r="BL28" s="296">
        <v>0</v>
      </c>
      <c r="BM28" s="296">
        <v>0</v>
      </c>
      <c r="BN28" s="231">
        <v>0</v>
      </c>
      <c r="BO28" s="296">
        <v>0</v>
      </c>
      <c r="BP28" s="296">
        <f t="shared" si="36"/>
        <v>0</v>
      </c>
      <c r="BQ28" s="205"/>
      <c r="BR28" s="205"/>
      <c r="BS28" s="297"/>
      <c r="BT28" s="298"/>
      <c r="BU28" s="297"/>
      <c r="BV28" s="298"/>
      <c r="BW28" s="297"/>
      <c r="BX28" s="298"/>
      <c r="BY28" s="297"/>
      <c r="BZ28" s="298"/>
      <c r="CA28" s="297"/>
      <c r="CB28" s="298"/>
      <c r="CC28" s="297"/>
      <c r="CD28" s="298"/>
      <c r="CE28" s="297"/>
      <c r="CF28" s="298"/>
      <c r="CG28" s="297"/>
      <c r="CH28" s="298"/>
      <c r="CI28" s="297"/>
      <c r="CJ28" s="298"/>
      <c r="CK28" s="297"/>
      <c r="CL28" s="298"/>
      <c r="CM28" s="297"/>
      <c r="CN28" s="298"/>
      <c r="CO28" s="297"/>
      <c r="CP28" s="298"/>
      <c r="CQ28" s="297"/>
      <c r="CR28" s="298"/>
      <c r="CS28" s="213" t="str">
        <f t="shared" si="50"/>
        <v>Không đạt</v>
      </c>
      <c r="CT28" s="213" t="str">
        <f t="shared" si="51"/>
        <v>Không đạt</v>
      </c>
      <c r="CU28" s="213"/>
      <c r="CV28" s="213"/>
      <c r="CW28" s="213"/>
      <c r="CX28" s="163"/>
      <c r="CY28" s="232"/>
      <c r="CZ28" s="195"/>
      <c r="DA28" s="196"/>
      <c r="DB28" s="196"/>
      <c r="DC28" s="197"/>
      <c r="DD28" s="196"/>
      <c r="DE28" s="196"/>
      <c r="DF28" s="196"/>
      <c r="DH28" s="199"/>
      <c r="DI28" s="200"/>
      <c r="DJ28" s="181"/>
    </row>
    <row r="29" spans="1:116" s="255" customFormat="1" ht="18" customHeight="1" x14ac:dyDescent="0.25">
      <c r="A29" s="191">
        <v>13</v>
      </c>
      <c r="B29" s="210" t="s">
        <v>369</v>
      </c>
      <c r="C29" s="210"/>
      <c r="D29" s="188">
        <v>37182.199999999997</v>
      </c>
      <c r="E29" s="188">
        <v>37182.199999999997</v>
      </c>
      <c r="F29" s="188">
        <v>0</v>
      </c>
      <c r="G29" s="188">
        <v>0</v>
      </c>
      <c r="H29" s="188">
        <v>0</v>
      </c>
      <c r="I29" s="188">
        <v>0</v>
      </c>
      <c r="J29" s="188"/>
      <c r="K29" s="188">
        <v>0</v>
      </c>
      <c r="L29" s="188">
        <v>0</v>
      </c>
      <c r="M29" s="188">
        <v>0</v>
      </c>
      <c r="N29" s="188">
        <v>0</v>
      </c>
      <c r="O29" s="188">
        <v>0</v>
      </c>
      <c r="P29" s="188">
        <v>0</v>
      </c>
      <c r="Q29" s="186">
        <v>0</v>
      </c>
      <c r="R29" s="188">
        <v>0</v>
      </c>
      <c r="S29" s="185">
        <v>0</v>
      </c>
      <c r="T29" s="185">
        <v>0</v>
      </c>
      <c r="U29" s="188">
        <v>0</v>
      </c>
      <c r="V29" s="185">
        <v>0</v>
      </c>
      <c r="W29" s="185">
        <v>0</v>
      </c>
      <c r="X29" s="188">
        <v>0</v>
      </c>
      <c r="Y29" s="185">
        <v>0</v>
      </c>
      <c r="Z29" s="185">
        <v>0</v>
      </c>
      <c r="AA29" s="188">
        <v>0</v>
      </c>
      <c r="AB29" s="185">
        <v>0</v>
      </c>
      <c r="AC29" s="185">
        <v>0</v>
      </c>
      <c r="AD29" s="188">
        <v>0</v>
      </c>
      <c r="AE29" s="185">
        <v>0</v>
      </c>
      <c r="AF29" s="185">
        <v>0</v>
      </c>
      <c r="AG29" s="188">
        <v>0</v>
      </c>
      <c r="AH29" s="185">
        <v>0</v>
      </c>
      <c r="AI29" s="185">
        <v>0</v>
      </c>
      <c r="AJ29" s="188">
        <v>0</v>
      </c>
      <c r="AK29" s="185">
        <v>0</v>
      </c>
      <c r="AL29" s="185">
        <v>0</v>
      </c>
      <c r="AM29" s="188">
        <v>0</v>
      </c>
      <c r="AN29" s="185">
        <v>0</v>
      </c>
      <c r="AO29" s="185">
        <v>0</v>
      </c>
      <c r="AP29" s="185"/>
      <c r="AQ29" s="188">
        <v>0</v>
      </c>
      <c r="AR29" s="185">
        <v>0</v>
      </c>
      <c r="AS29" s="185">
        <v>0</v>
      </c>
      <c r="AT29" s="188">
        <v>0</v>
      </c>
      <c r="AU29" s="185">
        <v>0</v>
      </c>
      <c r="AV29" s="185">
        <v>0</v>
      </c>
      <c r="AW29" s="185"/>
      <c r="AX29" s="185"/>
      <c r="AY29" s="185"/>
      <c r="AZ29" s="185"/>
      <c r="BA29" s="185"/>
      <c r="BB29" s="185"/>
      <c r="BC29" s="188">
        <v>0</v>
      </c>
      <c r="BD29" s="185">
        <v>0</v>
      </c>
      <c r="BE29" s="185">
        <v>0</v>
      </c>
      <c r="BF29" s="188"/>
      <c r="BG29" s="188">
        <v>0</v>
      </c>
      <c r="BH29" s="185">
        <v>0</v>
      </c>
      <c r="BI29" s="185">
        <v>0</v>
      </c>
      <c r="BJ29" s="188">
        <v>37182.199999999997</v>
      </c>
      <c r="BK29" s="188">
        <v>0</v>
      </c>
      <c r="BL29" s="185">
        <v>0</v>
      </c>
      <c r="BM29" s="185">
        <v>0</v>
      </c>
      <c r="BN29" s="188">
        <v>0</v>
      </c>
      <c r="BO29" s="185">
        <v>0</v>
      </c>
      <c r="BP29" s="185">
        <f t="shared" si="36"/>
        <v>0</v>
      </c>
      <c r="BQ29" s="205">
        <f>BN29-AD29</f>
        <v>0</v>
      </c>
      <c r="BR29" s="205"/>
      <c r="BS29" s="189" t="e">
        <f>#REF!</f>
        <v>#REF!</v>
      </c>
      <c r="BT29" s="186" t="e">
        <f>BS29/$D29</f>
        <v>#REF!</v>
      </c>
      <c r="BU29" s="189" t="e">
        <f>#REF!</f>
        <v>#REF!</v>
      </c>
      <c r="BV29" s="186" t="e">
        <f>BU29/$D29</f>
        <v>#REF!</v>
      </c>
      <c r="BW29" s="189" t="e">
        <f>#REF!</f>
        <v>#REF!</v>
      </c>
      <c r="BX29" s="186" t="e">
        <f>BW29/$D29</f>
        <v>#REF!</v>
      </c>
      <c r="BY29" s="189" t="e">
        <f>#REF!</f>
        <v>#REF!</v>
      </c>
      <c r="BZ29" s="186" t="e">
        <f>BY29/$D29</f>
        <v>#REF!</v>
      </c>
      <c r="CA29" s="189" t="e">
        <f>#REF!</f>
        <v>#REF!</v>
      </c>
      <c r="CB29" s="186" t="e">
        <f>CA29/$D29</f>
        <v>#REF!</v>
      </c>
      <c r="CC29" s="189" t="e">
        <f>#REF!</f>
        <v>#REF!</v>
      </c>
      <c r="CD29" s="186" t="e">
        <f>CC29/$D29</f>
        <v>#REF!</v>
      </c>
      <c r="CE29" s="189" t="e">
        <f>#REF!</f>
        <v>#REF!</v>
      </c>
      <c r="CF29" s="186" t="e">
        <f>CE29/$D29</f>
        <v>#REF!</v>
      </c>
      <c r="CG29" s="189" t="e">
        <f>#REF!</f>
        <v>#REF!</v>
      </c>
      <c r="CH29" s="186" t="e">
        <f>CG29/$D29</f>
        <v>#REF!</v>
      </c>
      <c r="CI29" s="189" t="e">
        <f>#REF!</f>
        <v>#REF!</v>
      </c>
      <c r="CJ29" s="186" t="e">
        <f>CI29/$D29</f>
        <v>#REF!</v>
      </c>
      <c r="CK29" s="189" t="e">
        <f>#REF!</f>
        <v>#REF!</v>
      </c>
      <c r="CL29" s="186" t="e">
        <f>CK29/$D29</f>
        <v>#REF!</v>
      </c>
      <c r="CM29" s="189" t="e">
        <f>#REF!</f>
        <v>#REF!</v>
      </c>
      <c r="CN29" s="186" t="e">
        <f>CM29/$D29</f>
        <v>#REF!</v>
      </c>
      <c r="CO29" s="189" t="e">
        <f>#REF!</f>
        <v>#REF!</v>
      </c>
      <c r="CP29" s="186" t="e">
        <f>CO29/$D29</f>
        <v>#REF!</v>
      </c>
      <c r="CQ29" s="189" t="e">
        <f>#REF!</f>
        <v>#REF!</v>
      </c>
      <c r="CR29" s="186" t="e">
        <f>CQ29/$D29</f>
        <v>#REF!</v>
      </c>
      <c r="CS29" s="213" t="str">
        <f t="shared" si="50"/>
        <v>Không đạt</v>
      </c>
      <c r="CT29" s="213" t="str">
        <f t="shared" si="51"/>
        <v>Không đạt</v>
      </c>
      <c r="CU29" s="213"/>
      <c r="CV29" s="213"/>
      <c r="CW29" s="231"/>
      <c r="CX29" s="163"/>
      <c r="CY29" s="252"/>
      <c r="CZ29" s="195"/>
      <c r="DA29" s="196"/>
      <c r="DB29" s="196"/>
      <c r="DC29" s="197"/>
      <c r="DD29" s="196"/>
      <c r="DE29" s="196"/>
      <c r="DF29" s="196"/>
      <c r="DH29" s="199"/>
      <c r="DI29" s="200"/>
      <c r="DJ29" s="181"/>
    </row>
    <row r="30" spans="1:116" ht="21" customHeight="1" x14ac:dyDescent="0.25">
      <c r="A30" s="201" t="s">
        <v>39</v>
      </c>
      <c r="B30" s="202" t="s">
        <v>374</v>
      </c>
      <c r="C30" s="202"/>
      <c r="D30" s="294">
        <v>1727797.6095059998</v>
      </c>
      <c r="E30" s="294">
        <v>378200.110506</v>
      </c>
      <c r="F30" s="294">
        <v>1349597.4989999998</v>
      </c>
      <c r="G30" s="294">
        <v>401730.89</v>
      </c>
      <c r="H30" s="294">
        <v>947866.60900000005</v>
      </c>
      <c r="I30" s="294">
        <v>81004</v>
      </c>
      <c r="J30" s="294"/>
      <c r="K30" s="294">
        <v>0</v>
      </c>
      <c r="L30" s="294">
        <v>0</v>
      </c>
      <c r="M30" s="223"/>
      <c r="N30" s="223"/>
      <c r="O30" s="294">
        <v>482734.89</v>
      </c>
      <c r="P30" s="294">
        <v>24510.100999999999</v>
      </c>
      <c r="Q30" s="299">
        <v>1.4185747720190307E-2</v>
      </c>
      <c r="R30" s="294">
        <v>40719.270420000001</v>
      </c>
      <c r="S30" s="300">
        <v>2.3562119302725427E-2</v>
      </c>
      <c r="T30" s="300">
        <v>2.451980822200554E-2</v>
      </c>
      <c r="U30" s="294">
        <v>79316.279105999987</v>
      </c>
      <c r="V30" s="300">
        <v>4.5896196362740227E-2</v>
      </c>
      <c r="W30" s="300">
        <v>4.7761660081388671E-2</v>
      </c>
      <c r="X30" s="294">
        <v>82356.979905999993</v>
      </c>
      <c r="Y30" s="300">
        <v>4.7655691419368325E-2</v>
      </c>
      <c r="Z30" s="300">
        <v>4.9592670305969679E-2</v>
      </c>
      <c r="AA30" s="294">
        <v>82734.525905999981</v>
      </c>
      <c r="AB30" s="300">
        <v>4.7874157610007566E-2</v>
      </c>
      <c r="AC30" s="300">
        <v>4.982001611593876E-2</v>
      </c>
      <c r="AD30" s="294">
        <v>141967.37896</v>
      </c>
      <c r="AE30" s="300">
        <v>8.2149122163735266E-2</v>
      </c>
      <c r="AF30" s="300">
        <v>8.548809617596248E-2</v>
      </c>
      <c r="AG30" s="294">
        <v>142152.37896</v>
      </c>
      <c r="AH30" s="300">
        <v>8.225617202062227E-2</v>
      </c>
      <c r="AI30" s="300">
        <v>8.5599497104178593E-2</v>
      </c>
      <c r="AJ30" s="189">
        <v>142152.37896</v>
      </c>
      <c r="AK30" s="300">
        <v>8.225617202062227E-2</v>
      </c>
      <c r="AL30" s="300">
        <v>8.5599497104178593E-2</v>
      </c>
      <c r="AM30" s="294">
        <v>166967.77625999998</v>
      </c>
      <c r="AN30" s="300">
        <v>9.6615548937158138E-2</v>
      </c>
      <c r="AO30" s="300">
        <v>0.1005425149056472</v>
      </c>
      <c r="AP30" s="300"/>
      <c r="AQ30" s="294">
        <v>286518.53952200012</v>
      </c>
      <c r="AR30" s="300">
        <v>0.16579334406109963</v>
      </c>
      <c r="AS30" s="300">
        <v>0.1725320608317657</v>
      </c>
      <c r="AT30" s="294">
        <v>293842.96522200014</v>
      </c>
      <c r="AU30" s="300">
        <v>0.17003160742847528</v>
      </c>
      <c r="AV30" s="300">
        <v>0.17694258959733314</v>
      </c>
      <c r="AW30" s="300"/>
      <c r="AX30" s="300"/>
      <c r="AY30" s="300"/>
      <c r="AZ30" s="300"/>
      <c r="BA30" s="300"/>
      <c r="BB30" s="300"/>
      <c r="BC30" s="294">
        <v>293842.96522200014</v>
      </c>
      <c r="BD30" s="300">
        <v>0.17003160742847528</v>
      </c>
      <c r="BE30" s="300">
        <v>0.17694258959733314</v>
      </c>
      <c r="BF30" s="294"/>
      <c r="BG30" s="294">
        <v>455092.75231899996</v>
      </c>
      <c r="BH30" s="300">
        <v>0.26339471117170776</v>
      </c>
      <c r="BI30" s="300">
        <v>0.27409979598916973</v>
      </c>
      <c r="BJ30" s="294">
        <v>1660317.7345559997</v>
      </c>
      <c r="BK30" s="294">
        <v>506014.16080199997</v>
      </c>
      <c r="BL30" s="300">
        <v>0.29286657072449368</v>
      </c>
      <c r="BM30" s="300">
        <v>0.30476947289689565</v>
      </c>
      <c r="BN30" s="294">
        <v>506014.16080199997</v>
      </c>
      <c r="BO30" s="300">
        <f t="shared" ref="BO30" si="53">BN30/$D30</f>
        <v>0.29286657072449368</v>
      </c>
      <c r="BP30" s="300">
        <f t="shared" ref="BP30" si="54">BN30/(E30+0.95*F30)</f>
        <v>0.30476947289689565</v>
      </c>
      <c r="BQ30" s="205">
        <f t="shared" ref="BQ30" si="55">BN30-AD30</f>
        <v>364046.78184199997</v>
      </c>
      <c r="BR30" s="205"/>
      <c r="BS30" s="301" t="e">
        <f>SUM(BS31,BS32,BS33,BS34,BS35,BS36,BS37,BS38,BS39,,BS40,BS41,BS42,BS43,BS44,BS45,BS46,BS47,BS48,BS49,BS50,BS51,BS52,BS53,BS54,BS55,BS56,BS57,BS58,BS59,BS60,BS61,BS62,BS63,BS64,BS65,BS66,BS67,BS68,BS69,BS70,BS71,BS72,BS73,BS74,BS75,BS76,BS77,BS78,BS79,BS80,BS81,BS82,BS83,BS84,BS85,BS86,BS87,BS88,BS89,BS90,BS91,BS92,BS93,BS94,BS95,BS96,BS97,BS98,BS99,BS100,BS101,BS102,BS103,BS104,BS105,BS106,BS107,BS108,BS109,BS110,BS111,BS112,BS113,BS114,BS115,BS116,BS117,BS118,BS119,BS120,BS121,BS122,BS123,BS124,BS125,BS126)</f>
        <v>#REF!</v>
      </c>
      <c r="BT30" s="299" t="e">
        <f t="shared" ref="BT30" si="56">BS30/$D30</f>
        <v>#REF!</v>
      </c>
      <c r="BU30" s="301" t="e">
        <f>SUM(BU31,BU32,BU33,BU34,BU35,BU36,BU37,BU38,BU39,,BU40,BU41,BU42,BU43,BU44,BU45,BU46,BU47,BU48,BU49,BU50,BU51,BU52,BU53,BU54,BU55,BU56,BU57,BU58,BU59,BU60,BU61,BU62,BU63,BU64,BU65,BU66,BU67,BU68,BU69,BU70,BU71,BU72,BU73,BU74,BU75,BU76,BU77,BU78,BU79,BU80,BU81,BU82,BU83,BU84,BU85,BU86,BU87,BU88,BU89,BU90,BU91,BU92,BU93,BU94,BU95,BU96,BU97,BU98,BU99,BU100,BU101,BU102,BU103,BU104,BU105,BU106,BU107,BU108,BU109,BU110,BU111,BU112,BU113,BU114,BU115,BU116,BU117,BU118,BU119,BU120,BU121,BU122,BU123,BU124,BU125,BU126)</f>
        <v>#REF!</v>
      </c>
      <c r="BV30" s="299" t="e">
        <f t="shared" ref="BV30" si="57">BU30/$D30</f>
        <v>#REF!</v>
      </c>
      <c r="BW30" s="301" t="e">
        <f>SUM(BW31,BW32,BW33,BW34,BW35,BW36,BW37,BW38,BW39,,BW40,BW41,BW42,BW43,BW44,BW45,BW46,BW47,BW48,BW49,BW50,BW51,BW52,BW53,BW54,BW55,BW56,BW57,BW58,BW59,BW60,BW61,BW62,BW63,BW64,BW65,BW66,BW67,BW68,BW69,BW70,BW71,BW72,BW73,BW74,BW75,BW76,BW77,BW78,BW79,BW80,BW81,BW82,BW83,BW84,BW85,BW86,BW87,BW88,BW89,BW90,BW91,BW92,BW93,BW94,BW95,BW96,BW97,BW98,BW99,BW100,BW101,BW102,BW103,BW104,BW105,BW106,BW107,BW108,BW109,BW110,BW111,BW112,BW113,BW114,BW115,BW116,BW117,BW118,BW119,BW120,BW121,BW122,BW123,BW124,BW125,BW126)</f>
        <v>#REF!</v>
      </c>
      <c r="BX30" s="299" t="e">
        <f t="shared" ref="BX30" si="58">BW30/$D30</f>
        <v>#REF!</v>
      </c>
      <c r="BY30" s="301" t="e">
        <f>SUM(BY31,BY32,BY33,BY34,BY35,BY36,BY37,BY38,BY39,,BY40,BY41,BY42,BY43,BY44,BY45,BY46,BY47,BY48,BY49,BY50,BY51,BY52,BY53,BY54,BY55,BY56,BY57,BY58,BY59,BY60,BY61,BY62,BY63,BY64,BY65,BY66,BY67,BY68,BY69,BY70,BY71,BY72,BY73,BY74,BY75,BY76,BY77,BY78,BY79,BY80,BY81,BY82,BY83,BY84,BY85,BY86,BY87,BY88,BY89,BY90,BY91,BY92,BY93,BY94,BY95,BY96,BY97,BY98,BY99,BY100,BY101,BY102,BY103,BY104,BY105,BY106,BY107,BY108,BY109,BY110,BY111,BY112,BY113,BY114,BY115,BY116,BY117,BY118,BY119,BY120,BY121,BY122,BY123,BY124,BY125,BY126)</f>
        <v>#REF!</v>
      </c>
      <c r="BZ30" s="299" t="e">
        <f t="shared" ref="BZ30" si="59">BY30/$D30</f>
        <v>#REF!</v>
      </c>
      <c r="CA30" s="301" t="e">
        <f>SUM(CA31,CA32,CA33,CA34,CA35,CA36,CA37,CA38,CA39,,CA40,CA41,CA42,CA43,CA44,CA45,CA46,CA47,CA48,CA49,CA50,CA51,CA52,CA53,CA54,CA55,CA56,CA57,CA58,CA59,CA60,CA61,CA62,CA63,CA64,CA65,CA66,CA67,CA68,CA69,CA70,CA71,CA72,CA73,CA74,CA75,CA76,CA77,CA78,CA79,CA80,CA81,CA82,CA83,CA84,CA85,CA86,CA87,CA88,CA89,CA90,CA91,CA92,CA93,CA94,CA95,CA96,CA97,CA98,CA99,CA100,CA101,CA102,CA103,CA104,CA105,CA106,CA107,CA108,CA109,CA110,CA111,CA112,CA113,CA114,CA115,CA116,CA117,CA118,CA119,CA120,CA121,CA122,CA123,CA124,CA125,CA126)</f>
        <v>#REF!</v>
      </c>
      <c r="CB30" s="299" t="e">
        <f t="shared" ref="CB30" si="60">CA30/$D30</f>
        <v>#REF!</v>
      </c>
      <c r="CC30" s="301" t="e">
        <f>SUM(CC31,CC32,CC33,CC34,CC35,CC36,CC37,CC38,CC39,,CC40,CC41,CC42,CC43,CC44,CC45,CC46,CC47,CC48,CC49,CC50,CC51,CC52,CC53,CC54,CC55,CC56,CC57,CC58,CC59,CC60,CC61,CC62,CC63,CC64,CC65,CC66,CC67,CC68,CC69,CC70,CC71,CC72,CC73,CC74,CC75,CC76,CC77,CC78,CC79,CC80,CC81,CC82,CC83,CC84,CC85,CC86,CC87,CC88,CC89,CC90,CC91,CC92,CC93,CC94,CC95,CC96,CC97,CC98,CC99,CC100,CC101,CC102,CC103,CC104,CC105,CC106,CC107,CC108,CC109,CC110,CC111,CC112,CC113,CC114,CC115,CC116,CC117,CC118,CC119,CC120,CC121,CC122,CC123,CC124,CC125,CC126)</f>
        <v>#REF!</v>
      </c>
      <c r="CD30" s="299" t="e">
        <f t="shared" ref="CD30" si="61">CC30/$D30</f>
        <v>#REF!</v>
      </c>
      <c r="CE30" s="301" t="e">
        <f>SUM(CE31,CE32,CE33,CE34,CE35,CE36,CE37,CE38,CE39,,CE40,CE41,CE42,CE43,CE44,CE45,CE46,CE47,CE48,CE49,CE50,CE51,CE52,CE53,CE54,CE55,CE56,CE57,CE58,CE59,CE60,CE61,CE62,CE63,CE64,CE65,CE66,CE67,CE68,CE69,CE70,CE71,CE72,CE73,CE74,CE75,CE76,CE77,CE78,CE79,CE80,CE81,CE82,CE83,CE84,CE85,CE86,CE87,CE88,CE89,CE90,CE91,CE92,CE93,CE94,CE95,CE96,CE97,CE98,CE99,CE100,CE101,CE102,CE103,CE104,CE105,CE106,CE107,CE108,CE109,CE110,CE111,CE112,CE113,CE114,CE115,CE116,CE117,CE118,CE119,CE120,CE121,CE122,CE123,CE124,CE125,CE126)</f>
        <v>#REF!</v>
      </c>
      <c r="CF30" s="299" t="e">
        <f t="shared" ref="CF30" si="62">CE30/$D30</f>
        <v>#REF!</v>
      </c>
      <c r="CG30" s="301" t="e">
        <f>SUM(CG31,CG32,CG33,CG34,CG35,CG36,CG37,CG38,CG39,,CG40,CG41,CG42,CG43,CG44,CG45,CG46,CG47,CG48,CG49,CG50,CG51,CG52,CG53,CG54,CG55,CG56,CG57,CG58,CG59,CG60,CG61,CG62,CG63,CG64,CG65,CG66,CG67,CG68,CG69,CG70,CG71,CG72,CG73,CG74,CG75,CG76,CG77,CG78,CG79,CG80,CG81,CG82,CG83,CG84,CG85,CG86,CG87,CG88,CG89,CG90,CG91,CG92,CG93,CG94,CG95,CG96,CG97,CG98,CG99,CG100,CG101,CG102,CG103,CG104,CG105,CG106,CG107,CG108,CG109,CG110,CG111,CG112,CG113,CG114,CG115,CG116,CG117,CG118,CG119,CG120,CG121,CG122,CG123,CG124,CG125,CG126)</f>
        <v>#REF!</v>
      </c>
      <c r="CH30" s="299" t="e">
        <f t="shared" ref="CH30" si="63">CG30/$D30</f>
        <v>#REF!</v>
      </c>
      <c r="CI30" s="301" t="e">
        <f>SUM(CI31,CI32,CI33,CI34,CI35,CI36,CI37,CI38,CI39,,CI40,CI41,CI42,CI43,CI44,CI45,CI46,CI47,CI48,CI49,CI50,CI51,CI52,CI53,CI54,CI55,CI56,CI57,CI58,CI59,CI60,CI61,CI62,CI63,CI64,CI65,CI66,CI67,CI68,CI69,CI70,CI71,CI72,CI73,CI74,CI75,CI76,CI77,CI78,CI79,CI80,CI81,CI82,CI83,CI84,CI85,CI86,CI87,CI88,CI89,CI90,CI91,CI92,CI93,CI94,CI95,CI96,CI97,CI98,CI99,CI100,CI101,CI102,CI103,CI104,CI105,CI106,CI107,CI108,CI109,CI110,CI111,CI112,CI113,CI114,CI115,CI116,CI117,CI118,CI119,CI120,CI121,CI122,CI123,CI124,CI125,CI126)</f>
        <v>#REF!</v>
      </c>
      <c r="CJ30" s="299" t="e">
        <f t="shared" ref="CJ30" si="64">CI30/$D30</f>
        <v>#REF!</v>
      </c>
      <c r="CK30" s="301" t="e">
        <f>SUM(CK31,CK32,CK33,CK34,CK35,CK36,CK37,CK38,CK39,,CK40,CK41,CK42,CK43,CK44,CK45,CK46,CK47,CK48,CK49,CK50,CK51,CK52,CK53,CK54,CK55,CK56,CK57,CK58,CK59,CK60,CK61,CK62,CK63,CK64,CK65,CK66,CK67,CK68,CK69,CK70,CK71,CK72,CK73,CK74,CK75,CK76,CK77,CK78,CK79,CK80,CK81,CK82,CK83,CK84,CK85,CK86,CK87,CK88,CK89,CK90,CK91,CK92,CK93,CK94,CK95,CK96,CK97,CK98,CK99,CK100,CK101,CK102,CK103,CK104,CK105,CK106,CK107,CK108,CK109,CK110,CK111,CK112,CK113,CK114,CK115,CK116,CK117,CK118,CK119,CK120,CK121,CK122,CK123,CK124,CK125,CK126)</f>
        <v>#REF!</v>
      </c>
      <c r="CL30" s="299" t="e">
        <f t="shared" ref="CL30" si="65">CK30/$D30</f>
        <v>#REF!</v>
      </c>
      <c r="CM30" s="301" t="e">
        <f>SUM(CM31,CM32,CM33,CM34,CM35,CM36,CM37,CM38,CM39,,CM40,CM41,CM42,CM43,CM44,CM45,CM46,CM47,CM48,CM49,CM50,CM51,CM52,CM53,CM54,CM55,CM56,CM57,CM58,CM59,CM60,CM61,CM62,CM63,CM64,CM65,CM66,CM67,CM68,CM69,CM70,CM71,CM72,CM73,CM74,CM75,CM76,CM77,CM78,CM79,CM80,CM81,CM82,CM83,CM84,CM85,CM86,CM87,CM88,CM89,CM90,CM91,CM92,CM93,CM94,CM95,CM96,CM97,CM98,CM99,CM100,CM101,CM102,CM103,CM104,CM105,CM106,CM107,CM108,CM109,CM110,CM111,CM112,CM113,CM114,CM115,CM116,CM117,CM118,CM119,CM120,CM121,CM122,CM123,CM124,CM125,CM126)</f>
        <v>#REF!</v>
      </c>
      <c r="CN30" s="299" t="e">
        <f t="shared" ref="CN30" si="66">CM30/$D30</f>
        <v>#REF!</v>
      </c>
      <c r="CO30" s="301" t="e">
        <f>SUM(CO31,CO32,CO33,CO34,CO35,CO36,CO37,CO38,CO39,,CO40,CO41,CO42,CO43,CO44,CO45,CO46,CO47,CO48,CO49,CO50,CO51,CO52,CO53,CO54,CO55,CO56,CO57,CO58,CO59,CO60,CO61,CO62,CO63,CO64,CO65,CO66,CO67,CO68,CO69,CO70,CO71,CO72,CO73,CO74,CO75,CO76,CO77,CO78,CO79,CO80,CO81,CO82,CO83,CO84,CO85,CO86,CO87,CO88,CO89,CO90,CO91,CO92,CO93,CO94,CO95,CO96,CO97,CO98,CO99,CO100,CO101,CO102,CO103,CO104,CO105,CO106,CO107,CO108,CO109,CO110,CO111,CO112,CO113,CO114,CO115,CO116,CO117,CO118,CO119,CO120,CO121,CO122,CO123,CO124,CO125,CO126)</f>
        <v>#REF!</v>
      </c>
      <c r="CP30" s="299" t="e">
        <f t="shared" ref="CP30" si="67">CO30/$D30</f>
        <v>#REF!</v>
      </c>
      <c r="CQ30" s="301" t="e">
        <f>SUM(CQ31,CQ32,CQ33,CQ34,CQ35,CQ36,CQ37,CQ38,CQ39,,CQ40,CQ41,CQ42,CQ43,CQ44,CQ45,CQ46,CQ47,CQ48,CQ49,CQ50,CQ51,CQ52,CQ53,CQ54,CQ55,CQ56,CQ57,CQ58,CQ59,CQ60,CQ61,CQ62,CQ63,CQ64,CQ65,CQ66,CQ67,CQ68,CQ69,CQ70,CQ71,CQ72,CQ73,CQ74,CQ75,CQ76,CQ77,CQ78,CQ79,CQ80,CQ81,CQ82,CQ83,CQ84,CQ85,CQ86,CQ87,CQ88,CQ89,CQ90,CQ91,CQ92,CQ93,CQ94,CQ95,CQ96,CQ97,CQ98,CQ99,CQ100,CQ101,CQ102,CQ103,CQ104,CQ105,CQ106,CQ107,CQ108,CQ109,CQ110,CQ111,CQ112,CQ113,CQ114,CQ115,CQ116,CQ117,CQ118,CQ119,CQ120,CQ121,CQ122,CQ123,CQ124,CQ125,CQ126)</f>
        <v>#REF!</v>
      </c>
      <c r="CR30" s="299" t="e">
        <f t="shared" ref="CR30" si="68">CQ30/$D30</f>
        <v>#REF!</v>
      </c>
      <c r="CS30" s="213"/>
      <c r="CT30" s="213"/>
      <c r="CU30" s="207"/>
      <c r="CV30" s="207"/>
      <c r="CW30" s="302"/>
      <c r="CX30" s="163"/>
      <c r="CZ30" s="195"/>
      <c r="DA30" s="196"/>
      <c r="DB30" s="196"/>
      <c r="DC30" s="197"/>
      <c r="DD30" s="196"/>
      <c r="DE30" s="196"/>
      <c r="DF30" s="196"/>
      <c r="DH30" s="199"/>
      <c r="DI30" s="200"/>
      <c r="DJ30" s="181"/>
    </row>
    <row r="31" spans="1:116" ht="18" customHeight="1" x14ac:dyDescent="0.25">
      <c r="A31" s="213">
        <v>1</v>
      </c>
      <c r="B31" s="240" t="s">
        <v>491</v>
      </c>
      <c r="C31" s="240"/>
      <c r="D31" s="188">
        <v>3043</v>
      </c>
      <c r="E31" s="188">
        <v>0</v>
      </c>
      <c r="F31" s="188">
        <v>3043</v>
      </c>
      <c r="G31" s="188">
        <v>3000</v>
      </c>
      <c r="H31" s="188">
        <v>43</v>
      </c>
      <c r="I31" s="188">
        <v>0</v>
      </c>
      <c r="J31" s="188"/>
      <c r="K31" s="188">
        <v>0</v>
      </c>
      <c r="L31" s="188">
        <v>0</v>
      </c>
      <c r="M31" s="188">
        <v>0</v>
      </c>
      <c r="N31" s="188">
        <v>0</v>
      </c>
      <c r="O31" s="188">
        <v>3000</v>
      </c>
      <c r="P31" s="188">
        <v>0</v>
      </c>
      <c r="Q31" s="186">
        <v>0</v>
      </c>
      <c r="R31" s="189">
        <v>589.83000000000004</v>
      </c>
      <c r="S31" s="185">
        <v>0.1938317449884982</v>
      </c>
      <c r="T31" s="185">
        <v>0.20403341577736653</v>
      </c>
      <c r="U31" s="304">
        <v>589.83000000000004</v>
      </c>
      <c r="V31" s="185">
        <v>0.1938317449884982</v>
      </c>
      <c r="W31" s="185">
        <v>0.20403341577736653</v>
      </c>
      <c r="X31" s="304">
        <v>589.83000000000004</v>
      </c>
      <c r="Y31" s="185">
        <v>0.1938317449884982</v>
      </c>
      <c r="Z31" s="185">
        <v>0.20403341577736653</v>
      </c>
      <c r="AA31" s="304">
        <v>589.83000000000004</v>
      </c>
      <c r="AB31" s="185">
        <v>0.1938317449884982</v>
      </c>
      <c r="AC31" s="185">
        <v>0.20403341577736653</v>
      </c>
      <c r="AD31" s="304">
        <v>1840.24</v>
      </c>
      <c r="AE31" s="185">
        <v>0.60474531712126189</v>
      </c>
      <c r="AF31" s="185">
        <v>0.63657401802238101</v>
      </c>
      <c r="AG31" s="304">
        <v>1840.24</v>
      </c>
      <c r="AH31" s="185">
        <v>0.60474531712126189</v>
      </c>
      <c r="AI31" s="185">
        <v>0.63657401802238101</v>
      </c>
      <c r="AJ31" s="307">
        <v>1840.24</v>
      </c>
      <c r="AK31" s="185">
        <v>0.60474531712126189</v>
      </c>
      <c r="AL31" s="185">
        <v>0.63657401802238101</v>
      </c>
      <c r="AM31" s="304">
        <v>1840.24</v>
      </c>
      <c r="AN31" s="185">
        <v>0.60474531712126189</v>
      </c>
      <c r="AO31" s="185">
        <v>0.63657401802238101</v>
      </c>
      <c r="AP31" s="185"/>
      <c r="AQ31" s="189">
        <v>2793</v>
      </c>
      <c r="AR31" s="185">
        <v>0.91784423266513304</v>
      </c>
      <c r="AS31" s="185">
        <v>0.96615182385803489</v>
      </c>
      <c r="AT31" s="189">
        <v>2793</v>
      </c>
      <c r="AU31" s="185">
        <v>0.91784423266513304</v>
      </c>
      <c r="AV31" s="185">
        <v>0.96615182385803489</v>
      </c>
      <c r="AW31" s="185"/>
      <c r="AX31" s="185"/>
      <c r="AY31" s="185"/>
      <c r="AZ31" s="185"/>
      <c r="BA31" s="185"/>
      <c r="BB31" s="185"/>
      <c r="BC31" s="189">
        <v>2793</v>
      </c>
      <c r="BD31" s="185">
        <v>0.91784423266513304</v>
      </c>
      <c r="BE31" s="185">
        <v>0.96615182385803489</v>
      </c>
      <c r="BF31" s="352"/>
      <c r="BG31" s="352">
        <v>2793</v>
      </c>
      <c r="BH31" s="185">
        <v>0.91784423266513304</v>
      </c>
      <c r="BI31" s="185">
        <v>0.96615182385803489</v>
      </c>
      <c r="BJ31" s="374">
        <v>2890.85</v>
      </c>
      <c r="BK31" s="374">
        <v>2833.85</v>
      </c>
      <c r="BL31" s="185">
        <v>0.93126848504765036</v>
      </c>
      <c r="BM31" s="185">
        <v>0.98028261583963194</v>
      </c>
      <c r="BN31" s="374">
        <v>2833.85</v>
      </c>
      <c r="BO31" s="185">
        <f t="shared" ref="BO31:BO62" si="69">BN31/$D31</f>
        <v>0.93126848504765036</v>
      </c>
      <c r="BP31" s="185">
        <f t="shared" ref="BP31:BP62" si="70">BN31/(E31+0.95*F31)</f>
        <v>0.98028261583963194</v>
      </c>
      <c r="BQ31" s="205">
        <f t="shared" ref="BQ31:BQ62" si="71">BN31-AD31</f>
        <v>993.6099999999999</v>
      </c>
      <c r="BR31" s="205"/>
      <c r="BS31" s="189" t="e">
        <f>BS32+BS33</f>
        <v>#REF!</v>
      </c>
      <c r="BT31" s="186" t="e">
        <f t="shared" ref="BT31:BT62" si="72">BS31/$D31</f>
        <v>#REF!</v>
      </c>
      <c r="BU31" s="189" t="e">
        <f>BU32+BU33</f>
        <v>#REF!</v>
      </c>
      <c r="BV31" s="186" t="e">
        <f t="shared" ref="BV31:BV62" si="73">BU31/$D31</f>
        <v>#REF!</v>
      </c>
      <c r="BW31" s="189" t="e">
        <f>BW32+BW33</f>
        <v>#REF!</v>
      </c>
      <c r="BX31" s="186" t="e">
        <f t="shared" ref="BX31:BX62" si="74">BW31/$D31</f>
        <v>#REF!</v>
      </c>
      <c r="BY31" s="189" t="e">
        <f>BY32+BY33</f>
        <v>#REF!</v>
      </c>
      <c r="BZ31" s="186" t="e">
        <f t="shared" ref="BZ31:BZ62" si="75">BY31/$D31</f>
        <v>#REF!</v>
      </c>
      <c r="CA31" s="189" t="e">
        <f>CA32+CA33</f>
        <v>#REF!</v>
      </c>
      <c r="CB31" s="186" t="e">
        <f t="shared" ref="CB31:CB62" si="76">CA31/$D31</f>
        <v>#REF!</v>
      </c>
      <c r="CC31" s="189" t="e">
        <f>CC32+CC33</f>
        <v>#REF!</v>
      </c>
      <c r="CD31" s="186" t="e">
        <f t="shared" ref="CD31:CD62" si="77">CC31/$D31</f>
        <v>#REF!</v>
      </c>
      <c r="CE31" s="189" t="e">
        <f>CE32+CE33</f>
        <v>#REF!</v>
      </c>
      <c r="CF31" s="186" t="e">
        <f t="shared" ref="CF31:CF62" si="78">CE31/$D31</f>
        <v>#REF!</v>
      </c>
      <c r="CG31" s="189" t="e">
        <f>CG32+CG33</f>
        <v>#REF!</v>
      </c>
      <c r="CH31" s="186" t="e">
        <f t="shared" ref="CH31:CH62" si="79">CG31/$D31</f>
        <v>#REF!</v>
      </c>
      <c r="CI31" s="189" t="e">
        <f>CI32+CI33</f>
        <v>#REF!</v>
      </c>
      <c r="CJ31" s="186" t="e">
        <f t="shared" ref="CJ31:CJ62" si="80">CI31/$D31</f>
        <v>#REF!</v>
      </c>
      <c r="CK31" s="189" t="e">
        <f>CK32+CK33</f>
        <v>#REF!</v>
      </c>
      <c r="CL31" s="186" t="e">
        <f t="shared" ref="CL31:CL62" si="81">CK31/$D31</f>
        <v>#REF!</v>
      </c>
      <c r="CM31" s="189" t="e">
        <f>CM32+CM33</f>
        <v>#REF!</v>
      </c>
      <c r="CN31" s="186" t="e">
        <f t="shared" ref="CN31:CN62" si="82">CM31/$D31</f>
        <v>#REF!</v>
      </c>
      <c r="CO31" s="189" t="e">
        <f>CO32+CO33</f>
        <v>#REF!</v>
      </c>
      <c r="CP31" s="186" t="e">
        <f t="shared" ref="CP31:CP62" si="83">CO31/$D31</f>
        <v>#REF!</v>
      </c>
      <c r="CQ31" s="189" t="e">
        <f>CQ32+CQ33</f>
        <v>#REF!</v>
      </c>
      <c r="CR31" s="186" t="e">
        <f t="shared" ref="CR31:CR62" si="84">CQ31/$D31</f>
        <v>#REF!</v>
      </c>
      <c r="CS31" s="213" t="str">
        <f t="shared" ref="CS31:CS62" si="85">IF(BP31&gt;30.9%,"Đạt","Không đạt")</f>
        <v>Đạt</v>
      </c>
      <c r="CT31" s="213" t="str">
        <f t="shared" ref="CT31:CT62" si="86">IF(BP31&gt;38.5%,"Đạt","Không đạt")</f>
        <v>Đạt</v>
      </c>
      <c r="CU31" s="213"/>
      <c r="CV31" s="213"/>
      <c r="CW31" s="231"/>
      <c r="CX31" s="163"/>
      <c r="CZ31" s="195"/>
      <c r="DA31" s="196"/>
      <c r="DB31" s="196"/>
      <c r="DC31" s="197"/>
      <c r="DD31" s="196"/>
      <c r="DE31" s="196"/>
      <c r="DF31" s="196"/>
      <c r="DH31" s="199"/>
      <c r="DI31" s="200"/>
      <c r="DJ31" s="181"/>
    </row>
    <row r="32" spans="1:116" ht="18" customHeight="1" x14ac:dyDescent="0.25">
      <c r="A32" s="213">
        <v>2</v>
      </c>
      <c r="B32" s="240" t="s">
        <v>375</v>
      </c>
      <c r="C32" s="240"/>
      <c r="D32" s="188">
        <v>5600</v>
      </c>
      <c r="E32" s="188">
        <v>0</v>
      </c>
      <c r="F32" s="188">
        <v>5600</v>
      </c>
      <c r="G32" s="188">
        <v>3000</v>
      </c>
      <c r="H32" s="188">
        <v>2600</v>
      </c>
      <c r="I32" s="188">
        <v>0</v>
      </c>
      <c r="J32" s="188"/>
      <c r="K32" s="188">
        <v>0</v>
      </c>
      <c r="L32" s="188">
        <v>0</v>
      </c>
      <c r="M32" s="231"/>
      <c r="N32" s="231"/>
      <c r="O32" s="188">
        <v>3000</v>
      </c>
      <c r="P32" s="188">
        <v>0</v>
      </c>
      <c r="Q32" s="186">
        <v>0</v>
      </c>
      <c r="R32" s="189">
        <v>1892.2939999999999</v>
      </c>
      <c r="S32" s="185">
        <v>0.33790964285714281</v>
      </c>
      <c r="T32" s="185">
        <v>0.35569436090225559</v>
      </c>
      <c r="U32" s="189">
        <v>2162</v>
      </c>
      <c r="V32" s="185">
        <v>0.38607142857142857</v>
      </c>
      <c r="W32" s="185">
        <v>0.40639097744360902</v>
      </c>
      <c r="X32" s="189">
        <v>2162</v>
      </c>
      <c r="Y32" s="185">
        <v>0.38607142857142857</v>
      </c>
      <c r="Z32" s="185">
        <v>0.40639097744360902</v>
      </c>
      <c r="AA32" s="189">
        <v>2162</v>
      </c>
      <c r="AB32" s="185">
        <v>0.38607142857142857</v>
      </c>
      <c r="AC32" s="185">
        <v>0.40639097744360902</v>
      </c>
      <c r="AD32" s="189">
        <v>2771</v>
      </c>
      <c r="AE32" s="185">
        <v>0.59303571428571433</v>
      </c>
      <c r="AF32" s="185">
        <v>0.62424812030075183</v>
      </c>
      <c r="AG32" s="189">
        <v>2771</v>
      </c>
      <c r="AH32" s="185">
        <v>0.59303571428571433</v>
      </c>
      <c r="AI32" s="185">
        <v>0.62424812030075183</v>
      </c>
      <c r="AJ32" s="303">
        <v>2771</v>
      </c>
      <c r="AK32" s="185">
        <v>0.59303571428571433</v>
      </c>
      <c r="AL32" s="185">
        <v>0.62424812030075183</v>
      </c>
      <c r="AM32" s="189">
        <v>2771</v>
      </c>
      <c r="AN32" s="185">
        <v>0.50834750000000006</v>
      </c>
      <c r="AO32" s="185">
        <v>0.53510263157894744</v>
      </c>
      <c r="AP32" s="185"/>
      <c r="AQ32" s="189">
        <v>2850</v>
      </c>
      <c r="AR32" s="185">
        <v>0.5089285714285714</v>
      </c>
      <c r="AS32" s="185">
        <v>0.5357142857142857</v>
      </c>
      <c r="AT32" s="189">
        <v>2850</v>
      </c>
      <c r="AU32" s="185">
        <v>0.5089285714285714</v>
      </c>
      <c r="AV32" s="185">
        <v>0.5357142857142857</v>
      </c>
      <c r="AW32" s="185"/>
      <c r="AX32" s="185"/>
      <c r="AY32" s="185"/>
      <c r="AZ32" s="185"/>
      <c r="BA32" s="185"/>
      <c r="BB32" s="185"/>
      <c r="BC32" s="189">
        <v>2850</v>
      </c>
      <c r="BD32" s="185">
        <v>0.5089285714285714</v>
      </c>
      <c r="BE32" s="185">
        <v>0.5357142857142857</v>
      </c>
      <c r="BF32" s="189"/>
      <c r="BG32" s="189">
        <v>4450</v>
      </c>
      <c r="BH32" s="185">
        <v>0.7946428571428571</v>
      </c>
      <c r="BI32" s="185">
        <v>0.8364661654135338</v>
      </c>
      <c r="BJ32" s="189">
        <v>5320</v>
      </c>
      <c r="BK32" s="189">
        <v>5145</v>
      </c>
      <c r="BL32" s="185">
        <v>0.91874999999999996</v>
      </c>
      <c r="BM32" s="185">
        <v>0.96710526315789469</v>
      </c>
      <c r="BN32" s="189">
        <v>5145</v>
      </c>
      <c r="BO32" s="185">
        <f t="shared" si="69"/>
        <v>0.91874999999999996</v>
      </c>
      <c r="BP32" s="185">
        <f t="shared" si="70"/>
        <v>0.96710526315789469</v>
      </c>
      <c r="BQ32" s="205">
        <f t="shared" si="71"/>
        <v>2374</v>
      </c>
      <c r="BR32" s="205"/>
      <c r="BS32" s="189" t="e">
        <f>#REF!+#REF!</f>
        <v>#REF!</v>
      </c>
      <c r="BT32" s="186" t="e">
        <f t="shared" si="72"/>
        <v>#REF!</v>
      </c>
      <c r="BU32" s="189" t="e">
        <f>#REF!+#REF!</f>
        <v>#REF!</v>
      </c>
      <c r="BV32" s="186" t="e">
        <f t="shared" si="73"/>
        <v>#REF!</v>
      </c>
      <c r="BW32" s="189" t="e">
        <f>#REF!+#REF!</f>
        <v>#REF!</v>
      </c>
      <c r="BX32" s="186" t="e">
        <f t="shared" si="74"/>
        <v>#REF!</v>
      </c>
      <c r="BY32" s="189" t="e">
        <f>#REF!+#REF!</f>
        <v>#REF!</v>
      </c>
      <c r="BZ32" s="186" t="e">
        <f t="shared" si="75"/>
        <v>#REF!</v>
      </c>
      <c r="CA32" s="189" t="e">
        <f>#REF!+#REF!</f>
        <v>#REF!</v>
      </c>
      <c r="CB32" s="186" t="e">
        <f t="shared" si="76"/>
        <v>#REF!</v>
      </c>
      <c r="CC32" s="189" t="e">
        <f>#REF!+#REF!</f>
        <v>#REF!</v>
      </c>
      <c r="CD32" s="186" t="e">
        <f t="shared" si="77"/>
        <v>#REF!</v>
      </c>
      <c r="CE32" s="189" t="e">
        <f>#REF!+#REF!</f>
        <v>#REF!</v>
      </c>
      <c r="CF32" s="186" t="e">
        <f t="shared" si="78"/>
        <v>#REF!</v>
      </c>
      <c r="CG32" s="189" t="e">
        <f>#REF!+#REF!</f>
        <v>#REF!</v>
      </c>
      <c r="CH32" s="186" t="e">
        <f t="shared" si="79"/>
        <v>#REF!</v>
      </c>
      <c r="CI32" s="189" t="e">
        <f>#REF!+#REF!</f>
        <v>#REF!</v>
      </c>
      <c r="CJ32" s="186" t="e">
        <f t="shared" si="80"/>
        <v>#REF!</v>
      </c>
      <c r="CK32" s="189" t="e">
        <f>#REF!+#REF!</f>
        <v>#REF!</v>
      </c>
      <c r="CL32" s="186" t="e">
        <f t="shared" si="81"/>
        <v>#REF!</v>
      </c>
      <c r="CM32" s="189" t="e">
        <f>#REF!+#REF!</f>
        <v>#REF!</v>
      </c>
      <c r="CN32" s="186" t="e">
        <f t="shared" si="82"/>
        <v>#REF!</v>
      </c>
      <c r="CO32" s="189" t="e">
        <f>#REF!+#REF!</f>
        <v>#REF!</v>
      </c>
      <c r="CP32" s="186" t="e">
        <f t="shared" si="83"/>
        <v>#REF!</v>
      </c>
      <c r="CQ32" s="189" t="e">
        <f>#REF!+#REF!</f>
        <v>#REF!</v>
      </c>
      <c r="CR32" s="186" t="e">
        <f t="shared" si="84"/>
        <v>#REF!</v>
      </c>
      <c r="CS32" s="213" t="str">
        <f t="shared" si="85"/>
        <v>Đạt</v>
      </c>
      <c r="CT32" s="213" t="str">
        <f t="shared" si="86"/>
        <v>Đạt</v>
      </c>
      <c r="CU32" s="213"/>
      <c r="CV32" s="213"/>
      <c r="CW32" s="231"/>
      <c r="CX32" s="163"/>
      <c r="CZ32" s="195"/>
      <c r="DA32" s="196"/>
      <c r="DB32" s="196"/>
      <c r="DC32" s="197"/>
      <c r="DD32" s="196"/>
      <c r="DE32" s="196"/>
      <c r="DF32" s="196"/>
      <c r="DH32" s="199"/>
      <c r="DI32" s="200"/>
      <c r="DJ32" s="181"/>
    </row>
    <row r="33" spans="1:116" ht="18" customHeight="1" x14ac:dyDescent="0.25">
      <c r="A33" s="213">
        <v>3</v>
      </c>
      <c r="B33" s="240" t="s">
        <v>492</v>
      </c>
      <c r="C33" s="240"/>
      <c r="D33" s="188">
        <v>9400</v>
      </c>
      <c r="E33" s="188">
        <v>0</v>
      </c>
      <c r="F33" s="188">
        <v>9400</v>
      </c>
      <c r="G33" s="188">
        <v>3000</v>
      </c>
      <c r="H33" s="188">
        <v>6400</v>
      </c>
      <c r="I33" s="188">
        <v>2850</v>
      </c>
      <c r="J33" s="188"/>
      <c r="K33" s="188">
        <v>0</v>
      </c>
      <c r="L33" s="188">
        <v>0</v>
      </c>
      <c r="M33" s="188">
        <v>0</v>
      </c>
      <c r="N33" s="188">
        <v>0</v>
      </c>
      <c r="O33" s="188">
        <v>5850</v>
      </c>
      <c r="P33" s="188">
        <v>0</v>
      </c>
      <c r="Q33" s="186">
        <v>0</v>
      </c>
      <c r="R33" s="189">
        <v>0</v>
      </c>
      <c r="S33" s="185">
        <v>0</v>
      </c>
      <c r="T33" s="185">
        <v>0</v>
      </c>
      <c r="U33" s="189">
        <v>1735.1679999999999</v>
      </c>
      <c r="V33" s="185">
        <v>0.18459234042553191</v>
      </c>
      <c r="W33" s="185">
        <v>0.1943077267637178</v>
      </c>
      <c r="X33" s="189">
        <v>1735.1679999999999</v>
      </c>
      <c r="Y33" s="185">
        <v>0.18459234042553191</v>
      </c>
      <c r="Z33" s="185">
        <v>0.1943077267637178</v>
      </c>
      <c r="AA33" s="189">
        <v>1735.1679999999999</v>
      </c>
      <c r="AB33" s="185">
        <v>0.18459234042553191</v>
      </c>
      <c r="AC33" s="185">
        <v>0.1943077267637178</v>
      </c>
      <c r="AD33" s="189">
        <v>1995.5416319999999</v>
      </c>
      <c r="AE33" s="185">
        <v>0.2122916629787234</v>
      </c>
      <c r="AF33" s="185">
        <v>0.22346490839865621</v>
      </c>
      <c r="AG33" s="189">
        <v>1995.5416319999999</v>
      </c>
      <c r="AH33" s="185">
        <v>0.2122916629787234</v>
      </c>
      <c r="AI33" s="185">
        <v>0.22346490839865621</v>
      </c>
      <c r="AJ33" s="317">
        <v>1995.5416319999999</v>
      </c>
      <c r="AK33" s="185">
        <v>0.2122916629787234</v>
      </c>
      <c r="AL33" s="185">
        <v>0.22346490839865621</v>
      </c>
      <c r="AM33" s="189">
        <v>1995.5416319999999</v>
      </c>
      <c r="AN33" s="185">
        <v>0.2122916629787234</v>
      </c>
      <c r="AO33" s="185">
        <v>0.22346490839865621</v>
      </c>
      <c r="AP33" s="185"/>
      <c r="AQ33" s="189">
        <v>5147.5380409999998</v>
      </c>
      <c r="AR33" s="185">
        <v>0.54761042989361697</v>
      </c>
      <c r="AS33" s="185">
        <v>0.57643203146696531</v>
      </c>
      <c r="AT33" s="189">
        <v>5147.5380409999998</v>
      </c>
      <c r="AU33" s="185">
        <v>0.54761042989361697</v>
      </c>
      <c r="AV33" s="185">
        <v>0.57643203146696531</v>
      </c>
      <c r="AW33" s="185"/>
      <c r="AX33" s="185"/>
      <c r="AY33" s="185"/>
      <c r="AZ33" s="185"/>
      <c r="BA33" s="185"/>
      <c r="BB33" s="185"/>
      <c r="BC33" s="189">
        <v>5147.5380409999998</v>
      </c>
      <c r="BD33" s="185">
        <v>0.54761042989361697</v>
      </c>
      <c r="BE33" s="185">
        <v>0.57643203146696531</v>
      </c>
      <c r="BF33" s="352"/>
      <c r="BG33" s="352">
        <v>8208</v>
      </c>
      <c r="BH33" s="185">
        <v>0.8731914893617021</v>
      </c>
      <c r="BI33" s="185">
        <v>0.91914893617021276</v>
      </c>
      <c r="BJ33" s="374">
        <v>8930</v>
      </c>
      <c r="BK33" s="374">
        <v>8588</v>
      </c>
      <c r="BL33" s="185">
        <v>0.91361702127659572</v>
      </c>
      <c r="BM33" s="185">
        <v>0.96170212765957441</v>
      </c>
      <c r="BN33" s="374">
        <v>8588</v>
      </c>
      <c r="BO33" s="185">
        <f t="shared" si="69"/>
        <v>0.91361702127659572</v>
      </c>
      <c r="BP33" s="185">
        <f t="shared" si="70"/>
        <v>0.96170212765957441</v>
      </c>
      <c r="BQ33" s="205">
        <f t="shared" si="71"/>
        <v>6592.4583679999996</v>
      </c>
      <c r="BR33" s="205"/>
      <c r="BS33" s="189" t="e">
        <f>BS34+BS36+BS37</f>
        <v>#REF!</v>
      </c>
      <c r="BT33" s="186" t="e">
        <f t="shared" si="72"/>
        <v>#REF!</v>
      </c>
      <c r="BU33" s="189" t="e">
        <f>BU34+BU36+BU37</f>
        <v>#REF!</v>
      </c>
      <c r="BV33" s="186" t="e">
        <f t="shared" si="73"/>
        <v>#REF!</v>
      </c>
      <c r="BW33" s="189" t="e">
        <f>BW34+BW36+BW37</f>
        <v>#REF!</v>
      </c>
      <c r="BX33" s="186" t="e">
        <f t="shared" si="74"/>
        <v>#REF!</v>
      </c>
      <c r="BY33" s="189" t="e">
        <f>BY34+BY36+BY37</f>
        <v>#REF!</v>
      </c>
      <c r="BZ33" s="186" t="e">
        <f t="shared" si="75"/>
        <v>#REF!</v>
      </c>
      <c r="CA33" s="189" t="e">
        <f>CA34+CA36+CA37</f>
        <v>#REF!</v>
      </c>
      <c r="CB33" s="186" t="e">
        <f t="shared" si="76"/>
        <v>#REF!</v>
      </c>
      <c r="CC33" s="189" t="e">
        <f>CC34+CC36+CC37</f>
        <v>#REF!</v>
      </c>
      <c r="CD33" s="186" t="e">
        <f t="shared" si="77"/>
        <v>#REF!</v>
      </c>
      <c r="CE33" s="189" t="e">
        <f>CE34+CE36+CE37</f>
        <v>#REF!</v>
      </c>
      <c r="CF33" s="186" t="e">
        <f t="shared" si="78"/>
        <v>#REF!</v>
      </c>
      <c r="CG33" s="189" t="e">
        <f>CG34+CG36+CG37</f>
        <v>#REF!</v>
      </c>
      <c r="CH33" s="186" t="e">
        <f t="shared" si="79"/>
        <v>#REF!</v>
      </c>
      <c r="CI33" s="189" t="e">
        <f>CI34+CI36+CI37</f>
        <v>#REF!</v>
      </c>
      <c r="CJ33" s="186" t="e">
        <f t="shared" si="80"/>
        <v>#REF!</v>
      </c>
      <c r="CK33" s="189" t="e">
        <f>CK34+CK36+CK37</f>
        <v>#REF!</v>
      </c>
      <c r="CL33" s="186" t="e">
        <f t="shared" si="81"/>
        <v>#REF!</v>
      </c>
      <c r="CM33" s="189" t="e">
        <f>CM34+CM36+CM37</f>
        <v>#REF!</v>
      </c>
      <c r="CN33" s="186" t="e">
        <f t="shared" si="82"/>
        <v>#REF!</v>
      </c>
      <c r="CO33" s="189" t="e">
        <f>CO34+CO36+CO37</f>
        <v>#REF!</v>
      </c>
      <c r="CP33" s="186" t="e">
        <f t="shared" si="83"/>
        <v>#REF!</v>
      </c>
      <c r="CQ33" s="189" t="e">
        <f>CQ34+CQ36+CQ37</f>
        <v>#REF!</v>
      </c>
      <c r="CR33" s="186" t="e">
        <f t="shared" si="84"/>
        <v>#REF!</v>
      </c>
      <c r="CS33" s="213" t="str">
        <f t="shared" si="85"/>
        <v>Đạt</v>
      </c>
      <c r="CT33" s="213" t="str">
        <f t="shared" si="86"/>
        <v>Đạt</v>
      </c>
      <c r="CU33" s="213"/>
      <c r="CV33" s="213"/>
      <c r="CW33" s="231"/>
      <c r="CX33" s="163"/>
      <c r="CZ33" s="195"/>
      <c r="DA33" s="196"/>
      <c r="DB33" s="196"/>
      <c r="DC33" s="197"/>
      <c r="DD33" s="196"/>
      <c r="DE33" s="196"/>
      <c r="DF33" s="196"/>
      <c r="DH33" s="199"/>
      <c r="DI33" s="200"/>
      <c r="DJ33" s="181"/>
    </row>
    <row r="34" spans="1:116" ht="18" customHeight="1" x14ac:dyDescent="0.25">
      <c r="A34" s="213">
        <v>4</v>
      </c>
      <c r="B34" s="240" t="s">
        <v>476</v>
      </c>
      <c r="C34" s="240"/>
      <c r="D34" s="188">
        <v>25550</v>
      </c>
      <c r="E34" s="188">
        <v>0</v>
      </c>
      <c r="F34" s="188">
        <v>25550</v>
      </c>
      <c r="G34" s="188">
        <v>3000</v>
      </c>
      <c r="H34" s="188">
        <v>22550</v>
      </c>
      <c r="I34" s="188">
        <v>19000</v>
      </c>
      <c r="J34" s="188"/>
      <c r="K34" s="188">
        <v>0</v>
      </c>
      <c r="L34" s="188">
        <v>0</v>
      </c>
      <c r="M34" s="188">
        <v>0</v>
      </c>
      <c r="N34" s="188">
        <v>0</v>
      </c>
      <c r="O34" s="188">
        <v>22000</v>
      </c>
      <c r="P34" s="189">
        <v>0</v>
      </c>
      <c r="Q34" s="186">
        <v>0</v>
      </c>
      <c r="R34" s="189">
        <v>400</v>
      </c>
      <c r="S34" s="185">
        <v>1.5655577299412915E-2</v>
      </c>
      <c r="T34" s="185">
        <v>1.6479555052013595E-2</v>
      </c>
      <c r="U34" s="189">
        <v>4554.8379999999997</v>
      </c>
      <c r="V34" s="185">
        <v>0.17827154598825831</v>
      </c>
      <c r="W34" s="185">
        <v>0.18765425893500876</v>
      </c>
      <c r="X34" s="189">
        <v>4554.8379999999997</v>
      </c>
      <c r="Y34" s="185">
        <v>0.17827154598825831</v>
      </c>
      <c r="Z34" s="185">
        <v>0.18765425893500876</v>
      </c>
      <c r="AA34" s="189">
        <v>4554.8379999999997</v>
      </c>
      <c r="AB34" s="185">
        <v>0.17827154598825831</v>
      </c>
      <c r="AC34" s="185">
        <v>0.18765425893500876</v>
      </c>
      <c r="AD34" s="189">
        <v>19493.257999999998</v>
      </c>
      <c r="AE34" s="185">
        <v>0.76294551859099802</v>
      </c>
      <c r="AF34" s="185">
        <v>0.80310054588526103</v>
      </c>
      <c r="AG34" s="189">
        <v>19493.257999999998</v>
      </c>
      <c r="AH34" s="185">
        <v>0.76294551859099802</v>
      </c>
      <c r="AI34" s="185">
        <v>0.80310054588526103</v>
      </c>
      <c r="AJ34" s="317">
        <v>19493.257999999998</v>
      </c>
      <c r="AK34" s="185">
        <v>0.76294551859099802</v>
      </c>
      <c r="AL34" s="185">
        <v>0.80310054588526103</v>
      </c>
      <c r="AM34" s="189">
        <v>19493.257999999998</v>
      </c>
      <c r="AN34" s="185">
        <v>0.76294551859099802</v>
      </c>
      <c r="AO34" s="185">
        <v>0.80310054588526103</v>
      </c>
      <c r="AP34" s="185"/>
      <c r="AQ34" s="189">
        <v>21625.846999999998</v>
      </c>
      <c r="AR34" s="185">
        <v>0.84641279843444217</v>
      </c>
      <c r="AS34" s="185">
        <v>0.89096084045730761</v>
      </c>
      <c r="AT34" s="189">
        <v>21625.846999999998</v>
      </c>
      <c r="AU34" s="185">
        <v>0.84641279843444217</v>
      </c>
      <c r="AV34" s="185">
        <v>0.89096084045730761</v>
      </c>
      <c r="AW34" s="185"/>
      <c r="AX34" s="185"/>
      <c r="AY34" s="185"/>
      <c r="AZ34" s="185"/>
      <c r="BA34" s="185"/>
      <c r="BB34" s="185"/>
      <c r="BC34" s="189">
        <v>21625.846999999998</v>
      </c>
      <c r="BD34" s="185">
        <v>0.84641279843444217</v>
      </c>
      <c r="BE34" s="185">
        <v>0.89096084045730761</v>
      </c>
      <c r="BF34" s="352"/>
      <c r="BG34" s="352">
        <v>23046.42</v>
      </c>
      <c r="BH34" s="185">
        <v>0.90201252446183944</v>
      </c>
      <c r="BI34" s="185">
        <v>0.94948686785456782</v>
      </c>
      <c r="BJ34" s="374">
        <v>24272.5</v>
      </c>
      <c r="BK34" s="374">
        <v>23289.327000000001</v>
      </c>
      <c r="BL34" s="185">
        <v>0.91151964774951078</v>
      </c>
      <c r="BM34" s="185">
        <v>0.95949436605211669</v>
      </c>
      <c r="BN34" s="374">
        <v>23289.327000000001</v>
      </c>
      <c r="BO34" s="185">
        <f t="shared" si="69"/>
        <v>0.91151964774951078</v>
      </c>
      <c r="BP34" s="185">
        <f t="shared" si="70"/>
        <v>0.95949436605211669</v>
      </c>
      <c r="BQ34" s="205">
        <f t="shared" si="71"/>
        <v>3796.0690000000031</v>
      </c>
      <c r="BR34" s="205"/>
      <c r="BS34" s="189" t="e">
        <f>BS35+BS37+#REF!</f>
        <v>#REF!</v>
      </c>
      <c r="BT34" s="186" t="e">
        <f t="shared" si="72"/>
        <v>#REF!</v>
      </c>
      <c r="BU34" s="189" t="e">
        <f>BU35+BU37+#REF!</f>
        <v>#REF!</v>
      </c>
      <c r="BV34" s="186" t="e">
        <f t="shared" si="73"/>
        <v>#REF!</v>
      </c>
      <c r="BW34" s="189" t="e">
        <f>BW35+BW37+#REF!</f>
        <v>#REF!</v>
      </c>
      <c r="BX34" s="186" t="e">
        <f t="shared" si="74"/>
        <v>#REF!</v>
      </c>
      <c r="BY34" s="189" t="e">
        <f>BY35+BY37+#REF!</f>
        <v>#REF!</v>
      </c>
      <c r="BZ34" s="186" t="e">
        <f t="shared" si="75"/>
        <v>#REF!</v>
      </c>
      <c r="CA34" s="189" t="e">
        <f>CA35+CA37+#REF!</f>
        <v>#REF!</v>
      </c>
      <c r="CB34" s="186" t="e">
        <f t="shared" si="76"/>
        <v>#REF!</v>
      </c>
      <c r="CC34" s="189" t="e">
        <f>CC35+CC37+#REF!</f>
        <v>#REF!</v>
      </c>
      <c r="CD34" s="186" t="e">
        <f t="shared" si="77"/>
        <v>#REF!</v>
      </c>
      <c r="CE34" s="189" t="e">
        <f>CE35+CE37+#REF!</f>
        <v>#REF!</v>
      </c>
      <c r="CF34" s="186" t="e">
        <f t="shared" si="78"/>
        <v>#REF!</v>
      </c>
      <c r="CG34" s="189" t="e">
        <f>CG35+CG37+#REF!</f>
        <v>#REF!</v>
      </c>
      <c r="CH34" s="186" t="e">
        <f t="shared" si="79"/>
        <v>#REF!</v>
      </c>
      <c r="CI34" s="189" t="e">
        <f>CI35+CI37+#REF!</f>
        <v>#REF!</v>
      </c>
      <c r="CJ34" s="186" t="e">
        <f t="shared" si="80"/>
        <v>#REF!</v>
      </c>
      <c r="CK34" s="189" t="e">
        <f>CK35+CK37+#REF!</f>
        <v>#REF!</v>
      </c>
      <c r="CL34" s="186" t="e">
        <f t="shared" si="81"/>
        <v>#REF!</v>
      </c>
      <c r="CM34" s="189" t="e">
        <f>CM35+CM37+#REF!</f>
        <v>#REF!</v>
      </c>
      <c r="CN34" s="186" t="e">
        <f t="shared" si="82"/>
        <v>#REF!</v>
      </c>
      <c r="CO34" s="189" t="e">
        <f>CO35+CO37+#REF!</f>
        <v>#REF!</v>
      </c>
      <c r="CP34" s="186" t="e">
        <f t="shared" si="83"/>
        <v>#REF!</v>
      </c>
      <c r="CQ34" s="189" t="e">
        <f>CQ35+CQ37+#REF!</f>
        <v>#REF!</v>
      </c>
      <c r="CR34" s="186" t="e">
        <f t="shared" si="84"/>
        <v>#REF!</v>
      </c>
      <c r="CS34" s="213" t="str">
        <f t="shared" si="85"/>
        <v>Đạt</v>
      </c>
      <c r="CT34" s="213" t="str">
        <f t="shared" si="86"/>
        <v>Đạt</v>
      </c>
      <c r="CU34" s="213"/>
      <c r="CV34" s="213"/>
      <c r="CW34" s="231"/>
      <c r="CX34" s="163"/>
      <c r="CZ34" s="195"/>
      <c r="DA34" s="196"/>
      <c r="DB34" s="196"/>
      <c r="DC34" s="197"/>
      <c r="DD34" s="196"/>
      <c r="DE34" s="196"/>
      <c r="DF34" s="196"/>
      <c r="DH34" s="199"/>
      <c r="DI34" s="200"/>
      <c r="DJ34" s="181"/>
    </row>
    <row r="35" spans="1:116" ht="18" customHeight="1" x14ac:dyDescent="0.25">
      <c r="A35" s="213">
        <v>5</v>
      </c>
      <c r="B35" s="240" t="s">
        <v>490</v>
      </c>
      <c r="C35" s="240"/>
      <c r="D35" s="188">
        <v>3170</v>
      </c>
      <c r="E35" s="188">
        <v>0</v>
      </c>
      <c r="F35" s="188">
        <v>3170</v>
      </c>
      <c r="G35" s="188">
        <v>3000</v>
      </c>
      <c r="H35" s="188">
        <v>170</v>
      </c>
      <c r="I35" s="188">
        <v>0</v>
      </c>
      <c r="J35" s="188"/>
      <c r="K35" s="188">
        <v>0</v>
      </c>
      <c r="L35" s="188">
        <v>0</v>
      </c>
      <c r="M35" s="188">
        <v>0</v>
      </c>
      <c r="N35" s="188">
        <v>0</v>
      </c>
      <c r="O35" s="188">
        <v>3000</v>
      </c>
      <c r="P35" s="188">
        <v>0</v>
      </c>
      <c r="Q35" s="186">
        <v>0</v>
      </c>
      <c r="R35" s="188">
        <v>0</v>
      </c>
      <c r="S35" s="185">
        <v>0</v>
      </c>
      <c r="T35" s="185">
        <v>0</v>
      </c>
      <c r="U35" s="188">
        <v>0</v>
      </c>
      <c r="V35" s="185">
        <v>0</v>
      </c>
      <c r="W35" s="185">
        <v>0</v>
      </c>
      <c r="X35" s="188">
        <v>0</v>
      </c>
      <c r="Y35" s="185">
        <v>0</v>
      </c>
      <c r="Z35" s="185">
        <v>0</v>
      </c>
      <c r="AA35" s="188">
        <v>0</v>
      </c>
      <c r="AB35" s="185">
        <v>0</v>
      </c>
      <c r="AC35" s="185">
        <v>0</v>
      </c>
      <c r="AD35" s="188">
        <v>0</v>
      </c>
      <c r="AE35" s="185">
        <v>0</v>
      </c>
      <c r="AF35" s="185">
        <v>0</v>
      </c>
      <c r="AG35" s="188">
        <v>0</v>
      </c>
      <c r="AH35" s="185">
        <v>0</v>
      </c>
      <c r="AI35" s="185">
        <v>0</v>
      </c>
      <c r="AJ35" s="303">
        <v>0</v>
      </c>
      <c r="AK35" s="185">
        <v>0</v>
      </c>
      <c r="AL35" s="185">
        <v>0</v>
      </c>
      <c r="AM35" s="188">
        <v>0</v>
      </c>
      <c r="AN35" s="185">
        <v>0</v>
      </c>
      <c r="AO35" s="185">
        <v>0</v>
      </c>
      <c r="AP35" s="185"/>
      <c r="AQ35" s="188">
        <v>946.72699999999998</v>
      </c>
      <c r="AR35" s="185">
        <v>0.2986520504731861</v>
      </c>
      <c r="AS35" s="185">
        <v>0.31437057944545904</v>
      </c>
      <c r="AT35" s="188">
        <v>946.72699999999998</v>
      </c>
      <c r="AU35" s="185">
        <v>0.2986520504731861</v>
      </c>
      <c r="AV35" s="185">
        <v>0.31437057944545904</v>
      </c>
      <c r="AW35" s="185"/>
      <c r="AX35" s="185"/>
      <c r="AY35" s="185"/>
      <c r="AZ35" s="185"/>
      <c r="BA35" s="185"/>
      <c r="BB35" s="185"/>
      <c r="BC35" s="188">
        <v>946.72699999999998</v>
      </c>
      <c r="BD35" s="185">
        <v>0.2986520504731861</v>
      </c>
      <c r="BE35" s="185">
        <v>0.31437057944545904</v>
      </c>
      <c r="BF35" s="352"/>
      <c r="BG35" s="352">
        <v>946.72699999999998</v>
      </c>
      <c r="BH35" s="185">
        <v>0.2986520504731861</v>
      </c>
      <c r="BI35" s="185">
        <v>0.31437057944545904</v>
      </c>
      <c r="BJ35" s="374">
        <v>3011.5</v>
      </c>
      <c r="BK35" s="374">
        <v>2822.491</v>
      </c>
      <c r="BL35" s="185">
        <v>0.89037570977917979</v>
      </c>
      <c r="BM35" s="185">
        <v>0.9372375892412419</v>
      </c>
      <c r="BN35" s="374">
        <v>2822.491</v>
      </c>
      <c r="BO35" s="185">
        <f t="shared" si="69"/>
        <v>0.89037570977917979</v>
      </c>
      <c r="BP35" s="185">
        <f t="shared" si="70"/>
        <v>0.9372375892412419</v>
      </c>
      <c r="BQ35" s="205">
        <f t="shared" si="71"/>
        <v>2822.491</v>
      </c>
      <c r="BR35" s="205"/>
      <c r="BS35" s="189" t="e">
        <f>BS36+BS37</f>
        <v>#REF!</v>
      </c>
      <c r="BT35" s="186" t="e">
        <f t="shared" si="72"/>
        <v>#REF!</v>
      </c>
      <c r="BU35" s="189" t="e">
        <f>BU36+BU37</f>
        <v>#REF!</v>
      </c>
      <c r="BV35" s="186" t="e">
        <f t="shared" si="73"/>
        <v>#REF!</v>
      </c>
      <c r="BW35" s="189" t="e">
        <f>BW36+BW37</f>
        <v>#REF!</v>
      </c>
      <c r="BX35" s="186" t="e">
        <f t="shared" si="74"/>
        <v>#REF!</v>
      </c>
      <c r="BY35" s="189" t="e">
        <f>BY36+BY37</f>
        <v>#REF!</v>
      </c>
      <c r="BZ35" s="186" t="e">
        <f t="shared" si="75"/>
        <v>#REF!</v>
      </c>
      <c r="CA35" s="189" t="e">
        <f>CA36+CA37</f>
        <v>#REF!</v>
      </c>
      <c r="CB35" s="186" t="e">
        <f t="shared" si="76"/>
        <v>#REF!</v>
      </c>
      <c r="CC35" s="189" t="e">
        <f>CC36+CC37</f>
        <v>#REF!</v>
      </c>
      <c r="CD35" s="186" t="e">
        <f t="shared" si="77"/>
        <v>#REF!</v>
      </c>
      <c r="CE35" s="189" t="e">
        <f>CE36+CE37</f>
        <v>#REF!</v>
      </c>
      <c r="CF35" s="186" t="e">
        <f t="shared" si="78"/>
        <v>#REF!</v>
      </c>
      <c r="CG35" s="189" t="e">
        <f>CG36+CG37</f>
        <v>#REF!</v>
      </c>
      <c r="CH35" s="186" t="e">
        <f t="shared" si="79"/>
        <v>#REF!</v>
      </c>
      <c r="CI35" s="189" t="e">
        <f>CI36+CI37</f>
        <v>#REF!</v>
      </c>
      <c r="CJ35" s="186" t="e">
        <f t="shared" si="80"/>
        <v>#REF!</v>
      </c>
      <c r="CK35" s="189" t="e">
        <f>CK36+CK37</f>
        <v>#REF!</v>
      </c>
      <c r="CL35" s="186" t="e">
        <f t="shared" si="81"/>
        <v>#REF!</v>
      </c>
      <c r="CM35" s="189" t="e">
        <f>CM36+CM37</f>
        <v>#REF!</v>
      </c>
      <c r="CN35" s="186" t="e">
        <f t="shared" si="82"/>
        <v>#REF!</v>
      </c>
      <c r="CO35" s="189" t="e">
        <f>CO36+CO37</f>
        <v>#REF!</v>
      </c>
      <c r="CP35" s="186" t="e">
        <f t="shared" si="83"/>
        <v>#REF!</v>
      </c>
      <c r="CQ35" s="189" t="e">
        <f>CQ36+CQ37</f>
        <v>#REF!</v>
      </c>
      <c r="CR35" s="186" t="e">
        <f t="shared" si="84"/>
        <v>#REF!</v>
      </c>
      <c r="CS35" s="213" t="str">
        <f t="shared" si="85"/>
        <v>Đạt</v>
      </c>
      <c r="CT35" s="213" t="str">
        <f t="shared" si="86"/>
        <v>Đạt</v>
      </c>
      <c r="CU35" s="213"/>
      <c r="CV35" s="213"/>
      <c r="CW35" s="231"/>
      <c r="CX35" s="163"/>
      <c r="CZ35" s="195"/>
      <c r="DA35" s="196"/>
      <c r="DB35" s="196"/>
      <c r="DC35" s="197"/>
      <c r="DD35" s="196"/>
      <c r="DE35" s="196"/>
      <c r="DF35" s="196"/>
      <c r="DH35" s="199"/>
      <c r="DI35" s="200"/>
      <c r="DJ35" s="181"/>
    </row>
    <row r="36" spans="1:116" ht="18" customHeight="1" x14ac:dyDescent="0.25">
      <c r="A36" s="213">
        <v>6</v>
      </c>
      <c r="B36" s="240" t="s">
        <v>457</v>
      </c>
      <c r="C36" s="240"/>
      <c r="D36" s="188">
        <v>3255</v>
      </c>
      <c r="E36" s="188">
        <v>0</v>
      </c>
      <c r="F36" s="188">
        <v>3255</v>
      </c>
      <c r="G36" s="188">
        <v>3000</v>
      </c>
      <c r="H36" s="188">
        <v>255</v>
      </c>
      <c r="I36" s="188">
        <v>0</v>
      </c>
      <c r="J36" s="188"/>
      <c r="K36" s="188">
        <v>0</v>
      </c>
      <c r="L36" s="188">
        <v>0</v>
      </c>
      <c r="M36" s="188">
        <v>0</v>
      </c>
      <c r="N36" s="188">
        <v>0</v>
      </c>
      <c r="O36" s="188">
        <v>3000</v>
      </c>
      <c r="P36" s="188">
        <v>550</v>
      </c>
      <c r="Q36" s="186">
        <v>0.16897081413210446</v>
      </c>
      <c r="R36" s="189">
        <v>599.4</v>
      </c>
      <c r="S36" s="185">
        <v>0.18414746543778801</v>
      </c>
      <c r="T36" s="185">
        <v>0.19383943730293474</v>
      </c>
      <c r="U36" s="304">
        <v>2766.8240000000001</v>
      </c>
      <c r="V36" s="185">
        <v>0.85002273425499231</v>
      </c>
      <c r="W36" s="185">
        <v>0.8947607728999919</v>
      </c>
      <c r="X36" s="304">
        <v>2766.8240000000001</v>
      </c>
      <c r="Y36" s="185">
        <v>0.85002273425499231</v>
      </c>
      <c r="Z36" s="185">
        <v>0.8947607728999919</v>
      </c>
      <c r="AA36" s="304">
        <v>2766.8240000000001</v>
      </c>
      <c r="AB36" s="185">
        <v>0.85002273425499231</v>
      </c>
      <c r="AC36" s="185">
        <v>0.8947607728999919</v>
      </c>
      <c r="AD36" s="304">
        <v>2766.8240000000001</v>
      </c>
      <c r="AE36" s="185">
        <v>0.85002273425499231</v>
      </c>
      <c r="AF36" s="185">
        <v>0.8947607728999919</v>
      </c>
      <c r="AG36" s="304">
        <v>2766.8240000000001</v>
      </c>
      <c r="AH36" s="185">
        <v>0.85002273425499231</v>
      </c>
      <c r="AI36" s="185">
        <v>0.8947607728999919</v>
      </c>
      <c r="AJ36" s="303">
        <v>2766.8240000000001</v>
      </c>
      <c r="AK36" s="185">
        <v>0.85002273425499231</v>
      </c>
      <c r="AL36" s="185">
        <v>0.8947607728999919</v>
      </c>
      <c r="AM36" s="304">
        <v>2766.8240000000001</v>
      </c>
      <c r="AN36" s="185">
        <v>0.85002273425499231</v>
      </c>
      <c r="AO36" s="185">
        <v>0.8947607728999919</v>
      </c>
      <c r="AP36" s="185"/>
      <c r="AQ36" s="189">
        <v>2811.4720000000002</v>
      </c>
      <c r="AR36" s="185">
        <v>0.86373947772657456</v>
      </c>
      <c r="AS36" s="185">
        <v>0.90919945023849957</v>
      </c>
      <c r="AT36" s="189">
        <v>2811.4720000000002</v>
      </c>
      <c r="AU36" s="185">
        <v>0.86373947772657456</v>
      </c>
      <c r="AV36" s="185">
        <v>0.90919945023849957</v>
      </c>
      <c r="AW36" s="185"/>
      <c r="AX36" s="185"/>
      <c r="AY36" s="185"/>
      <c r="AZ36" s="185"/>
      <c r="BA36" s="185"/>
      <c r="BB36" s="185"/>
      <c r="BC36" s="189">
        <v>2811.4720000000002</v>
      </c>
      <c r="BD36" s="185">
        <v>0.86373947772657456</v>
      </c>
      <c r="BE36" s="185">
        <v>0.90919945023849957</v>
      </c>
      <c r="BF36" s="352"/>
      <c r="BG36" s="352">
        <v>2850.4720000000002</v>
      </c>
      <c r="BH36" s="185">
        <v>0.87572104454685107</v>
      </c>
      <c r="BI36" s="185">
        <v>0.92181162583879062</v>
      </c>
      <c r="BJ36" s="374">
        <v>3092.25</v>
      </c>
      <c r="BK36" s="374">
        <v>2850.4720000000002</v>
      </c>
      <c r="BL36" s="185">
        <v>0.87572104454685107</v>
      </c>
      <c r="BM36" s="185">
        <v>0.92181162583879062</v>
      </c>
      <c r="BN36" s="374">
        <v>2850.4720000000002</v>
      </c>
      <c r="BO36" s="185">
        <f t="shared" si="69"/>
        <v>0.87572104454685107</v>
      </c>
      <c r="BP36" s="185">
        <f t="shared" si="70"/>
        <v>0.92181162583879062</v>
      </c>
      <c r="BQ36" s="205">
        <f t="shared" si="71"/>
        <v>83.648000000000138</v>
      </c>
      <c r="BR36" s="205"/>
      <c r="BS36" s="189" t="e">
        <f>BS37+#REF!</f>
        <v>#REF!</v>
      </c>
      <c r="BT36" s="186" t="e">
        <f t="shared" si="72"/>
        <v>#REF!</v>
      </c>
      <c r="BU36" s="189" t="e">
        <f>BU37+#REF!</f>
        <v>#REF!</v>
      </c>
      <c r="BV36" s="186" t="e">
        <f t="shared" si="73"/>
        <v>#REF!</v>
      </c>
      <c r="BW36" s="189" t="e">
        <f>BW37+#REF!</f>
        <v>#REF!</v>
      </c>
      <c r="BX36" s="186" t="e">
        <f t="shared" si="74"/>
        <v>#REF!</v>
      </c>
      <c r="BY36" s="189" t="e">
        <f>BY37+#REF!</f>
        <v>#REF!</v>
      </c>
      <c r="BZ36" s="186" t="e">
        <f t="shared" si="75"/>
        <v>#REF!</v>
      </c>
      <c r="CA36" s="189" t="e">
        <f>CA37+#REF!</f>
        <v>#REF!</v>
      </c>
      <c r="CB36" s="186" t="e">
        <f t="shared" si="76"/>
        <v>#REF!</v>
      </c>
      <c r="CC36" s="189" t="e">
        <f>CC37+#REF!</f>
        <v>#REF!</v>
      </c>
      <c r="CD36" s="186" t="e">
        <f t="shared" si="77"/>
        <v>#REF!</v>
      </c>
      <c r="CE36" s="189" t="e">
        <f>CE37+#REF!</f>
        <v>#REF!</v>
      </c>
      <c r="CF36" s="186" t="e">
        <f t="shared" si="78"/>
        <v>#REF!</v>
      </c>
      <c r="CG36" s="189" t="e">
        <f>CG37+#REF!</f>
        <v>#REF!</v>
      </c>
      <c r="CH36" s="186" t="e">
        <f t="shared" si="79"/>
        <v>#REF!</v>
      </c>
      <c r="CI36" s="189" t="e">
        <f>CI37+#REF!</f>
        <v>#REF!</v>
      </c>
      <c r="CJ36" s="186" t="e">
        <f t="shared" si="80"/>
        <v>#REF!</v>
      </c>
      <c r="CK36" s="189" t="e">
        <f>CK37+#REF!</f>
        <v>#REF!</v>
      </c>
      <c r="CL36" s="186" t="e">
        <f t="shared" si="81"/>
        <v>#REF!</v>
      </c>
      <c r="CM36" s="189" t="e">
        <f>CM37+#REF!</f>
        <v>#REF!</v>
      </c>
      <c r="CN36" s="186" t="e">
        <f t="shared" si="82"/>
        <v>#REF!</v>
      </c>
      <c r="CO36" s="189" t="e">
        <f>CO37+#REF!</f>
        <v>#REF!</v>
      </c>
      <c r="CP36" s="186" t="e">
        <f t="shared" si="83"/>
        <v>#REF!</v>
      </c>
      <c r="CQ36" s="189" t="e">
        <f>CQ37+#REF!</f>
        <v>#REF!</v>
      </c>
      <c r="CR36" s="186" t="e">
        <f t="shared" si="84"/>
        <v>#REF!</v>
      </c>
      <c r="CS36" s="213" t="str">
        <f t="shared" si="85"/>
        <v>Đạt</v>
      </c>
      <c r="CT36" s="213" t="str">
        <f t="shared" si="86"/>
        <v>Đạt</v>
      </c>
      <c r="CU36" s="213"/>
      <c r="CV36" s="213"/>
      <c r="CW36" s="231"/>
      <c r="CX36" s="163"/>
      <c r="CZ36" s="195"/>
      <c r="DA36" s="196"/>
      <c r="DB36" s="196"/>
      <c r="DC36" s="197"/>
      <c r="DD36" s="196"/>
      <c r="DE36" s="196"/>
      <c r="DF36" s="196"/>
      <c r="DH36" s="199"/>
      <c r="DI36" s="200"/>
      <c r="DJ36" s="181"/>
    </row>
    <row r="37" spans="1:116" ht="18" customHeight="1" x14ac:dyDescent="0.25">
      <c r="A37" s="213">
        <v>7</v>
      </c>
      <c r="B37" s="240" t="s">
        <v>389</v>
      </c>
      <c r="C37" s="240"/>
      <c r="D37" s="188">
        <v>3000</v>
      </c>
      <c r="E37" s="188">
        <v>0</v>
      </c>
      <c r="F37" s="188">
        <v>3000</v>
      </c>
      <c r="G37" s="188">
        <v>3000</v>
      </c>
      <c r="H37" s="188">
        <v>0</v>
      </c>
      <c r="I37" s="188">
        <v>0</v>
      </c>
      <c r="J37" s="188"/>
      <c r="K37" s="188">
        <v>0</v>
      </c>
      <c r="L37" s="188">
        <v>0</v>
      </c>
      <c r="M37" s="231"/>
      <c r="N37" s="231"/>
      <c r="O37" s="188">
        <v>3000</v>
      </c>
      <c r="P37" s="188">
        <v>0</v>
      </c>
      <c r="Q37" s="186">
        <v>0</v>
      </c>
      <c r="R37" s="188">
        <v>0</v>
      </c>
      <c r="S37" s="185">
        <v>0</v>
      </c>
      <c r="T37" s="185">
        <v>0</v>
      </c>
      <c r="U37" s="188">
        <v>0</v>
      </c>
      <c r="V37" s="185">
        <v>0</v>
      </c>
      <c r="W37" s="185">
        <v>0</v>
      </c>
      <c r="X37" s="188">
        <v>0</v>
      </c>
      <c r="Y37" s="185">
        <v>0</v>
      </c>
      <c r="Z37" s="185">
        <v>0</v>
      </c>
      <c r="AA37" s="188">
        <v>0</v>
      </c>
      <c r="AB37" s="185">
        <v>0</v>
      </c>
      <c r="AC37" s="185">
        <v>0</v>
      </c>
      <c r="AD37" s="188">
        <v>0</v>
      </c>
      <c r="AE37" s="185">
        <v>0</v>
      </c>
      <c r="AF37" s="185">
        <v>0</v>
      </c>
      <c r="AG37" s="188">
        <v>0</v>
      </c>
      <c r="AH37" s="185">
        <v>0</v>
      </c>
      <c r="AI37" s="185">
        <v>0</v>
      </c>
      <c r="AJ37" s="303">
        <v>0</v>
      </c>
      <c r="AK37" s="185">
        <v>0</v>
      </c>
      <c r="AL37" s="185">
        <v>0</v>
      </c>
      <c r="AM37" s="188">
        <v>0</v>
      </c>
      <c r="AN37" s="185">
        <v>0</v>
      </c>
      <c r="AO37" s="185">
        <v>0</v>
      </c>
      <c r="AP37" s="185"/>
      <c r="AQ37" s="188">
        <v>503.98</v>
      </c>
      <c r="AR37" s="185">
        <v>0.16799333333333333</v>
      </c>
      <c r="AS37" s="185">
        <v>0.17683508771929826</v>
      </c>
      <c r="AT37" s="188">
        <v>503.98</v>
      </c>
      <c r="AU37" s="185">
        <v>0.16799333333333333</v>
      </c>
      <c r="AV37" s="185">
        <v>0.17683508771929826</v>
      </c>
      <c r="AW37" s="185"/>
      <c r="AX37" s="185"/>
      <c r="AY37" s="185"/>
      <c r="AZ37" s="185"/>
      <c r="BA37" s="185"/>
      <c r="BB37" s="185"/>
      <c r="BC37" s="188">
        <v>503.98</v>
      </c>
      <c r="BD37" s="185">
        <v>0.16799333333333333</v>
      </c>
      <c r="BE37" s="185">
        <v>0.17683508771929826</v>
      </c>
      <c r="BF37" s="188"/>
      <c r="BG37" s="188">
        <v>1230.6559999999999</v>
      </c>
      <c r="BH37" s="185">
        <v>0.41021866666666668</v>
      </c>
      <c r="BI37" s="185">
        <v>0.43180912280701755</v>
      </c>
      <c r="BJ37" s="188">
        <v>2850</v>
      </c>
      <c r="BK37" s="188">
        <v>2618.4969999999998</v>
      </c>
      <c r="BL37" s="185">
        <v>0.87283233333333332</v>
      </c>
      <c r="BM37" s="185">
        <v>0.91877087719298245</v>
      </c>
      <c r="BN37" s="188">
        <v>2618.4969999999998</v>
      </c>
      <c r="BO37" s="185">
        <f t="shared" si="69"/>
        <v>0.87283233333333332</v>
      </c>
      <c r="BP37" s="185">
        <f t="shared" si="70"/>
        <v>0.91877087719298245</v>
      </c>
      <c r="BQ37" s="205">
        <f t="shared" si="71"/>
        <v>2618.4969999999998</v>
      </c>
      <c r="BR37" s="205"/>
      <c r="BS37" s="189" t="e">
        <f>#REF!</f>
        <v>#REF!</v>
      </c>
      <c r="BT37" s="186" t="e">
        <f t="shared" si="72"/>
        <v>#REF!</v>
      </c>
      <c r="BU37" s="189" t="e">
        <f>#REF!</f>
        <v>#REF!</v>
      </c>
      <c r="BV37" s="186" t="e">
        <f t="shared" si="73"/>
        <v>#REF!</v>
      </c>
      <c r="BW37" s="189" t="e">
        <f>#REF!</f>
        <v>#REF!</v>
      </c>
      <c r="BX37" s="186" t="e">
        <f t="shared" si="74"/>
        <v>#REF!</v>
      </c>
      <c r="BY37" s="189" t="e">
        <f>#REF!</f>
        <v>#REF!</v>
      </c>
      <c r="BZ37" s="186" t="e">
        <f t="shared" si="75"/>
        <v>#REF!</v>
      </c>
      <c r="CA37" s="189" t="e">
        <f>#REF!</f>
        <v>#REF!</v>
      </c>
      <c r="CB37" s="186" t="e">
        <f t="shared" si="76"/>
        <v>#REF!</v>
      </c>
      <c r="CC37" s="189" t="e">
        <f>#REF!</f>
        <v>#REF!</v>
      </c>
      <c r="CD37" s="186" t="e">
        <f t="shared" si="77"/>
        <v>#REF!</v>
      </c>
      <c r="CE37" s="189" t="e">
        <f>#REF!</f>
        <v>#REF!</v>
      </c>
      <c r="CF37" s="186" t="e">
        <f t="shared" si="78"/>
        <v>#REF!</v>
      </c>
      <c r="CG37" s="189" t="e">
        <f>#REF!</f>
        <v>#REF!</v>
      </c>
      <c r="CH37" s="186" t="e">
        <f t="shared" si="79"/>
        <v>#REF!</v>
      </c>
      <c r="CI37" s="189" t="e">
        <f>#REF!</f>
        <v>#REF!</v>
      </c>
      <c r="CJ37" s="186" t="e">
        <f t="shared" si="80"/>
        <v>#REF!</v>
      </c>
      <c r="CK37" s="189" t="e">
        <f>#REF!</f>
        <v>#REF!</v>
      </c>
      <c r="CL37" s="186" t="e">
        <f t="shared" si="81"/>
        <v>#REF!</v>
      </c>
      <c r="CM37" s="189" t="e">
        <f>#REF!</f>
        <v>#REF!</v>
      </c>
      <c r="CN37" s="186" t="e">
        <f t="shared" si="82"/>
        <v>#REF!</v>
      </c>
      <c r="CO37" s="189" t="e">
        <f>#REF!</f>
        <v>#REF!</v>
      </c>
      <c r="CP37" s="186" t="e">
        <f t="shared" si="83"/>
        <v>#REF!</v>
      </c>
      <c r="CQ37" s="189" t="e">
        <f>#REF!</f>
        <v>#REF!</v>
      </c>
      <c r="CR37" s="186" t="e">
        <f t="shared" si="84"/>
        <v>#REF!</v>
      </c>
      <c r="CS37" s="213" t="str">
        <f t="shared" si="85"/>
        <v>Đạt</v>
      </c>
      <c r="CT37" s="213" t="str">
        <f t="shared" si="86"/>
        <v>Đạt</v>
      </c>
      <c r="CU37" s="213"/>
      <c r="CV37" s="213"/>
      <c r="CW37" s="231"/>
      <c r="CX37" s="163"/>
      <c r="CZ37" s="195"/>
      <c r="DA37" s="196"/>
      <c r="DB37" s="196"/>
      <c r="DC37" s="197"/>
      <c r="DD37" s="196"/>
      <c r="DE37" s="196"/>
      <c r="DF37" s="196"/>
      <c r="DH37" s="199"/>
      <c r="DI37" s="200"/>
      <c r="DJ37" s="181"/>
    </row>
    <row r="38" spans="1:116" ht="18" customHeight="1" x14ac:dyDescent="0.25">
      <c r="A38" s="213">
        <v>8</v>
      </c>
      <c r="B38" s="240" t="s">
        <v>439</v>
      </c>
      <c r="C38" s="240"/>
      <c r="D38" s="188">
        <v>3009</v>
      </c>
      <c r="E38" s="188">
        <v>0</v>
      </c>
      <c r="F38" s="188">
        <v>3009</v>
      </c>
      <c r="G38" s="188">
        <v>3000</v>
      </c>
      <c r="H38" s="188">
        <v>9</v>
      </c>
      <c r="I38" s="188">
        <v>0</v>
      </c>
      <c r="J38" s="188"/>
      <c r="K38" s="188">
        <v>0</v>
      </c>
      <c r="L38" s="188">
        <v>0</v>
      </c>
      <c r="M38" s="188">
        <v>0</v>
      </c>
      <c r="N38" s="188">
        <v>0</v>
      </c>
      <c r="O38" s="188">
        <v>3000</v>
      </c>
      <c r="P38" s="188">
        <v>0</v>
      </c>
      <c r="Q38" s="186">
        <v>0</v>
      </c>
      <c r="R38" s="188">
        <v>512.505</v>
      </c>
      <c r="S38" s="185">
        <v>0.17032402791625126</v>
      </c>
      <c r="T38" s="185">
        <v>0.17928845043815922</v>
      </c>
      <c r="U38" s="315">
        <v>557.74099999999999</v>
      </c>
      <c r="V38" s="185">
        <v>0.18535759388501163</v>
      </c>
      <c r="W38" s="185">
        <v>0.19511325672106489</v>
      </c>
      <c r="X38" s="315">
        <v>557.74099999999999</v>
      </c>
      <c r="Y38" s="185">
        <v>0.18535759388501163</v>
      </c>
      <c r="Z38" s="185">
        <v>0.19511325672106489</v>
      </c>
      <c r="AA38" s="315">
        <v>557.74099999999999</v>
      </c>
      <c r="AB38" s="185">
        <v>0.18535759388501163</v>
      </c>
      <c r="AC38" s="185">
        <v>0.19511325672106489</v>
      </c>
      <c r="AD38" s="315">
        <v>1210</v>
      </c>
      <c r="AE38" s="185">
        <v>0.40212695247590563</v>
      </c>
      <c r="AF38" s="185">
        <v>0.42329152892200594</v>
      </c>
      <c r="AG38" s="315">
        <v>1210</v>
      </c>
      <c r="AH38" s="185">
        <v>0.40212695247590563</v>
      </c>
      <c r="AI38" s="185">
        <v>0.42329152892200594</v>
      </c>
      <c r="AJ38" s="303">
        <v>1210</v>
      </c>
      <c r="AK38" s="185">
        <v>0.40212695247590563</v>
      </c>
      <c r="AL38" s="185">
        <v>0.42329152892200594</v>
      </c>
      <c r="AM38" s="346">
        <v>1210</v>
      </c>
      <c r="AN38" s="185">
        <v>0.40212695247590563</v>
      </c>
      <c r="AO38" s="185">
        <v>0.42329152892200594</v>
      </c>
      <c r="AP38" s="185"/>
      <c r="AQ38" s="188">
        <v>1351</v>
      </c>
      <c r="AR38" s="185">
        <v>0.44898637421070126</v>
      </c>
      <c r="AS38" s="185">
        <v>0.47261723601126449</v>
      </c>
      <c r="AT38" s="188">
        <v>1351</v>
      </c>
      <c r="AU38" s="185">
        <v>0.44898637421070126</v>
      </c>
      <c r="AV38" s="185">
        <v>0.47261723601126449</v>
      </c>
      <c r="AW38" s="185"/>
      <c r="AX38" s="185"/>
      <c r="AY38" s="185"/>
      <c r="AZ38" s="185"/>
      <c r="BA38" s="185"/>
      <c r="BB38" s="185"/>
      <c r="BC38" s="188">
        <v>1351</v>
      </c>
      <c r="BD38" s="185">
        <v>0.44898637421070126</v>
      </c>
      <c r="BE38" s="185">
        <v>0.47261723601126449</v>
      </c>
      <c r="BF38" s="188"/>
      <c r="BG38" s="188">
        <v>2041</v>
      </c>
      <c r="BH38" s="185">
        <v>0.67829843801927547</v>
      </c>
      <c r="BI38" s="185">
        <v>0.71399835580976379</v>
      </c>
      <c r="BJ38" s="188">
        <v>2858.5499999999997</v>
      </c>
      <c r="BK38" s="188">
        <v>2590.1149999999998</v>
      </c>
      <c r="BL38" s="185">
        <v>0.86078929877035548</v>
      </c>
      <c r="BM38" s="185">
        <v>0.90609399870563745</v>
      </c>
      <c r="BN38" s="188">
        <v>2590.1149999999998</v>
      </c>
      <c r="BO38" s="185">
        <f t="shared" si="69"/>
        <v>0.86078929877035548</v>
      </c>
      <c r="BP38" s="185">
        <f t="shared" si="70"/>
        <v>0.90609399870563745</v>
      </c>
      <c r="BQ38" s="205">
        <f t="shared" si="71"/>
        <v>1380.1149999999998</v>
      </c>
      <c r="BR38" s="205"/>
      <c r="BS38" s="189" t="e">
        <f>#REF!+#REF!</f>
        <v>#REF!</v>
      </c>
      <c r="BT38" s="186" t="e">
        <f t="shared" si="72"/>
        <v>#REF!</v>
      </c>
      <c r="BU38" s="189" t="e">
        <f>#REF!+#REF!</f>
        <v>#REF!</v>
      </c>
      <c r="BV38" s="186" t="e">
        <f t="shared" si="73"/>
        <v>#REF!</v>
      </c>
      <c r="BW38" s="189" t="e">
        <f>#REF!+#REF!</f>
        <v>#REF!</v>
      </c>
      <c r="BX38" s="186" t="e">
        <f t="shared" si="74"/>
        <v>#REF!</v>
      </c>
      <c r="BY38" s="189" t="e">
        <f>#REF!+#REF!</f>
        <v>#REF!</v>
      </c>
      <c r="BZ38" s="186" t="e">
        <f t="shared" si="75"/>
        <v>#REF!</v>
      </c>
      <c r="CA38" s="189" t="e">
        <f>#REF!+#REF!</f>
        <v>#REF!</v>
      </c>
      <c r="CB38" s="186" t="e">
        <f t="shared" si="76"/>
        <v>#REF!</v>
      </c>
      <c r="CC38" s="189" t="e">
        <f>#REF!+#REF!</f>
        <v>#REF!</v>
      </c>
      <c r="CD38" s="186" t="e">
        <f t="shared" si="77"/>
        <v>#REF!</v>
      </c>
      <c r="CE38" s="189" t="e">
        <f>#REF!+#REF!</f>
        <v>#REF!</v>
      </c>
      <c r="CF38" s="186" t="e">
        <f t="shared" si="78"/>
        <v>#REF!</v>
      </c>
      <c r="CG38" s="189" t="e">
        <f>#REF!+#REF!</f>
        <v>#REF!</v>
      </c>
      <c r="CH38" s="186" t="e">
        <f t="shared" si="79"/>
        <v>#REF!</v>
      </c>
      <c r="CI38" s="189" t="e">
        <f>#REF!+#REF!</f>
        <v>#REF!</v>
      </c>
      <c r="CJ38" s="186" t="e">
        <f t="shared" si="80"/>
        <v>#REF!</v>
      </c>
      <c r="CK38" s="189" t="e">
        <f>#REF!+#REF!</f>
        <v>#REF!</v>
      </c>
      <c r="CL38" s="186" t="e">
        <f t="shared" si="81"/>
        <v>#REF!</v>
      </c>
      <c r="CM38" s="189" t="e">
        <f>#REF!+#REF!</f>
        <v>#REF!</v>
      </c>
      <c r="CN38" s="186" t="e">
        <f t="shared" si="82"/>
        <v>#REF!</v>
      </c>
      <c r="CO38" s="189" t="e">
        <f>#REF!+#REF!</f>
        <v>#REF!</v>
      </c>
      <c r="CP38" s="186" t="e">
        <f t="shared" si="83"/>
        <v>#REF!</v>
      </c>
      <c r="CQ38" s="189" t="e">
        <f>#REF!+#REF!</f>
        <v>#REF!</v>
      </c>
      <c r="CR38" s="186" t="e">
        <f t="shared" si="84"/>
        <v>#REF!</v>
      </c>
      <c r="CS38" s="213" t="str">
        <f t="shared" si="85"/>
        <v>Đạt</v>
      </c>
      <c r="CT38" s="213" t="str">
        <f t="shared" si="86"/>
        <v>Đạt</v>
      </c>
      <c r="CU38" s="213"/>
      <c r="CV38" s="213"/>
      <c r="CW38" s="231"/>
      <c r="CX38" s="163"/>
      <c r="CZ38" s="195"/>
      <c r="DA38" s="196"/>
      <c r="DB38" s="196"/>
      <c r="DC38" s="197"/>
      <c r="DD38" s="196"/>
      <c r="DE38" s="196"/>
      <c r="DF38" s="196"/>
      <c r="DH38" s="199"/>
      <c r="DI38" s="200"/>
      <c r="DJ38" s="181"/>
    </row>
    <row r="39" spans="1:116" ht="18" customHeight="1" x14ac:dyDescent="0.25">
      <c r="A39" s="213">
        <v>9</v>
      </c>
      <c r="B39" s="240" t="s">
        <v>498</v>
      </c>
      <c r="C39" s="240"/>
      <c r="D39" s="188">
        <v>33255</v>
      </c>
      <c r="E39" s="188">
        <v>0</v>
      </c>
      <c r="F39" s="188">
        <v>33255</v>
      </c>
      <c r="G39" s="188">
        <v>33000</v>
      </c>
      <c r="H39" s="188">
        <v>255</v>
      </c>
      <c r="I39" s="188">
        <v>0</v>
      </c>
      <c r="J39" s="188"/>
      <c r="K39" s="188">
        <v>0</v>
      </c>
      <c r="L39" s="188">
        <v>0</v>
      </c>
      <c r="M39" s="188">
        <v>0</v>
      </c>
      <c r="N39" s="188">
        <v>0</v>
      </c>
      <c r="O39" s="188">
        <v>33000</v>
      </c>
      <c r="P39" s="188">
        <v>465</v>
      </c>
      <c r="Q39" s="186">
        <v>1.3982859720342805E-2</v>
      </c>
      <c r="R39" s="188">
        <v>465</v>
      </c>
      <c r="S39" s="185">
        <v>1.3982859720342805E-2</v>
      </c>
      <c r="T39" s="185">
        <v>1.4718799705624007E-2</v>
      </c>
      <c r="U39" s="314">
        <v>1722.4680000000001</v>
      </c>
      <c r="V39" s="185">
        <v>5.1795760036084798E-2</v>
      </c>
      <c r="W39" s="185">
        <v>5.4521852669562949E-2</v>
      </c>
      <c r="X39" s="314">
        <v>1722.4680000000001</v>
      </c>
      <c r="Y39" s="185">
        <v>5.1795760036084798E-2</v>
      </c>
      <c r="Z39" s="185">
        <v>5.4521852669562949E-2</v>
      </c>
      <c r="AA39" s="314">
        <v>1722.4680000000001</v>
      </c>
      <c r="AB39" s="185">
        <v>5.1795760036084798E-2</v>
      </c>
      <c r="AC39" s="185">
        <v>5.4521852669562949E-2</v>
      </c>
      <c r="AD39" s="314">
        <v>2783.596</v>
      </c>
      <c r="AE39" s="185">
        <v>8.3704585776574955E-2</v>
      </c>
      <c r="AF39" s="185">
        <v>8.8110090291131524E-2</v>
      </c>
      <c r="AG39" s="314">
        <v>2783.596</v>
      </c>
      <c r="AH39" s="185">
        <v>8.3704585776574955E-2</v>
      </c>
      <c r="AI39" s="185">
        <v>8.8110090291131524E-2</v>
      </c>
      <c r="AJ39" s="317">
        <v>2783.596</v>
      </c>
      <c r="AK39" s="185">
        <v>8.3704585776574955E-2</v>
      </c>
      <c r="AL39" s="185">
        <v>8.8110090291131524E-2</v>
      </c>
      <c r="AM39" s="314">
        <v>2783.596</v>
      </c>
      <c r="AN39" s="185">
        <v>8.3704585776574955E-2</v>
      </c>
      <c r="AO39" s="185">
        <v>8.8110090291131524E-2</v>
      </c>
      <c r="AP39" s="185"/>
      <c r="AQ39" s="188">
        <v>5189.0480000000007</v>
      </c>
      <c r="AR39" s="185">
        <v>0.15603812960457075</v>
      </c>
      <c r="AS39" s="185">
        <v>0.16425066274165342</v>
      </c>
      <c r="AT39" s="188">
        <v>5189.0480000000007</v>
      </c>
      <c r="AU39" s="185">
        <v>0.15603812960457075</v>
      </c>
      <c r="AV39" s="185">
        <v>0.16425066274165342</v>
      </c>
      <c r="AW39" s="185"/>
      <c r="AX39" s="185"/>
      <c r="AY39" s="185"/>
      <c r="AZ39" s="185"/>
      <c r="BA39" s="185"/>
      <c r="BB39" s="185"/>
      <c r="BC39" s="188">
        <v>5189.0480000000007</v>
      </c>
      <c r="BD39" s="185">
        <v>0.15603812960457075</v>
      </c>
      <c r="BE39" s="185">
        <v>0.16425066274165342</v>
      </c>
      <c r="BF39" s="352"/>
      <c r="BG39" s="352">
        <v>28182.587</v>
      </c>
      <c r="BH39" s="185">
        <v>0.84746916253195004</v>
      </c>
      <c r="BI39" s="185">
        <v>0.89207280266521061</v>
      </c>
      <c r="BJ39" s="374">
        <v>31592.25</v>
      </c>
      <c r="BK39" s="374">
        <v>28280.459000000003</v>
      </c>
      <c r="BL39" s="185">
        <v>0.85041223876108862</v>
      </c>
      <c r="BM39" s="185">
        <v>0.89517077764325115</v>
      </c>
      <c r="BN39" s="374">
        <v>28280.459000000003</v>
      </c>
      <c r="BO39" s="185">
        <f t="shared" si="69"/>
        <v>0.85041223876108862</v>
      </c>
      <c r="BP39" s="185">
        <f t="shared" si="70"/>
        <v>0.89517077764325115</v>
      </c>
      <c r="BQ39" s="205">
        <f t="shared" si="71"/>
        <v>25496.863000000001</v>
      </c>
      <c r="BR39" s="205"/>
      <c r="BS39" s="189" t="e">
        <f>#REF!+BS40+#REF!</f>
        <v>#REF!</v>
      </c>
      <c r="BT39" s="186" t="e">
        <f t="shared" si="72"/>
        <v>#REF!</v>
      </c>
      <c r="BU39" s="189" t="e">
        <f>#REF!+BU40+#REF!</f>
        <v>#REF!</v>
      </c>
      <c r="BV39" s="186" t="e">
        <f t="shared" si="73"/>
        <v>#REF!</v>
      </c>
      <c r="BW39" s="189" t="e">
        <f>#REF!+BW40+#REF!</f>
        <v>#REF!</v>
      </c>
      <c r="BX39" s="186" t="e">
        <f t="shared" si="74"/>
        <v>#REF!</v>
      </c>
      <c r="BY39" s="189" t="e">
        <f>#REF!+BY40+#REF!</f>
        <v>#REF!</v>
      </c>
      <c r="BZ39" s="186" t="e">
        <f t="shared" si="75"/>
        <v>#REF!</v>
      </c>
      <c r="CA39" s="189" t="e">
        <f>#REF!+CA40+#REF!</f>
        <v>#REF!</v>
      </c>
      <c r="CB39" s="186" t="e">
        <f t="shared" si="76"/>
        <v>#REF!</v>
      </c>
      <c r="CC39" s="189" t="e">
        <f>#REF!+CC40+#REF!</f>
        <v>#REF!</v>
      </c>
      <c r="CD39" s="186" t="e">
        <f t="shared" si="77"/>
        <v>#REF!</v>
      </c>
      <c r="CE39" s="189" t="e">
        <f>#REF!+CE40+#REF!</f>
        <v>#REF!</v>
      </c>
      <c r="CF39" s="186" t="e">
        <f t="shared" si="78"/>
        <v>#REF!</v>
      </c>
      <c r="CG39" s="189" t="e">
        <f>#REF!+CG40+#REF!</f>
        <v>#REF!</v>
      </c>
      <c r="CH39" s="186" t="e">
        <f t="shared" si="79"/>
        <v>#REF!</v>
      </c>
      <c r="CI39" s="189" t="e">
        <f>#REF!+CI40+#REF!</f>
        <v>#REF!</v>
      </c>
      <c r="CJ39" s="186" t="e">
        <f t="shared" si="80"/>
        <v>#REF!</v>
      </c>
      <c r="CK39" s="189" t="e">
        <f>#REF!+CK40+#REF!</f>
        <v>#REF!</v>
      </c>
      <c r="CL39" s="186" t="e">
        <f t="shared" si="81"/>
        <v>#REF!</v>
      </c>
      <c r="CM39" s="189" t="e">
        <f>#REF!+CM40+#REF!</f>
        <v>#REF!</v>
      </c>
      <c r="CN39" s="186" t="e">
        <f t="shared" si="82"/>
        <v>#REF!</v>
      </c>
      <c r="CO39" s="189" t="e">
        <f>#REF!+CO40+#REF!</f>
        <v>#REF!</v>
      </c>
      <c r="CP39" s="186" t="e">
        <f t="shared" si="83"/>
        <v>#REF!</v>
      </c>
      <c r="CQ39" s="189" t="e">
        <f>#REF!+CQ40+#REF!</f>
        <v>#REF!</v>
      </c>
      <c r="CR39" s="186" t="e">
        <f t="shared" si="84"/>
        <v>#REF!</v>
      </c>
      <c r="CS39" s="213" t="str">
        <f t="shared" si="85"/>
        <v>Đạt</v>
      </c>
      <c r="CT39" s="213" t="str">
        <f t="shared" si="86"/>
        <v>Đạt</v>
      </c>
      <c r="CU39" s="213"/>
      <c r="CV39" s="213"/>
      <c r="CW39" s="231"/>
      <c r="CX39" s="163"/>
      <c r="CZ39" s="195"/>
      <c r="DA39" s="196"/>
      <c r="DB39" s="196"/>
      <c r="DC39" s="197"/>
      <c r="DD39" s="196"/>
      <c r="DE39" s="196"/>
      <c r="DF39" s="196"/>
      <c r="DH39" s="199"/>
      <c r="DI39" s="200"/>
      <c r="DJ39" s="181"/>
    </row>
    <row r="40" spans="1:116" ht="18" customHeight="1" x14ac:dyDescent="0.25">
      <c r="A40" s="213">
        <v>10</v>
      </c>
      <c r="B40" s="240" t="s">
        <v>393</v>
      </c>
      <c r="C40" s="240"/>
      <c r="D40" s="188">
        <v>4275</v>
      </c>
      <c r="E40" s="188">
        <v>0</v>
      </c>
      <c r="F40" s="188">
        <v>4275</v>
      </c>
      <c r="G40" s="188">
        <v>3000</v>
      </c>
      <c r="H40" s="188">
        <v>1275</v>
      </c>
      <c r="I40" s="188">
        <v>0</v>
      </c>
      <c r="J40" s="188"/>
      <c r="K40" s="188">
        <v>0</v>
      </c>
      <c r="L40" s="188">
        <v>0</v>
      </c>
      <c r="M40" s="188">
        <v>0</v>
      </c>
      <c r="N40" s="188">
        <v>0</v>
      </c>
      <c r="O40" s="188">
        <v>3000</v>
      </c>
      <c r="P40" s="188">
        <v>0</v>
      </c>
      <c r="Q40" s="186">
        <v>0</v>
      </c>
      <c r="R40" s="189">
        <v>1412.84</v>
      </c>
      <c r="S40" s="185">
        <v>0.33048888888888889</v>
      </c>
      <c r="T40" s="185">
        <v>0.34788304093567252</v>
      </c>
      <c r="U40" s="189">
        <v>1877.2779999999998</v>
      </c>
      <c r="V40" s="185">
        <v>0.43912935672514614</v>
      </c>
      <c r="W40" s="185">
        <v>0.4622414281317328</v>
      </c>
      <c r="X40" s="189">
        <v>1877.2779999999998</v>
      </c>
      <c r="Y40" s="185">
        <v>0.43912935672514614</v>
      </c>
      <c r="Z40" s="185">
        <v>0.4622414281317328</v>
      </c>
      <c r="AA40" s="189">
        <v>1877.2779999999998</v>
      </c>
      <c r="AB40" s="185">
        <v>0.43912935672514614</v>
      </c>
      <c r="AC40" s="185">
        <v>0.4622414281317328</v>
      </c>
      <c r="AD40" s="189">
        <v>2238</v>
      </c>
      <c r="AE40" s="185">
        <v>0.52350877192982459</v>
      </c>
      <c r="AF40" s="185">
        <v>0.55106186518928901</v>
      </c>
      <c r="AG40" s="189">
        <v>2238</v>
      </c>
      <c r="AH40" s="185">
        <v>0.52350877192982459</v>
      </c>
      <c r="AI40" s="185">
        <v>0.55106186518928901</v>
      </c>
      <c r="AJ40" s="303">
        <v>2238</v>
      </c>
      <c r="AK40" s="185">
        <v>0.52350877192982459</v>
      </c>
      <c r="AL40" s="185">
        <v>0.55106186518928901</v>
      </c>
      <c r="AM40" s="189">
        <v>2238</v>
      </c>
      <c r="AN40" s="185">
        <v>0.52350877192982459</v>
      </c>
      <c r="AO40" s="185">
        <v>0.55106186518928901</v>
      </c>
      <c r="AP40" s="185"/>
      <c r="AQ40" s="189">
        <v>2353.1880000000001</v>
      </c>
      <c r="AR40" s="185">
        <v>0.55045333333333335</v>
      </c>
      <c r="AS40" s="185">
        <v>0.57942456140350884</v>
      </c>
      <c r="AT40" s="189">
        <v>2362.0340000000001</v>
      </c>
      <c r="AU40" s="185">
        <v>0.55252257309941522</v>
      </c>
      <c r="AV40" s="185">
        <v>0.58160270852570028</v>
      </c>
      <c r="AW40" s="185"/>
      <c r="AX40" s="185"/>
      <c r="AY40" s="185"/>
      <c r="AZ40" s="185"/>
      <c r="BA40" s="185"/>
      <c r="BB40" s="185"/>
      <c r="BC40" s="189">
        <v>2362.0340000000001</v>
      </c>
      <c r="BD40" s="185">
        <v>0.55252257309941522</v>
      </c>
      <c r="BE40" s="185">
        <v>0.58160270852570028</v>
      </c>
      <c r="BF40" s="189"/>
      <c r="BG40" s="189">
        <v>3133.5990000000002</v>
      </c>
      <c r="BH40" s="185">
        <v>0.73300561403508779</v>
      </c>
      <c r="BI40" s="185">
        <v>0.77158485687903977</v>
      </c>
      <c r="BJ40" s="189">
        <v>4061.25</v>
      </c>
      <c r="BK40" s="189">
        <v>3590</v>
      </c>
      <c r="BL40" s="185">
        <v>0.83976608187134505</v>
      </c>
      <c r="BM40" s="185">
        <v>0.88396429670667898</v>
      </c>
      <c r="BN40" s="189">
        <v>3590</v>
      </c>
      <c r="BO40" s="185">
        <f t="shared" si="69"/>
        <v>0.83976608187134505</v>
      </c>
      <c r="BP40" s="185">
        <f t="shared" si="70"/>
        <v>0.88396429670667898</v>
      </c>
      <c r="BQ40" s="205">
        <f t="shared" si="71"/>
        <v>1352</v>
      </c>
      <c r="BR40" s="205"/>
      <c r="BS40" s="189" t="e">
        <f>#REF!+#REF!</f>
        <v>#REF!</v>
      </c>
      <c r="BT40" s="186" t="e">
        <f t="shared" si="72"/>
        <v>#REF!</v>
      </c>
      <c r="BU40" s="189" t="e">
        <f>#REF!+#REF!</f>
        <v>#REF!</v>
      </c>
      <c r="BV40" s="186" t="e">
        <f t="shared" si="73"/>
        <v>#REF!</v>
      </c>
      <c r="BW40" s="189" t="e">
        <f>#REF!+#REF!</f>
        <v>#REF!</v>
      </c>
      <c r="BX40" s="186" t="e">
        <f t="shared" si="74"/>
        <v>#REF!</v>
      </c>
      <c r="BY40" s="189" t="e">
        <f>#REF!+#REF!</f>
        <v>#REF!</v>
      </c>
      <c r="BZ40" s="186" t="e">
        <f t="shared" si="75"/>
        <v>#REF!</v>
      </c>
      <c r="CA40" s="189" t="e">
        <f>#REF!+#REF!</f>
        <v>#REF!</v>
      </c>
      <c r="CB40" s="186" t="e">
        <f t="shared" si="76"/>
        <v>#REF!</v>
      </c>
      <c r="CC40" s="189" t="e">
        <f>#REF!+#REF!</f>
        <v>#REF!</v>
      </c>
      <c r="CD40" s="186" t="e">
        <f t="shared" si="77"/>
        <v>#REF!</v>
      </c>
      <c r="CE40" s="189" t="e">
        <f>#REF!+#REF!</f>
        <v>#REF!</v>
      </c>
      <c r="CF40" s="186" t="e">
        <f t="shared" si="78"/>
        <v>#REF!</v>
      </c>
      <c r="CG40" s="189" t="e">
        <f>#REF!+#REF!</f>
        <v>#REF!</v>
      </c>
      <c r="CH40" s="186" t="e">
        <f t="shared" si="79"/>
        <v>#REF!</v>
      </c>
      <c r="CI40" s="189" t="e">
        <f>#REF!+#REF!</f>
        <v>#REF!</v>
      </c>
      <c r="CJ40" s="186" t="e">
        <f t="shared" si="80"/>
        <v>#REF!</v>
      </c>
      <c r="CK40" s="189" t="e">
        <f>#REF!+#REF!</f>
        <v>#REF!</v>
      </c>
      <c r="CL40" s="186" t="e">
        <f t="shared" si="81"/>
        <v>#REF!</v>
      </c>
      <c r="CM40" s="189" t="e">
        <f>#REF!+#REF!</f>
        <v>#REF!</v>
      </c>
      <c r="CN40" s="186" t="e">
        <f t="shared" si="82"/>
        <v>#REF!</v>
      </c>
      <c r="CO40" s="189" t="e">
        <f>#REF!+#REF!</f>
        <v>#REF!</v>
      </c>
      <c r="CP40" s="186" t="e">
        <f t="shared" si="83"/>
        <v>#REF!</v>
      </c>
      <c r="CQ40" s="189" t="e">
        <f>#REF!+#REF!</f>
        <v>#REF!</v>
      </c>
      <c r="CR40" s="186" t="e">
        <f t="shared" si="84"/>
        <v>#REF!</v>
      </c>
      <c r="CS40" s="213" t="str">
        <f t="shared" si="85"/>
        <v>Đạt</v>
      </c>
      <c r="CT40" s="213" t="str">
        <f t="shared" si="86"/>
        <v>Đạt</v>
      </c>
      <c r="CU40" s="213"/>
      <c r="CV40" s="213"/>
      <c r="CW40" s="231"/>
      <c r="CX40" s="163"/>
      <c r="CZ40" s="195"/>
      <c r="DA40" s="196"/>
      <c r="DB40" s="196"/>
      <c r="DC40" s="197"/>
      <c r="DD40" s="196"/>
      <c r="DE40" s="196"/>
      <c r="DF40" s="196"/>
      <c r="DH40" s="199"/>
      <c r="DI40" s="200"/>
      <c r="DJ40" s="181"/>
    </row>
    <row r="41" spans="1:116" ht="18" customHeight="1" x14ac:dyDescent="0.25">
      <c r="A41" s="213">
        <v>11</v>
      </c>
      <c r="B41" s="240" t="s">
        <v>443</v>
      </c>
      <c r="C41" s="240"/>
      <c r="D41" s="188">
        <v>3144</v>
      </c>
      <c r="E41" s="188">
        <v>0</v>
      </c>
      <c r="F41" s="188">
        <v>3144</v>
      </c>
      <c r="G41" s="188">
        <v>3000</v>
      </c>
      <c r="H41" s="188">
        <v>144</v>
      </c>
      <c r="I41" s="188">
        <v>0</v>
      </c>
      <c r="J41" s="188"/>
      <c r="K41" s="188">
        <v>0</v>
      </c>
      <c r="L41" s="188">
        <v>0</v>
      </c>
      <c r="M41" s="188">
        <v>0</v>
      </c>
      <c r="N41" s="188">
        <v>0</v>
      </c>
      <c r="O41" s="188">
        <v>3000</v>
      </c>
      <c r="P41" s="188">
        <v>0</v>
      </c>
      <c r="Q41" s="186">
        <v>0</v>
      </c>
      <c r="R41" s="188">
        <v>0</v>
      </c>
      <c r="S41" s="185">
        <v>0</v>
      </c>
      <c r="T41" s="185">
        <v>0</v>
      </c>
      <c r="U41" s="188">
        <v>0</v>
      </c>
      <c r="V41" s="185">
        <v>0</v>
      </c>
      <c r="W41" s="185">
        <v>0</v>
      </c>
      <c r="X41" s="188">
        <v>0</v>
      </c>
      <c r="Y41" s="185">
        <v>0</v>
      </c>
      <c r="Z41" s="185">
        <v>0</v>
      </c>
      <c r="AA41" s="188">
        <v>0</v>
      </c>
      <c r="AB41" s="185">
        <v>0</v>
      </c>
      <c r="AC41" s="185">
        <v>0</v>
      </c>
      <c r="AD41" s="188">
        <v>0</v>
      </c>
      <c r="AE41" s="185">
        <v>0</v>
      </c>
      <c r="AF41" s="185">
        <v>0</v>
      </c>
      <c r="AG41" s="188">
        <v>0</v>
      </c>
      <c r="AH41" s="185">
        <v>0</v>
      </c>
      <c r="AI41" s="185">
        <v>0</v>
      </c>
      <c r="AJ41" s="303">
        <v>0</v>
      </c>
      <c r="AK41" s="185">
        <v>0</v>
      </c>
      <c r="AL41" s="185">
        <v>0</v>
      </c>
      <c r="AM41" s="188">
        <v>979</v>
      </c>
      <c r="AN41" s="185">
        <v>0.31138676844783714</v>
      </c>
      <c r="AO41" s="185">
        <v>0.32777554573456547</v>
      </c>
      <c r="AP41" s="185"/>
      <c r="AQ41" s="188">
        <v>1595</v>
      </c>
      <c r="AR41" s="185">
        <v>0.50731552162849869</v>
      </c>
      <c r="AS41" s="185">
        <v>0.53401633855631447</v>
      </c>
      <c r="AT41" s="188">
        <v>1599.7</v>
      </c>
      <c r="AU41" s="185">
        <v>0.5088104325699746</v>
      </c>
      <c r="AV41" s="185">
        <v>0.53558992902102587</v>
      </c>
      <c r="AW41" s="185"/>
      <c r="AX41" s="185"/>
      <c r="AY41" s="185"/>
      <c r="AZ41" s="185"/>
      <c r="BA41" s="185"/>
      <c r="BB41" s="185"/>
      <c r="BC41" s="188">
        <v>1599.7</v>
      </c>
      <c r="BD41" s="185">
        <v>0.5088104325699746</v>
      </c>
      <c r="BE41" s="185">
        <v>0.53558992902102587</v>
      </c>
      <c r="BF41" s="188"/>
      <c r="BG41" s="188">
        <v>2146</v>
      </c>
      <c r="BH41" s="185">
        <v>0.68256997455470736</v>
      </c>
      <c r="BI41" s="185">
        <v>0.71849471005758681</v>
      </c>
      <c r="BJ41" s="188">
        <v>2986.7999999999997</v>
      </c>
      <c r="BK41" s="188">
        <v>2545</v>
      </c>
      <c r="BL41" s="185">
        <v>0.80947837150127222</v>
      </c>
      <c r="BM41" s="185">
        <v>0.85208249631712873</v>
      </c>
      <c r="BN41" s="188">
        <v>2545</v>
      </c>
      <c r="BO41" s="185">
        <f t="shared" si="69"/>
        <v>0.80947837150127222</v>
      </c>
      <c r="BP41" s="185">
        <f t="shared" si="70"/>
        <v>0.85208249631712873</v>
      </c>
      <c r="BQ41" s="205">
        <f t="shared" si="71"/>
        <v>2545</v>
      </c>
      <c r="BR41" s="205"/>
      <c r="BS41" s="189" t="e">
        <f>#REF!+#REF!</f>
        <v>#REF!</v>
      </c>
      <c r="BT41" s="186" t="e">
        <f t="shared" si="72"/>
        <v>#REF!</v>
      </c>
      <c r="BU41" s="189" t="e">
        <f>#REF!+#REF!</f>
        <v>#REF!</v>
      </c>
      <c r="BV41" s="186" t="e">
        <f t="shared" si="73"/>
        <v>#REF!</v>
      </c>
      <c r="BW41" s="189" t="e">
        <f>#REF!+#REF!</f>
        <v>#REF!</v>
      </c>
      <c r="BX41" s="186" t="e">
        <f t="shared" si="74"/>
        <v>#REF!</v>
      </c>
      <c r="BY41" s="189" t="e">
        <f>#REF!+#REF!</f>
        <v>#REF!</v>
      </c>
      <c r="BZ41" s="186" t="e">
        <f t="shared" si="75"/>
        <v>#REF!</v>
      </c>
      <c r="CA41" s="189" t="e">
        <f>#REF!+#REF!</f>
        <v>#REF!</v>
      </c>
      <c r="CB41" s="186" t="e">
        <f t="shared" si="76"/>
        <v>#REF!</v>
      </c>
      <c r="CC41" s="189" t="e">
        <f>#REF!+#REF!</f>
        <v>#REF!</v>
      </c>
      <c r="CD41" s="186" t="e">
        <f t="shared" si="77"/>
        <v>#REF!</v>
      </c>
      <c r="CE41" s="189" t="e">
        <f>#REF!+#REF!</f>
        <v>#REF!</v>
      </c>
      <c r="CF41" s="186" t="e">
        <f t="shared" si="78"/>
        <v>#REF!</v>
      </c>
      <c r="CG41" s="189" t="e">
        <f>#REF!+#REF!</f>
        <v>#REF!</v>
      </c>
      <c r="CH41" s="186" t="e">
        <f t="shared" si="79"/>
        <v>#REF!</v>
      </c>
      <c r="CI41" s="189" t="e">
        <f>#REF!+#REF!</f>
        <v>#REF!</v>
      </c>
      <c r="CJ41" s="186" t="e">
        <f t="shared" si="80"/>
        <v>#REF!</v>
      </c>
      <c r="CK41" s="189" t="e">
        <f>#REF!+#REF!</f>
        <v>#REF!</v>
      </c>
      <c r="CL41" s="186" t="e">
        <f t="shared" si="81"/>
        <v>#REF!</v>
      </c>
      <c r="CM41" s="189" t="e">
        <f>#REF!+#REF!</f>
        <v>#REF!</v>
      </c>
      <c r="CN41" s="186" t="e">
        <f t="shared" si="82"/>
        <v>#REF!</v>
      </c>
      <c r="CO41" s="189" t="e">
        <f>#REF!+#REF!</f>
        <v>#REF!</v>
      </c>
      <c r="CP41" s="186" t="e">
        <f t="shared" si="83"/>
        <v>#REF!</v>
      </c>
      <c r="CQ41" s="189" t="e">
        <f>#REF!+#REF!</f>
        <v>#REF!</v>
      </c>
      <c r="CR41" s="186" t="e">
        <f t="shared" si="84"/>
        <v>#REF!</v>
      </c>
      <c r="CS41" s="213" t="str">
        <f t="shared" si="85"/>
        <v>Đạt</v>
      </c>
      <c r="CT41" s="213" t="str">
        <f t="shared" si="86"/>
        <v>Đạt</v>
      </c>
      <c r="CU41" s="213"/>
      <c r="CV41" s="213"/>
      <c r="CW41" s="231"/>
      <c r="CX41" s="163"/>
      <c r="CZ41" s="195"/>
      <c r="DA41" s="196"/>
      <c r="DB41" s="196"/>
      <c r="DC41" s="197"/>
      <c r="DD41" s="196"/>
      <c r="DE41" s="196"/>
      <c r="DF41" s="196"/>
      <c r="DH41" s="199"/>
      <c r="DI41" s="200"/>
      <c r="DJ41" s="181"/>
    </row>
    <row r="42" spans="1:116" ht="18" customHeight="1" x14ac:dyDescent="0.25">
      <c r="A42" s="213">
        <v>12</v>
      </c>
      <c r="B42" s="240" t="s">
        <v>459</v>
      </c>
      <c r="C42" s="240"/>
      <c r="D42" s="188">
        <v>3510</v>
      </c>
      <c r="E42" s="188">
        <v>0</v>
      </c>
      <c r="F42" s="188">
        <v>3510</v>
      </c>
      <c r="G42" s="188">
        <v>3000</v>
      </c>
      <c r="H42" s="188">
        <v>510</v>
      </c>
      <c r="I42" s="188">
        <v>0</v>
      </c>
      <c r="J42" s="188"/>
      <c r="K42" s="188">
        <v>0</v>
      </c>
      <c r="L42" s="188">
        <v>0</v>
      </c>
      <c r="M42" s="188">
        <v>0</v>
      </c>
      <c r="N42" s="188">
        <v>0</v>
      </c>
      <c r="O42" s="188">
        <v>3000</v>
      </c>
      <c r="P42" s="188">
        <v>896.30200000000002</v>
      </c>
      <c r="Q42" s="186">
        <v>0.25535669515669518</v>
      </c>
      <c r="R42" s="189">
        <v>896.30200000000002</v>
      </c>
      <c r="S42" s="185">
        <v>0.25535669515669518</v>
      </c>
      <c r="T42" s="185">
        <v>0.26879652121757386</v>
      </c>
      <c r="U42" s="304">
        <v>896.30200000000002</v>
      </c>
      <c r="V42" s="185">
        <v>0.25535669515669518</v>
      </c>
      <c r="W42" s="185">
        <v>0.26879652121757386</v>
      </c>
      <c r="X42" s="304">
        <v>896.30200000000002</v>
      </c>
      <c r="Y42" s="185">
        <v>0.25535669515669518</v>
      </c>
      <c r="Z42" s="185">
        <v>0.26879652121757386</v>
      </c>
      <c r="AA42" s="304">
        <v>896.30200000000002</v>
      </c>
      <c r="AB42" s="185">
        <v>0.25535669515669518</v>
      </c>
      <c r="AC42" s="185">
        <v>0.26879652121757386</v>
      </c>
      <c r="AD42" s="304">
        <v>2382.6990000000001</v>
      </c>
      <c r="AE42" s="185">
        <v>0.678831623931624</v>
      </c>
      <c r="AF42" s="185">
        <v>0.71455960413855157</v>
      </c>
      <c r="AG42" s="304">
        <v>2382.6990000000001</v>
      </c>
      <c r="AH42" s="185">
        <v>0.678831623931624</v>
      </c>
      <c r="AI42" s="185">
        <v>0.71455960413855157</v>
      </c>
      <c r="AJ42" s="303">
        <v>2382.6990000000001</v>
      </c>
      <c r="AK42" s="185">
        <v>0.678831623931624</v>
      </c>
      <c r="AL42" s="185">
        <v>0.71455960413855157</v>
      </c>
      <c r="AM42" s="304">
        <v>2382.6990000000001</v>
      </c>
      <c r="AN42" s="185">
        <v>0.678831623931624</v>
      </c>
      <c r="AO42" s="185">
        <v>0.71455960413855157</v>
      </c>
      <c r="AP42" s="185"/>
      <c r="AQ42" s="189">
        <v>2779.7370000000001</v>
      </c>
      <c r="AR42" s="185">
        <v>0.79194786324786326</v>
      </c>
      <c r="AS42" s="185">
        <v>0.83362932973459292</v>
      </c>
      <c r="AT42" s="189">
        <v>2779.7370000000001</v>
      </c>
      <c r="AU42" s="185">
        <v>0.79194786324786326</v>
      </c>
      <c r="AV42" s="185">
        <v>0.83362932973459292</v>
      </c>
      <c r="AW42" s="185"/>
      <c r="AX42" s="185"/>
      <c r="AY42" s="185"/>
      <c r="AZ42" s="185"/>
      <c r="BA42" s="185"/>
      <c r="BB42" s="185"/>
      <c r="BC42" s="189">
        <v>2779.7370000000001</v>
      </c>
      <c r="BD42" s="185">
        <v>0.79194786324786326</v>
      </c>
      <c r="BE42" s="185">
        <v>0.83362932973459292</v>
      </c>
      <c r="BF42" s="352"/>
      <c r="BG42" s="352">
        <v>2827.9290000000001</v>
      </c>
      <c r="BH42" s="185">
        <v>0.80567777777777783</v>
      </c>
      <c r="BI42" s="185">
        <v>0.84808187134502921</v>
      </c>
      <c r="BJ42" s="374">
        <v>3334.5</v>
      </c>
      <c r="BK42" s="374">
        <v>2827.9290000000001</v>
      </c>
      <c r="BL42" s="185">
        <v>0.80567777777777783</v>
      </c>
      <c r="BM42" s="185">
        <v>0.84808187134502921</v>
      </c>
      <c r="BN42" s="374">
        <v>2827.9290000000001</v>
      </c>
      <c r="BO42" s="185">
        <f t="shared" si="69"/>
        <v>0.80567777777777783</v>
      </c>
      <c r="BP42" s="185">
        <f t="shared" si="70"/>
        <v>0.84808187134502921</v>
      </c>
      <c r="BQ42" s="205">
        <f t="shared" si="71"/>
        <v>445.23</v>
      </c>
      <c r="BR42" s="205"/>
      <c r="BS42" s="189" t="e">
        <f>#REF!+#REF!</f>
        <v>#REF!</v>
      </c>
      <c r="BT42" s="186" t="e">
        <f t="shared" si="72"/>
        <v>#REF!</v>
      </c>
      <c r="BU42" s="189" t="e">
        <f>#REF!+#REF!</f>
        <v>#REF!</v>
      </c>
      <c r="BV42" s="186" t="e">
        <f t="shared" si="73"/>
        <v>#REF!</v>
      </c>
      <c r="BW42" s="189" t="e">
        <f>#REF!+#REF!</f>
        <v>#REF!</v>
      </c>
      <c r="BX42" s="186" t="e">
        <f t="shared" si="74"/>
        <v>#REF!</v>
      </c>
      <c r="BY42" s="189" t="e">
        <f>#REF!+#REF!</f>
        <v>#REF!</v>
      </c>
      <c r="BZ42" s="186" t="e">
        <f t="shared" si="75"/>
        <v>#REF!</v>
      </c>
      <c r="CA42" s="189" t="e">
        <f>#REF!+#REF!</f>
        <v>#REF!</v>
      </c>
      <c r="CB42" s="186" t="e">
        <f t="shared" si="76"/>
        <v>#REF!</v>
      </c>
      <c r="CC42" s="189" t="e">
        <f>#REF!+#REF!</f>
        <v>#REF!</v>
      </c>
      <c r="CD42" s="186" t="e">
        <f t="shared" si="77"/>
        <v>#REF!</v>
      </c>
      <c r="CE42" s="189" t="e">
        <f>#REF!+#REF!</f>
        <v>#REF!</v>
      </c>
      <c r="CF42" s="186" t="e">
        <f t="shared" si="78"/>
        <v>#REF!</v>
      </c>
      <c r="CG42" s="189" t="e">
        <f>#REF!+#REF!</f>
        <v>#REF!</v>
      </c>
      <c r="CH42" s="186" t="e">
        <f t="shared" si="79"/>
        <v>#REF!</v>
      </c>
      <c r="CI42" s="189" t="e">
        <f>#REF!+#REF!</f>
        <v>#REF!</v>
      </c>
      <c r="CJ42" s="186" t="e">
        <f t="shared" si="80"/>
        <v>#REF!</v>
      </c>
      <c r="CK42" s="189" t="e">
        <f>#REF!+#REF!</f>
        <v>#REF!</v>
      </c>
      <c r="CL42" s="186" t="e">
        <f t="shared" si="81"/>
        <v>#REF!</v>
      </c>
      <c r="CM42" s="189" t="e">
        <f>#REF!+#REF!</f>
        <v>#REF!</v>
      </c>
      <c r="CN42" s="186" t="e">
        <f t="shared" si="82"/>
        <v>#REF!</v>
      </c>
      <c r="CO42" s="189" t="e">
        <f>#REF!+#REF!</f>
        <v>#REF!</v>
      </c>
      <c r="CP42" s="186" t="e">
        <f t="shared" si="83"/>
        <v>#REF!</v>
      </c>
      <c r="CQ42" s="189" t="e">
        <f>#REF!+#REF!</f>
        <v>#REF!</v>
      </c>
      <c r="CR42" s="186" t="e">
        <f t="shared" si="84"/>
        <v>#REF!</v>
      </c>
      <c r="CS42" s="213" t="str">
        <f t="shared" si="85"/>
        <v>Đạt</v>
      </c>
      <c r="CT42" s="213" t="str">
        <f t="shared" si="86"/>
        <v>Đạt</v>
      </c>
      <c r="CU42" s="213"/>
      <c r="CV42" s="213"/>
      <c r="CW42" s="231"/>
      <c r="CX42" s="163"/>
      <c r="CZ42" s="195"/>
      <c r="DA42" s="196"/>
      <c r="DB42" s="196"/>
      <c r="DC42" s="197"/>
      <c r="DD42" s="196"/>
      <c r="DE42" s="196"/>
      <c r="DF42" s="196"/>
      <c r="DH42" s="199"/>
      <c r="DI42" s="200"/>
      <c r="DJ42" s="181"/>
    </row>
    <row r="43" spans="1:116" ht="18" customHeight="1" x14ac:dyDescent="0.25">
      <c r="A43" s="213">
        <v>13</v>
      </c>
      <c r="B43" s="240" t="s">
        <v>430</v>
      </c>
      <c r="C43" s="240"/>
      <c r="D43" s="188">
        <v>5040</v>
      </c>
      <c r="E43" s="188">
        <v>0</v>
      </c>
      <c r="F43" s="188">
        <v>5040</v>
      </c>
      <c r="G43" s="188">
        <v>3000</v>
      </c>
      <c r="H43" s="188">
        <v>2040</v>
      </c>
      <c r="I43" s="188">
        <v>0</v>
      </c>
      <c r="J43" s="188"/>
      <c r="K43" s="188">
        <v>0</v>
      </c>
      <c r="L43" s="188">
        <v>0</v>
      </c>
      <c r="M43" s="188">
        <v>0</v>
      </c>
      <c r="N43" s="188">
        <v>0</v>
      </c>
      <c r="O43" s="188">
        <v>3000</v>
      </c>
      <c r="P43" s="188">
        <v>0</v>
      </c>
      <c r="Q43" s="186">
        <v>0</v>
      </c>
      <c r="R43" s="188">
        <v>0</v>
      </c>
      <c r="S43" s="185">
        <v>0</v>
      </c>
      <c r="T43" s="185">
        <v>0</v>
      </c>
      <c r="U43" s="188">
        <v>0</v>
      </c>
      <c r="V43" s="185">
        <v>0</v>
      </c>
      <c r="W43" s="185">
        <v>0</v>
      </c>
      <c r="X43" s="188">
        <v>0</v>
      </c>
      <c r="Y43" s="185">
        <v>0</v>
      </c>
      <c r="Z43" s="185">
        <v>0</v>
      </c>
      <c r="AA43" s="188">
        <v>0</v>
      </c>
      <c r="AB43" s="185">
        <v>0</v>
      </c>
      <c r="AC43" s="185">
        <v>0</v>
      </c>
      <c r="AD43" s="188">
        <v>732</v>
      </c>
      <c r="AE43" s="185">
        <v>0.14523809523809525</v>
      </c>
      <c r="AF43" s="185">
        <v>0.15288220551378445</v>
      </c>
      <c r="AG43" s="188">
        <v>732</v>
      </c>
      <c r="AH43" s="185">
        <v>0.14523809523809525</v>
      </c>
      <c r="AI43" s="185">
        <v>0.15288220551378445</v>
      </c>
      <c r="AJ43" s="303">
        <v>732</v>
      </c>
      <c r="AK43" s="185">
        <v>0.14523809523809525</v>
      </c>
      <c r="AL43" s="185">
        <v>0.15288220551378445</v>
      </c>
      <c r="AM43" s="188">
        <v>1593</v>
      </c>
      <c r="AN43" s="185">
        <v>0.31607142857142856</v>
      </c>
      <c r="AO43" s="185">
        <v>0.33270676691729323</v>
      </c>
      <c r="AP43" s="185"/>
      <c r="AQ43" s="188">
        <v>1593</v>
      </c>
      <c r="AR43" s="185">
        <v>0.31607142857142856</v>
      </c>
      <c r="AS43" s="185">
        <v>0.33270676691729323</v>
      </c>
      <c r="AT43" s="188">
        <v>1593</v>
      </c>
      <c r="AU43" s="185">
        <v>0.31607142857142856</v>
      </c>
      <c r="AV43" s="185">
        <v>0.33270676691729323</v>
      </c>
      <c r="AW43" s="185"/>
      <c r="AX43" s="185"/>
      <c r="AY43" s="185"/>
      <c r="AZ43" s="185"/>
      <c r="BA43" s="185"/>
      <c r="BB43" s="185"/>
      <c r="BC43" s="188">
        <v>1593</v>
      </c>
      <c r="BD43" s="185">
        <v>0.31607142857142856</v>
      </c>
      <c r="BE43" s="185">
        <v>0.33270676691729323</v>
      </c>
      <c r="BF43" s="188"/>
      <c r="BG43" s="188">
        <v>3165</v>
      </c>
      <c r="BH43" s="185">
        <v>0.95</v>
      </c>
      <c r="BI43" s="185">
        <v>1</v>
      </c>
      <c r="BJ43" s="188">
        <v>4788</v>
      </c>
      <c r="BK43" s="188">
        <v>3982</v>
      </c>
      <c r="BL43" s="185">
        <v>0.79007936507936505</v>
      </c>
      <c r="BM43" s="185">
        <v>0.83166248955722644</v>
      </c>
      <c r="BN43" s="188">
        <v>3982</v>
      </c>
      <c r="BO43" s="185">
        <f t="shared" si="69"/>
        <v>0.79007936507936505</v>
      </c>
      <c r="BP43" s="185">
        <f t="shared" si="70"/>
        <v>0.83166248955722644</v>
      </c>
      <c r="BQ43" s="205">
        <f t="shared" si="71"/>
        <v>3250</v>
      </c>
      <c r="BR43" s="205"/>
      <c r="BS43" s="189" t="e">
        <f>#REF!+#REF!</f>
        <v>#REF!</v>
      </c>
      <c r="BT43" s="186" t="e">
        <f t="shared" si="72"/>
        <v>#REF!</v>
      </c>
      <c r="BU43" s="189" t="e">
        <f>#REF!+#REF!</f>
        <v>#REF!</v>
      </c>
      <c r="BV43" s="186" t="e">
        <f t="shared" si="73"/>
        <v>#REF!</v>
      </c>
      <c r="BW43" s="189" t="e">
        <f>#REF!+#REF!</f>
        <v>#REF!</v>
      </c>
      <c r="BX43" s="186" t="e">
        <f t="shared" si="74"/>
        <v>#REF!</v>
      </c>
      <c r="BY43" s="189" t="e">
        <f>#REF!+#REF!</f>
        <v>#REF!</v>
      </c>
      <c r="BZ43" s="186" t="e">
        <f t="shared" si="75"/>
        <v>#REF!</v>
      </c>
      <c r="CA43" s="189" t="e">
        <f>#REF!+#REF!</f>
        <v>#REF!</v>
      </c>
      <c r="CB43" s="186" t="e">
        <f t="shared" si="76"/>
        <v>#REF!</v>
      </c>
      <c r="CC43" s="189" t="e">
        <f>#REF!+#REF!</f>
        <v>#REF!</v>
      </c>
      <c r="CD43" s="186" t="e">
        <f t="shared" si="77"/>
        <v>#REF!</v>
      </c>
      <c r="CE43" s="189" t="e">
        <f>#REF!+#REF!</f>
        <v>#REF!</v>
      </c>
      <c r="CF43" s="186" t="e">
        <f t="shared" si="78"/>
        <v>#REF!</v>
      </c>
      <c r="CG43" s="189" t="e">
        <f>#REF!+#REF!</f>
        <v>#REF!</v>
      </c>
      <c r="CH43" s="186" t="e">
        <f t="shared" si="79"/>
        <v>#REF!</v>
      </c>
      <c r="CI43" s="189" t="e">
        <f>#REF!+#REF!</f>
        <v>#REF!</v>
      </c>
      <c r="CJ43" s="186" t="e">
        <f t="shared" si="80"/>
        <v>#REF!</v>
      </c>
      <c r="CK43" s="189" t="e">
        <f>#REF!+#REF!</f>
        <v>#REF!</v>
      </c>
      <c r="CL43" s="186" t="e">
        <f t="shared" si="81"/>
        <v>#REF!</v>
      </c>
      <c r="CM43" s="189" t="e">
        <f>#REF!+#REF!</f>
        <v>#REF!</v>
      </c>
      <c r="CN43" s="186" t="e">
        <f t="shared" si="82"/>
        <v>#REF!</v>
      </c>
      <c r="CO43" s="189" t="e">
        <f>#REF!+#REF!</f>
        <v>#REF!</v>
      </c>
      <c r="CP43" s="186" t="e">
        <f t="shared" si="83"/>
        <v>#REF!</v>
      </c>
      <c r="CQ43" s="189" t="e">
        <f>#REF!+#REF!</f>
        <v>#REF!</v>
      </c>
      <c r="CR43" s="186" t="e">
        <f t="shared" si="84"/>
        <v>#REF!</v>
      </c>
      <c r="CS43" s="213" t="str">
        <f t="shared" si="85"/>
        <v>Đạt</v>
      </c>
      <c r="CT43" s="213" t="str">
        <f t="shared" si="86"/>
        <v>Đạt</v>
      </c>
      <c r="CU43" s="213"/>
      <c r="CV43" s="213"/>
      <c r="CW43" s="231"/>
      <c r="CX43" s="163"/>
      <c r="CZ43" s="195"/>
      <c r="DA43" s="196"/>
      <c r="DB43" s="196"/>
      <c r="DC43" s="197"/>
      <c r="DD43" s="196"/>
      <c r="DE43" s="196"/>
      <c r="DF43" s="196"/>
      <c r="DH43" s="199"/>
      <c r="DI43" s="200"/>
      <c r="DJ43" s="181"/>
    </row>
    <row r="44" spans="1:116" ht="18" customHeight="1" x14ac:dyDescent="0.25">
      <c r="A44" s="213">
        <v>14</v>
      </c>
      <c r="B44" s="240" t="s">
        <v>441</v>
      </c>
      <c r="C44" s="240"/>
      <c r="D44" s="188">
        <v>3000</v>
      </c>
      <c r="E44" s="188">
        <v>0</v>
      </c>
      <c r="F44" s="188">
        <v>3000</v>
      </c>
      <c r="G44" s="188">
        <v>3000</v>
      </c>
      <c r="H44" s="188">
        <v>0</v>
      </c>
      <c r="I44" s="188">
        <v>0</v>
      </c>
      <c r="J44" s="188"/>
      <c r="K44" s="188">
        <v>0</v>
      </c>
      <c r="L44" s="188">
        <v>0</v>
      </c>
      <c r="M44" s="231"/>
      <c r="N44" s="231"/>
      <c r="O44" s="188">
        <v>3000</v>
      </c>
      <c r="P44" s="188">
        <v>0</v>
      </c>
      <c r="Q44" s="186">
        <v>0</v>
      </c>
      <c r="R44" s="188">
        <v>0</v>
      </c>
      <c r="S44" s="185">
        <v>0</v>
      </c>
      <c r="T44" s="185">
        <v>0</v>
      </c>
      <c r="U44" s="188">
        <v>0</v>
      </c>
      <c r="V44" s="185">
        <v>0</v>
      </c>
      <c r="W44" s="185">
        <v>0</v>
      </c>
      <c r="X44" s="188">
        <v>0</v>
      </c>
      <c r="Y44" s="185">
        <v>0</v>
      </c>
      <c r="Z44" s="185">
        <v>0</v>
      </c>
      <c r="AA44" s="188">
        <v>0</v>
      </c>
      <c r="AB44" s="185">
        <v>0</v>
      </c>
      <c r="AC44" s="185">
        <v>0</v>
      </c>
      <c r="AD44" s="188">
        <v>0</v>
      </c>
      <c r="AE44" s="185">
        <v>0</v>
      </c>
      <c r="AF44" s="185">
        <v>0</v>
      </c>
      <c r="AG44" s="188">
        <v>0</v>
      </c>
      <c r="AH44" s="185">
        <v>0</v>
      </c>
      <c r="AI44" s="185">
        <v>0</v>
      </c>
      <c r="AJ44" s="303">
        <v>0</v>
      </c>
      <c r="AK44" s="185">
        <v>0</v>
      </c>
      <c r="AL44" s="185">
        <v>0</v>
      </c>
      <c r="AM44" s="188">
        <v>718</v>
      </c>
      <c r="AN44" s="185">
        <v>0.23933333333333334</v>
      </c>
      <c r="AO44" s="185">
        <v>0.2519298245614035</v>
      </c>
      <c r="AP44" s="185"/>
      <c r="AQ44" s="188">
        <v>1343</v>
      </c>
      <c r="AR44" s="185">
        <v>0.44766666666666666</v>
      </c>
      <c r="AS44" s="185">
        <v>0.47122807017543861</v>
      </c>
      <c r="AT44" s="188">
        <v>1343</v>
      </c>
      <c r="AU44" s="185">
        <v>0.44766666666666666</v>
      </c>
      <c r="AV44" s="185">
        <v>0.47122807017543861</v>
      </c>
      <c r="AW44" s="185"/>
      <c r="AX44" s="185"/>
      <c r="AY44" s="185"/>
      <c r="AZ44" s="185"/>
      <c r="BA44" s="185"/>
      <c r="BB44" s="185"/>
      <c r="BC44" s="188">
        <v>1343</v>
      </c>
      <c r="BD44" s="185">
        <v>0.44766666666666666</v>
      </c>
      <c r="BE44" s="185">
        <v>0.47122807017543861</v>
      </c>
      <c r="BF44" s="188"/>
      <c r="BG44" s="188">
        <v>2338</v>
      </c>
      <c r="BH44" s="185">
        <v>0.77933333333333332</v>
      </c>
      <c r="BI44" s="185">
        <v>0.8203508771929825</v>
      </c>
      <c r="BJ44" s="188">
        <v>2850</v>
      </c>
      <c r="BK44" s="188">
        <v>2343</v>
      </c>
      <c r="BL44" s="185">
        <v>0.78100000000000003</v>
      </c>
      <c r="BM44" s="185">
        <v>0.82210526315789478</v>
      </c>
      <c r="BN44" s="188">
        <v>2343</v>
      </c>
      <c r="BO44" s="185">
        <f t="shared" si="69"/>
        <v>0.78100000000000003</v>
      </c>
      <c r="BP44" s="185">
        <f t="shared" si="70"/>
        <v>0.82210526315789478</v>
      </c>
      <c r="BQ44" s="205">
        <f t="shared" si="71"/>
        <v>2343</v>
      </c>
      <c r="BR44" s="205"/>
      <c r="BS44" s="189" t="e">
        <f>#REF!</f>
        <v>#REF!</v>
      </c>
      <c r="BT44" s="186" t="e">
        <f t="shared" si="72"/>
        <v>#REF!</v>
      </c>
      <c r="BU44" s="189" t="e">
        <f>#REF!</f>
        <v>#REF!</v>
      </c>
      <c r="BV44" s="186" t="e">
        <f t="shared" si="73"/>
        <v>#REF!</v>
      </c>
      <c r="BW44" s="189" t="e">
        <f>#REF!</f>
        <v>#REF!</v>
      </c>
      <c r="BX44" s="186" t="e">
        <f t="shared" si="74"/>
        <v>#REF!</v>
      </c>
      <c r="BY44" s="189" t="e">
        <f>#REF!</f>
        <v>#REF!</v>
      </c>
      <c r="BZ44" s="186" t="e">
        <f t="shared" si="75"/>
        <v>#REF!</v>
      </c>
      <c r="CA44" s="189" t="e">
        <f>#REF!</f>
        <v>#REF!</v>
      </c>
      <c r="CB44" s="186" t="e">
        <f t="shared" si="76"/>
        <v>#REF!</v>
      </c>
      <c r="CC44" s="189" t="e">
        <f>#REF!</f>
        <v>#REF!</v>
      </c>
      <c r="CD44" s="186" t="e">
        <f t="shared" si="77"/>
        <v>#REF!</v>
      </c>
      <c r="CE44" s="189" t="e">
        <f>#REF!</f>
        <v>#REF!</v>
      </c>
      <c r="CF44" s="186" t="e">
        <f t="shared" si="78"/>
        <v>#REF!</v>
      </c>
      <c r="CG44" s="189" t="e">
        <f>#REF!</f>
        <v>#REF!</v>
      </c>
      <c r="CH44" s="186" t="e">
        <f t="shared" si="79"/>
        <v>#REF!</v>
      </c>
      <c r="CI44" s="189" t="e">
        <f>#REF!</f>
        <v>#REF!</v>
      </c>
      <c r="CJ44" s="186" t="e">
        <f t="shared" si="80"/>
        <v>#REF!</v>
      </c>
      <c r="CK44" s="189" t="e">
        <f>#REF!</f>
        <v>#REF!</v>
      </c>
      <c r="CL44" s="186" t="e">
        <f t="shared" si="81"/>
        <v>#REF!</v>
      </c>
      <c r="CM44" s="189" t="e">
        <f>#REF!</f>
        <v>#REF!</v>
      </c>
      <c r="CN44" s="186" t="e">
        <f t="shared" si="82"/>
        <v>#REF!</v>
      </c>
      <c r="CO44" s="189" t="e">
        <f>#REF!</f>
        <v>#REF!</v>
      </c>
      <c r="CP44" s="186" t="e">
        <f t="shared" si="83"/>
        <v>#REF!</v>
      </c>
      <c r="CQ44" s="189" t="e">
        <f>#REF!</f>
        <v>#REF!</v>
      </c>
      <c r="CR44" s="186" t="e">
        <f t="shared" si="84"/>
        <v>#REF!</v>
      </c>
      <c r="CS44" s="213" t="str">
        <f t="shared" si="85"/>
        <v>Đạt</v>
      </c>
      <c r="CT44" s="213" t="str">
        <f t="shared" si="86"/>
        <v>Đạt</v>
      </c>
      <c r="CU44" s="213"/>
      <c r="CV44" s="213"/>
      <c r="CW44" s="231"/>
      <c r="CX44" s="163"/>
      <c r="CZ44" s="195"/>
      <c r="DA44" s="196"/>
      <c r="DB44" s="196"/>
      <c r="DC44" s="197"/>
      <c r="DD44" s="196"/>
      <c r="DE44" s="196"/>
      <c r="DF44" s="196"/>
      <c r="DH44" s="199"/>
      <c r="DI44" s="200"/>
      <c r="DJ44" s="181"/>
    </row>
    <row r="45" spans="1:116" ht="18" customHeight="1" x14ac:dyDescent="0.25">
      <c r="A45" s="213">
        <v>15</v>
      </c>
      <c r="B45" s="240" t="s">
        <v>447</v>
      </c>
      <c r="C45" s="240"/>
      <c r="D45" s="188">
        <v>3153</v>
      </c>
      <c r="E45" s="188">
        <v>0</v>
      </c>
      <c r="F45" s="188">
        <v>3153</v>
      </c>
      <c r="G45" s="188">
        <v>3000</v>
      </c>
      <c r="H45" s="188">
        <v>153</v>
      </c>
      <c r="I45" s="188">
        <v>0</v>
      </c>
      <c r="J45" s="188"/>
      <c r="K45" s="188">
        <v>0</v>
      </c>
      <c r="L45" s="188">
        <v>0</v>
      </c>
      <c r="M45" s="188">
        <v>0</v>
      </c>
      <c r="N45" s="188">
        <v>0</v>
      </c>
      <c r="O45" s="188">
        <v>3000</v>
      </c>
      <c r="P45" s="188">
        <v>0</v>
      </c>
      <c r="Q45" s="186">
        <v>0</v>
      </c>
      <c r="R45" s="188">
        <v>0</v>
      </c>
      <c r="S45" s="185">
        <v>0</v>
      </c>
      <c r="T45" s="185">
        <v>0</v>
      </c>
      <c r="U45" s="188">
        <v>0</v>
      </c>
      <c r="V45" s="185">
        <v>0</v>
      </c>
      <c r="W45" s="185">
        <v>0</v>
      </c>
      <c r="X45" s="188">
        <v>0</v>
      </c>
      <c r="Y45" s="185">
        <v>0</v>
      </c>
      <c r="Z45" s="185">
        <v>0</v>
      </c>
      <c r="AA45" s="188">
        <v>0</v>
      </c>
      <c r="AB45" s="185">
        <v>0</v>
      </c>
      <c r="AC45" s="185">
        <v>0</v>
      </c>
      <c r="AD45" s="188">
        <v>2291</v>
      </c>
      <c r="AE45" s="185">
        <v>0.72660957817951155</v>
      </c>
      <c r="AF45" s="185">
        <v>0.7648521875573806</v>
      </c>
      <c r="AG45" s="188">
        <v>2291</v>
      </c>
      <c r="AH45" s="185">
        <v>0.72660957817951155</v>
      </c>
      <c r="AI45" s="185">
        <v>0.7648521875573806</v>
      </c>
      <c r="AJ45" s="303">
        <v>2291</v>
      </c>
      <c r="AK45" s="185">
        <v>0.72660957817951155</v>
      </c>
      <c r="AL45" s="185">
        <v>0.7648521875573806</v>
      </c>
      <c r="AM45" s="188">
        <v>2291</v>
      </c>
      <c r="AN45" s="185">
        <v>0.72660957817951155</v>
      </c>
      <c r="AO45" s="185">
        <v>0.7648521875573806</v>
      </c>
      <c r="AP45" s="185"/>
      <c r="AQ45" s="188">
        <v>2291</v>
      </c>
      <c r="AR45" s="185">
        <v>0.72660957817951155</v>
      </c>
      <c r="AS45" s="185">
        <v>0.7648521875573806</v>
      </c>
      <c r="AT45" s="188">
        <v>2291</v>
      </c>
      <c r="AU45" s="185">
        <v>0.72660957817951155</v>
      </c>
      <c r="AV45" s="185">
        <v>0.7648521875573806</v>
      </c>
      <c r="AW45" s="185"/>
      <c r="AX45" s="185"/>
      <c r="AY45" s="185"/>
      <c r="AZ45" s="185"/>
      <c r="BA45" s="185"/>
      <c r="BB45" s="185"/>
      <c r="BC45" s="188">
        <v>2291</v>
      </c>
      <c r="BD45" s="185">
        <v>0.72660957817951155</v>
      </c>
      <c r="BE45" s="185">
        <v>0.7648521875573806</v>
      </c>
      <c r="BF45" s="188"/>
      <c r="BG45" s="188">
        <v>2377</v>
      </c>
      <c r="BH45" s="185">
        <v>0.75388518870916588</v>
      </c>
      <c r="BI45" s="185">
        <v>0.7935633565359641</v>
      </c>
      <c r="BJ45" s="188">
        <v>2995.35</v>
      </c>
      <c r="BK45" s="188">
        <v>2447</v>
      </c>
      <c r="BL45" s="185">
        <v>0.77608626704725658</v>
      </c>
      <c r="BM45" s="185">
        <v>0.81693291268132273</v>
      </c>
      <c r="BN45" s="188">
        <v>2447</v>
      </c>
      <c r="BO45" s="185">
        <f t="shared" si="69"/>
        <v>0.77608626704725658</v>
      </c>
      <c r="BP45" s="185">
        <f t="shared" si="70"/>
        <v>0.81693291268132273</v>
      </c>
      <c r="BQ45" s="205">
        <f t="shared" si="71"/>
        <v>156</v>
      </c>
      <c r="BR45" s="205"/>
      <c r="BS45" s="189" t="e">
        <f>#REF!+#REF!</f>
        <v>#REF!</v>
      </c>
      <c r="BT45" s="186" t="e">
        <f t="shared" si="72"/>
        <v>#REF!</v>
      </c>
      <c r="BU45" s="189" t="e">
        <f>#REF!+#REF!</f>
        <v>#REF!</v>
      </c>
      <c r="BV45" s="186" t="e">
        <f t="shared" si="73"/>
        <v>#REF!</v>
      </c>
      <c r="BW45" s="189" t="e">
        <f>#REF!+#REF!</f>
        <v>#REF!</v>
      </c>
      <c r="BX45" s="186" t="e">
        <f t="shared" si="74"/>
        <v>#REF!</v>
      </c>
      <c r="BY45" s="189" t="e">
        <f>#REF!+#REF!</f>
        <v>#REF!</v>
      </c>
      <c r="BZ45" s="186" t="e">
        <f t="shared" si="75"/>
        <v>#REF!</v>
      </c>
      <c r="CA45" s="189" t="e">
        <f>#REF!+#REF!</f>
        <v>#REF!</v>
      </c>
      <c r="CB45" s="186" t="e">
        <f t="shared" si="76"/>
        <v>#REF!</v>
      </c>
      <c r="CC45" s="189" t="e">
        <f>#REF!+#REF!</f>
        <v>#REF!</v>
      </c>
      <c r="CD45" s="186" t="e">
        <f t="shared" si="77"/>
        <v>#REF!</v>
      </c>
      <c r="CE45" s="189" t="e">
        <f>#REF!+#REF!</f>
        <v>#REF!</v>
      </c>
      <c r="CF45" s="186" t="e">
        <f t="shared" si="78"/>
        <v>#REF!</v>
      </c>
      <c r="CG45" s="189" t="e">
        <f>#REF!+#REF!</f>
        <v>#REF!</v>
      </c>
      <c r="CH45" s="186" t="e">
        <f t="shared" si="79"/>
        <v>#REF!</v>
      </c>
      <c r="CI45" s="189" t="e">
        <f>#REF!+#REF!</f>
        <v>#REF!</v>
      </c>
      <c r="CJ45" s="186" t="e">
        <f t="shared" si="80"/>
        <v>#REF!</v>
      </c>
      <c r="CK45" s="189" t="e">
        <f>#REF!+#REF!</f>
        <v>#REF!</v>
      </c>
      <c r="CL45" s="186" t="e">
        <f t="shared" si="81"/>
        <v>#REF!</v>
      </c>
      <c r="CM45" s="189" t="e">
        <f>#REF!+#REF!</f>
        <v>#REF!</v>
      </c>
      <c r="CN45" s="186" t="e">
        <f t="shared" si="82"/>
        <v>#REF!</v>
      </c>
      <c r="CO45" s="189" t="e">
        <f>#REF!+#REF!</f>
        <v>#REF!</v>
      </c>
      <c r="CP45" s="186" t="e">
        <f t="shared" si="83"/>
        <v>#REF!</v>
      </c>
      <c r="CQ45" s="189" t="e">
        <f>#REF!+#REF!</f>
        <v>#REF!</v>
      </c>
      <c r="CR45" s="186" t="e">
        <f t="shared" si="84"/>
        <v>#REF!</v>
      </c>
      <c r="CS45" s="213" t="str">
        <f t="shared" si="85"/>
        <v>Đạt</v>
      </c>
      <c r="CT45" s="213" t="str">
        <f t="shared" si="86"/>
        <v>Đạt</v>
      </c>
      <c r="CU45" s="213"/>
      <c r="CV45" s="213"/>
      <c r="CW45" s="231"/>
      <c r="CX45" s="163"/>
      <c r="CZ45" s="195"/>
      <c r="DA45" s="196"/>
      <c r="DB45" s="196"/>
      <c r="DC45" s="197"/>
      <c r="DD45" s="196"/>
      <c r="DE45" s="196"/>
      <c r="DF45" s="196"/>
      <c r="DH45" s="199"/>
      <c r="DI45" s="200"/>
      <c r="DJ45" s="181"/>
    </row>
    <row r="46" spans="1:116" ht="18" customHeight="1" x14ac:dyDescent="0.25">
      <c r="A46" s="213">
        <v>16</v>
      </c>
      <c r="B46" s="240" t="s">
        <v>410</v>
      </c>
      <c r="C46" s="240"/>
      <c r="D46" s="188">
        <v>3467</v>
      </c>
      <c r="E46" s="188">
        <v>0</v>
      </c>
      <c r="F46" s="188">
        <v>3467</v>
      </c>
      <c r="G46" s="188">
        <v>3000</v>
      </c>
      <c r="H46" s="188">
        <v>467</v>
      </c>
      <c r="I46" s="188">
        <v>0</v>
      </c>
      <c r="J46" s="188"/>
      <c r="K46" s="188">
        <v>0</v>
      </c>
      <c r="L46" s="188">
        <v>0</v>
      </c>
      <c r="M46" s="188">
        <v>0</v>
      </c>
      <c r="N46" s="188">
        <v>0</v>
      </c>
      <c r="O46" s="188">
        <v>3000</v>
      </c>
      <c r="P46" s="188">
        <v>0</v>
      </c>
      <c r="Q46" s="186">
        <v>0</v>
      </c>
      <c r="R46" s="188">
        <v>0</v>
      </c>
      <c r="S46" s="185">
        <v>0</v>
      </c>
      <c r="T46" s="185">
        <v>0</v>
      </c>
      <c r="U46" s="188">
        <v>0</v>
      </c>
      <c r="V46" s="185">
        <v>0</v>
      </c>
      <c r="W46" s="185">
        <v>0</v>
      </c>
      <c r="X46" s="188">
        <v>0</v>
      </c>
      <c r="Y46" s="185">
        <v>0</v>
      </c>
      <c r="Z46" s="185">
        <v>0</v>
      </c>
      <c r="AA46" s="188">
        <v>0</v>
      </c>
      <c r="AB46" s="185">
        <v>0</v>
      </c>
      <c r="AC46" s="185">
        <v>0</v>
      </c>
      <c r="AD46" s="188">
        <v>271</v>
      </c>
      <c r="AE46" s="185">
        <v>7.8165561003749634E-2</v>
      </c>
      <c r="AF46" s="185">
        <v>8.2279537898683835E-2</v>
      </c>
      <c r="AG46" s="188">
        <v>271</v>
      </c>
      <c r="AH46" s="185">
        <v>7.8165561003749634E-2</v>
      </c>
      <c r="AI46" s="185">
        <v>8.2279537898683835E-2</v>
      </c>
      <c r="AJ46" s="303">
        <v>271</v>
      </c>
      <c r="AK46" s="185">
        <v>7.8165561003749634E-2</v>
      </c>
      <c r="AL46" s="185">
        <v>8.2279537898683835E-2</v>
      </c>
      <c r="AM46" s="314">
        <v>271</v>
      </c>
      <c r="AN46" s="185">
        <v>7.8165561003749634E-2</v>
      </c>
      <c r="AO46" s="185">
        <v>8.2279537898683835E-2</v>
      </c>
      <c r="AP46" s="185"/>
      <c r="AQ46" s="188">
        <v>271</v>
      </c>
      <c r="AR46" s="185">
        <v>7.8165561003749634E-2</v>
      </c>
      <c r="AS46" s="185">
        <v>8.2279537898683835E-2</v>
      </c>
      <c r="AT46" s="188">
        <v>271</v>
      </c>
      <c r="AU46" s="185">
        <v>7.8165561003749634E-2</v>
      </c>
      <c r="AV46" s="185">
        <v>8.2279537898683835E-2</v>
      </c>
      <c r="AW46" s="185"/>
      <c r="AX46" s="185"/>
      <c r="AY46" s="185"/>
      <c r="AZ46" s="185"/>
      <c r="BA46" s="185"/>
      <c r="BB46" s="185"/>
      <c r="BC46" s="188">
        <v>271</v>
      </c>
      <c r="BD46" s="185">
        <v>7.8165561003749634E-2</v>
      </c>
      <c r="BE46" s="185">
        <v>8.2279537898683835E-2</v>
      </c>
      <c r="BF46" s="188"/>
      <c r="BG46" s="188">
        <v>1884</v>
      </c>
      <c r="BH46" s="185">
        <v>0.54340928756850304</v>
      </c>
      <c r="BI46" s="185">
        <v>0.57200977638789796</v>
      </c>
      <c r="BJ46" s="188">
        <v>3293.6499999999996</v>
      </c>
      <c r="BK46" s="188">
        <v>2584.0475750000001</v>
      </c>
      <c r="BL46" s="185">
        <v>0.7453266729160658</v>
      </c>
      <c r="BM46" s="185">
        <v>0.78455439254322723</v>
      </c>
      <c r="BN46" s="188">
        <v>2584.0475750000001</v>
      </c>
      <c r="BO46" s="185">
        <f t="shared" si="69"/>
        <v>0.7453266729160658</v>
      </c>
      <c r="BP46" s="185">
        <f t="shared" si="70"/>
        <v>0.78455439254322723</v>
      </c>
      <c r="BQ46" s="205">
        <f t="shared" si="71"/>
        <v>2313.0475750000001</v>
      </c>
      <c r="BR46" s="205"/>
      <c r="BS46" s="189" t="e">
        <f>#REF!+BS47</f>
        <v>#REF!</v>
      </c>
      <c r="BT46" s="186" t="e">
        <f t="shared" si="72"/>
        <v>#REF!</v>
      </c>
      <c r="BU46" s="189" t="e">
        <f>#REF!+BU47</f>
        <v>#REF!</v>
      </c>
      <c r="BV46" s="186" t="e">
        <f t="shared" si="73"/>
        <v>#REF!</v>
      </c>
      <c r="BW46" s="189" t="e">
        <f>#REF!+BW47</f>
        <v>#REF!</v>
      </c>
      <c r="BX46" s="186" t="e">
        <f t="shared" si="74"/>
        <v>#REF!</v>
      </c>
      <c r="BY46" s="189" t="e">
        <f>#REF!+BY47</f>
        <v>#REF!</v>
      </c>
      <c r="BZ46" s="186" t="e">
        <f t="shared" si="75"/>
        <v>#REF!</v>
      </c>
      <c r="CA46" s="189" t="e">
        <f>#REF!+CA47</f>
        <v>#REF!</v>
      </c>
      <c r="CB46" s="186" t="e">
        <f t="shared" si="76"/>
        <v>#REF!</v>
      </c>
      <c r="CC46" s="189" t="e">
        <f>#REF!+CC47</f>
        <v>#REF!</v>
      </c>
      <c r="CD46" s="186" t="e">
        <f t="shared" si="77"/>
        <v>#REF!</v>
      </c>
      <c r="CE46" s="189" t="e">
        <f>#REF!+CE47</f>
        <v>#REF!</v>
      </c>
      <c r="CF46" s="186" t="e">
        <f t="shared" si="78"/>
        <v>#REF!</v>
      </c>
      <c r="CG46" s="189" t="e">
        <f>#REF!+CG47</f>
        <v>#REF!</v>
      </c>
      <c r="CH46" s="186" t="e">
        <f t="shared" si="79"/>
        <v>#REF!</v>
      </c>
      <c r="CI46" s="189" t="e">
        <f>#REF!+CI47</f>
        <v>#REF!</v>
      </c>
      <c r="CJ46" s="186" t="e">
        <f t="shared" si="80"/>
        <v>#REF!</v>
      </c>
      <c r="CK46" s="189" t="e">
        <f>#REF!+CK47</f>
        <v>#REF!</v>
      </c>
      <c r="CL46" s="186" t="e">
        <f t="shared" si="81"/>
        <v>#REF!</v>
      </c>
      <c r="CM46" s="189" t="e">
        <f>#REF!+CM47</f>
        <v>#REF!</v>
      </c>
      <c r="CN46" s="186" t="e">
        <f t="shared" si="82"/>
        <v>#REF!</v>
      </c>
      <c r="CO46" s="189" t="e">
        <f>#REF!+CO47</f>
        <v>#REF!</v>
      </c>
      <c r="CP46" s="186" t="e">
        <f t="shared" si="83"/>
        <v>#REF!</v>
      </c>
      <c r="CQ46" s="189" t="e">
        <f>#REF!+CQ47</f>
        <v>#REF!</v>
      </c>
      <c r="CR46" s="186" t="e">
        <f t="shared" si="84"/>
        <v>#REF!</v>
      </c>
      <c r="CS46" s="213" t="str">
        <f t="shared" si="85"/>
        <v>Đạt</v>
      </c>
      <c r="CT46" s="213" t="str">
        <f t="shared" si="86"/>
        <v>Đạt</v>
      </c>
      <c r="CU46" s="213"/>
      <c r="CV46" s="213"/>
      <c r="CW46" s="231"/>
      <c r="CX46" s="163"/>
      <c r="CZ46" s="195"/>
      <c r="DA46" s="196"/>
      <c r="DB46" s="196"/>
      <c r="DC46" s="197"/>
      <c r="DD46" s="196"/>
      <c r="DE46" s="196"/>
      <c r="DF46" s="196"/>
      <c r="DH46" s="199"/>
      <c r="DI46" s="200"/>
      <c r="DJ46" s="181"/>
    </row>
    <row r="47" spans="1:116" ht="18" customHeight="1" x14ac:dyDescent="0.25">
      <c r="A47" s="213">
        <v>17</v>
      </c>
      <c r="B47" s="240" t="s">
        <v>391</v>
      </c>
      <c r="C47" s="240"/>
      <c r="D47" s="188">
        <v>3127</v>
      </c>
      <c r="E47" s="188">
        <v>0</v>
      </c>
      <c r="F47" s="188">
        <v>3127</v>
      </c>
      <c r="G47" s="188">
        <v>3000</v>
      </c>
      <c r="H47" s="188">
        <v>127</v>
      </c>
      <c r="I47" s="188">
        <v>0</v>
      </c>
      <c r="J47" s="188"/>
      <c r="K47" s="188">
        <v>0</v>
      </c>
      <c r="L47" s="188">
        <v>0</v>
      </c>
      <c r="M47" s="188">
        <v>0</v>
      </c>
      <c r="N47" s="188">
        <v>0</v>
      </c>
      <c r="O47" s="188">
        <v>3000</v>
      </c>
      <c r="P47" s="188">
        <v>0</v>
      </c>
      <c r="Q47" s="186">
        <v>0</v>
      </c>
      <c r="R47" s="188">
        <v>0</v>
      </c>
      <c r="S47" s="185">
        <v>0</v>
      </c>
      <c r="T47" s="185">
        <v>0</v>
      </c>
      <c r="U47" s="188">
        <v>466.25856299999998</v>
      </c>
      <c r="V47" s="185">
        <v>0.14910731148065237</v>
      </c>
      <c r="W47" s="185">
        <v>0.15695506471647622</v>
      </c>
      <c r="X47" s="188">
        <v>466.25856299999998</v>
      </c>
      <c r="Y47" s="185">
        <v>0.14910731148065237</v>
      </c>
      <c r="Z47" s="185">
        <v>0.15695506471647622</v>
      </c>
      <c r="AA47" s="188">
        <v>466.25856299999998</v>
      </c>
      <c r="AB47" s="185">
        <v>0.14910731148065237</v>
      </c>
      <c r="AC47" s="185">
        <v>0.15695506471647622</v>
      </c>
      <c r="AD47" s="188">
        <v>1161.5790000000002</v>
      </c>
      <c r="AE47" s="185">
        <v>0.78829549088583306</v>
      </c>
      <c r="AF47" s="185">
        <v>0.82978472724824548</v>
      </c>
      <c r="AG47" s="188">
        <v>2465</v>
      </c>
      <c r="AH47" s="185">
        <v>0.78829549088583306</v>
      </c>
      <c r="AI47" s="185">
        <v>0.82978472724824548</v>
      </c>
      <c r="AJ47" s="303">
        <v>2465</v>
      </c>
      <c r="AK47" s="185">
        <v>0.78829549088583306</v>
      </c>
      <c r="AL47" s="185">
        <v>0.82978472724824548</v>
      </c>
      <c r="AM47" s="314">
        <v>2465</v>
      </c>
      <c r="AN47" s="185">
        <v>0.78829549088583306</v>
      </c>
      <c r="AO47" s="185">
        <v>0.82978472724824548</v>
      </c>
      <c r="AP47" s="185"/>
      <c r="AQ47" s="188">
        <v>1161.5790000000002</v>
      </c>
      <c r="AR47" s="185">
        <v>0.37146754077390476</v>
      </c>
      <c r="AS47" s="185">
        <v>0.39101846397253137</v>
      </c>
      <c r="AT47" s="188">
        <v>1161.5790000000002</v>
      </c>
      <c r="AU47" s="185">
        <v>0.37146754077390476</v>
      </c>
      <c r="AV47" s="185">
        <v>0.39101846397253137</v>
      </c>
      <c r="AW47" s="185"/>
      <c r="AX47" s="185"/>
      <c r="AY47" s="185"/>
      <c r="AZ47" s="185"/>
      <c r="BA47" s="185"/>
      <c r="BB47" s="185"/>
      <c r="BC47" s="188">
        <v>1161.5790000000002</v>
      </c>
      <c r="BD47" s="185">
        <v>0.37146754077390476</v>
      </c>
      <c r="BE47" s="185">
        <v>0.39101846397253137</v>
      </c>
      <c r="BF47" s="188"/>
      <c r="BG47" s="188">
        <v>2266.9879999999998</v>
      </c>
      <c r="BH47" s="185">
        <v>0.72497217780620393</v>
      </c>
      <c r="BI47" s="185">
        <v>0.76312860821705686</v>
      </c>
      <c r="BJ47" s="188">
        <v>2970.6499999999996</v>
      </c>
      <c r="BK47" s="188">
        <v>2266.9879999999998</v>
      </c>
      <c r="BL47" s="185">
        <v>0.72497217780620393</v>
      </c>
      <c r="BM47" s="185">
        <v>0.76312860821705686</v>
      </c>
      <c r="BN47" s="188">
        <v>2266.9879999999998</v>
      </c>
      <c r="BO47" s="185">
        <f t="shared" si="69"/>
        <v>0.72497217780620393</v>
      </c>
      <c r="BP47" s="185">
        <f t="shared" si="70"/>
        <v>0.76312860821705686</v>
      </c>
      <c r="BQ47" s="205">
        <f t="shared" si="71"/>
        <v>1105.4089999999997</v>
      </c>
      <c r="BR47" s="205"/>
      <c r="BS47" s="189" t="e">
        <f>#REF!+#REF!</f>
        <v>#REF!</v>
      </c>
      <c r="BT47" s="186" t="e">
        <f t="shared" si="72"/>
        <v>#REF!</v>
      </c>
      <c r="BU47" s="189" t="e">
        <f>#REF!+#REF!</f>
        <v>#REF!</v>
      </c>
      <c r="BV47" s="186" t="e">
        <f t="shared" si="73"/>
        <v>#REF!</v>
      </c>
      <c r="BW47" s="189" t="e">
        <f>#REF!+#REF!</f>
        <v>#REF!</v>
      </c>
      <c r="BX47" s="186" t="e">
        <f t="shared" si="74"/>
        <v>#REF!</v>
      </c>
      <c r="BY47" s="189" t="e">
        <f>#REF!+#REF!</f>
        <v>#REF!</v>
      </c>
      <c r="BZ47" s="186" t="e">
        <f t="shared" si="75"/>
        <v>#REF!</v>
      </c>
      <c r="CA47" s="189" t="e">
        <f>#REF!+#REF!</f>
        <v>#REF!</v>
      </c>
      <c r="CB47" s="186" t="e">
        <f t="shared" si="76"/>
        <v>#REF!</v>
      </c>
      <c r="CC47" s="189" t="e">
        <f>#REF!+#REF!</f>
        <v>#REF!</v>
      </c>
      <c r="CD47" s="186" t="e">
        <f t="shared" si="77"/>
        <v>#REF!</v>
      </c>
      <c r="CE47" s="189" t="e">
        <f>#REF!+#REF!</f>
        <v>#REF!</v>
      </c>
      <c r="CF47" s="186" t="e">
        <f t="shared" si="78"/>
        <v>#REF!</v>
      </c>
      <c r="CG47" s="189" t="e">
        <f>#REF!+#REF!</f>
        <v>#REF!</v>
      </c>
      <c r="CH47" s="186" t="e">
        <f t="shared" si="79"/>
        <v>#REF!</v>
      </c>
      <c r="CI47" s="189" t="e">
        <f>#REF!+#REF!</f>
        <v>#REF!</v>
      </c>
      <c r="CJ47" s="186" t="e">
        <f t="shared" si="80"/>
        <v>#REF!</v>
      </c>
      <c r="CK47" s="189" t="e">
        <f>#REF!+#REF!</f>
        <v>#REF!</v>
      </c>
      <c r="CL47" s="186" t="e">
        <f t="shared" si="81"/>
        <v>#REF!</v>
      </c>
      <c r="CM47" s="189" t="e">
        <f>#REF!+#REF!</f>
        <v>#REF!</v>
      </c>
      <c r="CN47" s="186" t="e">
        <f t="shared" si="82"/>
        <v>#REF!</v>
      </c>
      <c r="CO47" s="189" t="e">
        <f>#REF!+#REF!</f>
        <v>#REF!</v>
      </c>
      <c r="CP47" s="186" t="e">
        <f t="shared" si="83"/>
        <v>#REF!</v>
      </c>
      <c r="CQ47" s="189" t="e">
        <f>#REF!+#REF!</f>
        <v>#REF!</v>
      </c>
      <c r="CR47" s="186" t="e">
        <f t="shared" si="84"/>
        <v>#REF!</v>
      </c>
      <c r="CS47" s="213" t="str">
        <f t="shared" si="85"/>
        <v>Đạt</v>
      </c>
      <c r="CT47" s="213" t="str">
        <f t="shared" si="86"/>
        <v>Đạt</v>
      </c>
      <c r="CU47" s="213"/>
      <c r="CV47" s="213"/>
      <c r="CW47" s="231"/>
      <c r="CX47" s="163"/>
      <c r="CZ47" s="195"/>
      <c r="DA47" s="196"/>
      <c r="DB47" s="196"/>
      <c r="DC47" s="197"/>
      <c r="DD47" s="196"/>
      <c r="DE47" s="196"/>
      <c r="DF47" s="196"/>
      <c r="DH47" s="199"/>
      <c r="DI47" s="200"/>
      <c r="DJ47" s="181"/>
    </row>
    <row r="48" spans="1:116" ht="18" customHeight="1" x14ac:dyDescent="0.25">
      <c r="A48" s="213">
        <v>18</v>
      </c>
      <c r="B48" s="240" t="s">
        <v>419</v>
      </c>
      <c r="C48" s="240"/>
      <c r="D48" s="188">
        <v>3850</v>
      </c>
      <c r="E48" s="188">
        <v>0</v>
      </c>
      <c r="F48" s="188">
        <v>3850</v>
      </c>
      <c r="G48" s="188">
        <v>3000</v>
      </c>
      <c r="H48" s="188">
        <v>850</v>
      </c>
      <c r="I48" s="188">
        <v>0</v>
      </c>
      <c r="J48" s="188"/>
      <c r="K48" s="188">
        <v>0</v>
      </c>
      <c r="L48" s="188">
        <v>0</v>
      </c>
      <c r="M48" s="188">
        <v>0</v>
      </c>
      <c r="N48" s="188">
        <v>0</v>
      </c>
      <c r="O48" s="188">
        <v>3000</v>
      </c>
      <c r="P48" s="188">
        <v>0</v>
      </c>
      <c r="Q48" s="186">
        <v>0</v>
      </c>
      <c r="R48" s="188">
        <v>0</v>
      </c>
      <c r="S48" s="185">
        <v>0</v>
      </c>
      <c r="T48" s="185">
        <v>0</v>
      </c>
      <c r="U48" s="188">
        <v>0</v>
      </c>
      <c r="V48" s="185">
        <v>0</v>
      </c>
      <c r="W48" s="185">
        <v>0</v>
      </c>
      <c r="X48" s="188">
        <v>0</v>
      </c>
      <c r="Y48" s="185">
        <v>0</v>
      </c>
      <c r="Z48" s="185">
        <v>0</v>
      </c>
      <c r="AA48" s="188">
        <v>0</v>
      </c>
      <c r="AB48" s="185">
        <v>0</v>
      </c>
      <c r="AC48" s="185">
        <v>0</v>
      </c>
      <c r="AD48" s="188">
        <v>1956</v>
      </c>
      <c r="AE48" s="185">
        <v>0.50805194805194809</v>
      </c>
      <c r="AF48" s="185">
        <v>0.53479152426520848</v>
      </c>
      <c r="AG48" s="188">
        <v>1956</v>
      </c>
      <c r="AH48" s="185">
        <v>0.50805194805194809</v>
      </c>
      <c r="AI48" s="185">
        <v>0.53479152426520848</v>
      </c>
      <c r="AJ48" s="303">
        <v>1956</v>
      </c>
      <c r="AK48" s="185">
        <v>0.50805194805194809</v>
      </c>
      <c r="AL48" s="185">
        <v>0.53479152426520848</v>
      </c>
      <c r="AM48" s="314">
        <v>1956</v>
      </c>
      <c r="AN48" s="185">
        <v>0.50805194805194809</v>
      </c>
      <c r="AO48" s="185">
        <v>0.53479152426520848</v>
      </c>
      <c r="AP48" s="185"/>
      <c r="AQ48" s="188">
        <v>2533.5</v>
      </c>
      <c r="AR48" s="185">
        <v>0.658051948051948</v>
      </c>
      <c r="AS48" s="185">
        <v>0.69268626110731379</v>
      </c>
      <c r="AT48" s="188">
        <v>2533.5</v>
      </c>
      <c r="AU48" s="185">
        <v>0.658051948051948</v>
      </c>
      <c r="AV48" s="185">
        <v>0.69268626110731379</v>
      </c>
      <c r="AW48" s="185"/>
      <c r="AX48" s="185"/>
      <c r="AY48" s="185"/>
      <c r="AZ48" s="185"/>
      <c r="BA48" s="185"/>
      <c r="BB48" s="185"/>
      <c r="BC48" s="188">
        <v>2533.5</v>
      </c>
      <c r="BD48" s="185">
        <v>0.658051948051948</v>
      </c>
      <c r="BE48" s="185">
        <v>0.69268626110731379</v>
      </c>
      <c r="BF48" s="188"/>
      <c r="BG48" s="188">
        <v>2676</v>
      </c>
      <c r="BH48" s="185">
        <v>0.69506493506493505</v>
      </c>
      <c r="BI48" s="185">
        <v>0.73164730006835266</v>
      </c>
      <c r="BJ48" s="188">
        <v>3657.5</v>
      </c>
      <c r="BK48" s="188">
        <v>2788</v>
      </c>
      <c r="BL48" s="185">
        <v>0.72415584415584411</v>
      </c>
      <c r="BM48" s="185">
        <v>0.76226930963773065</v>
      </c>
      <c r="BN48" s="188">
        <v>2788</v>
      </c>
      <c r="BO48" s="185">
        <f t="shared" si="69"/>
        <v>0.72415584415584411</v>
      </c>
      <c r="BP48" s="185">
        <f t="shared" si="70"/>
        <v>0.76226930963773065</v>
      </c>
      <c r="BQ48" s="205">
        <f t="shared" si="71"/>
        <v>832</v>
      </c>
      <c r="BR48" s="205"/>
      <c r="BS48" s="189" t="e">
        <f>#REF!+#REF!</f>
        <v>#REF!</v>
      </c>
      <c r="BT48" s="186" t="e">
        <f t="shared" si="72"/>
        <v>#REF!</v>
      </c>
      <c r="BU48" s="189" t="e">
        <f>#REF!+#REF!</f>
        <v>#REF!</v>
      </c>
      <c r="BV48" s="186" t="e">
        <f t="shared" si="73"/>
        <v>#REF!</v>
      </c>
      <c r="BW48" s="189" t="e">
        <f>#REF!+#REF!</f>
        <v>#REF!</v>
      </c>
      <c r="BX48" s="186" t="e">
        <f t="shared" si="74"/>
        <v>#REF!</v>
      </c>
      <c r="BY48" s="189" t="e">
        <f>#REF!+#REF!</f>
        <v>#REF!</v>
      </c>
      <c r="BZ48" s="186" t="e">
        <f t="shared" si="75"/>
        <v>#REF!</v>
      </c>
      <c r="CA48" s="189" t="e">
        <f>#REF!+#REF!</f>
        <v>#REF!</v>
      </c>
      <c r="CB48" s="186" t="e">
        <f t="shared" si="76"/>
        <v>#REF!</v>
      </c>
      <c r="CC48" s="189" t="e">
        <f>#REF!+#REF!</f>
        <v>#REF!</v>
      </c>
      <c r="CD48" s="186" t="e">
        <f t="shared" si="77"/>
        <v>#REF!</v>
      </c>
      <c r="CE48" s="189" t="e">
        <f>#REF!+#REF!</f>
        <v>#REF!</v>
      </c>
      <c r="CF48" s="186" t="e">
        <f t="shared" si="78"/>
        <v>#REF!</v>
      </c>
      <c r="CG48" s="189" t="e">
        <f>#REF!+#REF!</f>
        <v>#REF!</v>
      </c>
      <c r="CH48" s="186" t="e">
        <f t="shared" si="79"/>
        <v>#REF!</v>
      </c>
      <c r="CI48" s="189" t="e">
        <f>#REF!+#REF!</f>
        <v>#REF!</v>
      </c>
      <c r="CJ48" s="186" t="e">
        <f t="shared" si="80"/>
        <v>#REF!</v>
      </c>
      <c r="CK48" s="189" t="e">
        <f>#REF!+#REF!</f>
        <v>#REF!</v>
      </c>
      <c r="CL48" s="186" t="e">
        <f t="shared" si="81"/>
        <v>#REF!</v>
      </c>
      <c r="CM48" s="189" t="e">
        <f>#REF!+#REF!</f>
        <v>#REF!</v>
      </c>
      <c r="CN48" s="186" t="e">
        <f t="shared" si="82"/>
        <v>#REF!</v>
      </c>
      <c r="CO48" s="189" t="e">
        <f>#REF!+#REF!</f>
        <v>#REF!</v>
      </c>
      <c r="CP48" s="186" t="e">
        <f t="shared" si="83"/>
        <v>#REF!</v>
      </c>
      <c r="CQ48" s="189" t="e">
        <f>#REF!+#REF!</f>
        <v>#REF!</v>
      </c>
      <c r="CR48" s="186" t="e">
        <f t="shared" si="84"/>
        <v>#REF!</v>
      </c>
      <c r="CS48" s="213" t="str">
        <f t="shared" si="85"/>
        <v>Đạt</v>
      </c>
      <c r="CT48" s="213" t="str">
        <f t="shared" si="86"/>
        <v>Đạt</v>
      </c>
      <c r="CU48" s="213"/>
      <c r="CV48" s="213"/>
      <c r="CW48" s="231"/>
      <c r="CX48" s="163"/>
      <c r="CZ48" s="195"/>
      <c r="DA48" s="196"/>
      <c r="DB48" s="196"/>
      <c r="DC48" s="197"/>
      <c r="DD48" s="196"/>
      <c r="DE48" s="196"/>
      <c r="DF48" s="196"/>
      <c r="DH48" s="199"/>
      <c r="DI48" s="200"/>
      <c r="DJ48" s="181"/>
      <c r="DK48" s="336"/>
      <c r="DL48" s="336"/>
    </row>
    <row r="49" spans="1:115" ht="18" customHeight="1" x14ac:dyDescent="0.25">
      <c r="A49" s="213">
        <v>19</v>
      </c>
      <c r="B49" s="240" t="s">
        <v>473</v>
      </c>
      <c r="C49" s="240"/>
      <c r="D49" s="188">
        <v>77750</v>
      </c>
      <c r="E49" s="188">
        <v>0</v>
      </c>
      <c r="F49" s="188">
        <v>77750</v>
      </c>
      <c r="G49" s="188">
        <v>3000</v>
      </c>
      <c r="H49" s="188">
        <v>74750</v>
      </c>
      <c r="I49" s="188">
        <v>52250</v>
      </c>
      <c r="J49" s="188"/>
      <c r="K49" s="188">
        <v>0</v>
      </c>
      <c r="L49" s="188">
        <v>0</v>
      </c>
      <c r="M49" s="188">
        <v>0</v>
      </c>
      <c r="N49" s="188">
        <v>0</v>
      </c>
      <c r="O49" s="188">
        <v>55250</v>
      </c>
      <c r="P49" s="188">
        <v>0</v>
      </c>
      <c r="Q49" s="186">
        <v>0</v>
      </c>
      <c r="R49" s="188">
        <v>0</v>
      </c>
      <c r="S49" s="185">
        <v>0</v>
      </c>
      <c r="T49" s="185">
        <v>0</v>
      </c>
      <c r="U49" s="314">
        <v>1131.7998460000001</v>
      </c>
      <c r="V49" s="185">
        <v>1.4556911202572348E-2</v>
      </c>
      <c r="W49" s="185">
        <v>1.5323064423760368E-2</v>
      </c>
      <c r="X49" s="314">
        <v>1131.7998460000001</v>
      </c>
      <c r="Y49" s="185">
        <v>1.4556911202572348E-2</v>
      </c>
      <c r="Z49" s="185">
        <v>1.5323064423760368E-2</v>
      </c>
      <c r="AA49" s="314">
        <v>1131.7998460000001</v>
      </c>
      <c r="AB49" s="185">
        <v>1.4556911202572348E-2</v>
      </c>
      <c r="AC49" s="185">
        <v>1.5323064423760368E-2</v>
      </c>
      <c r="AD49" s="314">
        <v>1648</v>
      </c>
      <c r="AE49" s="185">
        <v>2.1196141479099678E-2</v>
      </c>
      <c r="AF49" s="185">
        <v>2.2311727872736505E-2</v>
      </c>
      <c r="AG49" s="314">
        <v>1648</v>
      </c>
      <c r="AH49" s="185">
        <v>2.1196141479099678E-2</v>
      </c>
      <c r="AI49" s="185">
        <v>2.2311727872736505E-2</v>
      </c>
      <c r="AJ49" s="317">
        <v>1648</v>
      </c>
      <c r="AK49" s="185">
        <v>2.1196141479099678E-2</v>
      </c>
      <c r="AL49" s="185">
        <v>2.2311727872736505E-2</v>
      </c>
      <c r="AM49" s="314">
        <v>1648</v>
      </c>
      <c r="AN49" s="185">
        <v>2.1196141479099678E-2</v>
      </c>
      <c r="AO49" s="185">
        <v>2.2311727872736505E-2</v>
      </c>
      <c r="AP49" s="185"/>
      <c r="AQ49" s="188">
        <v>53953</v>
      </c>
      <c r="AR49" s="185">
        <v>0.69392926045016079</v>
      </c>
      <c r="AS49" s="185">
        <v>0.73045185310543237</v>
      </c>
      <c r="AT49" s="188">
        <v>53953</v>
      </c>
      <c r="AU49" s="185">
        <v>0.69392926045016079</v>
      </c>
      <c r="AV49" s="185">
        <v>0.73045185310543237</v>
      </c>
      <c r="AW49" s="185"/>
      <c r="AX49" s="185"/>
      <c r="AY49" s="185"/>
      <c r="AZ49" s="185"/>
      <c r="BA49" s="185"/>
      <c r="BB49" s="185"/>
      <c r="BC49" s="188">
        <v>53953</v>
      </c>
      <c r="BD49" s="185">
        <v>0.69392926045016079</v>
      </c>
      <c r="BE49" s="185">
        <v>0.73045185310543237</v>
      </c>
      <c r="BF49" s="352"/>
      <c r="BG49" s="352">
        <v>55953</v>
      </c>
      <c r="BH49" s="185">
        <v>0.71965273311897104</v>
      </c>
      <c r="BI49" s="185">
        <v>0.75752919275681163</v>
      </c>
      <c r="BJ49" s="374">
        <v>73862.5</v>
      </c>
      <c r="BK49" s="374">
        <v>55953</v>
      </c>
      <c r="BL49" s="185">
        <v>0.71965273311897104</v>
      </c>
      <c r="BM49" s="185">
        <v>0.75752919275681163</v>
      </c>
      <c r="BN49" s="374">
        <v>55953</v>
      </c>
      <c r="BO49" s="185">
        <f t="shared" si="69"/>
        <v>0.71965273311897104</v>
      </c>
      <c r="BP49" s="185">
        <f t="shared" si="70"/>
        <v>0.75752919275681163</v>
      </c>
      <c r="BQ49" s="205">
        <f t="shared" si="71"/>
        <v>54305</v>
      </c>
      <c r="BR49" s="205"/>
      <c r="BS49" s="189" t="e">
        <f>#REF!+#REF!+#REF!</f>
        <v>#REF!</v>
      </c>
      <c r="BT49" s="186" t="e">
        <f t="shared" si="72"/>
        <v>#REF!</v>
      </c>
      <c r="BU49" s="189" t="e">
        <f>#REF!+#REF!+#REF!</f>
        <v>#REF!</v>
      </c>
      <c r="BV49" s="186" t="e">
        <f t="shared" si="73"/>
        <v>#REF!</v>
      </c>
      <c r="BW49" s="189" t="e">
        <f>#REF!+#REF!+#REF!</f>
        <v>#REF!</v>
      </c>
      <c r="BX49" s="186" t="e">
        <f t="shared" si="74"/>
        <v>#REF!</v>
      </c>
      <c r="BY49" s="189" t="e">
        <f>#REF!+#REF!+#REF!</f>
        <v>#REF!</v>
      </c>
      <c r="BZ49" s="186" t="e">
        <f t="shared" si="75"/>
        <v>#REF!</v>
      </c>
      <c r="CA49" s="189" t="e">
        <f>#REF!+#REF!+#REF!</f>
        <v>#REF!</v>
      </c>
      <c r="CB49" s="186" t="e">
        <f t="shared" si="76"/>
        <v>#REF!</v>
      </c>
      <c r="CC49" s="189" t="e">
        <f>#REF!+#REF!+#REF!</f>
        <v>#REF!</v>
      </c>
      <c r="CD49" s="186" t="e">
        <f t="shared" si="77"/>
        <v>#REF!</v>
      </c>
      <c r="CE49" s="189" t="e">
        <f>#REF!+#REF!+#REF!</f>
        <v>#REF!</v>
      </c>
      <c r="CF49" s="186" t="e">
        <f t="shared" si="78"/>
        <v>#REF!</v>
      </c>
      <c r="CG49" s="189" t="e">
        <f>#REF!+#REF!+#REF!</f>
        <v>#REF!</v>
      </c>
      <c r="CH49" s="186" t="e">
        <f t="shared" si="79"/>
        <v>#REF!</v>
      </c>
      <c r="CI49" s="189" t="e">
        <f>#REF!+#REF!+#REF!</f>
        <v>#REF!</v>
      </c>
      <c r="CJ49" s="186" t="e">
        <f t="shared" si="80"/>
        <v>#REF!</v>
      </c>
      <c r="CK49" s="189" t="e">
        <f>#REF!+#REF!+#REF!</f>
        <v>#REF!</v>
      </c>
      <c r="CL49" s="186" t="e">
        <f t="shared" si="81"/>
        <v>#REF!</v>
      </c>
      <c r="CM49" s="189" t="e">
        <f>#REF!+#REF!+#REF!</f>
        <v>#REF!</v>
      </c>
      <c r="CN49" s="186" t="e">
        <f t="shared" si="82"/>
        <v>#REF!</v>
      </c>
      <c r="CO49" s="189" t="e">
        <f>#REF!+#REF!+#REF!</f>
        <v>#REF!</v>
      </c>
      <c r="CP49" s="186" t="e">
        <f t="shared" si="83"/>
        <v>#REF!</v>
      </c>
      <c r="CQ49" s="189" t="e">
        <f>#REF!+#REF!+#REF!</f>
        <v>#REF!</v>
      </c>
      <c r="CR49" s="186" t="e">
        <f t="shared" si="84"/>
        <v>#REF!</v>
      </c>
      <c r="CS49" s="213" t="str">
        <f t="shared" si="85"/>
        <v>Đạt</v>
      </c>
      <c r="CT49" s="213" t="str">
        <f t="shared" si="86"/>
        <v>Đạt</v>
      </c>
      <c r="CU49" s="213"/>
      <c r="CV49" s="213"/>
      <c r="CW49" s="231"/>
      <c r="CX49" s="163"/>
      <c r="CZ49" s="195"/>
      <c r="DA49" s="196"/>
      <c r="DB49" s="196"/>
      <c r="DC49" s="197"/>
      <c r="DD49" s="196"/>
      <c r="DE49" s="196"/>
      <c r="DF49" s="196"/>
      <c r="DH49" s="199"/>
      <c r="DI49" s="200"/>
      <c r="DJ49" s="181"/>
    </row>
    <row r="50" spans="1:115" ht="18" customHeight="1" x14ac:dyDescent="0.25">
      <c r="A50" s="213">
        <v>20</v>
      </c>
      <c r="B50" s="240" t="s">
        <v>411</v>
      </c>
      <c r="C50" s="240"/>
      <c r="D50" s="188">
        <v>8350</v>
      </c>
      <c r="E50" s="188">
        <v>0</v>
      </c>
      <c r="F50" s="188">
        <v>8350</v>
      </c>
      <c r="G50" s="188">
        <v>3000</v>
      </c>
      <c r="H50" s="188">
        <v>5350</v>
      </c>
      <c r="I50" s="188">
        <v>0</v>
      </c>
      <c r="J50" s="188"/>
      <c r="K50" s="188">
        <v>0</v>
      </c>
      <c r="L50" s="188">
        <v>0</v>
      </c>
      <c r="M50" s="188">
        <v>0</v>
      </c>
      <c r="N50" s="188">
        <v>0</v>
      </c>
      <c r="O50" s="188">
        <v>3000</v>
      </c>
      <c r="P50" s="188">
        <v>477.78</v>
      </c>
      <c r="Q50" s="186">
        <v>5.7219161676646701E-2</v>
      </c>
      <c r="R50" s="189">
        <v>478</v>
      </c>
      <c r="S50" s="185">
        <v>5.7245508982035925E-2</v>
      </c>
      <c r="T50" s="185">
        <v>6.0258430507406237E-2</v>
      </c>
      <c r="U50" s="189">
        <v>478</v>
      </c>
      <c r="V50" s="185">
        <v>5.7245508982035925E-2</v>
      </c>
      <c r="W50" s="185">
        <v>6.0258430507406237E-2</v>
      </c>
      <c r="X50" s="189">
        <v>478</v>
      </c>
      <c r="Y50" s="185">
        <v>5.7245508982035925E-2</v>
      </c>
      <c r="Z50" s="185">
        <v>6.0258430507406237E-2</v>
      </c>
      <c r="AA50" s="189">
        <v>478</v>
      </c>
      <c r="AB50" s="185">
        <v>5.7245508982035925E-2</v>
      </c>
      <c r="AC50" s="185">
        <v>6.0258430507406237E-2</v>
      </c>
      <c r="AD50" s="189">
        <v>495</v>
      </c>
      <c r="AE50" s="185">
        <v>5.9281437125748501E-2</v>
      </c>
      <c r="AF50" s="185">
        <v>6.2401512763945795E-2</v>
      </c>
      <c r="AG50" s="189">
        <v>495</v>
      </c>
      <c r="AH50" s="185">
        <v>5.9281437125748501E-2</v>
      </c>
      <c r="AI50" s="185">
        <v>6.2401512763945795E-2</v>
      </c>
      <c r="AJ50" s="303">
        <v>495</v>
      </c>
      <c r="AK50" s="185">
        <v>5.9281437125748501E-2</v>
      </c>
      <c r="AL50" s="185">
        <v>6.2401512763945795E-2</v>
      </c>
      <c r="AM50" s="189">
        <v>779.75390000000004</v>
      </c>
      <c r="AN50" s="185">
        <v>9.3383700598802397E-2</v>
      </c>
      <c r="AO50" s="185">
        <v>9.8298632209265685E-2</v>
      </c>
      <c r="AP50" s="185"/>
      <c r="AQ50" s="189">
        <v>1764.9458999999999</v>
      </c>
      <c r="AR50" s="185">
        <v>0.21137076646706587</v>
      </c>
      <c r="AS50" s="185">
        <v>0.22249554364954302</v>
      </c>
      <c r="AT50" s="189">
        <v>1849</v>
      </c>
      <c r="AU50" s="185">
        <v>0.22143712574850299</v>
      </c>
      <c r="AV50" s="185">
        <v>0.23309171131421369</v>
      </c>
      <c r="AW50" s="185"/>
      <c r="AX50" s="185"/>
      <c r="AY50" s="185"/>
      <c r="AZ50" s="185"/>
      <c r="BA50" s="185"/>
      <c r="BB50" s="185"/>
      <c r="BC50" s="189">
        <v>1849</v>
      </c>
      <c r="BD50" s="185">
        <v>0.22143712574850299</v>
      </c>
      <c r="BE50" s="185">
        <v>0.23309171131421369</v>
      </c>
      <c r="BF50" s="189"/>
      <c r="BG50" s="189">
        <v>4558</v>
      </c>
      <c r="BH50" s="185">
        <v>0.54586826347305384</v>
      </c>
      <c r="BI50" s="185">
        <v>0.57459817207689878</v>
      </c>
      <c r="BJ50" s="189">
        <v>7932.5</v>
      </c>
      <c r="BK50" s="189">
        <v>5739</v>
      </c>
      <c r="BL50" s="185">
        <v>0.68730538922155693</v>
      </c>
      <c r="BM50" s="185">
        <v>0.72347935707532307</v>
      </c>
      <c r="BN50" s="189">
        <v>5739</v>
      </c>
      <c r="BO50" s="185">
        <f t="shared" si="69"/>
        <v>0.68730538922155693</v>
      </c>
      <c r="BP50" s="185">
        <f t="shared" si="70"/>
        <v>0.72347935707532307</v>
      </c>
      <c r="BQ50" s="205">
        <f t="shared" si="71"/>
        <v>5244</v>
      </c>
      <c r="BR50" s="205"/>
      <c r="BS50" s="189" t="e">
        <f>#REF!+#REF!</f>
        <v>#REF!</v>
      </c>
      <c r="BT50" s="186" t="e">
        <f t="shared" si="72"/>
        <v>#REF!</v>
      </c>
      <c r="BU50" s="189" t="e">
        <f>#REF!+#REF!</f>
        <v>#REF!</v>
      </c>
      <c r="BV50" s="186" t="e">
        <f t="shared" si="73"/>
        <v>#REF!</v>
      </c>
      <c r="BW50" s="189" t="e">
        <f>#REF!+#REF!</f>
        <v>#REF!</v>
      </c>
      <c r="BX50" s="186" t="e">
        <f t="shared" si="74"/>
        <v>#REF!</v>
      </c>
      <c r="BY50" s="189" t="e">
        <f>#REF!+#REF!</f>
        <v>#REF!</v>
      </c>
      <c r="BZ50" s="186" t="e">
        <f t="shared" si="75"/>
        <v>#REF!</v>
      </c>
      <c r="CA50" s="189" t="e">
        <f>#REF!+#REF!</f>
        <v>#REF!</v>
      </c>
      <c r="CB50" s="186" t="e">
        <f t="shared" si="76"/>
        <v>#REF!</v>
      </c>
      <c r="CC50" s="189" t="e">
        <f>#REF!+#REF!</f>
        <v>#REF!</v>
      </c>
      <c r="CD50" s="186" t="e">
        <f t="shared" si="77"/>
        <v>#REF!</v>
      </c>
      <c r="CE50" s="189" t="e">
        <f>#REF!+#REF!</f>
        <v>#REF!</v>
      </c>
      <c r="CF50" s="186" t="e">
        <f t="shared" si="78"/>
        <v>#REF!</v>
      </c>
      <c r="CG50" s="189" t="e">
        <f>#REF!+#REF!</f>
        <v>#REF!</v>
      </c>
      <c r="CH50" s="186" t="e">
        <f t="shared" si="79"/>
        <v>#REF!</v>
      </c>
      <c r="CI50" s="189" t="e">
        <f>#REF!+#REF!</f>
        <v>#REF!</v>
      </c>
      <c r="CJ50" s="186" t="e">
        <f t="shared" si="80"/>
        <v>#REF!</v>
      </c>
      <c r="CK50" s="189" t="e">
        <f>#REF!+#REF!</f>
        <v>#REF!</v>
      </c>
      <c r="CL50" s="186" t="e">
        <f t="shared" si="81"/>
        <v>#REF!</v>
      </c>
      <c r="CM50" s="189" t="e">
        <f>#REF!+#REF!</f>
        <v>#REF!</v>
      </c>
      <c r="CN50" s="186" t="e">
        <f t="shared" si="82"/>
        <v>#REF!</v>
      </c>
      <c r="CO50" s="189" t="e">
        <f>#REF!+#REF!</f>
        <v>#REF!</v>
      </c>
      <c r="CP50" s="186" t="e">
        <f t="shared" si="83"/>
        <v>#REF!</v>
      </c>
      <c r="CQ50" s="189" t="e">
        <f>#REF!+#REF!</f>
        <v>#REF!</v>
      </c>
      <c r="CR50" s="186" t="e">
        <f t="shared" si="84"/>
        <v>#REF!</v>
      </c>
      <c r="CS50" s="213" t="str">
        <f t="shared" si="85"/>
        <v>Đạt</v>
      </c>
      <c r="CT50" s="213" t="str">
        <f t="shared" si="86"/>
        <v>Đạt</v>
      </c>
      <c r="CU50" s="213"/>
      <c r="CV50" s="213"/>
      <c r="CW50" s="231"/>
      <c r="CX50" s="163"/>
      <c r="CZ50" s="195"/>
      <c r="DA50" s="196"/>
      <c r="DB50" s="196"/>
      <c r="DC50" s="197"/>
      <c r="DD50" s="196"/>
      <c r="DE50" s="196"/>
      <c r="DF50" s="196"/>
      <c r="DH50" s="199"/>
      <c r="DI50" s="200"/>
      <c r="DJ50" s="181"/>
    </row>
    <row r="51" spans="1:115" ht="18" customHeight="1" x14ac:dyDescent="0.25">
      <c r="A51" s="213">
        <v>21</v>
      </c>
      <c r="B51" s="240" t="s">
        <v>446</v>
      </c>
      <c r="C51" s="240"/>
      <c r="D51" s="188">
        <v>3111</v>
      </c>
      <c r="E51" s="188">
        <v>0</v>
      </c>
      <c r="F51" s="188">
        <v>3111</v>
      </c>
      <c r="G51" s="188">
        <v>3000</v>
      </c>
      <c r="H51" s="188">
        <v>111</v>
      </c>
      <c r="I51" s="188">
        <v>0</v>
      </c>
      <c r="J51" s="188"/>
      <c r="K51" s="188">
        <v>0</v>
      </c>
      <c r="L51" s="188">
        <v>0</v>
      </c>
      <c r="M51" s="188">
        <v>0</v>
      </c>
      <c r="N51" s="188">
        <v>0</v>
      </c>
      <c r="O51" s="188">
        <v>3000</v>
      </c>
      <c r="P51" s="188">
        <v>0</v>
      </c>
      <c r="Q51" s="186">
        <v>0</v>
      </c>
      <c r="R51" s="188">
        <v>0</v>
      </c>
      <c r="S51" s="185">
        <v>0</v>
      </c>
      <c r="T51" s="185">
        <v>0</v>
      </c>
      <c r="U51" s="188">
        <v>0</v>
      </c>
      <c r="V51" s="185">
        <v>0</v>
      </c>
      <c r="W51" s="185">
        <v>0</v>
      </c>
      <c r="X51" s="188">
        <v>0</v>
      </c>
      <c r="Y51" s="185">
        <v>0</v>
      </c>
      <c r="Z51" s="185">
        <v>0</v>
      </c>
      <c r="AA51" s="188">
        <v>0</v>
      </c>
      <c r="AB51" s="185">
        <v>0</v>
      </c>
      <c r="AC51" s="185">
        <v>0</v>
      </c>
      <c r="AD51" s="188">
        <v>0</v>
      </c>
      <c r="AE51" s="185">
        <v>0</v>
      </c>
      <c r="AF51" s="185">
        <v>0</v>
      </c>
      <c r="AG51" s="188">
        <v>0</v>
      </c>
      <c r="AH51" s="185">
        <v>0</v>
      </c>
      <c r="AI51" s="185">
        <v>0</v>
      </c>
      <c r="AJ51" s="303">
        <v>0</v>
      </c>
      <c r="AK51" s="185">
        <v>0</v>
      </c>
      <c r="AL51" s="185">
        <v>0</v>
      </c>
      <c r="AM51" s="188">
        <v>743</v>
      </c>
      <c r="AN51" s="185">
        <v>0.23882995821279332</v>
      </c>
      <c r="AO51" s="185">
        <v>0.25139995601346665</v>
      </c>
      <c r="AP51" s="185"/>
      <c r="AQ51" s="188">
        <v>1504.0450000000001</v>
      </c>
      <c r="AR51" s="185">
        <v>0.48346030215364838</v>
      </c>
      <c r="AS51" s="185">
        <v>0.50890558121436669</v>
      </c>
      <c r="AT51" s="188">
        <v>1590.365</v>
      </c>
      <c r="AU51" s="185">
        <v>0.51120700739312119</v>
      </c>
      <c r="AV51" s="185">
        <v>0.53811263936118026</v>
      </c>
      <c r="AW51" s="185"/>
      <c r="AX51" s="185"/>
      <c r="AY51" s="185"/>
      <c r="AZ51" s="185"/>
      <c r="BA51" s="185"/>
      <c r="BB51" s="185"/>
      <c r="BC51" s="188">
        <v>1590.365</v>
      </c>
      <c r="BD51" s="185">
        <v>0.51120700739312119</v>
      </c>
      <c r="BE51" s="185">
        <v>0.53811263936118026</v>
      </c>
      <c r="BF51" s="188"/>
      <c r="BG51" s="188">
        <v>1801</v>
      </c>
      <c r="BH51" s="185">
        <v>0.57891353262616518</v>
      </c>
      <c r="BI51" s="185">
        <v>0.60938266592227919</v>
      </c>
      <c r="BJ51" s="188">
        <v>2955.45</v>
      </c>
      <c r="BK51" s="188">
        <v>2081.5050000000001</v>
      </c>
      <c r="BL51" s="185">
        <v>0.6690790742526519</v>
      </c>
      <c r="BM51" s="185">
        <v>0.70429376237121255</v>
      </c>
      <c r="BN51" s="188">
        <v>2081.5050000000001</v>
      </c>
      <c r="BO51" s="185">
        <f t="shared" si="69"/>
        <v>0.6690790742526519</v>
      </c>
      <c r="BP51" s="185">
        <f t="shared" si="70"/>
        <v>0.70429376237121255</v>
      </c>
      <c r="BQ51" s="205">
        <f t="shared" si="71"/>
        <v>2081.5050000000001</v>
      </c>
      <c r="BR51" s="205"/>
      <c r="BS51" s="189" t="e">
        <f>#REF!+#REF!</f>
        <v>#REF!</v>
      </c>
      <c r="BT51" s="186" t="e">
        <f t="shared" si="72"/>
        <v>#REF!</v>
      </c>
      <c r="BU51" s="189" t="e">
        <f>#REF!+#REF!</f>
        <v>#REF!</v>
      </c>
      <c r="BV51" s="186" t="e">
        <f t="shared" si="73"/>
        <v>#REF!</v>
      </c>
      <c r="BW51" s="189" t="e">
        <f>#REF!+#REF!</f>
        <v>#REF!</v>
      </c>
      <c r="BX51" s="186" t="e">
        <f t="shared" si="74"/>
        <v>#REF!</v>
      </c>
      <c r="BY51" s="189" t="e">
        <f>#REF!+#REF!</f>
        <v>#REF!</v>
      </c>
      <c r="BZ51" s="186" t="e">
        <f t="shared" si="75"/>
        <v>#REF!</v>
      </c>
      <c r="CA51" s="189" t="e">
        <f>#REF!+#REF!</f>
        <v>#REF!</v>
      </c>
      <c r="CB51" s="186" t="e">
        <f t="shared" si="76"/>
        <v>#REF!</v>
      </c>
      <c r="CC51" s="189" t="e">
        <f>#REF!+#REF!</f>
        <v>#REF!</v>
      </c>
      <c r="CD51" s="186" t="e">
        <f t="shared" si="77"/>
        <v>#REF!</v>
      </c>
      <c r="CE51" s="189" t="e">
        <f>#REF!+#REF!</f>
        <v>#REF!</v>
      </c>
      <c r="CF51" s="186" t="e">
        <f t="shared" si="78"/>
        <v>#REF!</v>
      </c>
      <c r="CG51" s="189" t="e">
        <f>#REF!+#REF!</f>
        <v>#REF!</v>
      </c>
      <c r="CH51" s="186" t="e">
        <f t="shared" si="79"/>
        <v>#REF!</v>
      </c>
      <c r="CI51" s="189" t="e">
        <f>#REF!+#REF!</f>
        <v>#REF!</v>
      </c>
      <c r="CJ51" s="186" t="e">
        <f t="shared" si="80"/>
        <v>#REF!</v>
      </c>
      <c r="CK51" s="189" t="e">
        <f>#REF!+#REF!</f>
        <v>#REF!</v>
      </c>
      <c r="CL51" s="186" t="e">
        <f t="shared" si="81"/>
        <v>#REF!</v>
      </c>
      <c r="CM51" s="189" t="e">
        <f>#REF!+#REF!</f>
        <v>#REF!</v>
      </c>
      <c r="CN51" s="186" t="e">
        <f t="shared" si="82"/>
        <v>#REF!</v>
      </c>
      <c r="CO51" s="189" t="e">
        <f>#REF!+#REF!</f>
        <v>#REF!</v>
      </c>
      <c r="CP51" s="186" t="e">
        <f t="shared" si="83"/>
        <v>#REF!</v>
      </c>
      <c r="CQ51" s="189" t="e">
        <f>#REF!+#REF!</f>
        <v>#REF!</v>
      </c>
      <c r="CR51" s="186" t="e">
        <f t="shared" si="84"/>
        <v>#REF!</v>
      </c>
      <c r="CS51" s="213" t="str">
        <f t="shared" si="85"/>
        <v>Đạt</v>
      </c>
      <c r="CT51" s="213" t="str">
        <f t="shared" si="86"/>
        <v>Đạt</v>
      </c>
      <c r="CU51" s="213"/>
      <c r="CV51" s="213"/>
      <c r="CW51" s="231"/>
      <c r="CX51" s="163"/>
      <c r="CZ51" s="195"/>
      <c r="DA51" s="196"/>
      <c r="DB51" s="196"/>
      <c r="DC51" s="197"/>
      <c r="DD51" s="196"/>
      <c r="DE51" s="196"/>
      <c r="DF51" s="196"/>
      <c r="DH51" s="199"/>
      <c r="DI51" s="200"/>
      <c r="DJ51" s="181"/>
    </row>
    <row r="52" spans="1:115" ht="18" customHeight="1" x14ac:dyDescent="0.25">
      <c r="A52" s="213">
        <v>22</v>
      </c>
      <c r="B52" s="240" t="s">
        <v>434</v>
      </c>
      <c r="C52" s="240"/>
      <c r="D52" s="188">
        <v>4275</v>
      </c>
      <c r="E52" s="188">
        <v>0</v>
      </c>
      <c r="F52" s="188">
        <v>4275</v>
      </c>
      <c r="G52" s="188">
        <v>3000</v>
      </c>
      <c r="H52" s="188">
        <v>1275</v>
      </c>
      <c r="I52" s="188">
        <v>0</v>
      </c>
      <c r="J52" s="188"/>
      <c r="K52" s="188">
        <v>0</v>
      </c>
      <c r="L52" s="188">
        <v>0</v>
      </c>
      <c r="M52" s="188">
        <v>0</v>
      </c>
      <c r="N52" s="188">
        <v>0</v>
      </c>
      <c r="O52" s="188">
        <v>3000</v>
      </c>
      <c r="P52" s="188">
        <v>0</v>
      </c>
      <c r="Q52" s="186">
        <v>0</v>
      </c>
      <c r="R52" s="188">
        <v>0</v>
      </c>
      <c r="S52" s="185">
        <v>0</v>
      </c>
      <c r="T52" s="185">
        <v>0</v>
      </c>
      <c r="U52" s="188">
        <v>0</v>
      </c>
      <c r="V52" s="185">
        <v>0</v>
      </c>
      <c r="W52" s="185">
        <v>0</v>
      </c>
      <c r="X52" s="188">
        <v>0</v>
      </c>
      <c r="Y52" s="185">
        <v>0</v>
      </c>
      <c r="Z52" s="185">
        <v>0</v>
      </c>
      <c r="AA52" s="188">
        <v>0</v>
      </c>
      <c r="AB52" s="185">
        <v>0</v>
      </c>
      <c r="AC52" s="185">
        <v>0</v>
      </c>
      <c r="AD52" s="188">
        <v>1289</v>
      </c>
      <c r="AE52" s="185">
        <v>0.3015204678362573</v>
      </c>
      <c r="AF52" s="185">
        <v>0.31738996614342874</v>
      </c>
      <c r="AG52" s="188">
        <v>1289</v>
      </c>
      <c r="AH52" s="185">
        <v>0.3015204678362573</v>
      </c>
      <c r="AI52" s="185">
        <v>0.31738996614342874</v>
      </c>
      <c r="AJ52" s="303">
        <v>1289</v>
      </c>
      <c r="AK52" s="185">
        <v>0.3015204678362573</v>
      </c>
      <c r="AL52" s="185">
        <v>0.31738996614342874</v>
      </c>
      <c r="AM52" s="188">
        <v>1289</v>
      </c>
      <c r="AN52" s="185">
        <v>0.3015204678362573</v>
      </c>
      <c r="AO52" s="185">
        <v>0.31738996614342874</v>
      </c>
      <c r="AP52" s="185"/>
      <c r="AQ52" s="188">
        <v>1289</v>
      </c>
      <c r="AR52" s="185">
        <v>0.3015204678362573</v>
      </c>
      <c r="AS52" s="185">
        <v>0.31738996614342874</v>
      </c>
      <c r="AT52" s="188">
        <v>1289</v>
      </c>
      <c r="AU52" s="185">
        <v>0.3015204678362573</v>
      </c>
      <c r="AV52" s="185">
        <v>0.31738996614342874</v>
      </c>
      <c r="AW52" s="185"/>
      <c r="AX52" s="185"/>
      <c r="AY52" s="185"/>
      <c r="AZ52" s="185"/>
      <c r="BA52" s="185"/>
      <c r="BB52" s="185"/>
      <c r="BC52" s="188">
        <v>1289</v>
      </c>
      <c r="BD52" s="185">
        <v>0.3015204678362573</v>
      </c>
      <c r="BE52" s="185">
        <v>0.31738996614342874</v>
      </c>
      <c r="BF52" s="188"/>
      <c r="BG52" s="188">
        <v>2727</v>
      </c>
      <c r="BH52" s="185">
        <v>0.63789473684210529</v>
      </c>
      <c r="BI52" s="185">
        <v>0.67146814404432131</v>
      </c>
      <c r="BJ52" s="188">
        <v>4061.25</v>
      </c>
      <c r="BK52" s="188">
        <v>2856</v>
      </c>
      <c r="BL52" s="185">
        <v>0.66807017543859648</v>
      </c>
      <c r="BM52" s="185">
        <v>0.70323176361957529</v>
      </c>
      <c r="BN52" s="188">
        <v>2856</v>
      </c>
      <c r="BO52" s="185">
        <f t="shared" si="69"/>
        <v>0.66807017543859648</v>
      </c>
      <c r="BP52" s="185">
        <f t="shared" si="70"/>
        <v>0.70323176361957529</v>
      </c>
      <c r="BQ52" s="205">
        <f t="shared" si="71"/>
        <v>1567</v>
      </c>
      <c r="BR52" s="205"/>
      <c r="BS52" s="189" t="e">
        <f>#REF!+#REF!</f>
        <v>#REF!</v>
      </c>
      <c r="BT52" s="186" t="e">
        <f t="shared" si="72"/>
        <v>#REF!</v>
      </c>
      <c r="BU52" s="189" t="e">
        <f>#REF!+#REF!</f>
        <v>#REF!</v>
      </c>
      <c r="BV52" s="186" t="e">
        <f t="shared" si="73"/>
        <v>#REF!</v>
      </c>
      <c r="BW52" s="189" t="e">
        <f>#REF!+#REF!</f>
        <v>#REF!</v>
      </c>
      <c r="BX52" s="186" t="e">
        <f t="shared" si="74"/>
        <v>#REF!</v>
      </c>
      <c r="BY52" s="189" t="e">
        <f>#REF!+#REF!</f>
        <v>#REF!</v>
      </c>
      <c r="BZ52" s="186" t="e">
        <f t="shared" si="75"/>
        <v>#REF!</v>
      </c>
      <c r="CA52" s="189" t="e">
        <f>#REF!+#REF!</f>
        <v>#REF!</v>
      </c>
      <c r="CB52" s="186" t="e">
        <f t="shared" si="76"/>
        <v>#REF!</v>
      </c>
      <c r="CC52" s="189" t="e">
        <f>#REF!+#REF!</f>
        <v>#REF!</v>
      </c>
      <c r="CD52" s="186" t="e">
        <f t="shared" si="77"/>
        <v>#REF!</v>
      </c>
      <c r="CE52" s="189" t="e">
        <f>#REF!+#REF!</f>
        <v>#REF!</v>
      </c>
      <c r="CF52" s="186" t="e">
        <f t="shared" si="78"/>
        <v>#REF!</v>
      </c>
      <c r="CG52" s="189" t="e">
        <f>#REF!+#REF!</f>
        <v>#REF!</v>
      </c>
      <c r="CH52" s="186" t="e">
        <f t="shared" si="79"/>
        <v>#REF!</v>
      </c>
      <c r="CI52" s="189" t="e">
        <f>#REF!+#REF!</f>
        <v>#REF!</v>
      </c>
      <c r="CJ52" s="186" t="e">
        <f t="shared" si="80"/>
        <v>#REF!</v>
      </c>
      <c r="CK52" s="189" t="e">
        <f>#REF!+#REF!</f>
        <v>#REF!</v>
      </c>
      <c r="CL52" s="186" t="e">
        <f t="shared" si="81"/>
        <v>#REF!</v>
      </c>
      <c r="CM52" s="189" t="e">
        <f>#REF!+#REF!</f>
        <v>#REF!</v>
      </c>
      <c r="CN52" s="186" t="e">
        <f t="shared" si="82"/>
        <v>#REF!</v>
      </c>
      <c r="CO52" s="189" t="e">
        <f>#REF!+#REF!</f>
        <v>#REF!</v>
      </c>
      <c r="CP52" s="186" t="e">
        <f t="shared" si="83"/>
        <v>#REF!</v>
      </c>
      <c r="CQ52" s="189" t="e">
        <f>#REF!+#REF!</f>
        <v>#REF!</v>
      </c>
      <c r="CR52" s="186" t="e">
        <f t="shared" si="84"/>
        <v>#REF!</v>
      </c>
      <c r="CS52" s="213" t="str">
        <f t="shared" si="85"/>
        <v>Đạt</v>
      </c>
      <c r="CT52" s="213" t="str">
        <f t="shared" si="86"/>
        <v>Đạt</v>
      </c>
      <c r="CU52" s="213"/>
      <c r="CV52" s="213"/>
      <c r="CW52" s="231"/>
      <c r="CX52" s="163"/>
      <c r="CZ52" s="195"/>
      <c r="DA52" s="196"/>
      <c r="DB52" s="196"/>
      <c r="DC52" s="197"/>
      <c r="DD52" s="196"/>
      <c r="DE52" s="196"/>
      <c r="DF52" s="196"/>
      <c r="DH52" s="199"/>
      <c r="DI52" s="200"/>
      <c r="DJ52" s="181"/>
    </row>
    <row r="53" spans="1:115" ht="18" customHeight="1" x14ac:dyDescent="0.25">
      <c r="A53" s="213">
        <v>23</v>
      </c>
      <c r="B53" s="240" t="s">
        <v>458</v>
      </c>
      <c r="C53" s="240"/>
      <c r="D53" s="188">
        <v>4275</v>
      </c>
      <c r="E53" s="188">
        <v>0</v>
      </c>
      <c r="F53" s="188">
        <v>4275</v>
      </c>
      <c r="G53" s="188">
        <v>3000</v>
      </c>
      <c r="H53" s="188">
        <v>1275</v>
      </c>
      <c r="I53" s="188">
        <v>0</v>
      </c>
      <c r="J53" s="188"/>
      <c r="K53" s="188">
        <v>0</v>
      </c>
      <c r="L53" s="188">
        <v>0</v>
      </c>
      <c r="M53" s="188">
        <v>0</v>
      </c>
      <c r="N53" s="188">
        <v>0</v>
      </c>
      <c r="O53" s="188">
        <v>3000</v>
      </c>
      <c r="P53" s="188">
        <v>1050</v>
      </c>
      <c r="Q53" s="186">
        <v>0.24561403508771928</v>
      </c>
      <c r="R53" s="189">
        <v>1050.48</v>
      </c>
      <c r="S53" s="185">
        <v>0.24572631578947368</v>
      </c>
      <c r="T53" s="185">
        <v>0.25865927977839337</v>
      </c>
      <c r="U53" s="304">
        <v>1050.4829999999999</v>
      </c>
      <c r="V53" s="185">
        <v>0.24572701754385964</v>
      </c>
      <c r="W53" s="185">
        <v>0.25866001846722064</v>
      </c>
      <c r="X53" s="304">
        <v>1050.4829999999999</v>
      </c>
      <c r="Y53" s="185">
        <v>0.24572701754385964</v>
      </c>
      <c r="Z53" s="185">
        <v>0.25866001846722064</v>
      </c>
      <c r="AA53" s="304">
        <v>1050.4829999999999</v>
      </c>
      <c r="AB53" s="185">
        <v>0.24572701754385964</v>
      </c>
      <c r="AC53" s="185">
        <v>0.25866001846722064</v>
      </c>
      <c r="AD53" s="304">
        <v>1050.4829999999999</v>
      </c>
      <c r="AE53" s="185">
        <v>0.24572701754385964</v>
      </c>
      <c r="AF53" s="185">
        <v>0.25866001846722064</v>
      </c>
      <c r="AG53" s="304">
        <v>1050.4829999999999</v>
      </c>
      <c r="AH53" s="185">
        <v>0.24572701754385964</v>
      </c>
      <c r="AI53" s="185">
        <v>0.25866001846722064</v>
      </c>
      <c r="AJ53" s="303">
        <v>1050.4829999999999</v>
      </c>
      <c r="AK53" s="185">
        <v>0.24572701754385964</v>
      </c>
      <c r="AL53" s="185">
        <v>0.25866001846722064</v>
      </c>
      <c r="AM53" s="304">
        <v>1050.4829999999999</v>
      </c>
      <c r="AN53" s="185">
        <v>0.24572701754385964</v>
      </c>
      <c r="AO53" s="185">
        <v>0.25866001846722064</v>
      </c>
      <c r="AP53" s="185"/>
      <c r="AQ53" s="189">
        <v>1847.99</v>
      </c>
      <c r="AR53" s="185">
        <v>0.43227836257309943</v>
      </c>
      <c r="AS53" s="185">
        <v>0.45502985534010465</v>
      </c>
      <c r="AT53" s="189">
        <v>1847.99</v>
      </c>
      <c r="AU53" s="185">
        <v>0.43227836257309943</v>
      </c>
      <c r="AV53" s="185">
        <v>0.45502985534010465</v>
      </c>
      <c r="AW53" s="185"/>
      <c r="AX53" s="185"/>
      <c r="AY53" s="185"/>
      <c r="AZ53" s="185"/>
      <c r="BA53" s="185"/>
      <c r="BB53" s="185"/>
      <c r="BC53" s="189">
        <v>1847.99</v>
      </c>
      <c r="BD53" s="185">
        <v>0.43227836257309943</v>
      </c>
      <c r="BE53" s="185">
        <v>0.45502985534010465</v>
      </c>
      <c r="BF53" s="352"/>
      <c r="BG53" s="352">
        <v>2841.99</v>
      </c>
      <c r="BH53" s="185">
        <v>0.66479298245614027</v>
      </c>
      <c r="BI53" s="185">
        <v>0.69978208679593712</v>
      </c>
      <c r="BJ53" s="374">
        <v>4061.25</v>
      </c>
      <c r="BK53" s="374">
        <v>2841.99</v>
      </c>
      <c r="BL53" s="185">
        <v>0.66479298245614027</v>
      </c>
      <c r="BM53" s="185">
        <v>0.69978208679593712</v>
      </c>
      <c r="BN53" s="374">
        <v>2841.99</v>
      </c>
      <c r="BO53" s="185">
        <f t="shared" si="69"/>
        <v>0.66479298245614027</v>
      </c>
      <c r="BP53" s="185">
        <f t="shared" si="70"/>
        <v>0.69978208679593712</v>
      </c>
      <c r="BQ53" s="205">
        <f t="shared" si="71"/>
        <v>1791.5069999999998</v>
      </c>
      <c r="BR53" s="205"/>
      <c r="BS53" s="189" t="e">
        <f>#REF!+#REF!</f>
        <v>#REF!</v>
      </c>
      <c r="BT53" s="186" t="e">
        <f t="shared" si="72"/>
        <v>#REF!</v>
      </c>
      <c r="BU53" s="189" t="e">
        <f>#REF!+#REF!</f>
        <v>#REF!</v>
      </c>
      <c r="BV53" s="186" t="e">
        <f t="shared" si="73"/>
        <v>#REF!</v>
      </c>
      <c r="BW53" s="189" t="e">
        <f>#REF!+#REF!</f>
        <v>#REF!</v>
      </c>
      <c r="BX53" s="186" t="e">
        <f t="shared" si="74"/>
        <v>#REF!</v>
      </c>
      <c r="BY53" s="189" t="e">
        <f>#REF!+#REF!</f>
        <v>#REF!</v>
      </c>
      <c r="BZ53" s="186" t="e">
        <f t="shared" si="75"/>
        <v>#REF!</v>
      </c>
      <c r="CA53" s="189" t="e">
        <f>#REF!+#REF!</f>
        <v>#REF!</v>
      </c>
      <c r="CB53" s="186" t="e">
        <f t="shared" si="76"/>
        <v>#REF!</v>
      </c>
      <c r="CC53" s="189" t="e">
        <f>#REF!+#REF!</f>
        <v>#REF!</v>
      </c>
      <c r="CD53" s="186" t="e">
        <f t="shared" si="77"/>
        <v>#REF!</v>
      </c>
      <c r="CE53" s="189" t="e">
        <f>#REF!+#REF!</f>
        <v>#REF!</v>
      </c>
      <c r="CF53" s="186" t="e">
        <f t="shared" si="78"/>
        <v>#REF!</v>
      </c>
      <c r="CG53" s="189" t="e">
        <f>#REF!+#REF!</f>
        <v>#REF!</v>
      </c>
      <c r="CH53" s="186" t="e">
        <f t="shared" si="79"/>
        <v>#REF!</v>
      </c>
      <c r="CI53" s="189" t="e">
        <f>#REF!+#REF!</f>
        <v>#REF!</v>
      </c>
      <c r="CJ53" s="186" t="e">
        <f t="shared" si="80"/>
        <v>#REF!</v>
      </c>
      <c r="CK53" s="189" t="e">
        <f>#REF!+#REF!</f>
        <v>#REF!</v>
      </c>
      <c r="CL53" s="186" t="e">
        <f t="shared" si="81"/>
        <v>#REF!</v>
      </c>
      <c r="CM53" s="189" t="e">
        <f>#REF!+#REF!</f>
        <v>#REF!</v>
      </c>
      <c r="CN53" s="186" t="e">
        <f t="shared" si="82"/>
        <v>#REF!</v>
      </c>
      <c r="CO53" s="189" t="e">
        <f>#REF!+#REF!</f>
        <v>#REF!</v>
      </c>
      <c r="CP53" s="186" t="e">
        <f t="shared" si="83"/>
        <v>#REF!</v>
      </c>
      <c r="CQ53" s="189" t="e">
        <f>#REF!+#REF!</f>
        <v>#REF!</v>
      </c>
      <c r="CR53" s="186" t="e">
        <f t="shared" si="84"/>
        <v>#REF!</v>
      </c>
      <c r="CS53" s="213" t="str">
        <f t="shared" si="85"/>
        <v>Đạt</v>
      </c>
      <c r="CT53" s="213" t="str">
        <f t="shared" si="86"/>
        <v>Đạt</v>
      </c>
      <c r="CU53" s="213"/>
      <c r="CV53" s="213"/>
      <c r="CW53" s="231"/>
      <c r="CX53" s="163"/>
      <c r="CZ53" s="195"/>
      <c r="DA53" s="196"/>
      <c r="DB53" s="196"/>
      <c r="DC53" s="197"/>
      <c r="DD53" s="196"/>
      <c r="DE53" s="196"/>
      <c r="DF53" s="196"/>
      <c r="DH53" s="199"/>
      <c r="DI53" s="200"/>
      <c r="DJ53" s="181"/>
    </row>
    <row r="54" spans="1:115" ht="18" customHeight="1" x14ac:dyDescent="0.25">
      <c r="A54" s="213">
        <v>24</v>
      </c>
      <c r="B54" s="240" t="s">
        <v>415</v>
      </c>
      <c r="C54" s="240"/>
      <c r="D54" s="188">
        <v>11228</v>
      </c>
      <c r="E54" s="188">
        <v>0</v>
      </c>
      <c r="F54" s="188">
        <v>11228</v>
      </c>
      <c r="G54" s="188">
        <v>3000</v>
      </c>
      <c r="H54" s="188">
        <v>8228</v>
      </c>
      <c r="I54" s="188">
        <v>0</v>
      </c>
      <c r="J54" s="188"/>
      <c r="K54" s="188">
        <v>0</v>
      </c>
      <c r="L54" s="188">
        <v>0</v>
      </c>
      <c r="M54" s="188">
        <v>0</v>
      </c>
      <c r="N54" s="188">
        <v>0</v>
      </c>
      <c r="O54" s="188">
        <v>3000</v>
      </c>
      <c r="P54" s="188">
        <v>0</v>
      </c>
      <c r="Q54" s="186">
        <v>0</v>
      </c>
      <c r="R54" s="188">
        <v>0</v>
      </c>
      <c r="S54" s="185">
        <v>0</v>
      </c>
      <c r="T54" s="185">
        <v>0</v>
      </c>
      <c r="U54" s="188">
        <v>0</v>
      </c>
      <c r="V54" s="185">
        <v>0</v>
      </c>
      <c r="W54" s="185">
        <v>0</v>
      </c>
      <c r="X54" s="188">
        <v>0</v>
      </c>
      <c r="Y54" s="185">
        <v>0</v>
      </c>
      <c r="Z54" s="185">
        <v>0</v>
      </c>
      <c r="AA54" s="188">
        <v>0</v>
      </c>
      <c r="AB54" s="185">
        <v>0</v>
      </c>
      <c r="AC54" s="185">
        <v>0</v>
      </c>
      <c r="AD54" s="188">
        <v>962</v>
      </c>
      <c r="AE54" s="185">
        <v>8.5678660491628075E-2</v>
      </c>
      <c r="AF54" s="185">
        <v>9.0188063675397973E-2</v>
      </c>
      <c r="AG54" s="188">
        <v>962</v>
      </c>
      <c r="AH54" s="185">
        <v>8.5678660491628075E-2</v>
      </c>
      <c r="AI54" s="185">
        <v>9.0188063675397973E-2</v>
      </c>
      <c r="AJ54" s="303">
        <v>962</v>
      </c>
      <c r="AK54" s="185">
        <v>8.5678660491628075E-2</v>
      </c>
      <c r="AL54" s="185">
        <v>9.0188063675397973E-2</v>
      </c>
      <c r="AM54" s="314">
        <v>962</v>
      </c>
      <c r="AN54" s="185">
        <v>8.5678660491628075E-2</v>
      </c>
      <c r="AO54" s="185">
        <v>9.0188063675397973E-2</v>
      </c>
      <c r="AP54" s="185"/>
      <c r="AQ54" s="188">
        <v>962</v>
      </c>
      <c r="AR54" s="185">
        <v>8.5678660491628075E-2</v>
      </c>
      <c r="AS54" s="185">
        <v>9.0188063675397973E-2</v>
      </c>
      <c r="AT54" s="188">
        <v>4566.8389999999999</v>
      </c>
      <c r="AU54" s="185">
        <v>0.40673664054150338</v>
      </c>
      <c r="AV54" s="185">
        <v>0.42814383214895091</v>
      </c>
      <c r="AW54" s="185"/>
      <c r="AX54" s="185"/>
      <c r="AY54" s="185"/>
      <c r="AZ54" s="185"/>
      <c r="BA54" s="185"/>
      <c r="BB54" s="185"/>
      <c r="BC54" s="188">
        <v>4566.8389999999999</v>
      </c>
      <c r="BD54" s="185">
        <v>0.40673664054150338</v>
      </c>
      <c r="BE54" s="185">
        <v>0.42814383214895091</v>
      </c>
      <c r="BF54" s="188"/>
      <c r="BG54" s="188">
        <v>7223</v>
      </c>
      <c r="BH54" s="185">
        <v>0.64330245814036335</v>
      </c>
      <c r="BI54" s="185">
        <v>0.67716048225301406</v>
      </c>
      <c r="BJ54" s="188">
        <v>10666.6</v>
      </c>
      <c r="BK54" s="188">
        <v>7385.8869999999997</v>
      </c>
      <c r="BL54" s="185">
        <v>0.6578096722479515</v>
      </c>
      <c r="BM54" s="185">
        <v>0.69243123394521211</v>
      </c>
      <c r="BN54" s="188">
        <v>7385.8869999999997</v>
      </c>
      <c r="BO54" s="185">
        <f t="shared" si="69"/>
        <v>0.6578096722479515</v>
      </c>
      <c r="BP54" s="185">
        <f t="shared" si="70"/>
        <v>0.69243123394521211</v>
      </c>
      <c r="BQ54" s="205">
        <f t="shared" si="71"/>
        <v>6423.8869999999997</v>
      </c>
      <c r="BR54" s="205"/>
      <c r="BS54" s="189" t="e">
        <f>#REF!+#REF!</f>
        <v>#REF!</v>
      </c>
      <c r="BT54" s="186" t="e">
        <f t="shared" si="72"/>
        <v>#REF!</v>
      </c>
      <c r="BU54" s="189" t="e">
        <f>#REF!+#REF!</f>
        <v>#REF!</v>
      </c>
      <c r="BV54" s="186" t="e">
        <f t="shared" si="73"/>
        <v>#REF!</v>
      </c>
      <c r="BW54" s="189" t="e">
        <f>#REF!+#REF!</f>
        <v>#REF!</v>
      </c>
      <c r="BX54" s="186" t="e">
        <f t="shared" si="74"/>
        <v>#REF!</v>
      </c>
      <c r="BY54" s="189" t="e">
        <f>#REF!+#REF!</f>
        <v>#REF!</v>
      </c>
      <c r="BZ54" s="186" t="e">
        <f t="shared" si="75"/>
        <v>#REF!</v>
      </c>
      <c r="CA54" s="189" t="e">
        <f>#REF!+#REF!</f>
        <v>#REF!</v>
      </c>
      <c r="CB54" s="186" t="e">
        <f t="shared" si="76"/>
        <v>#REF!</v>
      </c>
      <c r="CC54" s="189" t="e">
        <f>#REF!+#REF!</f>
        <v>#REF!</v>
      </c>
      <c r="CD54" s="186" t="e">
        <f t="shared" si="77"/>
        <v>#REF!</v>
      </c>
      <c r="CE54" s="189" t="e">
        <f>#REF!+#REF!</f>
        <v>#REF!</v>
      </c>
      <c r="CF54" s="186" t="e">
        <f t="shared" si="78"/>
        <v>#REF!</v>
      </c>
      <c r="CG54" s="189" t="e">
        <f>#REF!+#REF!</f>
        <v>#REF!</v>
      </c>
      <c r="CH54" s="186" t="e">
        <f t="shared" si="79"/>
        <v>#REF!</v>
      </c>
      <c r="CI54" s="189" t="e">
        <f>#REF!+#REF!</f>
        <v>#REF!</v>
      </c>
      <c r="CJ54" s="186" t="e">
        <f t="shared" si="80"/>
        <v>#REF!</v>
      </c>
      <c r="CK54" s="189" t="e">
        <f>#REF!+#REF!</f>
        <v>#REF!</v>
      </c>
      <c r="CL54" s="186" t="e">
        <f t="shared" si="81"/>
        <v>#REF!</v>
      </c>
      <c r="CM54" s="189" t="e">
        <f>#REF!+#REF!</f>
        <v>#REF!</v>
      </c>
      <c r="CN54" s="186" t="e">
        <f t="shared" si="82"/>
        <v>#REF!</v>
      </c>
      <c r="CO54" s="189" t="e">
        <f>#REF!+#REF!</f>
        <v>#REF!</v>
      </c>
      <c r="CP54" s="186" t="e">
        <f t="shared" si="83"/>
        <v>#REF!</v>
      </c>
      <c r="CQ54" s="189" t="e">
        <f>#REF!+#REF!</f>
        <v>#REF!</v>
      </c>
      <c r="CR54" s="186" t="e">
        <f t="shared" si="84"/>
        <v>#REF!</v>
      </c>
      <c r="CS54" s="213" t="str">
        <f t="shared" si="85"/>
        <v>Đạt</v>
      </c>
      <c r="CT54" s="213" t="str">
        <f t="shared" si="86"/>
        <v>Đạt</v>
      </c>
      <c r="CU54" s="213"/>
      <c r="CV54" s="213"/>
      <c r="CW54" s="231"/>
      <c r="CX54" s="163"/>
      <c r="CZ54" s="195"/>
      <c r="DA54" s="196"/>
      <c r="DB54" s="196"/>
      <c r="DC54" s="197"/>
      <c r="DD54" s="196"/>
      <c r="DE54" s="196"/>
      <c r="DF54" s="196"/>
      <c r="DH54" s="199"/>
      <c r="DI54" s="200"/>
      <c r="DJ54" s="181"/>
    </row>
    <row r="55" spans="1:115" ht="18" customHeight="1" x14ac:dyDescent="0.25">
      <c r="A55" s="213">
        <v>25</v>
      </c>
      <c r="B55" s="240" t="s">
        <v>450</v>
      </c>
      <c r="C55" s="240"/>
      <c r="D55" s="188">
        <v>3000</v>
      </c>
      <c r="E55" s="188">
        <v>0</v>
      </c>
      <c r="F55" s="188">
        <v>3000</v>
      </c>
      <c r="G55" s="188">
        <v>3000</v>
      </c>
      <c r="H55" s="188">
        <v>0</v>
      </c>
      <c r="I55" s="188">
        <v>0</v>
      </c>
      <c r="J55" s="188"/>
      <c r="K55" s="188">
        <v>0</v>
      </c>
      <c r="L55" s="188">
        <v>0</v>
      </c>
      <c r="M55" s="231"/>
      <c r="N55" s="231"/>
      <c r="O55" s="188">
        <v>3000</v>
      </c>
      <c r="P55" s="188">
        <v>0</v>
      </c>
      <c r="Q55" s="186">
        <v>0</v>
      </c>
      <c r="R55" s="188">
        <v>0</v>
      </c>
      <c r="S55" s="185">
        <v>0</v>
      </c>
      <c r="T55" s="185">
        <v>0</v>
      </c>
      <c r="U55" s="188">
        <v>0</v>
      </c>
      <c r="V55" s="185">
        <v>0</v>
      </c>
      <c r="W55" s="185">
        <v>0</v>
      </c>
      <c r="X55" s="188">
        <v>0</v>
      </c>
      <c r="Y55" s="185">
        <v>0</v>
      </c>
      <c r="Z55" s="185">
        <v>0</v>
      </c>
      <c r="AA55" s="188">
        <v>0</v>
      </c>
      <c r="AB55" s="185">
        <v>0</v>
      </c>
      <c r="AC55" s="185">
        <v>0</v>
      </c>
      <c r="AD55" s="188">
        <v>0</v>
      </c>
      <c r="AE55" s="185">
        <v>0</v>
      </c>
      <c r="AF55" s="185">
        <v>0</v>
      </c>
      <c r="AG55" s="188">
        <v>0</v>
      </c>
      <c r="AH55" s="185">
        <v>0</v>
      </c>
      <c r="AI55" s="185">
        <v>0</v>
      </c>
      <c r="AJ55" s="303">
        <v>0</v>
      </c>
      <c r="AK55" s="185">
        <v>0</v>
      </c>
      <c r="AL55" s="185">
        <v>0</v>
      </c>
      <c r="AM55" s="188">
        <v>987</v>
      </c>
      <c r="AN55" s="185">
        <v>0.32900000000000001</v>
      </c>
      <c r="AO55" s="185">
        <v>0.34631578947368419</v>
      </c>
      <c r="AP55" s="185"/>
      <c r="AQ55" s="188">
        <v>1324</v>
      </c>
      <c r="AR55" s="185">
        <v>0.44133333333333336</v>
      </c>
      <c r="AS55" s="185">
        <v>0.46456140350877195</v>
      </c>
      <c r="AT55" s="188">
        <v>1324</v>
      </c>
      <c r="AU55" s="185">
        <v>0.44133333333333336</v>
      </c>
      <c r="AV55" s="185">
        <v>0.46456140350877195</v>
      </c>
      <c r="AW55" s="185"/>
      <c r="AX55" s="185"/>
      <c r="AY55" s="185"/>
      <c r="AZ55" s="185"/>
      <c r="BA55" s="185"/>
      <c r="BB55" s="185"/>
      <c r="BC55" s="188">
        <v>1324</v>
      </c>
      <c r="BD55" s="185">
        <v>0.44133333333333336</v>
      </c>
      <c r="BE55" s="185">
        <v>0.46456140350877195</v>
      </c>
      <c r="BF55" s="188"/>
      <c r="BG55" s="188">
        <v>1969.8820000000001</v>
      </c>
      <c r="BH55" s="185">
        <v>0.65662733333333334</v>
      </c>
      <c r="BI55" s="185">
        <v>0.69118666666666673</v>
      </c>
      <c r="BJ55" s="188">
        <v>2850</v>
      </c>
      <c r="BK55" s="188">
        <v>1969.8820000000001</v>
      </c>
      <c r="BL55" s="185">
        <v>0.65662733333333334</v>
      </c>
      <c r="BM55" s="185">
        <v>0.69118666666666673</v>
      </c>
      <c r="BN55" s="188">
        <v>1969.8820000000001</v>
      </c>
      <c r="BO55" s="185">
        <f t="shared" si="69"/>
        <v>0.65662733333333334</v>
      </c>
      <c r="BP55" s="185">
        <f t="shared" si="70"/>
        <v>0.69118666666666673</v>
      </c>
      <c r="BQ55" s="205">
        <f t="shared" si="71"/>
        <v>1969.8820000000001</v>
      </c>
      <c r="BR55" s="205"/>
      <c r="BS55" s="189" t="e">
        <f>#REF!</f>
        <v>#REF!</v>
      </c>
      <c r="BT55" s="186" t="e">
        <f t="shared" si="72"/>
        <v>#REF!</v>
      </c>
      <c r="BU55" s="189" t="e">
        <f>#REF!</f>
        <v>#REF!</v>
      </c>
      <c r="BV55" s="186" t="e">
        <f t="shared" si="73"/>
        <v>#REF!</v>
      </c>
      <c r="BW55" s="189" t="e">
        <f>#REF!</f>
        <v>#REF!</v>
      </c>
      <c r="BX55" s="186" t="e">
        <f t="shared" si="74"/>
        <v>#REF!</v>
      </c>
      <c r="BY55" s="189" t="e">
        <f>#REF!</f>
        <v>#REF!</v>
      </c>
      <c r="BZ55" s="186" t="e">
        <f t="shared" si="75"/>
        <v>#REF!</v>
      </c>
      <c r="CA55" s="189" t="e">
        <f>#REF!</f>
        <v>#REF!</v>
      </c>
      <c r="CB55" s="186" t="e">
        <f t="shared" si="76"/>
        <v>#REF!</v>
      </c>
      <c r="CC55" s="189" t="e">
        <f>#REF!</f>
        <v>#REF!</v>
      </c>
      <c r="CD55" s="186" t="e">
        <f t="shared" si="77"/>
        <v>#REF!</v>
      </c>
      <c r="CE55" s="189" t="e">
        <f>#REF!</f>
        <v>#REF!</v>
      </c>
      <c r="CF55" s="186" t="e">
        <f t="shared" si="78"/>
        <v>#REF!</v>
      </c>
      <c r="CG55" s="189" t="e">
        <f>#REF!</f>
        <v>#REF!</v>
      </c>
      <c r="CH55" s="186" t="e">
        <f t="shared" si="79"/>
        <v>#REF!</v>
      </c>
      <c r="CI55" s="189" t="e">
        <f>#REF!</f>
        <v>#REF!</v>
      </c>
      <c r="CJ55" s="186" t="e">
        <f t="shared" si="80"/>
        <v>#REF!</v>
      </c>
      <c r="CK55" s="189" t="e">
        <f>#REF!</f>
        <v>#REF!</v>
      </c>
      <c r="CL55" s="186" t="e">
        <f t="shared" si="81"/>
        <v>#REF!</v>
      </c>
      <c r="CM55" s="189" t="e">
        <f>#REF!</f>
        <v>#REF!</v>
      </c>
      <c r="CN55" s="186" t="e">
        <f t="shared" si="82"/>
        <v>#REF!</v>
      </c>
      <c r="CO55" s="189" t="e">
        <f>#REF!</f>
        <v>#REF!</v>
      </c>
      <c r="CP55" s="186" t="e">
        <f t="shared" si="83"/>
        <v>#REF!</v>
      </c>
      <c r="CQ55" s="189" t="e">
        <f>#REF!</f>
        <v>#REF!</v>
      </c>
      <c r="CR55" s="186" t="e">
        <f t="shared" si="84"/>
        <v>#REF!</v>
      </c>
      <c r="CS55" s="213" t="str">
        <f t="shared" si="85"/>
        <v>Đạt</v>
      </c>
      <c r="CT55" s="213" t="str">
        <f t="shared" si="86"/>
        <v>Đạt</v>
      </c>
      <c r="CU55" s="213"/>
      <c r="CV55" s="213"/>
      <c r="CW55" s="231"/>
      <c r="CX55" s="163"/>
      <c r="CZ55" s="195"/>
      <c r="DA55" s="196"/>
      <c r="DB55" s="196"/>
      <c r="DC55" s="197"/>
      <c r="DD55" s="196"/>
      <c r="DE55" s="196"/>
      <c r="DF55" s="196"/>
      <c r="DH55" s="199"/>
      <c r="DI55" s="200"/>
      <c r="DJ55" s="181"/>
    </row>
    <row r="56" spans="1:115" ht="18" customHeight="1" x14ac:dyDescent="0.25">
      <c r="A56" s="213">
        <v>26</v>
      </c>
      <c r="B56" s="240" t="s">
        <v>507</v>
      </c>
      <c r="C56" s="240"/>
      <c r="D56" s="188">
        <v>3425</v>
      </c>
      <c r="E56" s="188">
        <v>0</v>
      </c>
      <c r="F56" s="188">
        <v>3425</v>
      </c>
      <c r="G56" s="188">
        <v>3000</v>
      </c>
      <c r="H56" s="188">
        <v>425</v>
      </c>
      <c r="I56" s="188">
        <v>0</v>
      </c>
      <c r="J56" s="188"/>
      <c r="K56" s="188">
        <v>0</v>
      </c>
      <c r="L56" s="188">
        <v>0</v>
      </c>
      <c r="M56" s="188">
        <v>0</v>
      </c>
      <c r="N56" s="188">
        <v>0</v>
      </c>
      <c r="O56" s="188">
        <v>3000</v>
      </c>
      <c r="P56" s="188">
        <v>0</v>
      </c>
      <c r="Q56" s="186">
        <v>0</v>
      </c>
      <c r="R56" s="188">
        <v>0</v>
      </c>
      <c r="S56" s="185">
        <v>0</v>
      </c>
      <c r="T56" s="185">
        <v>0</v>
      </c>
      <c r="U56" s="188">
        <v>0</v>
      </c>
      <c r="V56" s="185">
        <v>0</v>
      </c>
      <c r="W56" s="185">
        <v>0</v>
      </c>
      <c r="X56" s="188">
        <v>0</v>
      </c>
      <c r="Y56" s="185">
        <v>0</v>
      </c>
      <c r="Z56" s="185">
        <v>0</v>
      </c>
      <c r="AA56" s="188">
        <v>0</v>
      </c>
      <c r="AB56" s="185">
        <v>0</v>
      </c>
      <c r="AC56" s="185">
        <v>0</v>
      </c>
      <c r="AD56" s="188">
        <v>73.599999999999994</v>
      </c>
      <c r="AE56" s="185">
        <v>2.1489051094890511E-2</v>
      </c>
      <c r="AF56" s="185">
        <v>2.2620053784095272E-2</v>
      </c>
      <c r="AG56" s="188">
        <v>73.599999999999994</v>
      </c>
      <c r="AH56" s="185">
        <v>2.1489051094890511E-2</v>
      </c>
      <c r="AI56" s="185">
        <v>2.2620053784095272E-2</v>
      </c>
      <c r="AJ56" s="307">
        <v>73.599999999999994</v>
      </c>
      <c r="AK56" s="185">
        <v>2.1489051094890511E-2</v>
      </c>
      <c r="AL56" s="185">
        <v>2.2620053784095272E-2</v>
      </c>
      <c r="AM56" s="188">
        <v>73.599999999999994</v>
      </c>
      <c r="AN56" s="185">
        <v>2.1489051094890511E-2</v>
      </c>
      <c r="AO56" s="185">
        <v>2.2620053784095272E-2</v>
      </c>
      <c r="AP56" s="185"/>
      <c r="AQ56" s="188">
        <v>1406.2</v>
      </c>
      <c r="AR56" s="185">
        <v>0.41056934306569343</v>
      </c>
      <c r="AS56" s="185">
        <v>0.43217825585862468</v>
      </c>
      <c r="AT56" s="188">
        <v>1406.2</v>
      </c>
      <c r="AU56" s="185">
        <v>0.41056934306569343</v>
      </c>
      <c r="AV56" s="185">
        <v>0.43217825585862468</v>
      </c>
      <c r="AW56" s="185"/>
      <c r="AX56" s="185"/>
      <c r="AY56" s="185"/>
      <c r="AZ56" s="185"/>
      <c r="BA56" s="185"/>
      <c r="BB56" s="185"/>
      <c r="BC56" s="188">
        <v>1406.2</v>
      </c>
      <c r="BD56" s="185">
        <v>0.41056934306569343</v>
      </c>
      <c r="BE56" s="185">
        <v>0.43217825585862468</v>
      </c>
      <c r="BF56" s="352"/>
      <c r="BG56" s="352">
        <v>1406.2</v>
      </c>
      <c r="BH56" s="185">
        <v>0.41056934306569343</v>
      </c>
      <c r="BI56" s="185">
        <v>0.43217825585862468</v>
      </c>
      <c r="BJ56" s="374">
        <v>3253.75</v>
      </c>
      <c r="BK56" s="374">
        <v>2188.1999999999998</v>
      </c>
      <c r="BL56" s="185">
        <v>0.63889051094890503</v>
      </c>
      <c r="BM56" s="185">
        <v>0.67251632731463695</v>
      </c>
      <c r="BN56" s="374">
        <v>2188.1999999999998</v>
      </c>
      <c r="BO56" s="185">
        <f t="shared" si="69"/>
        <v>0.63889051094890503</v>
      </c>
      <c r="BP56" s="185">
        <f t="shared" si="70"/>
        <v>0.67251632731463695</v>
      </c>
      <c r="BQ56" s="205">
        <f t="shared" si="71"/>
        <v>2114.6</v>
      </c>
      <c r="BR56" s="205"/>
      <c r="BS56" s="189" t="e">
        <f>#REF!+#REF!</f>
        <v>#REF!</v>
      </c>
      <c r="BT56" s="186" t="e">
        <f t="shared" si="72"/>
        <v>#REF!</v>
      </c>
      <c r="BU56" s="189" t="e">
        <f>#REF!+#REF!</f>
        <v>#REF!</v>
      </c>
      <c r="BV56" s="186" t="e">
        <f t="shared" si="73"/>
        <v>#REF!</v>
      </c>
      <c r="BW56" s="189" t="e">
        <f>#REF!+#REF!</f>
        <v>#REF!</v>
      </c>
      <c r="BX56" s="186" t="e">
        <f t="shared" si="74"/>
        <v>#REF!</v>
      </c>
      <c r="BY56" s="189" t="e">
        <f>#REF!+#REF!</f>
        <v>#REF!</v>
      </c>
      <c r="BZ56" s="186" t="e">
        <f t="shared" si="75"/>
        <v>#REF!</v>
      </c>
      <c r="CA56" s="189" t="e">
        <f>#REF!+#REF!</f>
        <v>#REF!</v>
      </c>
      <c r="CB56" s="186" t="e">
        <f t="shared" si="76"/>
        <v>#REF!</v>
      </c>
      <c r="CC56" s="189" t="e">
        <f>#REF!+#REF!</f>
        <v>#REF!</v>
      </c>
      <c r="CD56" s="186" t="e">
        <f t="shared" si="77"/>
        <v>#REF!</v>
      </c>
      <c r="CE56" s="189" t="e">
        <f>#REF!+#REF!</f>
        <v>#REF!</v>
      </c>
      <c r="CF56" s="186" t="e">
        <f t="shared" si="78"/>
        <v>#REF!</v>
      </c>
      <c r="CG56" s="189" t="e">
        <f>#REF!+#REF!</f>
        <v>#REF!</v>
      </c>
      <c r="CH56" s="186" t="e">
        <f t="shared" si="79"/>
        <v>#REF!</v>
      </c>
      <c r="CI56" s="189" t="e">
        <f>#REF!+#REF!</f>
        <v>#REF!</v>
      </c>
      <c r="CJ56" s="186" t="e">
        <f t="shared" si="80"/>
        <v>#REF!</v>
      </c>
      <c r="CK56" s="189" t="e">
        <f>#REF!+#REF!</f>
        <v>#REF!</v>
      </c>
      <c r="CL56" s="186" t="e">
        <f t="shared" si="81"/>
        <v>#REF!</v>
      </c>
      <c r="CM56" s="189" t="e">
        <f>#REF!+#REF!</f>
        <v>#REF!</v>
      </c>
      <c r="CN56" s="186" t="e">
        <f t="shared" si="82"/>
        <v>#REF!</v>
      </c>
      <c r="CO56" s="189" t="e">
        <f>#REF!+#REF!</f>
        <v>#REF!</v>
      </c>
      <c r="CP56" s="186" t="e">
        <f t="shared" si="83"/>
        <v>#REF!</v>
      </c>
      <c r="CQ56" s="189" t="e">
        <f>#REF!+#REF!</f>
        <v>#REF!</v>
      </c>
      <c r="CR56" s="186" t="e">
        <f t="shared" si="84"/>
        <v>#REF!</v>
      </c>
      <c r="CS56" s="213" t="str">
        <f t="shared" si="85"/>
        <v>Đạt</v>
      </c>
      <c r="CT56" s="213" t="str">
        <f t="shared" si="86"/>
        <v>Đạt</v>
      </c>
      <c r="CU56" s="213"/>
      <c r="CV56" s="213"/>
      <c r="CW56" s="231"/>
      <c r="CX56" s="163"/>
      <c r="CZ56" s="195"/>
      <c r="DA56" s="196"/>
      <c r="DB56" s="196"/>
      <c r="DC56" s="197"/>
      <c r="DD56" s="196"/>
      <c r="DE56" s="196"/>
      <c r="DF56" s="196"/>
      <c r="DH56" s="199"/>
      <c r="DI56" s="200"/>
      <c r="DJ56" s="181"/>
      <c r="DK56" s="336"/>
    </row>
    <row r="57" spans="1:115" ht="18" customHeight="1" x14ac:dyDescent="0.25">
      <c r="A57" s="213">
        <v>27</v>
      </c>
      <c r="B57" s="240" t="s">
        <v>436</v>
      </c>
      <c r="C57" s="240"/>
      <c r="D57" s="188">
        <v>3111</v>
      </c>
      <c r="E57" s="188">
        <v>0</v>
      </c>
      <c r="F57" s="188">
        <v>3111</v>
      </c>
      <c r="G57" s="188">
        <v>3000</v>
      </c>
      <c r="H57" s="188">
        <v>111</v>
      </c>
      <c r="I57" s="188">
        <v>0</v>
      </c>
      <c r="J57" s="188"/>
      <c r="K57" s="188">
        <v>0</v>
      </c>
      <c r="L57" s="188">
        <v>0</v>
      </c>
      <c r="M57" s="188">
        <v>0</v>
      </c>
      <c r="N57" s="188">
        <v>0</v>
      </c>
      <c r="O57" s="188">
        <v>3000</v>
      </c>
      <c r="P57" s="188">
        <v>0</v>
      </c>
      <c r="Q57" s="186">
        <v>0</v>
      </c>
      <c r="R57" s="188">
        <v>0</v>
      </c>
      <c r="S57" s="185">
        <v>0</v>
      </c>
      <c r="T57" s="185">
        <v>0</v>
      </c>
      <c r="U57" s="188">
        <v>0</v>
      </c>
      <c r="V57" s="185">
        <v>0</v>
      </c>
      <c r="W57" s="185">
        <v>0</v>
      </c>
      <c r="X57" s="188">
        <v>0</v>
      </c>
      <c r="Y57" s="185">
        <v>0</v>
      </c>
      <c r="Z57" s="185">
        <v>0</v>
      </c>
      <c r="AA57" s="188">
        <v>0</v>
      </c>
      <c r="AB57" s="185">
        <v>0</v>
      </c>
      <c r="AC57" s="185">
        <v>0</v>
      </c>
      <c r="AD57" s="188">
        <v>0</v>
      </c>
      <c r="AE57" s="185">
        <v>0</v>
      </c>
      <c r="AF57" s="185">
        <v>0</v>
      </c>
      <c r="AG57" s="188">
        <v>0</v>
      </c>
      <c r="AH57" s="185">
        <v>0</v>
      </c>
      <c r="AI57" s="185">
        <v>0</v>
      </c>
      <c r="AJ57" s="303">
        <v>0</v>
      </c>
      <c r="AK57" s="185">
        <v>0</v>
      </c>
      <c r="AL57" s="185">
        <v>0</v>
      </c>
      <c r="AM57" s="188">
        <v>1122</v>
      </c>
      <c r="AN57" s="185">
        <v>0.36065573770491804</v>
      </c>
      <c r="AO57" s="185">
        <v>0.37963761863675582</v>
      </c>
      <c r="AP57" s="185"/>
      <c r="AQ57" s="188">
        <v>1295</v>
      </c>
      <c r="AR57" s="185">
        <v>0.41626486660237866</v>
      </c>
      <c r="AS57" s="185">
        <v>0.43817354379197754</v>
      </c>
      <c r="AT57" s="188">
        <v>1295</v>
      </c>
      <c r="AU57" s="185">
        <v>0.41626486660237866</v>
      </c>
      <c r="AV57" s="185">
        <v>0.43817354379197754</v>
      </c>
      <c r="AW57" s="185"/>
      <c r="AX57" s="185"/>
      <c r="AY57" s="185"/>
      <c r="AZ57" s="185"/>
      <c r="BA57" s="185"/>
      <c r="BB57" s="185"/>
      <c r="BC57" s="188">
        <v>1295</v>
      </c>
      <c r="BD57" s="185">
        <v>0.41626486660237866</v>
      </c>
      <c r="BE57" s="185">
        <v>0.43817354379197754</v>
      </c>
      <c r="BF57" s="188"/>
      <c r="BG57" s="188">
        <v>1438</v>
      </c>
      <c r="BH57" s="185">
        <v>0.46223079395692701</v>
      </c>
      <c r="BI57" s="185">
        <v>0.48655873048097587</v>
      </c>
      <c r="BJ57" s="188">
        <v>2955.45</v>
      </c>
      <c r="BK57" s="188">
        <v>1935</v>
      </c>
      <c r="BL57" s="185">
        <v>0.62198649951783991</v>
      </c>
      <c r="BM57" s="185">
        <v>0.65472263107141049</v>
      </c>
      <c r="BN57" s="188">
        <v>1935</v>
      </c>
      <c r="BO57" s="185">
        <f t="shared" si="69"/>
        <v>0.62198649951783991</v>
      </c>
      <c r="BP57" s="185">
        <f t="shared" si="70"/>
        <v>0.65472263107141049</v>
      </c>
      <c r="BQ57" s="205">
        <f t="shared" si="71"/>
        <v>1935</v>
      </c>
      <c r="BR57" s="205"/>
      <c r="BS57" s="189" t="e">
        <f>#REF!+#REF!</f>
        <v>#REF!</v>
      </c>
      <c r="BT57" s="186" t="e">
        <f t="shared" si="72"/>
        <v>#REF!</v>
      </c>
      <c r="BU57" s="189" t="e">
        <f>#REF!+#REF!</f>
        <v>#REF!</v>
      </c>
      <c r="BV57" s="186" t="e">
        <f t="shared" si="73"/>
        <v>#REF!</v>
      </c>
      <c r="BW57" s="189" t="e">
        <f>#REF!+#REF!</f>
        <v>#REF!</v>
      </c>
      <c r="BX57" s="186" t="e">
        <f t="shared" si="74"/>
        <v>#REF!</v>
      </c>
      <c r="BY57" s="189" t="e">
        <f>#REF!+#REF!</f>
        <v>#REF!</v>
      </c>
      <c r="BZ57" s="186" t="e">
        <f t="shared" si="75"/>
        <v>#REF!</v>
      </c>
      <c r="CA57" s="189" t="e">
        <f>#REF!+#REF!</f>
        <v>#REF!</v>
      </c>
      <c r="CB57" s="186" t="e">
        <f t="shared" si="76"/>
        <v>#REF!</v>
      </c>
      <c r="CC57" s="189" t="e">
        <f>#REF!+#REF!</f>
        <v>#REF!</v>
      </c>
      <c r="CD57" s="186" t="e">
        <f t="shared" si="77"/>
        <v>#REF!</v>
      </c>
      <c r="CE57" s="189" t="e">
        <f>#REF!+#REF!</f>
        <v>#REF!</v>
      </c>
      <c r="CF57" s="186" t="e">
        <f t="shared" si="78"/>
        <v>#REF!</v>
      </c>
      <c r="CG57" s="189" t="e">
        <f>#REF!+#REF!</f>
        <v>#REF!</v>
      </c>
      <c r="CH57" s="186" t="e">
        <f t="shared" si="79"/>
        <v>#REF!</v>
      </c>
      <c r="CI57" s="189" t="e">
        <f>#REF!+#REF!</f>
        <v>#REF!</v>
      </c>
      <c r="CJ57" s="186" t="e">
        <f t="shared" si="80"/>
        <v>#REF!</v>
      </c>
      <c r="CK57" s="189" t="e">
        <f>#REF!+#REF!</f>
        <v>#REF!</v>
      </c>
      <c r="CL57" s="186" t="e">
        <f t="shared" si="81"/>
        <v>#REF!</v>
      </c>
      <c r="CM57" s="189" t="e">
        <f>#REF!+#REF!</f>
        <v>#REF!</v>
      </c>
      <c r="CN57" s="186" t="e">
        <f t="shared" si="82"/>
        <v>#REF!</v>
      </c>
      <c r="CO57" s="189" t="e">
        <f>#REF!+#REF!</f>
        <v>#REF!</v>
      </c>
      <c r="CP57" s="186" t="e">
        <f t="shared" si="83"/>
        <v>#REF!</v>
      </c>
      <c r="CQ57" s="189" t="e">
        <f>#REF!+#REF!</f>
        <v>#REF!</v>
      </c>
      <c r="CR57" s="186" t="e">
        <f t="shared" si="84"/>
        <v>#REF!</v>
      </c>
      <c r="CS57" s="213" t="str">
        <f t="shared" si="85"/>
        <v>Đạt</v>
      </c>
      <c r="CT57" s="213" t="str">
        <f t="shared" si="86"/>
        <v>Đạt</v>
      </c>
      <c r="CU57" s="213"/>
      <c r="CV57" s="213"/>
      <c r="CW57" s="231"/>
      <c r="CX57" s="163"/>
      <c r="CZ57" s="195"/>
      <c r="DA57" s="196"/>
      <c r="DB57" s="196"/>
      <c r="DC57" s="197"/>
      <c r="DD57" s="196"/>
      <c r="DE57" s="196"/>
      <c r="DF57" s="196"/>
      <c r="DH57" s="199"/>
      <c r="DI57" s="200"/>
      <c r="DJ57" s="181"/>
    </row>
    <row r="58" spans="1:115" ht="18" customHeight="1" x14ac:dyDescent="0.25">
      <c r="A58" s="213">
        <v>28</v>
      </c>
      <c r="B58" s="240" t="s">
        <v>515</v>
      </c>
      <c r="C58" s="240"/>
      <c r="D58" s="188">
        <v>3136</v>
      </c>
      <c r="E58" s="188">
        <v>0</v>
      </c>
      <c r="F58" s="188">
        <v>3136</v>
      </c>
      <c r="G58" s="188">
        <v>3000</v>
      </c>
      <c r="H58" s="188">
        <v>136</v>
      </c>
      <c r="I58" s="188">
        <v>0</v>
      </c>
      <c r="J58" s="188"/>
      <c r="K58" s="188">
        <v>0</v>
      </c>
      <c r="L58" s="188">
        <v>0</v>
      </c>
      <c r="M58" s="188">
        <v>0</v>
      </c>
      <c r="N58" s="188">
        <v>0</v>
      </c>
      <c r="O58" s="188">
        <v>3000</v>
      </c>
      <c r="P58" s="188">
        <v>0</v>
      </c>
      <c r="Q58" s="186">
        <v>0</v>
      </c>
      <c r="R58" s="188">
        <v>0</v>
      </c>
      <c r="S58" s="185">
        <v>0</v>
      </c>
      <c r="T58" s="185">
        <v>0</v>
      </c>
      <c r="U58" s="188">
        <v>0</v>
      </c>
      <c r="V58" s="185">
        <v>0</v>
      </c>
      <c r="W58" s="185">
        <v>0</v>
      </c>
      <c r="X58" s="188">
        <v>0</v>
      </c>
      <c r="Y58" s="185">
        <v>0</v>
      </c>
      <c r="Z58" s="185">
        <v>0</v>
      </c>
      <c r="AA58" s="188">
        <v>0</v>
      </c>
      <c r="AB58" s="185">
        <v>0</v>
      </c>
      <c r="AC58" s="185">
        <v>0</v>
      </c>
      <c r="AD58" s="188">
        <v>0</v>
      </c>
      <c r="AE58" s="185">
        <v>0</v>
      </c>
      <c r="AF58" s="185">
        <v>0</v>
      </c>
      <c r="AG58" s="188">
        <v>0</v>
      </c>
      <c r="AH58" s="185">
        <v>0</v>
      </c>
      <c r="AI58" s="185">
        <v>0</v>
      </c>
      <c r="AJ58" s="303">
        <v>0</v>
      </c>
      <c r="AK58" s="185">
        <v>0</v>
      </c>
      <c r="AL58" s="185">
        <v>0</v>
      </c>
      <c r="AM58" s="188">
        <v>0</v>
      </c>
      <c r="AN58" s="185">
        <v>0</v>
      </c>
      <c r="AO58" s="185">
        <v>0</v>
      </c>
      <c r="AP58" s="185"/>
      <c r="AQ58" s="188">
        <v>685.24199999999996</v>
      </c>
      <c r="AR58" s="185">
        <v>0.21850829081632653</v>
      </c>
      <c r="AS58" s="185">
        <v>0.23000872717508056</v>
      </c>
      <c r="AT58" s="188">
        <v>685.24199999999996</v>
      </c>
      <c r="AU58" s="185">
        <v>0.21850829081632653</v>
      </c>
      <c r="AV58" s="185">
        <v>0.23000872717508056</v>
      </c>
      <c r="AW58" s="185"/>
      <c r="AX58" s="185"/>
      <c r="AY58" s="185"/>
      <c r="AZ58" s="185"/>
      <c r="BA58" s="185"/>
      <c r="BB58" s="185"/>
      <c r="BC58" s="188">
        <v>685.24199999999996</v>
      </c>
      <c r="BD58" s="185">
        <v>0.21850829081632653</v>
      </c>
      <c r="BE58" s="185">
        <v>0.23000872717508056</v>
      </c>
      <c r="BF58" s="352"/>
      <c r="BG58" s="352">
        <v>892.84799999999996</v>
      </c>
      <c r="BH58" s="185">
        <v>0.28470918367346937</v>
      </c>
      <c r="BI58" s="185">
        <v>0.29969387755102039</v>
      </c>
      <c r="BJ58" s="374">
        <v>2979.2</v>
      </c>
      <c r="BK58" s="374">
        <v>1949.771</v>
      </c>
      <c r="BL58" s="185">
        <v>0.62173820153061221</v>
      </c>
      <c r="BM58" s="185">
        <v>0.65446126476906552</v>
      </c>
      <c r="BN58" s="374">
        <v>1949.771</v>
      </c>
      <c r="BO58" s="185">
        <f t="shared" si="69"/>
        <v>0.62173820153061221</v>
      </c>
      <c r="BP58" s="185">
        <f t="shared" si="70"/>
        <v>0.65446126476906552</v>
      </c>
      <c r="BQ58" s="205">
        <f t="shared" si="71"/>
        <v>1949.771</v>
      </c>
      <c r="BR58" s="205"/>
      <c r="BS58" s="189" t="e">
        <f>#REF!+#REF!</f>
        <v>#REF!</v>
      </c>
      <c r="BT58" s="186" t="e">
        <f t="shared" si="72"/>
        <v>#REF!</v>
      </c>
      <c r="BU58" s="189" t="e">
        <f>#REF!+#REF!</f>
        <v>#REF!</v>
      </c>
      <c r="BV58" s="186" t="e">
        <f t="shared" si="73"/>
        <v>#REF!</v>
      </c>
      <c r="BW58" s="189" t="e">
        <f>#REF!+#REF!</f>
        <v>#REF!</v>
      </c>
      <c r="BX58" s="186" t="e">
        <f t="shared" si="74"/>
        <v>#REF!</v>
      </c>
      <c r="BY58" s="189" t="e">
        <f>#REF!+#REF!</f>
        <v>#REF!</v>
      </c>
      <c r="BZ58" s="186" t="e">
        <f t="shared" si="75"/>
        <v>#REF!</v>
      </c>
      <c r="CA58" s="189" t="e">
        <f>#REF!+#REF!</f>
        <v>#REF!</v>
      </c>
      <c r="CB58" s="186" t="e">
        <f t="shared" si="76"/>
        <v>#REF!</v>
      </c>
      <c r="CC58" s="189" t="e">
        <f>#REF!+#REF!</f>
        <v>#REF!</v>
      </c>
      <c r="CD58" s="186" t="e">
        <f t="shared" si="77"/>
        <v>#REF!</v>
      </c>
      <c r="CE58" s="189" t="e">
        <f>#REF!+#REF!</f>
        <v>#REF!</v>
      </c>
      <c r="CF58" s="186" t="e">
        <f t="shared" si="78"/>
        <v>#REF!</v>
      </c>
      <c r="CG58" s="189" t="e">
        <f>#REF!+#REF!</f>
        <v>#REF!</v>
      </c>
      <c r="CH58" s="186" t="e">
        <f t="shared" si="79"/>
        <v>#REF!</v>
      </c>
      <c r="CI58" s="189" t="e">
        <f>#REF!+#REF!</f>
        <v>#REF!</v>
      </c>
      <c r="CJ58" s="186" t="e">
        <f t="shared" si="80"/>
        <v>#REF!</v>
      </c>
      <c r="CK58" s="189" t="e">
        <f>#REF!+#REF!</f>
        <v>#REF!</v>
      </c>
      <c r="CL58" s="186" t="e">
        <f t="shared" si="81"/>
        <v>#REF!</v>
      </c>
      <c r="CM58" s="189" t="e">
        <f>#REF!+#REF!</f>
        <v>#REF!</v>
      </c>
      <c r="CN58" s="186" t="e">
        <f t="shared" si="82"/>
        <v>#REF!</v>
      </c>
      <c r="CO58" s="189" t="e">
        <f>#REF!+#REF!</f>
        <v>#REF!</v>
      </c>
      <c r="CP58" s="186" t="e">
        <f t="shared" si="83"/>
        <v>#REF!</v>
      </c>
      <c r="CQ58" s="189" t="e">
        <f>#REF!+#REF!</f>
        <v>#REF!</v>
      </c>
      <c r="CR58" s="186" t="e">
        <f t="shared" si="84"/>
        <v>#REF!</v>
      </c>
      <c r="CS58" s="213" t="str">
        <f t="shared" si="85"/>
        <v>Đạt</v>
      </c>
      <c r="CT58" s="213" t="str">
        <f t="shared" si="86"/>
        <v>Đạt</v>
      </c>
      <c r="CU58" s="213"/>
      <c r="CV58" s="213"/>
      <c r="CW58" s="231"/>
      <c r="CX58" s="163"/>
      <c r="CZ58" s="195"/>
      <c r="DA58" s="196"/>
      <c r="DB58" s="196"/>
      <c r="DC58" s="197"/>
      <c r="DD58" s="196"/>
      <c r="DE58" s="196"/>
      <c r="DF58" s="196"/>
      <c r="DH58" s="199"/>
      <c r="DI58" s="200"/>
      <c r="DJ58" s="181"/>
    </row>
    <row r="59" spans="1:115" ht="18" customHeight="1" x14ac:dyDescent="0.25">
      <c r="A59" s="213">
        <v>29</v>
      </c>
      <c r="B59" s="240" t="s">
        <v>435</v>
      </c>
      <c r="C59" s="240"/>
      <c r="D59" s="188">
        <v>4275</v>
      </c>
      <c r="E59" s="188">
        <v>0</v>
      </c>
      <c r="F59" s="188">
        <v>4275</v>
      </c>
      <c r="G59" s="188">
        <v>3000</v>
      </c>
      <c r="H59" s="188">
        <v>1275</v>
      </c>
      <c r="I59" s="188">
        <v>0</v>
      </c>
      <c r="J59" s="188"/>
      <c r="K59" s="188">
        <v>0</v>
      </c>
      <c r="L59" s="188">
        <v>0</v>
      </c>
      <c r="M59" s="188">
        <v>0</v>
      </c>
      <c r="N59" s="188">
        <v>0</v>
      </c>
      <c r="O59" s="188">
        <v>3000</v>
      </c>
      <c r="P59" s="188">
        <v>0</v>
      </c>
      <c r="Q59" s="186">
        <v>0</v>
      </c>
      <c r="R59" s="188">
        <v>0</v>
      </c>
      <c r="S59" s="185">
        <v>0</v>
      </c>
      <c r="T59" s="185">
        <v>0</v>
      </c>
      <c r="U59" s="188">
        <v>0</v>
      </c>
      <c r="V59" s="185">
        <v>0</v>
      </c>
      <c r="W59" s="185">
        <v>0</v>
      </c>
      <c r="X59" s="188">
        <v>0</v>
      </c>
      <c r="Y59" s="185">
        <v>0</v>
      </c>
      <c r="Z59" s="185">
        <v>0</v>
      </c>
      <c r="AA59" s="188">
        <v>0</v>
      </c>
      <c r="AB59" s="185">
        <v>0</v>
      </c>
      <c r="AC59" s="185">
        <v>0</v>
      </c>
      <c r="AD59" s="188">
        <v>0</v>
      </c>
      <c r="AE59" s="185">
        <v>0</v>
      </c>
      <c r="AF59" s="185">
        <v>0</v>
      </c>
      <c r="AG59" s="188">
        <v>0</v>
      </c>
      <c r="AH59" s="185">
        <v>0</v>
      </c>
      <c r="AI59" s="185">
        <v>0</v>
      </c>
      <c r="AJ59" s="303">
        <v>0</v>
      </c>
      <c r="AK59" s="185">
        <v>0</v>
      </c>
      <c r="AL59" s="185">
        <v>0</v>
      </c>
      <c r="AM59" s="314">
        <v>0</v>
      </c>
      <c r="AN59" s="185">
        <v>0</v>
      </c>
      <c r="AO59" s="185">
        <v>0</v>
      </c>
      <c r="AP59" s="185"/>
      <c r="AQ59" s="188">
        <v>1723.8980000000001</v>
      </c>
      <c r="AR59" s="185">
        <v>0.40325099415204679</v>
      </c>
      <c r="AS59" s="185">
        <v>0.42447473068636504</v>
      </c>
      <c r="AT59" s="188">
        <v>1723.8980000000001</v>
      </c>
      <c r="AU59" s="185">
        <v>0.40325099415204679</v>
      </c>
      <c r="AV59" s="185">
        <v>0.42447473068636504</v>
      </c>
      <c r="AW59" s="185"/>
      <c r="AX59" s="185"/>
      <c r="AY59" s="185"/>
      <c r="AZ59" s="185"/>
      <c r="BA59" s="185"/>
      <c r="BB59" s="185"/>
      <c r="BC59" s="188">
        <v>1723.8980000000001</v>
      </c>
      <c r="BD59" s="185">
        <v>0.40325099415204679</v>
      </c>
      <c r="BE59" s="185">
        <v>0.42447473068636504</v>
      </c>
      <c r="BF59" s="188"/>
      <c r="BG59" s="188">
        <v>2387.67</v>
      </c>
      <c r="BH59" s="185">
        <v>0.55851929824561408</v>
      </c>
      <c r="BI59" s="185">
        <v>0.58791505078485695</v>
      </c>
      <c r="BJ59" s="188">
        <v>4061.25</v>
      </c>
      <c r="BK59" s="188">
        <v>2647.9830000000002</v>
      </c>
      <c r="BL59" s="185">
        <v>0.61941122807017546</v>
      </c>
      <c r="BM59" s="185">
        <v>0.65201181902123739</v>
      </c>
      <c r="BN59" s="188">
        <v>2647.9830000000002</v>
      </c>
      <c r="BO59" s="185">
        <f t="shared" si="69"/>
        <v>0.61941122807017546</v>
      </c>
      <c r="BP59" s="185">
        <f t="shared" si="70"/>
        <v>0.65201181902123739</v>
      </c>
      <c r="BQ59" s="205">
        <f t="shared" si="71"/>
        <v>2647.9830000000002</v>
      </c>
      <c r="BR59" s="205"/>
      <c r="BS59" s="189" t="e">
        <f>#REF!+#REF!</f>
        <v>#REF!</v>
      </c>
      <c r="BT59" s="186" t="e">
        <f t="shared" si="72"/>
        <v>#REF!</v>
      </c>
      <c r="BU59" s="189" t="e">
        <f>#REF!+#REF!</f>
        <v>#REF!</v>
      </c>
      <c r="BV59" s="186" t="e">
        <f t="shared" si="73"/>
        <v>#REF!</v>
      </c>
      <c r="BW59" s="189" t="e">
        <f>#REF!+#REF!</f>
        <v>#REF!</v>
      </c>
      <c r="BX59" s="186" t="e">
        <f t="shared" si="74"/>
        <v>#REF!</v>
      </c>
      <c r="BY59" s="189" t="e">
        <f>#REF!+#REF!</f>
        <v>#REF!</v>
      </c>
      <c r="BZ59" s="186" t="e">
        <f t="shared" si="75"/>
        <v>#REF!</v>
      </c>
      <c r="CA59" s="189" t="e">
        <f>#REF!+#REF!</f>
        <v>#REF!</v>
      </c>
      <c r="CB59" s="186" t="e">
        <f t="shared" si="76"/>
        <v>#REF!</v>
      </c>
      <c r="CC59" s="189" t="e">
        <f>#REF!+#REF!</f>
        <v>#REF!</v>
      </c>
      <c r="CD59" s="186" t="e">
        <f t="shared" si="77"/>
        <v>#REF!</v>
      </c>
      <c r="CE59" s="189" t="e">
        <f>#REF!+#REF!</f>
        <v>#REF!</v>
      </c>
      <c r="CF59" s="186" t="e">
        <f t="shared" si="78"/>
        <v>#REF!</v>
      </c>
      <c r="CG59" s="189" t="e">
        <f>#REF!+#REF!</f>
        <v>#REF!</v>
      </c>
      <c r="CH59" s="186" t="e">
        <f t="shared" si="79"/>
        <v>#REF!</v>
      </c>
      <c r="CI59" s="189" t="e">
        <f>#REF!+#REF!</f>
        <v>#REF!</v>
      </c>
      <c r="CJ59" s="186" t="e">
        <f t="shared" si="80"/>
        <v>#REF!</v>
      </c>
      <c r="CK59" s="189" t="e">
        <f>#REF!+#REF!</f>
        <v>#REF!</v>
      </c>
      <c r="CL59" s="186" t="e">
        <f t="shared" si="81"/>
        <v>#REF!</v>
      </c>
      <c r="CM59" s="189" t="e">
        <f>#REF!+#REF!</f>
        <v>#REF!</v>
      </c>
      <c r="CN59" s="186" t="e">
        <f t="shared" si="82"/>
        <v>#REF!</v>
      </c>
      <c r="CO59" s="189" t="e">
        <f>#REF!+#REF!</f>
        <v>#REF!</v>
      </c>
      <c r="CP59" s="186" t="e">
        <f t="shared" si="83"/>
        <v>#REF!</v>
      </c>
      <c r="CQ59" s="189" t="e">
        <f>#REF!+#REF!</f>
        <v>#REF!</v>
      </c>
      <c r="CR59" s="186" t="e">
        <f t="shared" si="84"/>
        <v>#REF!</v>
      </c>
      <c r="CS59" s="213" t="str">
        <f t="shared" si="85"/>
        <v>Đạt</v>
      </c>
      <c r="CT59" s="213" t="str">
        <f t="shared" si="86"/>
        <v>Đạt</v>
      </c>
      <c r="CU59" s="213"/>
      <c r="CV59" s="213"/>
      <c r="CW59" s="231"/>
      <c r="CX59" s="163"/>
      <c r="CZ59" s="195"/>
      <c r="DA59" s="196"/>
      <c r="DB59" s="196"/>
      <c r="DC59" s="197"/>
      <c r="DD59" s="196"/>
      <c r="DE59" s="196"/>
      <c r="DF59" s="196"/>
      <c r="DH59" s="199"/>
      <c r="DI59" s="200"/>
      <c r="DJ59" s="181"/>
    </row>
    <row r="60" spans="1:115" ht="18" customHeight="1" x14ac:dyDescent="0.25">
      <c r="A60" s="213">
        <v>30</v>
      </c>
      <c r="B60" s="240" t="s">
        <v>506</v>
      </c>
      <c r="C60" s="240"/>
      <c r="D60" s="188">
        <v>3425</v>
      </c>
      <c r="E60" s="188">
        <v>0</v>
      </c>
      <c r="F60" s="188">
        <v>3425</v>
      </c>
      <c r="G60" s="188">
        <v>3000</v>
      </c>
      <c r="H60" s="188">
        <v>425</v>
      </c>
      <c r="I60" s="188">
        <v>0</v>
      </c>
      <c r="J60" s="188"/>
      <c r="K60" s="188">
        <v>0</v>
      </c>
      <c r="L60" s="188">
        <v>0</v>
      </c>
      <c r="M60" s="188">
        <v>0</v>
      </c>
      <c r="N60" s="188">
        <v>0</v>
      </c>
      <c r="O60" s="188">
        <v>3000</v>
      </c>
      <c r="P60" s="188">
        <v>0</v>
      </c>
      <c r="Q60" s="186">
        <v>0</v>
      </c>
      <c r="R60" s="189">
        <v>160.94300000000001</v>
      </c>
      <c r="S60" s="185">
        <v>4.6990656934306575E-2</v>
      </c>
      <c r="T60" s="185">
        <v>4.9463849404533237E-2</v>
      </c>
      <c r="U60" s="189">
        <v>1153.056</v>
      </c>
      <c r="V60" s="185">
        <v>0.33665868613138689</v>
      </c>
      <c r="W60" s="185">
        <v>0.35437756434882828</v>
      </c>
      <c r="X60" s="189">
        <v>1153.056</v>
      </c>
      <c r="Y60" s="185">
        <v>0.33665868613138689</v>
      </c>
      <c r="Z60" s="185">
        <v>0.35437756434882828</v>
      </c>
      <c r="AA60" s="189">
        <v>1153.056</v>
      </c>
      <c r="AB60" s="185">
        <v>0.33665868613138689</v>
      </c>
      <c r="AC60" s="185">
        <v>0.35437756434882828</v>
      </c>
      <c r="AD60" s="189">
        <v>1153.056</v>
      </c>
      <c r="AE60" s="185">
        <v>0.33665868613138689</v>
      </c>
      <c r="AF60" s="185">
        <v>0.35437756434882828</v>
      </c>
      <c r="AG60" s="189">
        <v>1153.056</v>
      </c>
      <c r="AH60" s="185">
        <v>0.33665868613138689</v>
      </c>
      <c r="AI60" s="185">
        <v>0.35437756434882828</v>
      </c>
      <c r="AJ60" s="303">
        <v>1153.056</v>
      </c>
      <c r="AK60" s="185">
        <v>0.33665868613138689</v>
      </c>
      <c r="AL60" s="185">
        <v>0.35437756434882828</v>
      </c>
      <c r="AM60" s="189">
        <v>1153.056</v>
      </c>
      <c r="AN60" s="185">
        <v>0.33665868613138689</v>
      </c>
      <c r="AO60" s="185">
        <v>0.35437756434882828</v>
      </c>
      <c r="AP60" s="185"/>
      <c r="AQ60" s="189">
        <v>1327.8910000000001</v>
      </c>
      <c r="AR60" s="185">
        <v>0.38770540145985405</v>
      </c>
      <c r="AS60" s="185">
        <v>0.40811094890510952</v>
      </c>
      <c r="AT60" s="189">
        <v>1327.8910000000001</v>
      </c>
      <c r="AU60" s="185">
        <v>0.38770540145985405</v>
      </c>
      <c r="AV60" s="185">
        <v>0.40811094890510952</v>
      </c>
      <c r="AW60" s="185"/>
      <c r="AX60" s="185"/>
      <c r="AY60" s="185"/>
      <c r="AZ60" s="185"/>
      <c r="BA60" s="185"/>
      <c r="BB60" s="185"/>
      <c r="BC60" s="189">
        <v>1327.8910000000001</v>
      </c>
      <c r="BD60" s="185">
        <v>0.38770540145985405</v>
      </c>
      <c r="BE60" s="185">
        <v>0.40811094890510952</v>
      </c>
      <c r="BF60" s="352"/>
      <c r="BG60" s="352">
        <v>2116.9480000000003</v>
      </c>
      <c r="BH60" s="185">
        <v>0.61808700729927013</v>
      </c>
      <c r="BI60" s="185">
        <v>0.65061790242028439</v>
      </c>
      <c r="BJ60" s="374">
        <v>3253.75</v>
      </c>
      <c r="BK60" s="374">
        <v>2116.9480000000003</v>
      </c>
      <c r="BL60" s="185">
        <v>0.61808700729927013</v>
      </c>
      <c r="BM60" s="185">
        <v>0.65061790242028439</v>
      </c>
      <c r="BN60" s="374">
        <v>2116.9480000000003</v>
      </c>
      <c r="BO60" s="185">
        <f t="shared" si="69"/>
        <v>0.61808700729927013</v>
      </c>
      <c r="BP60" s="185">
        <f t="shared" si="70"/>
        <v>0.65061790242028439</v>
      </c>
      <c r="BQ60" s="205">
        <f t="shared" si="71"/>
        <v>963.89200000000028</v>
      </c>
      <c r="BR60" s="205"/>
      <c r="BS60" s="189" t="e">
        <f>#REF!+#REF!</f>
        <v>#REF!</v>
      </c>
      <c r="BT60" s="186" t="e">
        <f t="shared" si="72"/>
        <v>#REF!</v>
      </c>
      <c r="BU60" s="189" t="e">
        <f>#REF!+#REF!</f>
        <v>#REF!</v>
      </c>
      <c r="BV60" s="186" t="e">
        <f t="shared" si="73"/>
        <v>#REF!</v>
      </c>
      <c r="BW60" s="189" t="e">
        <f>#REF!+#REF!</f>
        <v>#REF!</v>
      </c>
      <c r="BX60" s="186" t="e">
        <f t="shared" si="74"/>
        <v>#REF!</v>
      </c>
      <c r="BY60" s="189" t="e">
        <f>#REF!+#REF!</f>
        <v>#REF!</v>
      </c>
      <c r="BZ60" s="186" t="e">
        <f t="shared" si="75"/>
        <v>#REF!</v>
      </c>
      <c r="CA60" s="189" t="e">
        <f>#REF!+#REF!</f>
        <v>#REF!</v>
      </c>
      <c r="CB60" s="186" t="e">
        <f t="shared" si="76"/>
        <v>#REF!</v>
      </c>
      <c r="CC60" s="189" t="e">
        <f>#REF!+#REF!</f>
        <v>#REF!</v>
      </c>
      <c r="CD60" s="186" t="e">
        <f t="shared" si="77"/>
        <v>#REF!</v>
      </c>
      <c r="CE60" s="189" t="e">
        <f>#REF!+#REF!</f>
        <v>#REF!</v>
      </c>
      <c r="CF60" s="186" t="e">
        <f t="shared" si="78"/>
        <v>#REF!</v>
      </c>
      <c r="CG60" s="189" t="e">
        <f>#REF!+#REF!</f>
        <v>#REF!</v>
      </c>
      <c r="CH60" s="186" t="e">
        <f t="shared" si="79"/>
        <v>#REF!</v>
      </c>
      <c r="CI60" s="189" t="e">
        <f>#REF!+#REF!</f>
        <v>#REF!</v>
      </c>
      <c r="CJ60" s="186" t="e">
        <f t="shared" si="80"/>
        <v>#REF!</v>
      </c>
      <c r="CK60" s="189" t="e">
        <f>#REF!+#REF!</f>
        <v>#REF!</v>
      </c>
      <c r="CL60" s="186" t="e">
        <f t="shared" si="81"/>
        <v>#REF!</v>
      </c>
      <c r="CM60" s="189" t="e">
        <f>#REF!+#REF!</f>
        <v>#REF!</v>
      </c>
      <c r="CN60" s="186" t="e">
        <f t="shared" si="82"/>
        <v>#REF!</v>
      </c>
      <c r="CO60" s="189" t="e">
        <f>#REF!+#REF!</f>
        <v>#REF!</v>
      </c>
      <c r="CP60" s="186" t="e">
        <f t="shared" si="83"/>
        <v>#REF!</v>
      </c>
      <c r="CQ60" s="189" t="e">
        <f>#REF!+#REF!</f>
        <v>#REF!</v>
      </c>
      <c r="CR60" s="186" t="e">
        <f t="shared" si="84"/>
        <v>#REF!</v>
      </c>
      <c r="CS60" s="213" t="str">
        <f t="shared" si="85"/>
        <v>Đạt</v>
      </c>
      <c r="CT60" s="213" t="str">
        <f t="shared" si="86"/>
        <v>Đạt</v>
      </c>
      <c r="CU60" s="213"/>
      <c r="CV60" s="213"/>
      <c r="CW60" s="231"/>
      <c r="CX60" s="163"/>
      <c r="CZ60" s="195"/>
      <c r="DA60" s="196"/>
      <c r="DB60" s="196"/>
      <c r="DC60" s="197"/>
      <c r="DD60" s="196"/>
      <c r="DE60" s="196"/>
      <c r="DF60" s="196"/>
      <c r="DH60" s="199"/>
      <c r="DI60" s="200"/>
      <c r="DJ60" s="181"/>
    </row>
    <row r="61" spans="1:115" ht="18" customHeight="1" x14ac:dyDescent="0.25">
      <c r="A61" s="213">
        <v>31</v>
      </c>
      <c r="B61" s="240" t="s">
        <v>422</v>
      </c>
      <c r="C61" s="240"/>
      <c r="D61" s="188">
        <v>3085</v>
      </c>
      <c r="E61" s="188">
        <v>0</v>
      </c>
      <c r="F61" s="188">
        <v>3085</v>
      </c>
      <c r="G61" s="188">
        <v>3000</v>
      </c>
      <c r="H61" s="188">
        <v>85</v>
      </c>
      <c r="I61" s="188">
        <v>0</v>
      </c>
      <c r="J61" s="188"/>
      <c r="K61" s="188">
        <v>0</v>
      </c>
      <c r="L61" s="188">
        <v>0</v>
      </c>
      <c r="M61" s="188">
        <v>0</v>
      </c>
      <c r="N61" s="188">
        <v>0</v>
      </c>
      <c r="O61" s="188">
        <v>3000</v>
      </c>
      <c r="P61" s="188">
        <v>0</v>
      </c>
      <c r="Q61" s="186">
        <v>0</v>
      </c>
      <c r="R61" s="188">
        <v>0</v>
      </c>
      <c r="S61" s="185">
        <v>0</v>
      </c>
      <c r="T61" s="185">
        <v>0</v>
      </c>
      <c r="U61" s="188">
        <v>0</v>
      </c>
      <c r="V61" s="185">
        <v>0</v>
      </c>
      <c r="W61" s="185">
        <v>0</v>
      </c>
      <c r="X61" s="188">
        <v>0</v>
      </c>
      <c r="Y61" s="185">
        <v>0</v>
      </c>
      <c r="Z61" s="185">
        <v>0</v>
      </c>
      <c r="AA61" s="188">
        <v>0</v>
      </c>
      <c r="AB61" s="185">
        <v>0</v>
      </c>
      <c r="AC61" s="185">
        <v>0</v>
      </c>
      <c r="AD61" s="188">
        <v>0</v>
      </c>
      <c r="AE61" s="185">
        <v>0</v>
      </c>
      <c r="AF61" s="185">
        <v>0</v>
      </c>
      <c r="AG61" s="188">
        <v>0</v>
      </c>
      <c r="AH61" s="185">
        <v>0</v>
      </c>
      <c r="AI61" s="185">
        <v>0</v>
      </c>
      <c r="AJ61" s="303">
        <v>0</v>
      </c>
      <c r="AK61" s="185">
        <v>0</v>
      </c>
      <c r="AL61" s="185">
        <v>0</v>
      </c>
      <c r="AM61" s="314">
        <v>0</v>
      </c>
      <c r="AN61" s="185">
        <v>0</v>
      </c>
      <c r="AO61" s="185">
        <v>0</v>
      </c>
      <c r="AP61" s="185"/>
      <c r="AQ61" s="188">
        <v>1429.817</v>
      </c>
      <c r="AR61" s="185">
        <v>0.46347390599675853</v>
      </c>
      <c r="AS61" s="185">
        <v>0.48786726947027209</v>
      </c>
      <c r="AT61" s="188">
        <v>1794.452</v>
      </c>
      <c r="AU61" s="185">
        <v>0.5816700162074554</v>
      </c>
      <c r="AV61" s="185">
        <v>0.61228422758679524</v>
      </c>
      <c r="AW61" s="185"/>
      <c r="AX61" s="185"/>
      <c r="AY61" s="185"/>
      <c r="AZ61" s="185"/>
      <c r="BA61" s="185"/>
      <c r="BB61" s="185"/>
      <c r="BC61" s="188">
        <v>1794.452</v>
      </c>
      <c r="BD61" s="185">
        <v>0.5816700162074554</v>
      </c>
      <c r="BE61" s="185">
        <v>0.61228422758679524</v>
      </c>
      <c r="BF61" s="188"/>
      <c r="BG61" s="188">
        <v>1794.452</v>
      </c>
      <c r="BH61" s="185">
        <v>0.5816700162074554</v>
      </c>
      <c r="BI61" s="185">
        <v>0.61228422758679524</v>
      </c>
      <c r="BJ61" s="188">
        <v>2930.75</v>
      </c>
      <c r="BK61" s="188">
        <v>1886.6909999999998</v>
      </c>
      <c r="BL61" s="185">
        <v>0.61156920583468388</v>
      </c>
      <c r="BM61" s="185">
        <v>0.64375705877335143</v>
      </c>
      <c r="BN61" s="188">
        <v>1886.6909999999998</v>
      </c>
      <c r="BO61" s="185">
        <f t="shared" si="69"/>
        <v>0.61156920583468388</v>
      </c>
      <c r="BP61" s="185">
        <f t="shared" si="70"/>
        <v>0.64375705877335143</v>
      </c>
      <c r="BQ61" s="205">
        <f t="shared" si="71"/>
        <v>1886.6909999999998</v>
      </c>
      <c r="BR61" s="205"/>
      <c r="BS61" s="189" t="e">
        <f>#REF!+#REF!</f>
        <v>#REF!</v>
      </c>
      <c r="BT61" s="186" t="e">
        <f t="shared" si="72"/>
        <v>#REF!</v>
      </c>
      <c r="BU61" s="189" t="e">
        <f>#REF!+#REF!</f>
        <v>#REF!</v>
      </c>
      <c r="BV61" s="186" t="e">
        <f t="shared" si="73"/>
        <v>#REF!</v>
      </c>
      <c r="BW61" s="189" t="e">
        <f>#REF!+#REF!</f>
        <v>#REF!</v>
      </c>
      <c r="BX61" s="186" t="e">
        <f t="shared" si="74"/>
        <v>#REF!</v>
      </c>
      <c r="BY61" s="189" t="e">
        <f>#REF!+#REF!</f>
        <v>#REF!</v>
      </c>
      <c r="BZ61" s="186" t="e">
        <f t="shared" si="75"/>
        <v>#REF!</v>
      </c>
      <c r="CA61" s="189" t="e">
        <f>#REF!+#REF!</f>
        <v>#REF!</v>
      </c>
      <c r="CB61" s="186" t="e">
        <f t="shared" si="76"/>
        <v>#REF!</v>
      </c>
      <c r="CC61" s="189" t="e">
        <f>#REF!+#REF!</f>
        <v>#REF!</v>
      </c>
      <c r="CD61" s="186" t="e">
        <f t="shared" si="77"/>
        <v>#REF!</v>
      </c>
      <c r="CE61" s="189" t="e">
        <f>#REF!+#REF!</f>
        <v>#REF!</v>
      </c>
      <c r="CF61" s="186" t="e">
        <f t="shared" si="78"/>
        <v>#REF!</v>
      </c>
      <c r="CG61" s="189" t="e">
        <f>#REF!+#REF!</f>
        <v>#REF!</v>
      </c>
      <c r="CH61" s="186" t="e">
        <f t="shared" si="79"/>
        <v>#REF!</v>
      </c>
      <c r="CI61" s="189" t="e">
        <f>#REF!+#REF!</f>
        <v>#REF!</v>
      </c>
      <c r="CJ61" s="186" t="e">
        <f t="shared" si="80"/>
        <v>#REF!</v>
      </c>
      <c r="CK61" s="189" t="e">
        <f>#REF!+#REF!</f>
        <v>#REF!</v>
      </c>
      <c r="CL61" s="186" t="e">
        <f t="shared" si="81"/>
        <v>#REF!</v>
      </c>
      <c r="CM61" s="189" t="e">
        <f>#REF!+#REF!</f>
        <v>#REF!</v>
      </c>
      <c r="CN61" s="186" t="e">
        <f t="shared" si="82"/>
        <v>#REF!</v>
      </c>
      <c r="CO61" s="189" t="e">
        <f>#REF!+#REF!</f>
        <v>#REF!</v>
      </c>
      <c r="CP61" s="186" t="e">
        <f t="shared" si="83"/>
        <v>#REF!</v>
      </c>
      <c r="CQ61" s="189" t="e">
        <f>#REF!+#REF!</f>
        <v>#REF!</v>
      </c>
      <c r="CR61" s="186" t="e">
        <f t="shared" si="84"/>
        <v>#REF!</v>
      </c>
      <c r="CS61" s="213" t="str">
        <f t="shared" si="85"/>
        <v>Đạt</v>
      </c>
      <c r="CT61" s="213" t="str">
        <f t="shared" si="86"/>
        <v>Đạt</v>
      </c>
      <c r="CU61" s="213"/>
      <c r="CV61" s="213"/>
      <c r="CW61" s="231"/>
      <c r="CX61" s="163"/>
      <c r="CZ61" s="195"/>
      <c r="DA61" s="196"/>
      <c r="DB61" s="196"/>
      <c r="DC61" s="197"/>
      <c r="DD61" s="196"/>
      <c r="DE61" s="196"/>
      <c r="DF61" s="196"/>
      <c r="DH61" s="199"/>
      <c r="DI61" s="200"/>
      <c r="DJ61" s="181"/>
    </row>
    <row r="62" spans="1:115" ht="18" customHeight="1" x14ac:dyDescent="0.25">
      <c r="A62" s="213">
        <v>32</v>
      </c>
      <c r="B62" s="240" t="s">
        <v>494</v>
      </c>
      <c r="C62" s="240"/>
      <c r="D62" s="188">
        <v>3212</v>
      </c>
      <c r="E62" s="188">
        <v>0</v>
      </c>
      <c r="F62" s="188">
        <v>3212</v>
      </c>
      <c r="G62" s="188">
        <v>3000</v>
      </c>
      <c r="H62" s="188">
        <v>212</v>
      </c>
      <c r="I62" s="188">
        <v>0</v>
      </c>
      <c r="J62" s="188"/>
      <c r="K62" s="188">
        <v>0</v>
      </c>
      <c r="L62" s="188">
        <v>0</v>
      </c>
      <c r="M62" s="188">
        <v>0</v>
      </c>
      <c r="N62" s="188">
        <v>0</v>
      </c>
      <c r="O62" s="188">
        <v>3000</v>
      </c>
      <c r="P62" s="188">
        <v>268</v>
      </c>
      <c r="Q62" s="186">
        <v>8.3437110834371109E-2</v>
      </c>
      <c r="R62" s="189">
        <v>383.27215000000001</v>
      </c>
      <c r="S62" s="185">
        <v>0.11932507783312578</v>
      </c>
      <c r="T62" s="185">
        <v>0.12560534508750085</v>
      </c>
      <c r="U62" s="189">
        <v>383.27215000000001</v>
      </c>
      <c r="V62" s="185">
        <v>0.11932507783312578</v>
      </c>
      <c r="W62" s="185">
        <v>0.12560534508750085</v>
      </c>
      <c r="X62" s="189">
        <v>383.27215000000001</v>
      </c>
      <c r="Y62" s="185">
        <v>0.11932507783312578</v>
      </c>
      <c r="Z62" s="185">
        <v>0.12560534508750085</v>
      </c>
      <c r="AA62" s="189">
        <v>383.27215000000001</v>
      </c>
      <c r="AB62" s="185">
        <v>0.11932507783312578</v>
      </c>
      <c r="AC62" s="185">
        <v>0.12560534508750085</v>
      </c>
      <c r="AD62" s="189">
        <v>593</v>
      </c>
      <c r="AE62" s="185">
        <v>0.18462017434620173</v>
      </c>
      <c r="AF62" s="185">
        <v>0.19433702562758082</v>
      </c>
      <c r="AG62" s="189">
        <v>593</v>
      </c>
      <c r="AH62" s="185">
        <v>0.18462017434620173</v>
      </c>
      <c r="AI62" s="185">
        <v>0.19433702562758082</v>
      </c>
      <c r="AJ62" s="307">
        <v>593</v>
      </c>
      <c r="AK62" s="185">
        <v>0.18462017434620173</v>
      </c>
      <c r="AL62" s="185">
        <v>0.19433702562758082</v>
      </c>
      <c r="AM62" s="189">
        <v>593</v>
      </c>
      <c r="AN62" s="185">
        <v>0.18462017434620173</v>
      </c>
      <c r="AO62" s="185">
        <v>0.19433702562758082</v>
      </c>
      <c r="AP62" s="185"/>
      <c r="AQ62" s="189">
        <v>1406</v>
      </c>
      <c r="AR62" s="185">
        <v>0.43773349937733497</v>
      </c>
      <c r="AS62" s="185">
        <v>0.46077210460772111</v>
      </c>
      <c r="AT62" s="189">
        <v>1406</v>
      </c>
      <c r="AU62" s="185">
        <v>0.43773349937733497</v>
      </c>
      <c r="AV62" s="185">
        <v>0.46077210460772111</v>
      </c>
      <c r="AW62" s="185"/>
      <c r="AX62" s="185"/>
      <c r="AY62" s="185"/>
      <c r="AZ62" s="185"/>
      <c r="BA62" s="185"/>
      <c r="BB62" s="185"/>
      <c r="BC62" s="189">
        <v>1406</v>
      </c>
      <c r="BD62" s="185">
        <v>0.43773349937733497</v>
      </c>
      <c r="BE62" s="185">
        <v>0.46077210460772111</v>
      </c>
      <c r="BF62" s="352"/>
      <c r="BG62" s="352">
        <v>1937.8</v>
      </c>
      <c r="BH62" s="185">
        <v>0.60330012453300119</v>
      </c>
      <c r="BI62" s="185">
        <v>0.63505276266631716</v>
      </c>
      <c r="BJ62" s="374">
        <v>3051.3999999999996</v>
      </c>
      <c r="BK62" s="374">
        <v>1937.8</v>
      </c>
      <c r="BL62" s="185">
        <v>0.60330012453300119</v>
      </c>
      <c r="BM62" s="185">
        <v>0.63505276266631716</v>
      </c>
      <c r="BN62" s="374">
        <v>1937.8</v>
      </c>
      <c r="BO62" s="185">
        <f t="shared" si="69"/>
        <v>0.60330012453300119</v>
      </c>
      <c r="BP62" s="185">
        <f t="shared" si="70"/>
        <v>0.63505276266631716</v>
      </c>
      <c r="BQ62" s="205">
        <f t="shared" si="71"/>
        <v>1344.8</v>
      </c>
      <c r="BR62" s="205"/>
      <c r="BS62" s="189" t="e">
        <f>#REF!+#REF!</f>
        <v>#REF!</v>
      </c>
      <c r="BT62" s="186" t="e">
        <f t="shared" si="72"/>
        <v>#REF!</v>
      </c>
      <c r="BU62" s="189" t="e">
        <f>#REF!+#REF!</f>
        <v>#REF!</v>
      </c>
      <c r="BV62" s="186" t="e">
        <f t="shared" si="73"/>
        <v>#REF!</v>
      </c>
      <c r="BW62" s="189" t="e">
        <f>#REF!+#REF!</f>
        <v>#REF!</v>
      </c>
      <c r="BX62" s="186" t="e">
        <f t="shared" si="74"/>
        <v>#REF!</v>
      </c>
      <c r="BY62" s="189" t="e">
        <f>#REF!+#REF!</f>
        <v>#REF!</v>
      </c>
      <c r="BZ62" s="186" t="e">
        <f t="shared" si="75"/>
        <v>#REF!</v>
      </c>
      <c r="CA62" s="189" t="e">
        <f>#REF!+#REF!</f>
        <v>#REF!</v>
      </c>
      <c r="CB62" s="186" t="e">
        <f t="shared" si="76"/>
        <v>#REF!</v>
      </c>
      <c r="CC62" s="189" t="e">
        <f>#REF!+#REF!</f>
        <v>#REF!</v>
      </c>
      <c r="CD62" s="186" t="e">
        <f t="shared" si="77"/>
        <v>#REF!</v>
      </c>
      <c r="CE62" s="189" t="e">
        <f>#REF!+#REF!</f>
        <v>#REF!</v>
      </c>
      <c r="CF62" s="186" t="e">
        <f t="shared" si="78"/>
        <v>#REF!</v>
      </c>
      <c r="CG62" s="189" t="e">
        <f>#REF!+#REF!</f>
        <v>#REF!</v>
      </c>
      <c r="CH62" s="186" t="e">
        <f t="shared" si="79"/>
        <v>#REF!</v>
      </c>
      <c r="CI62" s="189" t="e">
        <f>#REF!+#REF!</f>
        <v>#REF!</v>
      </c>
      <c r="CJ62" s="186" t="e">
        <f t="shared" si="80"/>
        <v>#REF!</v>
      </c>
      <c r="CK62" s="189" t="e">
        <f>#REF!+#REF!</f>
        <v>#REF!</v>
      </c>
      <c r="CL62" s="186" t="e">
        <f t="shared" si="81"/>
        <v>#REF!</v>
      </c>
      <c r="CM62" s="189" t="e">
        <f>#REF!+#REF!</f>
        <v>#REF!</v>
      </c>
      <c r="CN62" s="186" t="e">
        <f t="shared" si="82"/>
        <v>#REF!</v>
      </c>
      <c r="CO62" s="189" t="e">
        <f>#REF!+#REF!</f>
        <v>#REF!</v>
      </c>
      <c r="CP62" s="186" t="e">
        <f t="shared" si="83"/>
        <v>#REF!</v>
      </c>
      <c r="CQ62" s="189" t="e">
        <f>#REF!+#REF!</f>
        <v>#REF!</v>
      </c>
      <c r="CR62" s="186" t="e">
        <f t="shared" si="84"/>
        <v>#REF!</v>
      </c>
      <c r="CS62" s="213" t="str">
        <f t="shared" si="85"/>
        <v>Đạt</v>
      </c>
      <c r="CT62" s="213" t="str">
        <f t="shared" si="86"/>
        <v>Đạt</v>
      </c>
      <c r="CU62" s="213"/>
      <c r="CV62" s="213"/>
      <c r="CW62" s="231"/>
      <c r="CX62" s="163"/>
      <c r="CZ62" s="195"/>
      <c r="DA62" s="196"/>
      <c r="DB62" s="196"/>
      <c r="DC62" s="197"/>
      <c r="DD62" s="196"/>
      <c r="DE62" s="196"/>
      <c r="DF62" s="196"/>
      <c r="DH62" s="199"/>
      <c r="DI62" s="200"/>
      <c r="DJ62" s="181"/>
    </row>
    <row r="63" spans="1:115" ht="18" customHeight="1" x14ac:dyDescent="0.25">
      <c r="A63" s="213">
        <v>33</v>
      </c>
      <c r="B63" s="240" t="s">
        <v>416</v>
      </c>
      <c r="C63" s="240"/>
      <c r="D63" s="188">
        <v>6400</v>
      </c>
      <c r="E63" s="188">
        <v>0</v>
      </c>
      <c r="F63" s="188">
        <v>6400</v>
      </c>
      <c r="G63" s="188">
        <v>3000</v>
      </c>
      <c r="H63" s="188">
        <v>3400</v>
      </c>
      <c r="I63" s="188">
        <v>0</v>
      </c>
      <c r="J63" s="188"/>
      <c r="K63" s="188">
        <v>0</v>
      </c>
      <c r="L63" s="188">
        <v>0</v>
      </c>
      <c r="M63" s="188">
        <v>0</v>
      </c>
      <c r="N63" s="188">
        <v>0</v>
      </c>
      <c r="O63" s="188">
        <v>3000</v>
      </c>
      <c r="P63" s="188">
        <v>0</v>
      </c>
      <c r="Q63" s="186">
        <v>0</v>
      </c>
      <c r="R63" s="188">
        <v>0</v>
      </c>
      <c r="S63" s="185">
        <v>0</v>
      </c>
      <c r="T63" s="185">
        <v>0</v>
      </c>
      <c r="U63" s="188">
        <v>0</v>
      </c>
      <c r="V63" s="185">
        <v>0</v>
      </c>
      <c r="W63" s="185">
        <v>0</v>
      </c>
      <c r="X63" s="188">
        <v>0</v>
      </c>
      <c r="Y63" s="185">
        <v>0</v>
      </c>
      <c r="Z63" s="185">
        <v>0</v>
      </c>
      <c r="AA63" s="188">
        <v>0</v>
      </c>
      <c r="AB63" s="185">
        <v>0</v>
      </c>
      <c r="AC63" s="185">
        <v>0</v>
      </c>
      <c r="AD63" s="188">
        <v>0</v>
      </c>
      <c r="AE63" s="185">
        <v>0</v>
      </c>
      <c r="AF63" s="185">
        <v>0</v>
      </c>
      <c r="AG63" s="188">
        <v>0</v>
      </c>
      <c r="AH63" s="185">
        <v>0</v>
      </c>
      <c r="AI63" s="185">
        <v>0</v>
      </c>
      <c r="AJ63" s="303">
        <v>0</v>
      </c>
      <c r="AK63" s="185">
        <v>0</v>
      </c>
      <c r="AL63" s="185">
        <v>0</v>
      </c>
      <c r="AM63" s="188">
        <v>0</v>
      </c>
      <c r="AN63" s="185">
        <v>0</v>
      </c>
      <c r="AO63" s="185">
        <v>0</v>
      </c>
      <c r="AP63" s="185"/>
      <c r="AQ63" s="188">
        <v>2464.4430000000002</v>
      </c>
      <c r="AR63" s="185">
        <v>0.38506921875000005</v>
      </c>
      <c r="AS63" s="185">
        <v>0.40533601973684213</v>
      </c>
      <c r="AT63" s="188">
        <v>2630</v>
      </c>
      <c r="AU63" s="185">
        <v>0.41093750000000001</v>
      </c>
      <c r="AV63" s="185">
        <v>0.43256578947368424</v>
      </c>
      <c r="AW63" s="185"/>
      <c r="AX63" s="185"/>
      <c r="AY63" s="185"/>
      <c r="AZ63" s="185"/>
      <c r="BA63" s="185"/>
      <c r="BB63" s="185"/>
      <c r="BC63" s="188">
        <v>2630</v>
      </c>
      <c r="BD63" s="185">
        <v>0.41093750000000001</v>
      </c>
      <c r="BE63" s="185">
        <v>0.43256578947368424</v>
      </c>
      <c r="BF63" s="188"/>
      <c r="BG63" s="188">
        <v>2948</v>
      </c>
      <c r="BH63" s="185">
        <v>0.46062500000000001</v>
      </c>
      <c r="BI63" s="185">
        <v>0.48486842105263156</v>
      </c>
      <c r="BJ63" s="188">
        <v>6080</v>
      </c>
      <c r="BK63" s="188">
        <v>3821</v>
      </c>
      <c r="BL63" s="185">
        <v>0.59703125000000001</v>
      </c>
      <c r="BM63" s="185">
        <v>0.62845394736842108</v>
      </c>
      <c r="BN63" s="188">
        <v>3821</v>
      </c>
      <c r="BO63" s="185">
        <f t="shared" ref="BO63:BO94" si="87">BN63/$D63</f>
        <v>0.59703125000000001</v>
      </c>
      <c r="BP63" s="185">
        <f t="shared" ref="BP63:BP94" si="88">BN63/(E63+0.95*F63)</f>
        <v>0.62845394736842108</v>
      </c>
      <c r="BQ63" s="205">
        <f t="shared" ref="BQ63:BQ94" si="89">BN63-AD63</f>
        <v>3821</v>
      </c>
      <c r="BR63" s="205"/>
      <c r="BS63" s="189" t="e">
        <f>#REF!+#REF!</f>
        <v>#REF!</v>
      </c>
      <c r="BT63" s="186" t="e">
        <f t="shared" ref="BT63:BT94" si="90">BS63/$D63</f>
        <v>#REF!</v>
      </c>
      <c r="BU63" s="189" t="e">
        <f>#REF!+#REF!</f>
        <v>#REF!</v>
      </c>
      <c r="BV63" s="186" t="e">
        <f t="shared" ref="BV63:BV94" si="91">BU63/$D63</f>
        <v>#REF!</v>
      </c>
      <c r="BW63" s="189" t="e">
        <f>#REF!+#REF!</f>
        <v>#REF!</v>
      </c>
      <c r="BX63" s="186" t="e">
        <f t="shared" ref="BX63:BX94" si="92">BW63/$D63</f>
        <v>#REF!</v>
      </c>
      <c r="BY63" s="189" t="e">
        <f>#REF!+#REF!</f>
        <v>#REF!</v>
      </c>
      <c r="BZ63" s="186" t="e">
        <f t="shared" ref="BZ63:BZ94" si="93">BY63/$D63</f>
        <v>#REF!</v>
      </c>
      <c r="CA63" s="189" t="e">
        <f>#REF!+#REF!</f>
        <v>#REF!</v>
      </c>
      <c r="CB63" s="186" t="e">
        <f t="shared" ref="CB63:CB94" si="94">CA63/$D63</f>
        <v>#REF!</v>
      </c>
      <c r="CC63" s="189" t="e">
        <f>#REF!+#REF!</f>
        <v>#REF!</v>
      </c>
      <c r="CD63" s="186" t="e">
        <f t="shared" ref="CD63:CD94" si="95">CC63/$D63</f>
        <v>#REF!</v>
      </c>
      <c r="CE63" s="189" t="e">
        <f>#REF!+#REF!</f>
        <v>#REF!</v>
      </c>
      <c r="CF63" s="186" t="e">
        <f t="shared" ref="CF63:CF94" si="96">CE63/$D63</f>
        <v>#REF!</v>
      </c>
      <c r="CG63" s="189" t="e">
        <f>#REF!+#REF!</f>
        <v>#REF!</v>
      </c>
      <c r="CH63" s="186" t="e">
        <f t="shared" ref="CH63:CH94" si="97">CG63/$D63</f>
        <v>#REF!</v>
      </c>
      <c r="CI63" s="189" t="e">
        <f>#REF!+#REF!</f>
        <v>#REF!</v>
      </c>
      <c r="CJ63" s="186" t="e">
        <f t="shared" ref="CJ63:CJ94" si="98">CI63/$D63</f>
        <v>#REF!</v>
      </c>
      <c r="CK63" s="189" t="e">
        <f>#REF!+#REF!</f>
        <v>#REF!</v>
      </c>
      <c r="CL63" s="186" t="e">
        <f t="shared" ref="CL63:CL94" si="99">CK63/$D63</f>
        <v>#REF!</v>
      </c>
      <c r="CM63" s="189" t="e">
        <f>#REF!+#REF!</f>
        <v>#REF!</v>
      </c>
      <c r="CN63" s="186" t="e">
        <f t="shared" ref="CN63:CN94" si="100">CM63/$D63</f>
        <v>#REF!</v>
      </c>
      <c r="CO63" s="189" t="e">
        <f>#REF!+#REF!</f>
        <v>#REF!</v>
      </c>
      <c r="CP63" s="186" t="e">
        <f t="shared" ref="CP63:CP94" si="101">CO63/$D63</f>
        <v>#REF!</v>
      </c>
      <c r="CQ63" s="189" t="e">
        <f>#REF!+#REF!</f>
        <v>#REF!</v>
      </c>
      <c r="CR63" s="186" t="e">
        <f t="shared" ref="CR63:CR94" si="102">CQ63/$D63</f>
        <v>#REF!</v>
      </c>
      <c r="CS63" s="213" t="str">
        <f t="shared" ref="CS63:CS94" si="103">IF(BP63&gt;30.9%,"Đạt","Không đạt")</f>
        <v>Đạt</v>
      </c>
      <c r="CT63" s="213" t="str">
        <f t="shared" ref="CT63:CT94" si="104">IF(BP63&gt;38.5%,"Đạt","Không đạt")</f>
        <v>Đạt</v>
      </c>
      <c r="CU63" s="213"/>
      <c r="CV63" s="213"/>
      <c r="CW63" s="231"/>
      <c r="CX63" s="163"/>
      <c r="CZ63" s="195"/>
      <c r="DA63" s="196"/>
      <c r="DB63" s="196"/>
      <c r="DC63" s="197"/>
      <c r="DD63" s="196"/>
      <c r="DE63" s="196"/>
      <c r="DF63" s="196"/>
      <c r="DH63" s="199"/>
      <c r="DI63" s="200"/>
      <c r="DJ63" s="181"/>
    </row>
    <row r="64" spans="1:115" ht="18" customHeight="1" x14ac:dyDescent="0.25">
      <c r="A64" s="213">
        <v>34</v>
      </c>
      <c r="B64" s="240" t="s">
        <v>380</v>
      </c>
      <c r="C64" s="240"/>
      <c r="D64" s="188">
        <v>20400</v>
      </c>
      <c r="E64" s="188">
        <v>0</v>
      </c>
      <c r="F64" s="188">
        <v>20400</v>
      </c>
      <c r="G64" s="188">
        <v>3000</v>
      </c>
      <c r="H64" s="188">
        <v>17400</v>
      </c>
      <c r="I64" s="188">
        <v>0</v>
      </c>
      <c r="J64" s="188"/>
      <c r="K64" s="188">
        <v>0</v>
      </c>
      <c r="L64" s="188">
        <v>0</v>
      </c>
      <c r="M64" s="188">
        <v>0</v>
      </c>
      <c r="N64" s="188">
        <v>0</v>
      </c>
      <c r="O64" s="188">
        <v>3000</v>
      </c>
      <c r="P64" s="188">
        <v>0</v>
      </c>
      <c r="Q64" s="186">
        <v>0</v>
      </c>
      <c r="R64" s="188">
        <v>0</v>
      </c>
      <c r="S64" s="185">
        <v>0</v>
      </c>
      <c r="T64" s="185">
        <v>0</v>
      </c>
      <c r="U64" s="188">
        <v>279.101</v>
      </c>
      <c r="V64" s="185">
        <v>1.3681421568627452E-2</v>
      </c>
      <c r="W64" s="185">
        <v>1.4401496388028895E-2</v>
      </c>
      <c r="X64" s="188">
        <v>279.101</v>
      </c>
      <c r="Y64" s="185">
        <v>1.3681421568627452E-2</v>
      </c>
      <c r="Z64" s="185">
        <v>1.4401496388028895E-2</v>
      </c>
      <c r="AA64" s="188">
        <v>279.101</v>
      </c>
      <c r="AB64" s="185">
        <v>1.3681421568627452E-2</v>
      </c>
      <c r="AC64" s="185">
        <v>1.4401496388028895E-2</v>
      </c>
      <c r="AD64" s="188">
        <v>279.101</v>
      </c>
      <c r="AE64" s="185">
        <v>1.3681421568627452E-2</v>
      </c>
      <c r="AF64" s="185">
        <v>1.4401496388028895E-2</v>
      </c>
      <c r="AG64" s="188">
        <v>279.101</v>
      </c>
      <c r="AH64" s="185">
        <v>1.3681421568627452E-2</v>
      </c>
      <c r="AI64" s="185">
        <v>1.4401496388028895E-2</v>
      </c>
      <c r="AJ64" s="317">
        <v>279.101</v>
      </c>
      <c r="AK64" s="185">
        <v>1.3681421568627452E-2</v>
      </c>
      <c r="AL64" s="185">
        <v>1.4401496388028895E-2</v>
      </c>
      <c r="AM64" s="188">
        <v>1167.6844000000001</v>
      </c>
      <c r="AN64" s="185">
        <v>5.7239431372549027E-2</v>
      </c>
      <c r="AO64" s="185">
        <v>6.0252033023735815E-2</v>
      </c>
      <c r="AP64" s="185"/>
      <c r="AQ64" s="188">
        <v>1167.6844000000001</v>
      </c>
      <c r="AR64" s="185">
        <v>5.7239431372549027E-2</v>
      </c>
      <c r="AS64" s="185">
        <v>6.0252033023735815E-2</v>
      </c>
      <c r="AT64" s="188">
        <v>1922</v>
      </c>
      <c r="AU64" s="185">
        <v>9.4215686274509811E-2</v>
      </c>
      <c r="AV64" s="185">
        <v>9.9174406604747162E-2</v>
      </c>
      <c r="AW64" s="185"/>
      <c r="AX64" s="185"/>
      <c r="AY64" s="185"/>
      <c r="AZ64" s="185"/>
      <c r="BA64" s="185"/>
      <c r="BB64" s="185"/>
      <c r="BC64" s="188">
        <v>1922</v>
      </c>
      <c r="BD64" s="185">
        <v>9.4215686274509811E-2</v>
      </c>
      <c r="BE64" s="185">
        <v>9.9174406604747162E-2</v>
      </c>
      <c r="BF64" s="188"/>
      <c r="BG64" s="188">
        <v>12020.463</v>
      </c>
      <c r="BH64" s="185">
        <v>0.58923838235294113</v>
      </c>
      <c r="BI64" s="185">
        <v>0.6202509287925696</v>
      </c>
      <c r="BJ64" s="188">
        <v>19380</v>
      </c>
      <c r="BK64" s="188">
        <v>12020.463</v>
      </c>
      <c r="BL64" s="185">
        <v>0.58923838235294113</v>
      </c>
      <c r="BM64" s="185">
        <v>0.6202509287925696</v>
      </c>
      <c r="BN64" s="188">
        <v>12020.463</v>
      </c>
      <c r="BO64" s="185">
        <f t="shared" si="87"/>
        <v>0.58923838235294113</v>
      </c>
      <c r="BP64" s="185">
        <f t="shared" si="88"/>
        <v>0.6202509287925696</v>
      </c>
      <c r="BQ64" s="205">
        <f t="shared" si="89"/>
        <v>11741.361999999999</v>
      </c>
      <c r="BR64" s="205"/>
      <c r="BS64" s="189" t="e">
        <f>#REF!+#REF!+#REF!</f>
        <v>#REF!</v>
      </c>
      <c r="BT64" s="186" t="e">
        <f t="shared" si="90"/>
        <v>#REF!</v>
      </c>
      <c r="BU64" s="189" t="e">
        <f>#REF!+#REF!+#REF!</f>
        <v>#REF!</v>
      </c>
      <c r="BV64" s="186" t="e">
        <f t="shared" si="91"/>
        <v>#REF!</v>
      </c>
      <c r="BW64" s="189" t="e">
        <f>#REF!+#REF!+#REF!</f>
        <v>#REF!</v>
      </c>
      <c r="BX64" s="186" t="e">
        <f t="shared" si="92"/>
        <v>#REF!</v>
      </c>
      <c r="BY64" s="189" t="e">
        <f>#REF!+#REF!+#REF!</f>
        <v>#REF!</v>
      </c>
      <c r="BZ64" s="186" t="e">
        <f t="shared" si="93"/>
        <v>#REF!</v>
      </c>
      <c r="CA64" s="189" t="e">
        <f>#REF!+#REF!+#REF!</f>
        <v>#REF!</v>
      </c>
      <c r="CB64" s="186" t="e">
        <f t="shared" si="94"/>
        <v>#REF!</v>
      </c>
      <c r="CC64" s="189" t="e">
        <f>#REF!+#REF!+#REF!</f>
        <v>#REF!</v>
      </c>
      <c r="CD64" s="186" t="e">
        <f t="shared" si="95"/>
        <v>#REF!</v>
      </c>
      <c r="CE64" s="189" t="e">
        <f>#REF!+#REF!+#REF!</f>
        <v>#REF!</v>
      </c>
      <c r="CF64" s="186" t="e">
        <f t="shared" si="96"/>
        <v>#REF!</v>
      </c>
      <c r="CG64" s="189" t="e">
        <f>#REF!+#REF!+#REF!</f>
        <v>#REF!</v>
      </c>
      <c r="CH64" s="186" t="e">
        <f t="shared" si="97"/>
        <v>#REF!</v>
      </c>
      <c r="CI64" s="189" t="e">
        <f>#REF!+#REF!+#REF!</f>
        <v>#REF!</v>
      </c>
      <c r="CJ64" s="186" t="e">
        <f t="shared" si="98"/>
        <v>#REF!</v>
      </c>
      <c r="CK64" s="189" t="e">
        <f>#REF!+#REF!+#REF!</f>
        <v>#REF!</v>
      </c>
      <c r="CL64" s="186" t="e">
        <f t="shared" si="99"/>
        <v>#REF!</v>
      </c>
      <c r="CM64" s="189" t="e">
        <f>#REF!+#REF!+#REF!</f>
        <v>#REF!</v>
      </c>
      <c r="CN64" s="186" t="e">
        <f t="shared" si="100"/>
        <v>#REF!</v>
      </c>
      <c r="CO64" s="189" t="e">
        <f>#REF!+#REF!+#REF!</f>
        <v>#REF!</v>
      </c>
      <c r="CP64" s="186" t="e">
        <f t="shared" si="101"/>
        <v>#REF!</v>
      </c>
      <c r="CQ64" s="189" t="e">
        <f>#REF!+#REF!+#REF!</f>
        <v>#REF!</v>
      </c>
      <c r="CR64" s="186" t="e">
        <f t="shared" si="102"/>
        <v>#REF!</v>
      </c>
      <c r="CS64" s="213" t="str">
        <f t="shared" si="103"/>
        <v>Đạt</v>
      </c>
      <c r="CT64" s="213" t="str">
        <f t="shared" si="104"/>
        <v>Đạt</v>
      </c>
      <c r="CU64" s="213"/>
      <c r="CV64" s="213"/>
      <c r="CW64" s="231"/>
      <c r="CX64" s="163"/>
      <c r="CZ64" s="195"/>
      <c r="DA64" s="196"/>
      <c r="DB64" s="196"/>
      <c r="DC64" s="197"/>
      <c r="DD64" s="196"/>
      <c r="DE64" s="196"/>
      <c r="DF64" s="196"/>
      <c r="DH64" s="199"/>
      <c r="DI64" s="200"/>
      <c r="DJ64" s="181"/>
    </row>
    <row r="65" spans="1:115" ht="18" customHeight="1" x14ac:dyDescent="0.25">
      <c r="A65" s="213">
        <v>35</v>
      </c>
      <c r="B65" s="240" t="s">
        <v>486</v>
      </c>
      <c r="C65" s="240"/>
      <c r="D65" s="188">
        <v>3000</v>
      </c>
      <c r="E65" s="188">
        <v>0</v>
      </c>
      <c r="F65" s="188">
        <v>3000</v>
      </c>
      <c r="G65" s="188">
        <v>3000</v>
      </c>
      <c r="H65" s="188">
        <v>0</v>
      </c>
      <c r="I65" s="188">
        <v>0</v>
      </c>
      <c r="J65" s="188"/>
      <c r="K65" s="188">
        <v>0</v>
      </c>
      <c r="L65" s="188">
        <v>0</v>
      </c>
      <c r="M65" s="231"/>
      <c r="N65" s="231"/>
      <c r="O65" s="188">
        <v>3000</v>
      </c>
      <c r="P65" s="188">
        <v>0</v>
      </c>
      <c r="Q65" s="186">
        <v>0</v>
      </c>
      <c r="R65" s="188">
        <v>0</v>
      </c>
      <c r="S65" s="185">
        <v>0</v>
      </c>
      <c r="T65" s="185">
        <v>0</v>
      </c>
      <c r="U65" s="188">
        <v>29.387</v>
      </c>
      <c r="V65" s="185">
        <v>9.7956666666666661E-3</v>
      </c>
      <c r="W65" s="185">
        <v>1.0311228070175439E-2</v>
      </c>
      <c r="X65" s="188">
        <v>29.387</v>
      </c>
      <c r="Y65" s="185">
        <v>9.7956666666666661E-3</v>
      </c>
      <c r="Z65" s="185">
        <v>1.0311228070175439E-2</v>
      </c>
      <c r="AA65" s="188">
        <v>29.387</v>
      </c>
      <c r="AB65" s="185">
        <v>9.7956666666666661E-3</v>
      </c>
      <c r="AC65" s="185">
        <v>1.0311228070175439E-2</v>
      </c>
      <c r="AD65" s="188">
        <v>1156.492</v>
      </c>
      <c r="AE65" s="185">
        <v>0.3854973333333333</v>
      </c>
      <c r="AF65" s="185">
        <v>0.40578666666666663</v>
      </c>
      <c r="AG65" s="188">
        <v>1156.492</v>
      </c>
      <c r="AH65" s="185">
        <v>0.3854973333333333</v>
      </c>
      <c r="AI65" s="185">
        <v>0.40578666666666663</v>
      </c>
      <c r="AJ65" s="307">
        <v>1156.492</v>
      </c>
      <c r="AK65" s="185">
        <v>0.3854973333333333</v>
      </c>
      <c r="AL65" s="185">
        <v>0.40578666666666663</v>
      </c>
      <c r="AM65" s="188">
        <v>1156.492</v>
      </c>
      <c r="AN65" s="185">
        <v>0.3854973333333333</v>
      </c>
      <c r="AO65" s="185">
        <v>0.40578666666666663</v>
      </c>
      <c r="AP65" s="185"/>
      <c r="AQ65" s="188">
        <v>1281.7329999999999</v>
      </c>
      <c r="AR65" s="185">
        <v>0.42724433333333334</v>
      </c>
      <c r="AS65" s="185">
        <v>0.44973087719298244</v>
      </c>
      <c r="AT65" s="188">
        <v>1281.7329999999999</v>
      </c>
      <c r="AU65" s="185">
        <v>0.42724433333333334</v>
      </c>
      <c r="AV65" s="185">
        <v>0.44973087719298244</v>
      </c>
      <c r="AW65" s="185"/>
      <c r="AX65" s="185"/>
      <c r="AY65" s="185"/>
      <c r="AZ65" s="185"/>
      <c r="BA65" s="185"/>
      <c r="BB65" s="185"/>
      <c r="BC65" s="188">
        <v>1281.7329999999999</v>
      </c>
      <c r="BD65" s="185">
        <v>0.42724433333333334</v>
      </c>
      <c r="BE65" s="185">
        <v>0.44973087719298244</v>
      </c>
      <c r="BF65" s="352"/>
      <c r="BG65" s="352">
        <v>1742.1120000000001</v>
      </c>
      <c r="BH65" s="185">
        <v>0.580704</v>
      </c>
      <c r="BI65" s="185">
        <v>0.61126736842105267</v>
      </c>
      <c r="BJ65" s="374">
        <v>2850</v>
      </c>
      <c r="BK65" s="374">
        <v>1742.1120000000001</v>
      </c>
      <c r="BL65" s="185">
        <v>0.580704</v>
      </c>
      <c r="BM65" s="185">
        <v>0.61126736842105267</v>
      </c>
      <c r="BN65" s="374">
        <v>1742.1120000000001</v>
      </c>
      <c r="BO65" s="185">
        <f t="shared" si="87"/>
        <v>0.580704</v>
      </c>
      <c r="BP65" s="185">
        <f t="shared" si="88"/>
        <v>0.61126736842105267</v>
      </c>
      <c r="BQ65" s="205">
        <f t="shared" si="89"/>
        <v>585.62000000000012</v>
      </c>
      <c r="BR65" s="205"/>
      <c r="BS65" s="189" t="e">
        <f>#REF!</f>
        <v>#REF!</v>
      </c>
      <c r="BT65" s="186" t="e">
        <f t="shared" si="90"/>
        <v>#REF!</v>
      </c>
      <c r="BU65" s="189" t="e">
        <f>#REF!</f>
        <v>#REF!</v>
      </c>
      <c r="BV65" s="186" t="e">
        <f t="shared" si="91"/>
        <v>#REF!</v>
      </c>
      <c r="BW65" s="189" t="e">
        <f>#REF!</f>
        <v>#REF!</v>
      </c>
      <c r="BX65" s="186" t="e">
        <f t="shared" si="92"/>
        <v>#REF!</v>
      </c>
      <c r="BY65" s="189" t="e">
        <f>#REF!</f>
        <v>#REF!</v>
      </c>
      <c r="BZ65" s="186" t="e">
        <f t="shared" si="93"/>
        <v>#REF!</v>
      </c>
      <c r="CA65" s="189" t="e">
        <f>#REF!</f>
        <v>#REF!</v>
      </c>
      <c r="CB65" s="186" t="e">
        <f t="shared" si="94"/>
        <v>#REF!</v>
      </c>
      <c r="CC65" s="189" t="e">
        <f>#REF!</f>
        <v>#REF!</v>
      </c>
      <c r="CD65" s="186" t="e">
        <f t="shared" si="95"/>
        <v>#REF!</v>
      </c>
      <c r="CE65" s="189" t="e">
        <f>#REF!</f>
        <v>#REF!</v>
      </c>
      <c r="CF65" s="186" t="e">
        <f t="shared" si="96"/>
        <v>#REF!</v>
      </c>
      <c r="CG65" s="189" t="e">
        <f>#REF!</f>
        <v>#REF!</v>
      </c>
      <c r="CH65" s="186" t="e">
        <f t="shared" si="97"/>
        <v>#REF!</v>
      </c>
      <c r="CI65" s="189" t="e">
        <f>#REF!</f>
        <v>#REF!</v>
      </c>
      <c r="CJ65" s="186" t="e">
        <f t="shared" si="98"/>
        <v>#REF!</v>
      </c>
      <c r="CK65" s="189" t="e">
        <f>#REF!</f>
        <v>#REF!</v>
      </c>
      <c r="CL65" s="186" t="e">
        <f t="shared" si="99"/>
        <v>#REF!</v>
      </c>
      <c r="CM65" s="189" t="e">
        <f>#REF!</f>
        <v>#REF!</v>
      </c>
      <c r="CN65" s="186" t="e">
        <f t="shared" si="100"/>
        <v>#REF!</v>
      </c>
      <c r="CO65" s="189" t="e">
        <f>#REF!</f>
        <v>#REF!</v>
      </c>
      <c r="CP65" s="186" t="e">
        <f t="shared" si="101"/>
        <v>#REF!</v>
      </c>
      <c r="CQ65" s="189" t="e">
        <f>#REF!</f>
        <v>#REF!</v>
      </c>
      <c r="CR65" s="186" t="e">
        <f t="shared" si="102"/>
        <v>#REF!</v>
      </c>
      <c r="CS65" s="213" t="str">
        <f t="shared" si="103"/>
        <v>Đạt</v>
      </c>
      <c r="CT65" s="213" t="str">
        <f t="shared" si="104"/>
        <v>Đạt</v>
      </c>
      <c r="CU65" s="213"/>
      <c r="CV65" s="213"/>
      <c r="CW65" s="231"/>
      <c r="CX65" s="163"/>
      <c r="CZ65" s="195"/>
      <c r="DA65" s="196"/>
      <c r="DB65" s="196"/>
      <c r="DC65" s="197"/>
      <c r="DD65" s="196"/>
      <c r="DE65" s="196"/>
      <c r="DF65" s="196"/>
      <c r="DH65" s="199"/>
      <c r="DI65" s="200"/>
      <c r="DJ65" s="181"/>
    </row>
    <row r="66" spans="1:115" ht="18" customHeight="1" x14ac:dyDescent="0.25">
      <c r="A66" s="213">
        <v>36</v>
      </c>
      <c r="B66" s="240" t="s">
        <v>390</v>
      </c>
      <c r="C66" s="240"/>
      <c r="D66" s="188">
        <v>3425</v>
      </c>
      <c r="E66" s="188">
        <v>0</v>
      </c>
      <c r="F66" s="188">
        <v>3425</v>
      </c>
      <c r="G66" s="188">
        <v>3000</v>
      </c>
      <c r="H66" s="188">
        <v>425</v>
      </c>
      <c r="I66" s="188">
        <v>0</v>
      </c>
      <c r="J66" s="188"/>
      <c r="K66" s="188">
        <v>0</v>
      </c>
      <c r="L66" s="188">
        <v>0</v>
      </c>
      <c r="M66" s="188">
        <v>0</v>
      </c>
      <c r="N66" s="188">
        <v>0</v>
      </c>
      <c r="O66" s="188">
        <v>3000</v>
      </c>
      <c r="P66" s="188">
        <v>0</v>
      </c>
      <c r="Q66" s="186">
        <v>0</v>
      </c>
      <c r="R66" s="188">
        <v>0</v>
      </c>
      <c r="S66" s="185">
        <v>0</v>
      </c>
      <c r="T66" s="185">
        <v>0</v>
      </c>
      <c r="U66" s="188">
        <v>0</v>
      </c>
      <c r="V66" s="185">
        <v>0</v>
      </c>
      <c r="W66" s="185">
        <v>0</v>
      </c>
      <c r="X66" s="188">
        <v>0</v>
      </c>
      <c r="Y66" s="185">
        <v>0</v>
      </c>
      <c r="Z66" s="185">
        <v>0</v>
      </c>
      <c r="AA66" s="188">
        <v>0</v>
      </c>
      <c r="AB66" s="185">
        <v>0</v>
      </c>
      <c r="AC66" s="185">
        <v>0</v>
      </c>
      <c r="AD66" s="188">
        <v>295.38400000000001</v>
      </c>
      <c r="AE66" s="185">
        <v>0.54510948905109491</v>
      </c>
      <c r="AF66" s="185">
        <v>0.5737994621590472</v>
      </c>
      <c r="AG66" s="188">
        <v>1867</v>
      </c>
      <c r="AH66" s="185">
        <v>0.54510948905109491</v>
      </c>
      <c r="AI66" s="185">
        <v>0.5737994621590472</v>
      </c>
      <c r="AJ66" s="303">
        <v>1867</v>
      </c>
      <c r="AK66" s="185">
        <v>0.54510948905109491</v>
      </c>
      <c r="AL66" s="185">
        <v>0.5737994621590472</v>
      </c>
      <c r="AM66" s="188">
        <v>295.38400000000001</v>
      </c>
      <c r="AN66" s="185">
        <v>8.6243503649635039E-2</v>
      </c>
      <c r="AO66" s="185">
        <v>9.0782635420668459E-2</v>
      </c>
      <c r="AP66" s="185"/>
      <c r="AQ66" s="188">
        <v>295.38400000000001</v>
      </c>
      <c r="AR66" s="185">
        <v>8.6243503649635039E-2</v>
      </c>
      <c r="AS66" s="185">
        <v>9.0782635420668459E-2</v>
      </c>
      <c r="AT66" s="188">
        <v>295.38400000000001</v>
      </c>
      <c r="AU66" s="185">
        <v>8.6243503649635039E-2</v>
      </c>
      <c r="AV66" s="185">
        <v>9.0782635420668459E-2</v>
      </c>
      <c r="AW66" s="185"/>
      <c r="AX66" s="185"/>
      <c r="AY66" s="185"/>
      <c r="AZ66" s="185"/>
      <c r="BA66" s="185"/>
      <c r="BB66" s="185"/>
      <c r="BC66" s="188">
        <v>295.38400000000001</v>
      </c>
      <c r="BD66" s="185">
        <v>8.6243503649635039E-2</v>
      </c>
      <c r="BE66" s="185">
        <v>9.0782635420668459E-2</v>
      </c>
      <c r="BF66" s="188"/>
      <c r="BG66" s="188">
        <v>1940.269</v>
      </c>
      <c r="BH66" s="185">
        <v>0.56650189781021898</v>
      </c>
      <c r="BI66" s="185">
        <v>0.59631778716865158</v>
      </c>
      <c r="BJ66" s="188">
        <v>3253.75</v>
      </c>
      <c r="BK66" s="188">
        <v>1940.269</v>
      </c>
      <c r="BL66" s="185">
        <v>0.56650189781021898</v>
      </c>
      <c r="BM66" s="185">
        <v>0.59631778716865158</v>
      </c>
      <c r="BN66" s="188">
        <v>1940.269</v>
      </c>
      <c r="BO66" s="185">
        <f t="shared" si="87"/>
        <v>0.56650189781021898</v>
      </c>
      <c r="BP66" s="185">
        <f t="shared" si="88"/>
        <v>0.59631778716865158</v>
      </c>
      <c r="BQ66" s="205">
        <f t="shared" si="89"/>
        <v>1644.885</v>
      </c>
      <c r="BR66" s="205"/>
      <c r="BS66" s="189" t="e">
        <f>#REF!+#REF!</f>
        <v>#REF!</v>
      </c>
      <c r="BT66" s="186" t="e">
        <f t="shared" si="90"/>
        <v>#REF!</v>
      </c>
      <c r="BU66" s="189" t="e">
        <f>#REF!+#REF!</f>
        <v>#REF!</v>
      </c>
      <c r="BV66" s="186" t="e">
        <f t="shared" si="91"/>
        <v>#REF!</v>
      </c>
      <c r="BW66" s="189" t="e">
        <f>#REF!+#REF!</f>
        <v>#REF!</v>
      </c>
      <c r="BX66" s="186" t="e">
        <f t="shared" si="92"/>
        <v>#REF!</v>
      </c>
      <c r="BY66" s="189" t="e">
        <f>#REF!+#REF!</f>
        <v>#REF!</v>
      </c>
      <c r="BZ66" s="186" t="e">
        <f t="shared" si="93"/>
        <v>#REF!</v>
      </c>
      <c r="CA66" s="189" t="e">
        <f>#REF!+#REF!</f>
        <v>#REF!</v>
      </c>
      <c r="CB66" s="186" t="e">
        <f t="shared" si="94"/>
        <v>#REF!</v>
      </c>
      <c r="CC66" s="189" t="e">
        <f>#REF!+#REF!</f>
        <v>#REF!</v>
      </c>
      <c r="CD66" s="186" t="e">
        <f t="shared" si="95"/>
        <v>#REF!</v>
      </c>
      <c r="CE66" s="189" t="e">
        <f>#REF!+#REF!</f>
        <v>#REF!</v>
      </c>
      <c r="CF66" s="186" t="e">
        <f t="shared" si="96"/>
        <v>#REF!</v>
      </c>
      <c r="CG66" s="189" t="e">
        <f>#REF!+#REF!</f>
        <v>#REF!</v>
      </c>
      <c r="CH66" s="186" t="e">
        <f t="shared" si="97"/>
        <v>#REF!</v>
      </c>
      <c r="CI66" s="189" t="e">
        <f>#REF!+#REF!</f>
        <v>#REF!</v>
      </c>
      <c r="CJ66" s="186" t="e">
        <f t="shared" si="98"/>
        <v>#REF!</v>
      </c>
      <c r="CK66" s="189" t="e">
        <f>#REF!+#REF!</f>
        <v>#REF!</v>
      </c>
      <c r="CL66" s="186" t="e">
        <f t="shared" si="99"/>
        <v>#REF!</v>
      </c>
      <c r="CM66" s="189" t="e">
        <f>#REF!+#REF!</f>
        <v>#REF!</v>
      </c>
      <c r="CN66" s="186" t="e">
        <f t="shared" si="100"/>
        <v>#REF!</v>
      </c>
      <c r="CO66" s="189" t="e">
        <f>#REF!+#REF!</f>
        <v>#REF!</v>
      </c>
      <c r="CP66" s="186" t="e">
        <f t="shared" si="101"/>
        <v>#REF!</v>
      </c>
      <c r="CQ66" s="189" t="e">
        <f>#REF!+#REF!</f>
        <v>#REF!</v>
      </c>
      <c r="CR66" s="186" t="e">
        <f t="shared" si="102"/>
        <v>#REF!</v>
      </c>
      <c r="CS66" s="213" t="str">
        <f t="shared" si="103"/>
        <v>Đạt</v>
      </c>
      <c r="CT66" s="213" t="str">
        <f t="shared" si="104"/>
        <v>Đạt</v>
      </c>
      <c r="CU66" s="213"/>
      <c r="CV66" s="213"/>
      <c r="CW66" s="231"/>
      <c r="CX66" s="163"/>
      <c r="CZ66" s="195"/>
      <c r="DA66" s="196"/>
      <c r="DB66" s="196"/>
      <c r="DC66" s="197"/>
      <c r="DD66" s="196"/>
      <c r="DE66" s="196"/>
      <c r="DF66" s="196"/>
      <c r="DH66" s="199"/>
      <c r="DI66" s="200"/>
      <c r="DJ66" s="181"/>
    </row>
    <row r="67" spans="1:115" ht="18" customHeight="1" x14ac:dyDescent="0.25">
      <c r="A67" s="213">
        <v>37</v>
      </c>
      <c r="B67" s="240" t="s">
        <v>511</v>
      </c>
      <c r="C67" s="240"/>
      <c r="D67" s="188">
        <v>28550</v>
      </c>
      <c r="E67" s="188">
        <v>0</v>
      </c>
      <c r="F67" s="188">
        <v>28550</v>
      </c>
      <c r="G67" s="188">
        <v>26000</v>
      </c>
      <c r="H67" s="188">
        <v>2550</v>
      </c>
      <c r="I67" s="188">
        <v>0</v>
      </c>
      <c r="J67" s="188"/>
      <c r="K67" s="188">
        <v>0</v>
      </c>
      <c r="L67" s="188">
        <v>0</v>
      </c>
      <c r="M67" s="188">
        <v>0</v>
      </c>
      <c r="N67" s="188">
        <v>0</v>
      </c>
      <c r="O67" s="188">
        <v>26000</v>
      </c>
      <c r="P67" s="188">
        <v>2439</v>
      </c>
      <c r="Q67" s="186">
        <v>8.5429071803852896E-2</v>
      </c>
      <c r="R67" s="189">
        <v>7463.9420440000004</v>
      </c>
      <c r="S67" s="185">
        <v>0.26143404707530649</v>
      </c>
      <c r="T67" s="185">
        <v>0.2751937337634805</v>
      </c>
      <c r="U67" s="189">
        <v>7463.9420440000004</v>
      </c>
      <c r="V67" s="185">
        <v>0.26143404707530649</v>
      </c>
      <c r="W67" s="185">
        <v>0.2751937337634805</v>
      </c>
      <c r="X67" s="189">
        <v>7463.9420440000004</v>
      </c>
      <c r="Y67" s="185">
        <v>0.26143404707530649</v>
      </c>
      <c r="Z67" s="185">
        <v>0.2751937337634805</v>
      </c>
      <c r="AA67" s="189">
        <v>7463.9420440000004</v>
      </c>
      <c r="AB67" s="185">
        <v>0.26143404707530649</v>
      </c>
      <c r="AC67" s="185">
        <v>0.2751937337634805</v>
      </c>
      <c r="AD67" s="189">
        <v>8400</v>
      </c>
      <c r="AE67" s="185">
        <v>0.29422066549912435</v>
      </c>
      <c r="AF67" s="185">
        <v>0.30970596368328879</v>
      </c>
      <c r="AG67" s="189">
        <v>8400</v>
      </c>
      <c r="AH67" s="185">
        <v>0.29422066549912435</v>
      </c>
      <c r="AI67" s="185">
        <v>0.30970596368328879</v>
      </c>
      <c r="AJ67" s="307">
        <v>8400</v>
      </c>
      <c r="AK67" s="185">
        <v>0.29422066549912435</v>
      </c>
      <c r="AL67" s="185">
        <v>0.30970596368328879</v>
      </c>
      <c r="AM67" s="189">
        <v>8400</v>
      </c>
      <c r="AN67" s="185">
        <v>0.29422066549912435</v>
      </c>
      <c r="AO67" s="185">
        <v>0.30970596368328879</v>
      </c>
      <c r="AP67" s="185"/>
      <c r="AQ67" s="189">
        <v>11326</v>
      </c>
      <c r="AR67" s="185">
        <v>0.39670753064798597</v>
      </c>
      <c r="AS67" s="185">
        <v>0.41758687436630104</v>
      </c>
      <c r="AT67" s="189">
        <v>11326</v>
      </c>
      <c r="AU67" s="185">
        <v>0.39670753064798597</v>
      </c>
      <c r="AV67" s="185">
        <v>0.41758687436630104</v>
      </c>
      <c r="AW67" s="185"/>
      <c r="AX67" s="185"/>
      <c r="AY67" s="185"/>
      <c r="AZ67" s="185"/>
      <c r="BA67" s="185"/>
      <c r="BB67" s="185"/>
      <c r="BC67" s="189">
        <v>11326</v>
      </c>
      <c r="BD67" s="185">
        <v>0.39670753064798597</v>
      </c>
      <c r="BE67" s="185">
        <v>0.41758687436630104</v>
      </c>
      <c r="BF67" s="352"/>
      <c r="BG67" s="352">
        <v>12293</v>
      </c>
      <c r="BH67" s="185">
        <v>0.43057793345008755</v>
      </c>
      <c r="BI67" s="185">
        <v>0.4532399299474606</v>
      </c>
      <c r="BJ67" s="374">
        <v>27122.5</v>
      </c>
      <c r="BK67" s="374">
        <v>15893</v>
      </c>
      <c r="BL67" s="185">
        <v>0.55667250437828375</v>
      </c>
      <c r="BM67" s="185">
        <v>0.58597105724029863</v>
      </c>
      <c r="BN67" s="374">
        <v>15893</v>
      </c>
      <c r="BO67" s="185">
        <f t="shared" si="87"/>
        <v>0.55667250437828375</v>
      </c>
      <c r="BP67" s="185">
        <f t="shared" si="88"/>
        <v>0.58597105724029863</v>
      </c>
      <c r="BQ67" s="205">
        <f t="shared" si="89"/>
        <v>7493</v>
      </c>
      <c r="BR67" s="205"/>
      <c r="BS67" s="189" t="e">
        <f>#REF!+#REF!+#REF!</f>
        <v>#REF!</v>
      </c>
      <c r="BT67" s="186" t="e">
        <f t="shared" si="90"/>
        <v>#REF!</v>
      </c>
      <c r="BU67" s="189" t="e">
        <f>#REF!+#REF!+#REF!</f>
        <v>#REF!</v>
      </c>
      <c r="BV67" s="186" t="e">
        <f t="shared" si="91"/>
        <v>#REF!</v>
      </c>
      <c r="BW67" s="189" t="e">
        <f>#REF!+#REF!+#REF!</f>
        <v>#REF!</v>
      </c>
      <c r="BX67" s="186" t="e">
        <f t="shared" si="92"/>
        <v>#REF!</v>
      </c>
      <c r="BY67" s="189" t="e">
        <f>#REF!+#REF!+#REF!</f>
        <v>#REF!</v>
      </c>
      <c r="BZ67" s="186" t="e">
        <f t="shared" si="93"/>
        <v>#REF!</v>
      </c>
      <c r="CA67" s="189" t="e">
        <f>#REF!+#REF!+#REF!</f>
        <v>#REF!</v>
      </c>
      <c r="CB67" s="186" t="e">
        <f t="shared" si="94"/>
        <v>#REF!</v>
      </c>
      <c r="CC67" s="189" t="e">
        <f>#REF!+#REF!+#REF!</f>
        <v>#REF!</v>
      </c>
      <c r="CD67" s="186" t="e">
        <f t="shared" si="95"/>
        <v>#REF!</v>
      </c>
      <c r="CE67" s="189" t="e">
        <f>#REF!+#REF!+#REF!</f>
        <v>#REF!</v>
      </c>
      <c r="CF67" s="186" t="e">
        <f t="shared" si="96"/>
        <v>#REF!</v>
      </c>
      <c r="CG67" s="189" t="e">
        <f>#REF!+#REF!+#REF!</f>
        <v>#REF!</v>
      </c>
      <c r="CH67" s="186" t="e">
        <f t="shared" si="97"/>
        <v>#REF!</v>
      </c>
      <c r="CI67" s="189" t="e">
        <f>#REF!+#REF!+#REF!</f>
        <v>#REF!</v>
      </c>
      <c r="CJ67" s="186" t="e">
        <f t="shared" si="98"/>
        <v>#REF!</v>
      </c>
      <c r="CK67" s="189" t="e">
        <f>#REF!+#REF!+#REF!</f>
        <v>#REF!</v>
      </c>
      <c r="CL67" s="186" t="e">
        <f t="shared" si="99"/>
        <v>#REF!</v>
      </c>
      <c r="CM67" s="189" t="e">
        <f>#REF!+#REF!+#REF!</f>
        <v>#REF!</v>
      </c>
      <c r="CN67" s="186" t="e">
        <f t="shared" si="100"/>
        <v>#REF!</v>
      </c>
      <c r="CO67" s="189" t="e">
        <f>#REF!+#REF!+#REF!</f>
        <v>#REF!</v>
      </c>
      <c r="CP67" s="186" t="e">
        <f t="shared" si="101"/>
        <v>#REF!</v>
      </c>
      <c r="CQ67" s="189" t="e">
        <f>#REF!+#REF!+#REF!</f>
        <v>#REF!</v>
      </c>
      <c r="CR67" s="186" t="e">
        <f t="shared" si="102"/>
        <v>#REF!</v>
      </c>
      <c r="CS67" s="213" t="str">
        <f t="shared" si="103"/>
        <v>Đạt</v>
      </c>
      <c r="CT67" s="213" t="str">
        <f t="shared" si="104"/>
        <v>Đạt</v>
      </c>
      <c r="CU67" s="213"/>
      <c r="CV67" s="213"/>
      <c r="CW67" s="231"/>
      <c r="CX67" s="163"/>
      <c r="CZ67" s="195"/>
      <c r="DA67" s="196"/>
      <c r="DB67" s="196"/>
      <c r="DC67" s="197"/>
      <c r="DD67" s="196"/>
      <c r="DE67" s="196"/>
      <c r="DF67" s="196"/>
      <c r="DH67" s="199"/>
      <c r="DI67" s="200"/>
      <c r="DJ67" s="181"/>
      <c r="DK67" s="336"/>
    </row>
    <row r="68" spans="1:115" ht="18" customHeight="1" x14ac:dyDescent="0.25">
      <c r="A68" s="213">
        <v>38</v>
      </c>
      <c r="B68" s="240" t="s">
        <v>442</v>
      </c>
      <c r="C68" s="240"/>
      <c r="D68" s="188">
        <v>3000</v>
      </c>
      <c r="E68" s="188">
        <v>0</v>
      </c>
      <c r="F68" s="188">
        <v>3000</v>
      </c>
      <c r="G68" s="188">
        <v>3000</v>
      </c>
      <c r="H68" s="188">
        <v>0</v>
      </c>
      <c r="I68" s="188">
        <v>0</v>
      </c>
      <c r="J68" s="188"/>
      <c r="K68" s="188">
        <v>0</v>
      </c>
      <c r="L68" s="188">
        <v>0</v>
      </c>
      <c r="M68" s="231"/>
      <c r="N68" s="231"/>
      <c r="O68" s="188">
        <v>3000</v>
      </c>
      <c r="P68" s="188">
        <v>0</v>
      </c>
      <c r="Q68" s="186">
        <v>0</v>
      </c>
      <c r="R68" s="188">
        <v>0</v>
      </c>
      <c r="S68" s="185">
        <v>0</v>
      </c>
      <c r="T68" s="185">
        <v>0</v>
      </c>
      <c r="U68" s="188">
        <v>0</v>
      </c>
      <c r="V68" s="185">
        <v>0</v>
      </c>
      <c r="W68" s="185">
        <v>0</v>
      </c>
      <c r="X68" s="188">
        <v>0</v>
      </c>
      <c r="Y68" s="185">
        <v>0</v>
      </c>
      <c r="Z68" s="185">
        <v>0</v>
      </c>
      <c r="AA68" s="188">
        <v>0</v>
      </c>
      <c r="AB68" s="185">
        <v>0</v>
      </c>
      <c r="AC68" s="185">
        <v>0</v>
      </c>
      <c r="AD68" s="188">
        <v>598</v>
      </c>
      <c r="AE68" s="185">
        <v>0.19933333333333333</v>
      </c>
      <c r="AF68" s="185">
        <v>0.20982456140350877</v>
      </c>
      <c r="AG68" s="188">
        <v>598</v>
      </c>
      <c r="AH68" s="185">
        <v>0.19933333333333333</v>
      </c>
      <c r="AI68" s="185">
        <v>0.20982456140350877</v>
      </c>
      <c r="AJ68" s="303">
        <v>598</v>
      </c>
      <c r="AK68" s="185">
        <v>0.19933333333333333</v>
      </c>
      <c r="AL68" s="185">
        <v>0.20982456140350877</v>
      </c>
      <c r="AM68" s="188">
        <v>857</v>
      </c>
      <c r="AN68" s="185">
        <v>0.28566666666666668</v>
      </c>
      <c r="AO68" s="185">
        <v>0.30070175438596491</v>
      </c>
      <c r="AP68" s="185"/>
      <c r="AQ68" s="188">
        <v>857</v>
      </c>
      <c r="AR68" s="185">
        <v>0.28566666666666668</v>
      </c>
      <c r="AS68" s="185">
        <v>0.30070175438596491</v>
      </c>
      <c r="AT68" s="188">
        <v>857</v>
      </c>
      <c r="AU68" s="185">
        <v>0.28566666666666668</v>
      </c>
      <c r="AV68" s="185">
        <v>0.30070175438596491</v>
      </c>
      <c r="AW68" s="185"/>
      <c r="AX68" s="185"/>
      <c r="AY68" s="185"/>
      <c r="AZ68" s="185"/>
      <c r="BA68" s="185"/>
      <c r="BB68" s="185"/>
      <c r="BC68" s="188">
        <v>857</v>
      </c>
      <c r="BD68" s="185">
        <v>0.28566666666666668</v>
      </c>
      <c r="BE68" s="185">
        <v>0.30070175438596491</v>
      </c>
      <c r="BF68" s="188"/>
      <c r="BG68" s="188">
        <v>1661</v>
      </c>
      <c r="BH68" s="185">
        <v>0.55366666666666664</v>
      </c>
      <c r="BI68" s="185">
        <v>0.58280701754385966</v>
      </c>
      <c r="BJ68" s="188">
        <v>2850</v>
      </c>
      <c r="BK68" s="188">
        <v>1661</v>
      </c>
      <c r="BL68" s="185">
        <v>0.55366666666666664</v>
      </c>
      <c r="BM68" s="185">
        <v>0.58280701754385966</v>
      </c>
      <c r="BN68" s="188">
        <v>1661</v>
      </c>
      <c r="BO68" s="185">
        <f t="shared" si="87"/>
        <v>0.55366666666666664</v>
      </c>
      <c r="BP68" s="185">
        <f t="shared" si="88"/>
        <v>0.58280701754385966</v>
      </c>
      <c r="BQ68" s="205">
        <f t="shared" si="89"/>
        <v>1063</v>
      </c>
      <c r="BR68" s="205"/>
      <c r="BS68" s="189" t="e">
        <f>#REF!</f>
        <v>#REF!</v>
      </c>
      <c r="BT68" s="186" t="e">
        <f t="shared" si="90"/>
        <v>#REF!</v>
      </c>
      <c r="BU68" s="189" t="e">
        <f>#REF!</f>
        <v>#REF!</v>
      </c>
      <c r="BV68" s="186" t="e">
        <f t="shared" si="91"/>
        <v>#REF!</v>
      </c>
      <c r="BW68" s="189" t="e">
        <f>#REF!</f>
        <v>#REF!</v>
      </c>
      <c r="BX68" s="186" t="e">
        <f t="shared" si="92"/>
        <v>#REF!</v>
      </c>
      <c r="BY68" s="189" t="e">
        <f>#REF!</f>
        <v>#REF!</v>
      </c>
      <c r="BZ68" s="186" t="e">
        <f t="shared" si="93"/>
        <v>#REF!</v>
      </c>
      <c r="CA68" s="189" t="e">
        <f>#REF!</f>
        <v>#REF!</v>
      </c>
      <c r="CB68" s="186" t="e">
        <f t="shared" si="94"/>
        <v>#REF!</v>
      </c>
      <c r="CC68" s="189" t="e">
        <f>#REF!</f>
        <v>#REF!</v>
      </c>
      <c r="CD68" s="186" t="e">
        <f t="shared" si="95"/>
        <v>#REF!</v>
      </c>
      <c r="CE68" s="189" t="e">
        <f>#REF!</f>
        <v>#REF!</v>
      </c>
      <c r="CF68" s="186" t="e">
        <f t="shared" si="96"/>
        <v>#REF!</v>
      </c>
      <c r="CG68" s="189" t="e">
        <f>#REF!</f>
        <v>#REF!</v>
      </c>
      <c r="CH68" s="186" t="e">
        <f t="shared" si="97"/>
        <v>#REF!</v>
      </c>
      <c r="CI68" s="189" t="e">
        <f>#REF!</f>
        <v>#REF!</v>
      </c>
      <c r="CJ68" s="186" t="e">
        <f t="shared" si="98"/>
        <v>#REF!</v>
      </c>
      <c r="CK68" s="189" t="e">
        <f>#REF!</f>
        <v>#REF!</v>
      </c>
      <c r="CL68" s="186" t="e">
        <f t="shared" si="99"/>
        <v>#REF!</v>
      </c>
      <c r="CM68" s="189" t="e">
        <f>#REF!</f>
        <v>#REF!</v>
      </c>
      <c r="CN68" s="186" t="e">
        <f t="shared" si="100"/>
        <v>#REF!</v>
      </c>
      <c r="CO68" s="189" t="e">
        <f>#REF!</f>
        <v>#REF!</v>
      </c>
      <c r="CP68" s="186" t="e">
        <f t="shared" si="101"/>
        <v>#REF!</v>
      </c>
      <c r="CQ68" s="189" t="e">
        <f>#REF!</f>
        <v>#REF!</v>
      </c>
      <c r="CR68" s="186" t="e">
        <f t="shared" si="102"/>
        <v>#REF!</v>
      </c>
      <c r="CS68" s="213" t="str">
        <f t="shared" si="103"/>
        <v>Đạt</v>
      </c>
      <c r="CT68" s="213" t="str">
        <f t="shared" si="104"/>
        <v>Đạt</v>
      </c>
      <c r="CU68" s="213"/>
      <c r="CV68" s="213"/>
      <c r="CW68" s="231"/>
      <c r="CX68" s="163"/>
      <c r="CZ68" s="195"/>
      <c r="DA68" s="196"/>
      <c r="DB68" s="196"/>
      <c r="DC68" s="197"/>
      <c r="DD68" s="196"/>
      <c r="DE68" s="196"/>
      <c r="DF68" s="196"/>
      <c r="DH68" s="199"/>
      <c r="DI68" s="200"/>
      <c r="DJ68" s="181"/>
    </row>
    <row r="69" spans="1:115" ht="18" customHeight="1" x14ac:dyDescent="0.25">
      <c r="A69" s="213">
        <v>39</v>
      </c>
      <c r="B69" s="240" t="s">
        <v>479</v>
      </c>
      <c r="C69" s="240"/>
      <c r="D69" s="188">
        <v>3850</v>
      </c>
      <c r="E69" s="188">
        <v>0</v>
      </c>
      <c r="F69" s="188">
        <v>3850</v>
      </c>
      <c r="G69" s="188">
        <v>3000</v>
      </c>
      <c r="H69" s="188">
        <v>850</v>
      </c>
      <c r="I69" s="188">
        <v>0</v>
      </c>
      <c r="J69" s="188"/>
      <c r="K69" s="188">
        <v>0</v>
      </c>
      <c r="L69" s="188">
        <v>0</v>
      </c>
      <c r="M69" s="188">
        <v>0</v>
      </c>
      <c r="N69" s="188">
        <v>0</v>
      </c>
      <c r="O69" s="188">
        <v>3000</v>
      </c>
      <c r="P69" s="188">
        <v>0</v>
      </c>
      <c r="Q69" s="186">
        <v>0</v>
      </c>
      <c r="R69" s="188">
        <v>0</v>
      </c>
      <c r="S69" s="185">
        <v>0</v>
      </c>
      <c r="T69" s="185">
        <v>0</v>
      </c>
      <c r="U69" s="188">
        <v>0</v>
      </c>
      <c r="V69" s="185">
        <v>0</v>
      </c>
      <c r="W69" s="185">
        <v>0</v>
      </c>
      <c r="X69" s="188">
        <v>0</v>
      </c>
      <c r="Y69" s="185">
        <v>0</v>
      </c>
      <c r="Z69" s="185">
        <v>0</v>
      </c>
      <c r="AA69" s="188">
        <v>0</v>
      </c>
      <c r="AB69" s="185">
        <v>0</v>
      </c>
      <c r="AC69" s="185">
        <v>0</v>
      </c>
      <c r="AD69" s="188">
        <v>0</v>
      </c>
      <c r="AE69" s="185">
        <v>0</v>
      </c>
      <c r="AF69" s="185">
        <v>0</v>
      </c>
      <c r="AG69" s="188">
        <v>0</v>
      </c>
      <c r="AH69" s="185">
        <v>0</v>
      </c>
      <c r="AI69" s="185">
        <v>0</v>
      </c>
      <c r="AJ69" s="307">
        <v>0</v>
      </c>
      <c r="AK69" s="185">
        <v>0</v>
      </c>
      <c r="AL69" s="185">
        <v>0</v>
      </c>
      <c r="AM69" s="188">
        <v>0</v>
      </c>
      <c r="AN69" s="185">
        <v>0</v>
      </c>
      <c r="AO69" s="185">
        <v>0</v>
      </c>
      <c r="AP69" s="185"/>
      <c r="AQ69" s="188">
        <v>1201.6199999999999</v>
      </c>
      <c r="AR69" s="185">
        <v>0.31210909090909089</v>
      </c>
      <c r="AS69" s="185">
        <v>0.32853588516746407</v>
      </c>
      <c r="AT69" s="188">
        <v>1201.6199999999999</v>
      </c>
      <c r="AU69" s="185">
        <v>0.31210909090909089</v>
      </c>
      <c r="AV69" s="185">
        <v>0.32853588516746407</v>
      </c>
      <c r="AW69" s="185"/>
      <c r="AX69" s="185"/>
      <c r="AY69" s="185"/>
      <c r="AZ69" s="185"/>
      <c r="BA69" s="185"/>
      <c r="BB69" s="185"/>
      <c r="BC69" s="188">
        <v>1201.6199999999999</v>
      </c>
      <c r="BD69" s="185">
        <v>0.31210909090909089</v>
      </c>
      <c r="BE69" s="185">
        <v>0.32853588516746407</v>
      </c>
      <c r="BF69" s="352"/>
      <c r="BG69" s="352">
        <v>1410.17</v>
      </c>
      <c r="BH69" s="185">
        <v>0.36627792207792209</v>
      </c>
      <c r="BI69" s="185">
        <v>0.38555570745044432</v>
      </c>
      <c r="BJ69" s="374">
        <v>3657.5</v>
      </c>
      <c r="BK69" s="374">
        <v>2116.8000000000002</v>
      </c>
      <c r="BL69" s="185">
        <v>0.54981818181818187</v>
      </c>
      <c r="BM69" s="185">
        <v>0.57875598086124402</v>
      </c>
      <c r="BN69" s="374">
        <v>2116.8000000000002</v>
      </c>
      <c r="BO69" s="185">
        <f t="shared" si="87"/>
        <v>0.54981818181818187</v>
      </c>
      <c r="BP69" s="185">
        <f t="shared" si="88"/>
        <v>0.57875598086124402</v>
      </c>
      <c r="BQ69" s="205">
        <f t="shared" si="89"/>
        <v>2116.8000000000002</v>
      </c>
      <c r="BR69" s="205"/>
      <c r="BS69" s="189" t="e">
        <f>#REF!+#REF!</f>
        <v>#REF!</v>
      </c>
      <c r="BT69" s="186" t="e">
        <f t="shared" si="90"/>
        <v>#REF!</v>
      </c>
      <c r="BU69" s="189" t="e">
        <f>#REF!+#REF!</f>
        <v>#REF!</v>
      </c>
      <c r="BV69" s="186" t="e">
        <f t="shared" si="91"/>
        <v>#REF!</v>
      </c>
      <c r="BW69" s="189" t="e">
        <f>#REF!+#REF!</f>
        <v>#REF!</v>
      </c>
      <c r="BX69" s="186" t="e">
        <f t="shared" si="92"/>
        <v>#REF!</v>
      </c>
      <c r="BY69" s="189" t="e">
        <f>#REF!+#REF!</f>
        <v>#REF!</v>
      </c>
      <c r="BZ69" s="186" t="e">
        <f t="shared" si="93"/>
        <v>#REF!</v>
      </c>
      <c r="CA69" s="189" t="e">
        <f>#REF!+#REF!</f>
        <v>#REF!</v>
      </c>
      <c r="CB69" s="186" t="e">
        <f t="shared" si="94"/>
        <v>#REF!</v>
      </c>
      <c r="CC69" s="189" t="e">
        <f>#REF!+#REF!</f>
        <v>#REF!</v>
      </c>
      <c r="CD69" s="186" t="e">
        <f t="shared" si="95"/>
        <v>#REF!</v>
      </c>
      <c r="CE69" s="189" t="e">
        <f>#REF!+#REF!</f>
        <v>#REF!</v>
      </c>
      <c r="CF69" s="186" t="e">
        <f t="shared" si="96"/>
        <v>#REF!</v>
      </c>
      <c r="CG69" s="189" t="e">
        <f>#REF!+#REF!</f>
        <v>#REF!</v>
      </c>
      <c r="CH69" s="186" t="e">
        <f t="shared" si="97"/>
        <v>#REF!</v>
      </c>
      <c r="CI69" s="189" t="e">
        <f>#REF!+#REF!</f>
        <v>#REF!</v>
      </c>
      <c r="CJ69" s="186" t="e">
        <f t="shared" si="98"/>
        <v>#REF!</v>
      </c>
      <c r="CK69" s="189" t="e">
        <f>#REF!+#REF!</f>
        <v>#REF!</v>
      </c>
      <c r="CL69" s="186" t="e">
        <f t="shared" si="99"/>
        <v>#REF!</v>
      </c>
      <c r="CM69" s="189" t="e">
        <f>#REF!+#REF!</f>
        <v>#REF!</v>
      </c>
      <c r="CN69" s="186" t="e">
        <f t="shared" si="100"/>
        <v>#REF!</v>
      </c>
      <c r="CO69" s="189" t="e">
        <f>#REF!+#REF!</f>
        <v>#REF!</v>
      </c>
      <c r="CP69" s="186" t="e">
        <f t="shared" si="101"/>
        <v>#REF!</v>
      </c>
      <c r="CQ69" s="189" t="e">
        <f>#REF!+#REF!</f>
        <v>#REF!</v>
      </c>
      <c r="CR69" s="186" t="e">
        <f t="shared" si="102"/>
        <v>#REF!</v>
      </c>
      <c r="CS69" s="213" t="str">
        <f t="shared" si="103"/>
        <v>Đạt</v>
      </c>
      <c r="CT69" s="213" t="str">
        <f t="shared" si="104"/>
        <v>Đạt</v>
      </c>
      <c r="CU69" s="213"/>
      <c r="CV69" s="213"/>
      <c r="CW69" s="229"/>
      <c r="CX69" s="163"/>
      <c r="CZ69" s="195"/>
      <c r="DA69" s="196"/>
      <c r="DB69" s="196"/>
      <c r="DC69" s="197"/>
      <c r="DD69" s="196"/>
      <c r="DE69" s="196"/>
      <c r="DF69" s="196"/>
      <c r="DH69" s="199"/>
      <c r="DI69" s="200"/>
      <c r="DJ69" s="181"/>
    </row>
    <row r="70" spans="1:115" ht="18" customHeight="1" x14ac:dyDescent="0.25">
      <c r="A70" s="213">
        <v>40</v>
      </c>
      <c r="B70" s="240" t="s">
        <v>509</v>
      </c>
      <c r="C70" s="240"/>
      <c r="D70" s="188">
        <v>3000</v>
      </c>
      <c r="E70" s="188">
        <v>0</v>
      </c>
      <c r="F70" s="188">
        <v>3000</v>
      </c>
      <c r="G70" s="188">
        <v>3000</v>
      </c>
      <c r="H70" s="188">
        <v>0</v>
      </c>
      <c r="I70" s="188">
        <v>0</v>
      </c>
      <c r="J70" s="188"/>
      <c r="K70" s="188">
        <v>0</v>
      </c>
      <c r="L70" s="188">
        <v>0</v>
      </c>
      <c r="M70" s="231"/>
      <c r="N70" s="231"/>
      <c r="O70" s="188">
        <v>3000</v>
      </c>
      <c r="P70" s="188">
        <v>0</v>
      </c>
      <c r="Q70" s="186">
        <v>0</v>
      </c>
      <c r="R70" s="188">
        <v>0</v>
      </c>
      <c r="S70" s="185">
        <v>0</v>
      </c>
      <c r="T70" s="185">
        <v>0</v>
      </c>
      <c r="U70" s="188">
        <v>0</v>
      </c>
      <c r="V70" s="185">
        <v>0</v>
      </c>
      <c r="W70" s="185">
        <v>0</v>
      </c>
      <c r="X70" s="188">
        <v>0</v>
      </c>
      <c r="Y70" s="185">
        <v>0</v>
      </c>
      <c r="Z70" s="185">
        <v>0</v>
      </c>
      <c r="AA70" s="188">
        <v>0</v>
      </c>
      <c r="AB70" s="185">
        <v>0</v>
      </c>
      <c r="AC70" s="185">
        <v>0</v>
      </c>
      <c r="AD70" s="188">
        <v>0</v>
      </c>
      <c r="AE70" s="185">
        <v>0</v>
      </c>
      <c r="AF70" s="185">
        <v>0</v>
      </c>
      <c r="AG70" s="188">
        <v>0</v>
      </c>
      <c r="AH70" s="185">
        <v>0</v>
      </c>
      <c r="AI70" s="185">
        <v>0</v>
      </c>
      <c r="AJ70" s="303">
        <v>0</v>
      </c>
      <c r="AK70" s="185">
        <v>0</v>
      </c>
      <c r="AL70" s="185">
        <v>0</v>
      </c>
      <c r="AM70" s="188">
        <v>0</v>
      </c>
      <c r="AN70" s="185">
        <v>0</v>
      </c>
      <c r="AO70" s="185">
        <v>0</v>
      </c>
      <c r="AP70" s="185"/>
      <c r="AQ70" s="188">
        <v>0</v>
      </c>
      <c r="AR70" s="185">
        <v>0</v>
      </c>
      <c r="AS70" s="185">
        <v>0</v>
      </c>
      <c r="AT70" s="188">
        <v>0</v>
      </c>
      <c r="AU70" s="185">
        <v>0</v>
      </c>
      <c r="AV70" s="185">
        <v>0</v>
      </c>
      <c r="AW70" s="185"/>
      <c r="AX70" s="185"/>
      <c r="AY70" s="185"/>
      <c r="AZ70" s="185"/>
      <c r="BA70" s="185"/>
      <c r="BB70" s="185"/>
      <c r="BC70" s="188">
        <v>0</v>
      </c>
      <c r="BD70" s="185">
        <v>0</v>
      </c>
      <c r="BE70" s="185">
        <v>0</v>
      </c>
      <c r="BF70" s="352"/>
      <c r="BG70" s="352">
        <v>184</v>
      </c>
      <c r="BH70" s="185">
        <v>6.133333333333333E-2</v>
      </c>
      <c r="BI70" s="185">
        <v>6.4561403508771931E-2</v>
      </c>
      <c r="BJ70" s="374">
        <v>2850</v>
      </c>
      <c r="BK70" s="374">
        <v>1637.4480000000001</v>
      </c>
      <c r="BL70" s="185">
        <v>0.54581600000000008</v>
      </c>
      <c r="BM70" s="185">
        <v>0.57454315789473687</v>
      </c>
      <c r="BN70" s="374">
        <v>1637.4480000000001</v>
      </c>
      <c r="BO70" s="185">
        <f t="shared" si="87"/>
        <v>0.54581600000000008</v>
      </c>
      <c r="BP70" s="185">
        <f t="shared" si="88"/>
        <v>0.57454315789473687</v>
      </c>
      <c r="BQ70" s="205">
        <f t="shared" si="89"/>
        <v>1637.4480000000001</v>
      </c>
      <c r="BR70" s="205"/>
      <c r="BS70" s="189" t="e">
        <f>#REF!</f>
        <v>#REF!</v>
      </c>
      <c r="BT70" s="186" t="e">
        <f t="shared" si="90"/>
        <v>#REF!</v>
      </c>
      <c r="BU70" s="189" t="e">
        <f>#REF!</f>
        <v>#REF!</v>
      </c>
      <c r="BV70" s="186" t="e">
        <f t="shared" si="91"/>
        <v>#REF!</v>
      </c>
      <c r="BW70" s="189" t="e">
        <f>#REF!</f>
        <v>#REF!</v>
      </c>
      <c r="BX70" s="186" t="e">
        <f t="shared" si="92"/>
        <v>#REF!</v>
      </c>
      <c r="BY70" s="189" t="e">
        <f>#REF!</f>
        <v>#REF!</v>
      </c>
      <c r="BZ70" s="186" t="e">
        <f t="shared" si="93"/>
        <v>#REF!</v>
      </c>
      <c r="CA70" s="189" t="e">
        <f>#REF!</f>
        <v>#REF!</v>
      </c>
      <c r="CB70" s="186" t="e">
        <f t="shared" si="94"/>
        <v>#REF!</v>
      </c>
      <c r="CC70" s="189" t="e">
        <f>#REF!</f>
        <v>#REF!</v>
      </c>
      <c r="CD70" s="186" t="e">
        <f t="shared" si="95"/>
        <v>#REF!</v>
      </c>
      <c r="CE70" s="189" t="e">
        <f>#REF!</f>
        <v>#REF!</v>
      </c>
      <c r="CF70" s="186" t="e">
        <f t="shared" si="96"/>
        <v>#REF!</v>
      </c>
      <c r="CG70" s="189" t="e">
        <f>#REF!</f>
        <v>#REF!</v>
      </c>
      <c r="CH70" s="186" t="e">
        <f t="shared" si="97"/>
        <v>#REF!</v>
      </c>
      <c r="CI70" s="189" t="e">
        <f>#REF!</f>
        <v>#REF!</v>
      </c>
      <c r="CJ70" s="186" t="e">
        <f t="shared" si="98"/>
        <v>#REF!</v>
      </c>
      <c r="CK70" s="189" t="e">
        <f>#REF!</f>
        <v>#REF!</v>
      </c>
      <c r="CL70" s="186" t="e">
        <f t="shared" si="99"/>
        <v>#REF!</v>
      </c>
      <c r="CM70" s="189" t="e">
        <f>#REF!</f>
        <v>#REF!</v>
      </c>
      <c r="CN70" s="186" t="e">
        <f t="shared" si="100"/>
        <v>#REF!</v>
      </c>
      <c r="CO70" s="189" t="e">
        <f>#REF!</f>
        <v>#REF!</v>
      </c>
      <c r="CP70" s="186" t="e">
        <f t="shared" si="101"/>
        <v>#REF!</v>
      </c>
      <c r="CQ70" s="189" t="e">
        <f>#REF!</f>
        <v>#REF!</v>
      </c>
      <c r="CR70" s="186" t="e">
        <f t="shared" si="102"/>
        <v>#REF!</v>
      </c>
      <c r="CS70" s="213" t="str">
        <f t="shared" si="103"/>
        <v>Đạt</v>
      </c>
      <c r="CT70" s="213" t="str">
        <f t="shared" si="104"/>
        <v>Đạt</v>
      </c>
      <c r="CU70" s="213"/>
      <c r="CV70" s="213"/>
      <c r="CW70" s="231"/>
      <c r="CX70" s="163"/>
      <c r="CZ70" s="195"/>
      <c r="DA70" s="196"/>
      <c r="DB70" s="196"/>
      <c r="DC70" s="197"/>
      <c r="DD70" s="196"/>
      <c r="DE70" s="196"/>
      <c r="DF70" s="196"/>
      <c r="DH70" s="199"/>
      <c r="DI70" s="200"/>
      <c r="DJ70" s="181"/>
    </row>
    <row r="71" spans="1:115" ht="18" customHeight="1" x14ac:dyDescent="0.25">
      <c r="A71" s="213">
        <v>41</v>
      </c>
      <c r="B71" s="240" t="s">
        <v>399</v>
      </c>
      <c r="C71" s="240"/>
      <c r="D71" s="188">
        <v>6700</v>
      </c>
      <c r="E71" s="188">
        <v>0</v>
      </c>
      <c r="F71" s="188">
        <v>6700</v>
      </c>
      <c r="G71" s="188">
        <v>3000</v>
      </c>
      <c r="H71" s="188">
        <v>3700</v>
      </c>
      <c r="I71" s="188">
        <v>1900</v>
      </c>
      <c r="J71" s="188"/>
      <c r="K71" s="188">
        <v>0</v>
      </c>
      <c r="L71" s="188">
        <v>0</v>
      </c>
      <c r="M71" s="188">
        <v>0</v>
      </c>
      <c r="N71" s="188">
        <v>0</v>
      </c>
      <c r="O71" s="188">
        <v>4900</v>
      </c>
      <c r="P71" s="188">
        <v>0</v>
      </c>
      <c r="Q71" s="186">
        <v>0</v>
      </c>
      <c r="R71" s="189">
        <v>800.19299999999998</v>
      </c>
      <c r="S71" s="185">
        <v>0.11943179104477612</v>
      </c>
      <c r="T71" s="185">
        <v>0.12571767478397486</v>
      </c>
      <c r="U71" s="189">
        <v>1735.1179999999999</v>
      </c>
      <c r="V71" s="185">
        <v>0.25897283582089553</v>
      </c>
      <c r="W71" s="185">
        <v>0.27260298507462688</v>
      </c>
      <c r="X71" s="189">
        <v>1735.1179999999999</v>
      </c>
      <c r="Y71" s="185">
        <v>0.25897283582089553</v>
      </c>
      <c r="Z71" s="185">
        <v>0.27260298507462688</v>
      </c>
      <c r="AA71" s="189">
        <v>1776.664</v>
      </c>
      <c r="AB71" s="185">
        <v>0.26517373134328359</v>
      </c>
      <c r="AC71" s="185">
        <v>0.27913024351924587</v>
      </c>
      <c r="AD71" s="189">
        <v>2317.6639999999998</v>
      </c>
      <c r="AE71" s="185">
        <v>0.34591999999999995</v>
      </c>
      <c r="AF71" s="185">
        <v>0.36412631578947363</v>
      </c>
      <c r="AG71" s="189">
        <v>2317.6639999999998</v>
      </c>
      <c r="AH71" s="185">
        <v>0.34591999999999995</v>
      </c>
      <c r="AI71" s="185">
        <v>0.36412631578947363</v>
      </c>
      <c r="AJ71" s="317">
        <v>2317.6639999999998</v>
      </c>
      <c r="AK71" s="185">
        <v>0.34591999999999995</v>
      </c>
      <c r="AL71" s="185">
        <v>0.36412631578947363</v>
      </c>
      <c r="AM71" s="334">
        <v>2317.6639999999998</v>
      </c>
      <c r="AN71" s="185">
        <v>0.34591999999999995</v>
      </c>
      <c r="AO71" s="185">
        <v>0.36412631578947363</v>
      </c>
      <c r="AP71" s="185"/>
      <c r="AQ71" s="189">
        <v>3110.6639999999998</v>
      </c>
      <c r="AR71" s="185">
        <v>0.46427820895522387</v>
      </c>
      <c r="AS71" s="185">
        <v>0.4887139041633935</v>
      </c>
      <c r="AT71" s="189">
        <v>3110.6639999999998</v>
      </c>
      <c r="AU71" s="185">
        <v>0.46427820895522387</v>
      </c>
      <c r="AV71" s="185">
        <v>0.4887139041633935</v>
      </c>
      <c r="AW71" s="185"/>
      <c r="AX71" s="185"/>
      <c r="AY71" s="185"/>
      <c r="AZ71" s="185"/>
      <c r="BA71" s="185"/>
      <c r="BB71" s="185"/>
      <c r="BC71" s="189">
        <v>3110.6639999999998</v>
      </c>
      <c r="BD71" s="185">
        <v>0.46427820895522387</v>
      </c>
      <c r="BE71" s="185">
        <v>0.4887139041633935</v>
      </c>
      <c r="BF71" s="189"/>
      <c r="BG71" s="189">
        <v>3391.192</v>
      </c>
      <c r="BH71" s="185">
        <v>0.50614805970149257</v>
      </c>
      <c r="BI71" s="185">
        <v>0.53278743126472894</v>
      </c>
      <c r="BJ71" s="189">
        <v>6365</v>
      </c>
      <c r="BK71" s="189">
        <v>3569.192</v>
      </c>
      <c r="BL71" s="185">
        <v>0.532715223880597</v>
      </c>
      <c r="BM71" s="185">
        <v>0.56075286724273365</v>
      </c>
      <c r="BN71" s="189">
        <v>3569.192</v>
      </c>
      <c r="BO71" s="185">
        <f t="shared" si="87"/>
        <v>0.532715223880597</v>
      </c>
      <c r="BP71" s="185">
        <f t="shared" si="88"/>
        <v>0.56075286724273365</v>
      </c>
      <c r="BQ71" s="205">
        <f t="shared" si="89"/>
        <v>1251.5280000000002</v>
      </c>
      <c r="BR71" s="205"/>
      <c r="BS71" s="189" t="e">
        <f>#REF!+#REF!+BS73</f>
        <v>#REF!</v>
      </c>
      <c r="BT71" s="186" t="e">
        <f t="shared" si="90"/>
        <v>#REF!</v>
      </c>
      <c r="BU71" s="189" t="e">
        <f>#REF!+#REF!+BU73</f>
        <v>#REF!</v>
      </c>
      <c r="BV71" s="186" t="e">
        <f t="shared" si="91"/>
        <v>#REF!</v>
      </c>
      <c r="BW71" s="189" t="e">
        <f>#REF!+#REF!+BW73</f>
        <v>#REF!</v>
      </c>
      <c r="BX71" s="186" t="e">
        <f t="shared" si="92"/>
        <v>#REF!</v>
      </c>
      <c r="BY71" s="189" t="e">
        <f>#REF!+#REF!+BY73</f>
        <v>#REF!</v>
      </c>
      <c r="BZ71" s="186" t="e">
        <f t="shared" si="93"/>
        <v>#REF!</v>
      </c>
      <c r="CA71" s="189" t="e">
        <f>#REF!+#REF!+CA73</f>
        <v>#REF!</v>
      </c>
      <c r="CB71" s="186" t="e">
        <f t="shared" si="94"/>
        <v>#REF!</v>
      </c>
      <c r="CC71" s="189" t="e">
        <f>#REF!+#REF!+CC73</f>
        <v>#REF!</v>
      </c>
      <c r="CD71" s="186" t="e">
        <f t="shared" si="95"/>
        <v>#REF!</v>
      </c>
      <c r="CE71" s="189" t="e">
        <f>#REF!+#REF!+CE73</f>
        <v>#REF!</v>
      </c>
      <c r="CF71" s="186" t="e">
        <f t="shared" si="96"/>
        <v>#REF!</v>
      </c>
      <c r="CG71" s="189" t="e">
        <f>#REF!+#REF!+CG73</f>
        <v>#REF!</v>
      </c>
      <c r="CH71" s="186" t="e">
        <f t="shared" si="97"/>
        <v>#REF!</v>
      </c>
      <c r="CI71" s="189" t="e">
        <f>#REF!+#REF!+CI73</f>
        <v>#REF!</v>
      </c>
      <c r="CJ71" s="186" t="e">
        <f t="shared" si="98"/>
        <v>#REF!</v>
      </c>
      <c r="CK71" s="189" t="e">
        <f>#REF!+#REF!+CK73</f>
        <v>#REF!</v>
      </c>
      <c r="CL71" s="186" t="e">
        <f t="shared" si="99"/>
        <v>#REF!</v>
      </c>
      <c r="CM71" s="189" t="e">
        <f>#REF!+#REF!+CM73</f>
        <v>#REF!</v>
      </c>
      <c r="CN71" s="186" t="e">
        <f t="shared" si="100"/>
        <v>#REF!</v>
      </c>
      <c r="CO71" s="189" t="e">
        <f>#REF!+#REF!+CO73</f>
        <v>#REF!</v>
      </c>
      <c r="CP71" s="186" t="e">
        <f t="shared" si="101"/>
        <v>#REF!</v>
      </c>
      <c r="CQ71" s="189" t="e">
        <f>#REF!+#REF!+CQ73</f>
        <v>#REF!</v>
      </c>
      <c r="CR71" s="186" t="e">
        <f t="shared" si="102"/>
        <v>#REF!</v>
      </c>
      <c r="CS71" s="213" t="str">
        <f t="shared" si="103"/>
        <v>Đạt</v>
      </c>
      <c r="CT71" s="213" t="str">
        <f t="shared" si="104"/>
        <v>Đạt</v>
      </c>
      <c r="CU71" s="213"/>
      <c r="CV71" s="213"/>
      <c r="CW71" s="231"/>
      <c r="CX71" s="163"/>
      <c r="CZ71" s="195"/>
      <c r="DA71" s="196"/>
      <c r="DB71" s="196"/>
      <c r="DC71" s="197"/>
      <c r="DD71" s="196"/>
      <c r="DE71" s="196"/>
      <c r="DF71" s="196"/>
      <c r="DH71" s="199"/>
      <c r="DI71" s="200"/>
      <c r="DJ71" s="181"/>
    </row>
    <row r="72" spans="1:115" ht="18" customHeight="1" x14ac:dyDescent="0.25">
      <c r="A72" s="213">
        <v>42</v>
      </c>
      <c r="B72" s="240" t="s">
        <v>495</v>
      </c>
      <c r="C72" s="240"/>
      <c r="D72" s="188">
        <v>62459.608999999997</v>
      </c>
      <c r="E72" s="188">
        <v>50000</v>
      </c>
      <c r="F72" s="188">
        <v>12459.609</v>
      </c>
      <c r="G72" s="188">
        <v>3000</v>
      </c>
      <c r="H72" s="188">
        <v>9459.6090000000004</v>
      </c>
      <c r="I72" s="188">
        <v>912</v>
      </c>
      <c r="J72" s="188"/>
      <c r="K72" s="188">
        <v>0</v>
      </c>
      <c r="L72" s="188">
        <v>0</v>
      </c>
      <c r="M72" s="231">
        <v>0</v>
      </c>
      <c r="N72" s="231">
        <v>0</v>
      </c>
      <c r="O72" s="188">
        <v>3912</v>
      </c>
      <c r="P72" s="188">
        <v>1255</v>
      </c>
      <c r="Q72" s="186">
        <v>2.0092985212251328E-2</v>
      </c>
      <c r="R72" s="189">
        <v>1675.37</v>
      </c>
      <c r="S72" s="185">
        <v>2.6823254689282476E-2</v>
      </c>
      <c r="T72" s="185">
        <v>2.7093488750689655E-2</v>
      </c>
      <c r="U72" s="304">
        <v>2049.7483080000002</v>
      </c>
      <c r="V72" s="185">
        <v>3.2817181228271861E-2</v>
      </c>
      <c r="W72" s="185">
        <v>3.3147801813654995E-2</v>
      </c>
      <c r="X72" s="304">
        <v>2049.7483080000002</v>
      </c>
      <c r="Y72" s="185">
        <v>3.2817181228271861E-2</v>
      </c>
      <c r="Z72" s="185">
        <v>3.3147801813654995E-2</v>
      </c>
      <c r="AA72" s="304">
        <v>2049.7483080000002</v>
      </c>
      <c r="AB72" s="185">
        <v>3.2817181228271861E-2</v>
      </c>
      <c r="AC72" s="185">
        <v>3.3147801813654995E-2</v>
      </c>
      <c r="AD72" s="304">
        <v>5368.8553080000002</v>
      </c>
      <c r="AE72" s="185">
        <v>8.5957235307060606E-2</v>
      </c>
      <c r="AF72" s="185">
        <v>8.6823221671259762E-2</v>
      </c>
      <c r="AG72" s="304">
        <v>5368.8553080000002</v>
      </c>
      <c r="AH72" s="185">
        <v>8.5957235307060606E-2</v>
      </c>
      <c r="AI72" s="185">
        <v>8.6823221671259762E-2</v>
      </c>
      <c r="AJ72" s="189">
        <v>5368.8553080000002</v>
      </c>
      <c r="AK72" s="185">
        <v>8.5957235307060606E-2</v>
      </c>
      <c r="AL72" s="185">
        <v>8.6823221671259762E-2</v>
      </c>
      <c r="AM72" s="304">
        <v>5368.8553080000002</v>
      </c>
      <c r="AN72" s="185">
        <v>8.5957235307060606E-2</v>
      </c>
      <c r="AO72" s="185">
        <v>8.6823221671259762E-2</v>
      </c>
      <c r="AP72" s="185"/>
      <c r="AQ72" s="189">
        <v>6422.8553080000002</v>
      </c>
      <c r="AR72" s="185">
        <v>0.10283214081599519</v>
      </c>
      <c r="AS72" s="185">
        <v>0.10386813541761244</v>
      </c>
      <c r="AT72" s="189">
        <v>6422.8553080000002</v>
      </c>
      <c r="AU72" s="185">
        <v>0.10283214081599519</v>
      </c>
      <c r="AV72" s="185">
        <v>0.10386813541761244</v>
      </c>
      <c r="AW72" s="185"/>
      <c r="AX72" s="185"/>
      <c r="AY72" s="185"/>
      <c r="AZ72" s="185"/>
      <c r="BA72" s="185"/>
      <c r="BB72" s="185"/>
      <c r="BC72" s="189">
        <v>6422.8553080000002</v>
      </c>
      <c r="BD72" s="185">
        <v>0.10283214081599519</v>
      </c>
      <c r="BE72" s="185">
        <v>0.10386813541761244</v>
      </c>
      <c r="BF72" s="352"/>
      <c r="BG72" s="352">
        <v>33262.727057999997</v>
      </c>
      <c r="BH72" s="185">
        <v>0.53254779513589334</v>
      </c>
      <c r="BI72" s="185">
        <v>0.53791301107408118</v>
      </c>
      <c r="BJ72" s="374">
        <v>61836.628550000001</v>
      </c>
      <c r="BK72" s="374">
        <v>34194.044057999999</v>
      </c>
      <c r="BL72" s="185">
        <v>0.54745850327048962</v>
      </c>
      <c r="BM72" s="185">
        <v>0.55297393890663527</v>
      </c>
      <c r="BN72" s="374">
        <v>34194.044057999999</v>
      </c>
      <c r="BO72" s="185">
        <f t="shared" si="87"/>
        <v>0.54745850327048962</v>
      </c>
      <c r="BP72" s="185">
        <f t="shared" si="88"/>
        <v>0.55297393890663527</v>
      </c>
      <c r="BQ72" s="205">
        <f t="shared" si="89"/>
        <v>28825.188750000001</v>
      </c>
      <c r="BR72" s="205"/>
      <c r="BS72" s="189" t="e">
        <f>#REF!+BS73</f>
        <v>#REF!</v>
      </c>
      <c r="BT72" s="186" t="e">
        <f t="shared" si="90"/>
        <v>#REF!</v>
      </c>
      <c r="BU72" s="189" t="e">
        <f>#REF!+BU73</f>
        <v>#REF!</v>
      </c>
      <c r="BV72" s="186" t="e">
        <f t="shared" si="91"/>
        <v>#REF!</v>
      </c>
      <c r="BW72" s="189" t="e">
        <f>#REF!+BW73</f>
        <v>#REF!</v>
      </c>
      <c r="BX72" s="186" t="e">
        <f t="shared" si="92"/>
        <v>#REF!</v>
      </c>
      <c r="BY72" s="189" t="e">
        <f>#REF!+BY73</f>
        <v>#REF!</v>
      </c>
      <c r="BZ72" s="186" t="e">
        <f t="shared" si="93"/>
        <v>#REF!</v>
      </c>
      <c r="CA72" s="189" t="e">
        <f>#REF!+CA73</f>
        <v>#REF!</v>
      </c>
      <c r="CB72" s="186" t="e">
        <f t="shared" si="94"/>
        <v>#REF!</v>
      </c>
      <c r="CC72" s="189" t="e">
        <f>#REF!+CC73</f>
        <v>#REF!</v>
      </c>
      <c r="CD72" s="186" t="e">
        <f t="shared" si="95"/>
        <v>#REF!</v>
      </c>
      <c r="CE72" s="189" t="e">
        <f>#REF!+CE73</f>
        <v>#REF!</v>
      </c>
      <c r="CF72" s="186" t="e">
        <f t="shared" si="96"/>
        <v>#REF!</v>
      </c>
      <c r="CG72" s="189" t="e">
        <f>#REF!+CG73</f>
        <v>#REF!</v>
      </c>
      <c r="CH72" s="186" t="e">
        <f t="shared" si="97"/>
        <v>#REF!</v>
      </c>
      <c r="CI72" s="189" t="e">
        <f>#REF!+CI73</f>
        <v>#REF!</v>
      </c>
      <c r="CJ72" s="186" t="e">
        <f t="shared" si="98"/>
        <v>#REF!</v>
      </c>
      <c r="CK72" s="189" t="e">
        <f>#REF!+CK73</f>
        <v>#REF!</v>
      </c>
      <c r="CL72" s="186" t="e">
        <f t="shared" si="99"/>
        <v>#REF!</v>
      </c>
      <c r="CM72" s="189" t="e">
        <f>#REF!+CM73</f>
        <v>#REF!</v>
      </c>
      <c r="CN72" s="186" t="e">
        <f t="shared" si="100"/>
        <v>#REF!</v>
      </c>
      <c r="CO72" s="189" t="e">
        <f>#REF!+CO73</f>
        <v>#REF!</v>
      </c>
      <c r="CP72" s="186" t="e">
        <f t="shared" si="101"/>
        <v>#REF!</v>
      </c>
      <c r="CQ72" s="189" t="e">
        <f>#REF!+CQ73</f>
        <v>#REF!</v>
      </c>
      <c r="CR72" s="186" t="e">
        <f t="shared" si="102"/>
        <v>#REF!</v>
      </c>
      <c r="CS72" s="213" t="str">
        <f t="shared" si="103"/>
        <v>Đạt</v>
      </c>
      <c r="CT72" s="213" t="str">
        <f t="shared" si="104"/>
        <v>Đạt</v>
      </c>
      <c r="CU72" s="213"/>
      <c r="CV72" s="213"/>
      <c r="CW72" s="231"/>
      <c r="CX72" s="163"/>
      <c r="CZ72" s="195"/>
      <c r="DA72" s="196"/>
      <c r="DB72" s="196"/>
      <c r="DC72" s="197"/>
      <c r="DD72" s="196"/>
      <c r="DE72" s="196"/>
      <c r="DF72" s="196"/>
      <c r="DH72" s="199"/>
      <c r="DI72" s="200"/>
      <c r="DJ72" s="181"/>
    </row>
    <row r="73" spans="1:115" ht="18" customHeight="1" x14ac:dyDescent="0.25">
      <c r="A73" s="213">
        <v>43</v>
      </c>
      <c r="B73" s="240" t="s">
        <v>437</v>
      </c>
      <c r="C73" s="240"/>
      <c r="D73" s="188">
        <v>3009</v>
      </c>
      <c r="E73" s="188">
        <v>0</v>
      </c>
      <c r="F73" s="188">
        <v>3009</v>
      </c>
      <c r="G73" s="188">
        <v>3000</v>
      </c>
      <c r="H73" s="188">
        <v>9</v>
      </c>
      <c r="I73" s="188">
        <v>0</v>
      </c>
      <c r="J73" s="188"/>
      <c r="K73" s="188">
        <v>0</v>
      </c>
      <c r="L73" s="188">
        <v>0</v>
      </c>
      <c r="M73" s="188">
        <v>0</v>
      </c>
      <c r="N73" s="188">
        <v>0</v>
      </c>
      <c r="O73" s="188">
        <v>3000</v>
      </c>
      <c r="P73" s="188">
        <v>0</v>
      </c>
      <c r="Q73" s="186">
        <v>0</v>
      </c>
      <c r="R73" s="189">
        <v>0</v>
      </c>
      <c r="S73" s="185">
        <v>0</v>
      </c>
      <c r="T73" s="185">
        <v>0</v>
      </c>
      <c r="U73" s="189">
        <v>784.26800000000003</v>
      </c>
      <c r="V73" s="185">
        <v>0.2606407444333666</v>
      </c>
      <c r="W73" s="185">
        <v>0.27435867835091221</v>
      </c>
      <c r="X73" s="189">
        <v>784.26800000000003</v>
      </c>
      <c r="Y73" s="185">
        <v>0.2606407444333666</v>
      </c>
      <c r="Z73" s="185">
        <v>0.27435867835091221</v>
      </c>
      <c r="AA73" s="189">
        <v>784.26800000000003</v>
      </c>
      <c r="AB73" s="185">
        <v>0.2606407444333666</v>
      </c>
      <c r="AC73" s="185">
        <v>0.27435867835091221</v>
      </c>
      <c r="AD73" s="189">
        <v>970</v>
      </c>
      <c r="AE73" s="185">
        <v>0.32236623462944503</v>
      </c>
      <c r="AF73" s="185">
        <v>0.33933287855731054</v>
      </c>
      <c r="AG73" s="189">
        <v>970</v>
      </c>
      <c r="AH73" s="185">
        <v>0.32236623462944503</v>
      </c>
      <c r="AI73" s="185">
        <v>0.33933287855731054</v>
      </c>
      <c r="AJ73" s="303">
        <v>970</v>
      </c>
      <c r="AK73" s="185">
        <v>0.32236623462944503</v>
      </c>
      <c r="AL73" s="185">
        <v>0.33933287855731054</v>
      </c>
      <c r="AM73" s="189">
        <v>991</v>
      </c>
      <c r="AN73" s="185">
        <v>0.32934529744101032</v>
      </c>
      <c r="AO73" s="185">
        <v>0.34667926046422143</v>
      </c>
      <c r="AP73" s="185"/>
      <c r="AQ73" s="189">
        <v>1005</v>
      </c>
      <c r="AR73" s="185">
        <v>0.33399800598205381</v>
      </c>
      <c r="AS73" s="185">
        <v>0.35157684840216197</v>
      </c>
      <c r="AT73" s="189">
        <v>1005</v>
      </c>
      <c r="AU73" s="185">
        <v>0.33399800598205381</v>
      </c>
      <c r="AV73" s="185">
        <v>0.35157684840216197</v>
      </c>
      <c r="AW73" s="185"/>
      <c r="AX73" s="185"/>
      <c r="AY73" s="185"/>
      <c r="AZ73" s="185"/>
      <c r="BA73" s="185"/>
      <c r="BB73" s="185"/>
      <c r="BC73" s="189">
        <v>1005</v>
      </c>
      <c r="BD73" s="185">
        <v>0.33399800598205381</v>
      </c>
      <c r="BE73" s="185">
        <v>0.35157684840216197</v>
      </c>
      <c r="BF73" s="189"/>
      <c r="BG73" s="189">
        <v>1260</v>
      </c>
      <c r="BH73" s="185">
        <v>0.41874376869391827</v>
      </c>
      <c r="BI73" s="185">
        <v>0.44078291441465084</v>
      </c>
      <c r="BJ73" s="189">
        <v>2858.5499999999997</v>
      </c>
      <c r="BK73" s="189">
        <v>1546.9059999999999</v>
      </c>
      <c r="BL73" s="185">
        <v>0.51409305417082085</v>
      </c>
      <c r="BM73" s="185">
        <v>0.54115058333770616</v>
      </c>
      <c r="BN73" s="189">
        <v>1546.9059999999999</v>
      </c>
      <c r="BO73" s="185">
        <f t="shared" si="87"/>
        <v>0.51409305417082085</v>
      </c>
      <c r="BP73" s="185">
        <f t="shared" si="88"/>
        <v>0.54115058333770616</v>
      </c>
      <c r="BQ73" s="205">
        <f t="shared" si="89"/>
        <v>576.90599999999995</v>
      </c>
      <c r="BR73" s="205"/>
      <c r="BS73" s="189" t="e">
        <f>#REF!+#REF!</f>
        <v>#REF!</v>
      </c>
      <c r="BT73" s="186" t="e">
        <f t="shared" si="90"/>
        <v>#REF!</v>
      </c>
      <c r="BU73" s="189" t="e">
        <f>#REF!+#REF!</f>
        <v>#REF!</v>
      </c>
      <c r="BV73" s="186" t="e">
        <f t="shared" si="91"/>
        <v>#REF!</v>
      </c>
      <c r="BW73" s="189" t="e">
        <f>#REF!+#REF!</f>
        <v>#REF!</v>
      </c>
      <c r="BX73" s="186" t="e">
        <f t="shared" si="92"/>
        <v>#REF!</v>
      </c>
      <c r="BY73" s="189" t="e">
        <f>#REF!+#REF!</f>
        <v>#REF!</v>
      </c>
      <c r="BZ73" s="186" t="e">
        <f t="shared" si="93"/>
        <v>#REF!</v>
      </c>
      <c r="CA73" s="189" t="e">
        <f>#REF!+#REF!</f>
        <v>#REF!</v>
      </c>
      <c r="CB73" s="186" t="e">
        <f t="shared" si="94"/>
        <v>#REF!</v>
      </c>
      <c r="CC73" s="189" t="e">
        <f>#REF!+#REF!</f>
        <v>#REF!</v>
      </c>
      <c r="CD73" s="186" t="e">
        <f t="shared" si="95"/>
        <v>#REF!</v>
      </c>
      <c r="CE73" s="189" t="e">
        <f>#REF!+#REF!</f>
        <v>#REF!</v>
      </c>
      <c r="CF73" s="186" t="e">
        <f t="shared" si="96"/>
        <v>#REF!</v>
      </c>
      <c r="CG73" s="189" t="e">
        <f>#REF!+#REF!</f>
        <v>#REF!</v>
      </c>
      <c r="CH73" s="186" t="e">
        <f t="shared" si="97"/>
        <v>#REF!</v>
      </c>
      <c r="CI73" s="189" t="e">
        <f>#REF!+#REF!</f>
        <v>#REF!</v>
      </c>
      <c r="CJ73" s="186" t="e">
        <f t="shared" si="98"/>
        <v>#REF!</v>
      </c>
      <c r="CK73" s="189" t="e">
        <f>#REF!+#REF!</f>
        <v>#REF!</v>
      </c>
      <c r="CL73" s="186" t="e">
        <f t="shared" si="99"/>
        <v>#REF!</v>
      </c>
      <c r="CM73" s="189" t="e">
        <f>#REF!+#REF!</f>
        <v>#REF!</v>
      </c>
      <c r="CN73" s="186" t="e">
        <f t="shared" si="100"/>
        <v>#REF!</v>
      </c>
      <c r="CO73" s="189" t="e">
        <f>#REF!+#REF!</f>
        <v>#REF!</v>
      </c>
      <c r="CP73" s="186" t="e">
        <f t="shared" si="101"/>
        <v>#REF!</v>
      </c>
      <c r="CQ73" s="189" t="e">
        <f>#REF!+#REF!</f>
        <v>#REF!</v>
      </c>
      <c r="CR73" s="186" t="e">
        <f t="shared" si="102"/>
        <v>#REF!</v>
      </c>
      <c r="CS73" s="213" t="str">
        <f t="shared" si="103"/>
        <v>Đạt</v>
      </c>
      <c r="CT73" s="213" t="str">
        <f t="shared" si="104"/>
        <v>Đạt</v>
      </c>
      <c r="CU73" s="213"/>
      <c r="CV73" s="213"/>
      <c r="CW73" s="231"/>
      <c r="CX73" s="163"/>
      <c r="CZ73" s="195"/>
      <c r="DA73" s="196"/>
      <c r="DB73" s="196"/>
      <c r="DC73" s="197"/>
      <c r="DD73" s="196"/>
      <c r="DE73" s="196"/>
      <c r="DF73" s="196"/>
      <c r="DH73" s="199"/>
      <c r="DI73" s="200"/>
      <c r="DJ73" s="181"/>
    </row>
    <row r="74" spans="1:115" ht="18" customHeight="1" x14ac:dyDescent="0.25">
      <c r="A74" s="213">
        <v>44</v>
      </c>
      <c r="B74" s="240" t="s">
        <v>396</v>
      </c>
      <c r="C74" s="240"/>
      <c r="D74" s="188">
        <v>3000</v>
      </c>
      <c r="E74" s="188">
        <v>0</v>
      </c>
      <c r="F74" s="188">
        <v>3000</v>
      </c>
      <c r="G74" s="188">
        <v>3000</v>
      </c>
      <c r="H74" s="188">
        <v>0</v>
      </c>
      <c r="I74" s="188">
        <v>0</v>
      </c>
      <c r="J74" s="188"/>
      <c r="K74" s="188">
        <v>0</v>
      </c>
      <c r="L74" s="188">
        <v>0</v>
      </c>
      <c r="M74" s="231"/>
      <c r="N74" s="231"/>
      <c r="O74" s="188">
        <v>3000</v>
      </c>
      <c r="P74" s="188">
        <v>0</v>
      </c>
      <c r="Q74" s="186">
        <v>0</v>
      </c>
      <c r="R74" s="188">
        <v>0</v>
      </c>
      <c r="S74" s="185">
        <v>0</v>
      </c>
      <c r="T74" s="185">
        <v>0</v>
      </c>
      <c r="U74" s="188">
        <v>0</v>
      </c>
      <c r="V74" s="185">
        <v>0</v>
      </c>
      <c r="W74" s="185">
        <v>0</v>
      </c>
      <c r="X74" s="188">
        <v>0</v>
      </c>
      <c r="Y74" s="185">
        <v>0</v>
      </c>
      <c r="Z74" s="185">
        <v>0</v>
      </c>
      <c r="AA74" s="188">
        <v>0</v>
      </c>
      <c r="AB74" s="185">
        <v>0</v>
      </c>
      <c r="AC74" s="185">
        <v>0</v>
      </c>
      <c r="AD74" s="188">
        <v>748</v>
      </c>
      <c r="AE74" s="185">
        <v>0.24933333333333332</v>
      </c>
      <c r="AF74" s="185">
        <v>0.26245614035087722</v>
      </c>
      <c r="AG74" s="188">
        <v>748</v>
      </c>
      <c r="AH74" s="185">
        <v>0.24933333333333332</v>
      </c>
      <c r="AI74" s="185">
        <v>0.26245614035087722</v>
      </c>
      <c r="AJ74" s="303">
        <v>748</v>
      </c>
      <c r="AK74" s="185">
        <v>0.24933333333333332</v>
      </c>
      <c r="AL74" s="185">
        <v>0.26245614035087722</v>
      </c>
      <c r="AM74" s="188">
        <v>884</v>
      </c>
      <c r="AN74" s="185">
        <v>0.29466666666666669</v>
      </c>
      <c r="AO74" s="185">
        <v>0.31017543859649122</v>
      </c>
      <c r="AP74" s="185"/>
      <c r="AQ74" s="188">
        <v>884</v>
      </c>
      <c r="AR74" s="185">
        <v>0.29466666666666669</v>
      </c>
      <c r="AS74" s="185">
        <v>0.31017543859649122</v>
      </c>
      <c r="AT74" s="188">
        <v>884</v>
      </c>
      <c r="AU74" s="185">
        <v>0.29466666666666669</v>
      </c>
      <c r="AV74" s="185">
        <v>0.31017543859649122</v>
      </c>
      <c r="AW74" s="185"/>
      <c r="AX74" s="185"/>
      <c r="AY74" s="185"/>
      <c r="AZ74" s="185"/>
      <c r="BA74" s="185"/>
      <c r="BB74" s="185"/>
      <c r="BC74" s="188">
        <v>884</v>
      </c>
      <c r="BD74" s="185">
        <v>0.29466666666666669</v>
      </c>
      <c r="BE74" s="185">
        <v>0.31017543859649122</v>
      </c>
      <c r="BF74" s="188"/>
      <c r="BG74" s="188">
        <v>1516.27</v>
      </c>
      <c r="BH74" s="185">
        <v>0.50542333333333334</v>
      </c>
      <c r="BI74" s="185">
        <v>0.53202456140350873</v>
      </c>
      <c r="BJ74" s="188">
        <v>2850</v>
      </c>
      <c r="BK74" s="188">
        <v>1516.27</v>
      </c>
      <c r="BL74" s="185">
        <v>0.50542333333333334</v>
      </c>
      <c r="BM74" s="185">
        <v>0.53202456140350873</v>
      </c>
      <c r="BN74" s="188">
        <v>1516.27</v>
      </c>
      <c r="BO74" s="185">
        <f t="shared" si="87"/>
        <v>0.50542333333333334</v>
      </c>
      <c r="BP74" s="185">
        <f t="shared" si="88"/>
        <v>0.53202456140350873</v>
      </c>
      <c r="BQ74" s="205">
        <f t="shared" si="89"/>
        <v>768.27</v>
      </c>
      <c r="BR74" s="205"/>
      <c r="BS74" s="189" t="e">
        <f>#REF!</f>
        <v>#REF!</v>
      </c>
      <c r="BT74" s="186" t="e">
        <f t="shared" si="90"/>
        <v>#REF!</v>
      </c>
      <c r="BU74" s="189" t="e">
        <f>#REF!</f>
        <v>#REF!</v>
      </c>
      <c r="BV74" s="186" t="e">
        <f t="shared" si="91"/>
        <v>#REF!</v>
      </c>
      <c r="BW74" s="189" t="e">
        <f>#REF!</f>
        <v>#REF!</v>
      </c>
      <c r="BX74" s="186" t="e">
        <f t="shared" si="92"/>
        <v>#REF!</v>
      </c>
      <c r="BY74" s="189" t="e">
        <f>#REF!</f>
        <v>#REF!</v>
      </c>
      <c r="BZ74" s="186" t="e">
        <f t="shared" si="93"/>
        <v>#REF!</v>
      </c>
      <c r="CA74" s="189" t="e">
        <f>#REF!</f>
        <v>#REF!</v>
      </c>
      <c r="CB74" s="186" t="e">
        <f t="shared" si="94"/>
        <v>#REF!</v>
      </c>
      <c r="CC74" s="189" t="e">
        <f>#REF!</f>
        <v>#REF!</v>
      </c>
      <c r="CD74" s="186" t="e">
        <f t="shared" si="95"/>
        <v>#REF!</v>
      </c>
      <c r="CE74" s="189" t="e">
        <f>#REF!</f>
        <v>#REF!</v>
      </c>
      <c r="CF74" s="186" t="e">
        <f t="shared" si="96"/>
        <v>#REF!</v>
      </c>
      <c r="CG74" s="189" t="e">
        <f>#REF!</f>
        <v>#REF!</v>
      </c>
      <c r="CH74" s="186" t="e">
        <f t="shared" si="97"/>
        <v>#REF!</v>
      </c>
      <c r="CI74" s="189" t="e">
        <f>#REF!</f>
        <v>#REF!</v>
      </c>
      <c r="CJ74" s="186" t="e">
        <f t="shared" si="98"/>
        <v>#REF!</v>
      </c>
      <c r="CK74" s="189" t="e">
        <f>#REF!</f>
        <v>#REF!</v>
      </c>
      <c r="CL74" s="186" t="e">
        <f t="shared" si="99"/>
        <v>#REF!</v>
      </c>
      <c r="CM74" s="189" t="e">
        <f>#REF!</f>
        <v>#REF!</v>
      </c>
      <c r="CN74" s="186" t="e">
        <f t="shared" si="100"/>
        <v>#REF!</v>
      </c>
      <c r="CO74" s="189" t="e">
        <f>#REF!</f>
        <v>#REF!</v>
      </c>
      <c r="CP74" s="186" t="e">
        <f t="shared" si="101"/>
        <v>#REF!</v>
      </c>
      <c r="CQ74" s="189" t="e">
        <f>#REF!</f>
        <v>#REF!</v>
      </c>
      <c r="CR74" s="186" t="e">
        <f t="shared" si="102"/>
        <v>#REF!</v>
      </c>
      <c r="CS74" s="213" t="str">
        <f t="shared" si="103"/>
        <v>Đạt</v>
      </c>
      <c r="CT74" s="213" t="str">
        <f t="shared" si="104"/>
        <v>Đạt</v>
      </c>
      <c r="CU74" s="213"/>
      <c r="CV74" s="213"/>
      <c r="CW74" s="231"/>
      <c r="CX74" s="163"/>
      <c r="CZ74" s="195"/>
      <c r="DA74" s="196"/>
      <c r="DB74" s="196"/>
      <c r="DC74" s="197"/>
      <c r="DD74" s="196"/>
      <c r="DE74" s="196"/>
      <c r="DF74" s="196"/>
      <c r="DH74" s="199"/>
      <c r="DI74" s="200"/>
      <c r="DJ74" s="181"/>
    </row>
    <row r="75" spans="1:115" ht="18" customHeight="1" x14ac:dyDescent="0.25">
      <c r="A75" s="213">
        <v>45</v>
      </c>
      <c r="B75" s="240" t="s">
        <v>449</v>
      </c>
      <c r="C75" s="240"/>
      <c r="D75" s="188">
        <v>3017</v>
      </c>
      <c r="E75" s="188">
        <v>0</v>
      </c>
      <c r="F75" s="188">
        <v>3017</v>
      </c>
      <c r="G75" s="188">
        <v>3000</v>
      </c>
      <c r="H75" s="188">
        <v>17</v>
      </c>
      <c r="I75" s="188">
        <v>0</v>
      </c>
      <c r="J75" s="188"/>
      <c r="K75" s="188">
        <v>0</v>
      </c>
      <c r="L75" s="188">
        <v>0</v>
      </c>
      <c r="M75" s="188">
        <v>0</v>
      </c>
      <c r="N75" s="188">
        <v>0</v>
      </c>
      <c r="O75" s="188">
        <v>3000</v>
      </c>
      <c r="P75" s="188">
        <v>0</v>
      </c>
      <c r="Q75" s="186">
        <v>0</v>
      </c>
      <c r="R75" s="188">
        <v>0</v>
      </c>
      <c r="S75" s="185">
        <v>0</v>
      </c>
      <c r="T75" s="185">
        <v>0</v>
      </c>
      <c r="U75" s="188">
        <v>0</v>
      </c>
      <c r="V75" s="185">
        <v>0</v>
      </c>
      <c r="W75" s="185">
        <v>0</v>
      </c>
      <c r="X75" s="188">
        <v>0</v>
      </c>
      <c r="Y75" s="185">
        <v>0</v>
      </c>
      <c r="Z75" s="185">
        <v>0</v>
      </c>
      <c r="AA75" s="188">
        <v>0</v>
      </c>
      <c r="AB75" s="185">
        <v>0</v>
      </c>
      <c r="AC75" s="185">
        <v>0</v>
      </c>
      <c r="AD75" s="188">
        <v>0</v>
      </c>
      <c r="AE75" s="185">
        <v>0</v>
      </c>
      <c r="AF75" s="185">
        <v>0</v>
      </c>
      <c r="AG75" s="188">
        <v>0</v>
      </c>
      <c r="AH75" s="185">
        <v>0</v>
      </c>
      <c r="AI75" s="185">
        <v>0</v>
      </c>
      <c r="AJ75" s="303">
        <v>0</v>
      </c>
      <c r="AK75" s="185">
        <v>0</v>
      </c>
      <c r="AL75" s="185">
        <v>0</v>
      </c>
      <c r="AM75" s="188">
        <v>851</v>
      </c>
      <c r="AN75" s="185">
        <v>0.28206827974809412</v>
      </c>
      <c r="AO75" s="185">
        <v>0.29691397868220432</v>
      </c>
      <c r="AP75" s="185"/>
      <c r="AQ75" s="188">
        <v>851</v>
      </c>
      <c r="AR75" s="185">
        <v>0.28206827974809412</v>
      </c>
      <c r="AS75" s="185">
        <v>0.29691397868220432</v>
      </c>
      <c r="AT75" s="188">
        <v>851</v>
      </c>
      <c r="AU75" s="185">
        <v>0.28206827974809412</v>
      </c>
      <c r="AV75" s="185">
        <v>0.29691397868220432</v>
      </c>
      <c r="AW75" s="185"/>
      <c r="AX75" s="185"/>
      <c r="AY75" s="185"/>
      <c r="AZ75" s="185"/>
      <c r="BA75" s="185"/>
      <c r="BB75" s="185"/>
      <c r="BC75" s="188">
        <v>851</v>
      </c>
      <c r="BD75" s="185">
        <v>0.28206827974809412</v>
      </c>
      <c r="BE75" s="185">
        <v>0.29691397868220432</v>
      </c>
      <c r="BF75" s="188"/>
      <c r="BG75" s="188">
        <v>1523</v>
      </c>
      <c r="BH75" s="185">
        <v>0.50480609877361615</v>
      </c>
      <c r="BI75" s="185">
        <v>0.53137484081433284</v>
      </c>
      <c r="BJ75" s="188">
        <v>2866.15</v>
      </c>
      <c r="BK75" s="188">
        <v>1523</v>
      </c>
      <c r="BL75" s="185">
        <v>0.50480609877361615</v>
      </c>
      <c r="BM75" s="185">
        <v>0.53137484081433284</v>
      </c>
      <c r="BN75" s="188">
        <v>1523</v>
      </c>
      <c r="BO75" s="185">
        <f t="shared" si="87"/>
        <v>0.50480609877361615</v>
      </c>
      <c r="BP75" s="185">
        <f t="shared" si="88"/>
        <v>0.53137484081433284</v>
      </c>
      <c r="BQ75" s="205">
        <f t="shared" si="89"/>
        <v>1523</v>
      </c>
      <c r="BR75" s="205"/>
      <c r="BS75" s="189" t="e">
        <f>#REF!+#REF!</f>
        <v>#REF!</v>
      </c>
      <c r="BT75" s="186" t="e">
        <f t="shared" si="90"/>
        <v>#REF!</v>
      </c>
      <c r="BU75" s="189" t="e">
        <f>#REF!+#REF!</f>
        <v>#REF!</v>
      </c>
      <c r="BV75" s="186" t="e">
        <f t="shared" si="91"/>
        <v>#REF!</v>
      </c>
      <c r="BW75" s="189" t="e">
        <f>#REF!+#REF!</f>
        <v>#REF!</v>
      </c>
      <c r="BX75" s="186" t="e">
        <f t="shared" si="92"/>
        <v>#REF!</v>
      </c>
      <c r="BY75" s="189" t="e">
        <f>#REF!+#REF!</f>
        <v>#REF!</v>
      </c>
      <c r="BZ75" s="186" t="e">
        <f t="shared" si="93"/>
        <v>#REF!</v>
      </c>
      <c r="CA75" s="189" t="e">
        <f>#REF!+#REF!</f>
        <v>#REF!</v>
      </c>
      <c r="CB75" s="186" t="e">
        <f t="shared" si="94"/>
        <v>#REF!</v>
      </c>
      <c r="CC75" s="189" t="e">
        <f>#REF!+#REF!</f>
        <v>#REF!</v>
      </c>
      <c r="CD75" s="186" t="e">
        <f t="shared" si="95"/>
        <v>#REF!</v>
      </c>
      <c r="CE75" s="189" t="e">
        <f>#REF!+#REF!</f>
        <v>#REF!</v>
      </c>
      <c r="CF75" s="186" t="e">
        <f t="shared" si="96"/>
        <v>#REF!</v>
      </c>
      <c r="CG75" s="189" t="e">
        <f>#REF!+#REF!</f>
        <v>#REF!</v>
      </c>
      <c r="CH75" s="186" t="e">
        <f t="shared" si="97"/>
        <v>#REF!</v>
      </c>
      <c r="CI75" s="189" t="e">
        <f>#REF!+#REF!</f>
        <v>#REF!</v>
      </c>
      <c r="CJ75" s="186" t="e">
        <f t="shared" si="98"/>
        <v>#REF!</v>
      </c>
      <c r="CK75" s="189" t="e">
        <f>#REF!+#REF!</f>
        <v>#REF!</v>
      </c>
      <c r="CL75" s="186" t="e">
        <f t="shared" si="99"/>
        <v>#REF!</v>
      </c>
      <c r="CM75" s="189" t="e">
        <f>#REF!+#REF!</f>
        <v>#REF!</v>
      </c>
      <c r="CN75" s="186" t="e">
        <f t="shared" si="100"/>
        <v>#REF!</v>
      </c>
      <c r="CO75" s="189" t="e">
        <f>#REF!+#REF!</f>
        <v>#REF!</v>
      </c>
      <c r="CP75" s="186" t="e">
        <f t="shared" si="101"/>
        <v>#REF!</v>
      </c>
      <c r="CQ75" s="189" t="e">
        <f>#REF!+#REF!</f>
        <v>#REF!</v>
      </c>
      <c r="CR75" s="186" t="e">
        <f t="shared" si="102"/>
        <v>#REF!</v>
      </c>
      <c r="CS75" s="213" t="str">
        <f t="shared" si="103"/>
        <v>Đạt</v>
      </c>
      <c r="CT75" s="213" t="str">
        <f t="shared" si="104"/>
        <v>Đạt</v>
      </c>
      <c r="CU75" s="213"/>
      <c r="CV75" s="213"/>
      <c r="CW75" s="231"/>
      <c r="CX75" s="163"/>
      <c r="CZ75" s="195"/>
      <c r="DA75" s="196"/>
      <c r="DB75" s="196"/>
      <c r="DC75" s="197"/>
      <c r="DD75" s="196"/>
      <c r="DE75" s="196"/>
      <c r="DF75" s="196"/>
      <c r="DH75" s="199"/>
      <c r="DI75" s="200"/>
      <c r="DJ75" s="181"/>
    </row>
    <row r="76" spans="1:115" ht="18" customHeight="1" x14ac:dyDescent="0.25">
      <c r="A76" s="213">
        <v>46</v>
      </c>
      <c r="B76" s="240" t="s">
        <v>397</v>
      </c>
      <c r="C76" s="240"/>
      <c r="D76" s="188">
        <v>3017</v>
      </c>
      <c r="E76" s="188">
        <v>0</v>
      </c>
      <c r="F76" s="188">
        <v>3017</v>
      </c>
      <c r="G76" s="188">
        <v>3000</v>
      </c>
      <c r="H76" s="188">
        <v>17</v>
      </c>
      <c r="I76" s="188">
        <v>0</v>
      </c>
      <c r="J76" s="188"/>
      <c r="K76" s="188">
        <v>0</v>
      </c>
      <c r="L76" s="188">
        <v>0</v>
      </c>
      <c r="M76" s="188">
        <v>0</v>
      </c>
      <c r="N76" s="188">
        <v>0</v>
      </c>
      <c r="O76" s="188">
        <v>3000</v>
      </c>
      <c r="P76" s="188">
        <v>0</v>
      </c>
      <c r="Q76" s="186">
        <v>0</v>
      </c>
      <c r="R76" s="188">
        <v>0</v>
      </c>
      <c r="S76" s="185">
        <v>0</v>
      </c>
      <c r="T76" s="185">
        <v>0</v>
      </c>
      <c r="U76" s="188">
        <v>0</v>
      </c>
      <c r="V76" s="185">
        <v>0</v>
      </c>
      <c r="W76" s="185">
        <v>0</v>
      </c>
      <c r="X76" s="188">
        <v>0</v>
      </c>
      <c r="Y76" s="185">
        <v>0</v>
      </c>
      <c r="Z76" s="185">
        <v>0</v>
      </c>
      <c r="AA76" s="188">
        <v>0</v>
      </c>
      <c r="AB76" s="185">
        <v>0</v>
      </c>
      <c r="AC76" s="185">
        <v>0</v>
      </c>
      <c r="AD76" s="188">
        <v>657</v>
      </c>
      <c r="AE76" s="185">
        <v>0.21776599270798808</v>
      </c>
      <c r="AF76" s="185">
        <v>0.2292273607452506</v>
      </c>
      <c r="AG76" s="188">
        <v>657</v>
      </c>
      <c r="AH76" s="185">
        <v>0.21776599270798808</v>
      </c>
      <c r="AI76" s="185">
        <v>0.2292273607452506</v>
      </c>
      <c r="AJ76" s="214">
        <v>657</v>
      </c>
      <c r="AK76" s="185">
        <v>0.21776599270798808</v>
      </c>
      <c r="AL76" s="185">
        <v>0.2292273607452506</v>
      </c>
      <c r="AM76" s="314">
        <v>657</v>
      </c>
      <c r="AN76" s="185">
        <v>0.21776599270798808</v>
      </c>
      <c r="AO76" s="185">
        <v>0.2292273607452506</v>
      </c>
      <c r="AP76" s="185"/>
      <c r="AQ76" s="188">
        <v>1269</v>
      </c>
      <c r="AR76" s="185">
        <v>0.42061650646337423</v>
      </c>
      <c r="AS76" s="185">
        <v>0.44275421732986758</v>
      </c>
      <c r="AT76" s="188">
        <v>1269</v>
      </c>
      <c r="AU76" s="185">
        <v>0.42061650646337423</v>
      </c>
      <c r="AV76" s="185">
        <v>0.44275421732986758</v>
      </c>
      <c r="AW76" s="185"/>
      <c r="AX76" s="185"/>
      <c r="AY76" s="185"/>
      <c r="AZ76" s="185"/>
      <c r="BA76" s="185"/>
      <c r="BB76" s="185"/>
      <c r="BC76" s="188">
        <v>1269</v>
      </c>
      <c r="BD76" s="185">
        <v>0.42061650646337423</v>
      </c>
      <c r="BE76" s="185">
        <v>0.44275421732986758</v>
      </c>
      <c r="BF76" s="188"/>
      <c r="BG76" s="188">
        <v>1269</v>
      </c>
      <c r="BH76" s="185">
        <v>0.42061650646337423</v>
      </c>
      <c r="BI76" s="185">
        <v>0.44275421732986758</v>
      </c>
      <c r="BJ76" s="188">
        <v>2866.15</v>
      </c>
      <c r="BK76" s="188">
        <v>1522</v>
      </c>
      <c r="BL76" s="185">
        <v>0.50447464368578054</v>
      </c>
      <c r="BM76" s="185">
        <v>0.53102594072187426</v>
      </c>
      <c r="BN76" s="188">
        <v>1522</v>
      </c>
      <c r="BO76" s="185">
        <f t="shared" si="87"/>
        <v>0.50447464368578054</v>
      </c>
      <c r="BP76" s="185">
        <f t="shared" si="88"/>
        <v>0.53102594072187426</v>
      </c>
      <c r="BQ76" s="205">
        <f t="shared" si="89"/>
        <v>865</v>
      </c>
      <c r="BR76" s="205"/>
      <c r="BS76" s="189" t="e">
        <f>#REF!+#REF!</f>
        <v>#REF!</v>
      </c>
      <c r="BT76" s="186" t="e">
        <f t="shared" si="90"/>
        <v>#REF!</v>
      </c>
      <c r="BU76" s="189" t="e">
        <f>#REF!+#REF!</f>
        <v>#REF!</v>
      </c>
      <c r="BV76" s="186" t="e">
        <f t="shared" si="91"/>
        <v>#REF!</v>
      </c>
      <c r="BW76" s="189" t="e">
        <f>#REF!+#REF!</f>
        <v>#REF!</v>
      </c>
      <c r="BX76" s="186" t="e">
        <f t="shared" si="92"/>
        <v>#REF!</v>
      </c>
      <c r="BY76" s="189" t="e">
        <f>#REF!+#REF!</f>
        <v>#REF!</v>
      </c>
      <c r="BZ76" s="186" t="e">
        <f t="shared" si="93"/>
        <v>#REF!</v>
      </c>
      <c r="CA76" s="189" t="e">
        <f>#REF!+#REF!</f>
        <v>#REF!</v>
      </c>
      <c r="CB76" s="186" t="e">
        <f t="shared" si="94"/>
        <v>#REF!</v>
      </c>
      <c r="CC76" s="189" t="e">
        <f>#REF!+#REF!</f>
        <v>#REF!</v>
      </c>
      <c r="CD76" s="186" t="e">
        <f t="shared" si="95"/>
        <v>#REF!</v>
      </c>
      <c r="CE76" s="189" t="e">
        <f>#REF!+#REF!</f>
        <v>#REF!</v>
      </c>
      <c r="CF76" s="186" t="e">
        <f t="shared" si="96"/>
        <v>#REF!</v>
      </c>
      <c r="CG76" s="189" t="e">
        <f>#REF!+#REF!</f>
        <v>#REF!</v>
      </c>
      <c r="CH76" s="186" t="e">
        <f t="shared" si="97"/>
        <v>#REF!</v>
      </c>
      <c r="CI76" s="189" t="e">
        <f>#REF!+#REF!</f>
        <v>#REF!</v>
      </c>
      <c r="CJ76" s="186" t="e">
        <f t="shared" si="98"/>
        <v>#REF!</v>
      </c>
      <c r="CK76" s="189" t="e">
        <f>#REF!+#REF!</f>
        <v>#REF!</v>
      </c>
      <c r="CL76" s="186" t="e">
        <f t="shared" si="99"/>
        <v>#REF!</v>
      </c>
      <c r="CM76" s="189" t="e">
        <f>#REF!+#REF!</f>
        <v>#REF!</v>
      </c>
      <c r="CN76" s="186" t="e">
        <f t="shared" si="100"/>
        <v>#REF!</v>
      </c>
      <c r="CO76" s="189" t="e">
        <f>#REF!+#REF!</f>
        <v>#REF!</v>
      </c>
      <c r="CP76" s="186" t="e">
        <f t="shared" si="101"/>
        <v>#REF!</v>
      </c>
      <c r="CQ76" s="189" t="e">
        <f>#REF!+#REF!</f>
        <v>#REF!</v>
      </c>
      <c r="CR76" s="186" t="e">
        <f t="shared" si="102"/>
        <v>#REF!</v>
      </c>
      <c r="CS76" s="213" t="str">
        <f t="shared" si="103"/>
        <v>Đạt</v>
      </c>
      <c r="CT76" s="213" t="str">
        <f t="shared" si="104"/>
        <v>Đạt</v>
      </c>
      <c r="CU76" s="213"/>
      <c r="CV76" s="213"/>
      <c r="CW76" s="231"/>
      <c r="CX76" s="163"/>
      <c r="CZ76" s="195"/>
      <c r="DA76" s="196"/>
      <c r="DB76" s="196"/>
      <c r="DC76" s="197"/>
      <c r="DD76" s="196"/>
      <c r="DE76" s="196"/>
      <c r="DF76" s="196"/>
      <c r="DH76" s="199"/>
      <c r="DI76" s="200"/>
      <c r="DJ76" s="181"/>
    </row>
    <row r="77" spans="1:115" ht="18" customHeight="1" x14ac:dyDescent="0.25">
      <c r="A77" s="213">
        <v>47</v>
      </c>
      <c r="B77" s="240" t="s">
        <v>433</v>
      </c>
      <c r="C77" s="240"/>
      <c r="D77" s="188">
        <v>6825</v>
      </c>
      <c r="E77" s="188">
        <v>0</v>
      </c>
      <c r="F77" s="188">
        <v>6825</v>
      </c>
      <c r="G77" s="188">
        <v>3000</v>
      </c>
      <c r="H77" s="188">
        <v>3825</v>
      </c>
      <c r="I77" s="188">
        <v>0</v>
      </c>
      <c r="J77" s="188"/>
      <c r="K77" s="188">
        <v>0</v>
      </c>
      <c r="L77" s="188">
        <v>0</v>
      </c>
      <c r="M77" s="188">
        <v>0</v>
      </c>
      <c r="N77" s="188">
        <v>0</v>
      </c>
      <c r="O77" s="188">
        <v>3000</v>
      </c>
      <c r="P77" s="188">
        <v>0</v>
      </c>
      <c r="Q77" s="186">
        <v>0</v>
      </c>
      <c r="R77" s="188">
        <v>0</v>
      </c>
      <c r="S77" s="185">
        <v>0</v>
      </c>
      <c r="T77" s="185">
        <v>0</v>
      </c>
      <c r="U77" s="188">
        <v>181.10059999999999</v>
      </c>
      <c r="V77" s="185">
        <v>2.6534886446886445E-2</v>
      </c>
      <c r="W77" s="185">
        <v>2.7931459417775206E-2</v>
      </c>
      <c r="X77" s="188">
        <v>181.10059999999999</v>
      </c>
      <c r="Y77" s="185">
        <v>2.6534886446886445E-2</v>
      </c>
      <c r="Z77" s="185">
        <v>2.7931459417775206E-2</v>
      </c>
      <c r="AA77" s="188">
        <v>181.10059999999999</v>
      </c>
      <c r="AB77" s="185">
        <v>2.6534886446886445E-2</v>
      </c>
      <c r="AC77" s="185">
        <v>2.7931459417775206E-2</v>
      </c>
      <c r="AD77" s="188">
        <v>1612</v>
      </c>
      <c r="AE77" s="185">
        <v>0.2361904761904762</v>
      </c>
      <c r="AF77" s="185">
        <v>0.24862155388471177</v>
      </c>
      <c r="AG77" s="188">
        <v>1612</v>
      </c>
      <c r="AH77" s="185">
        <v>0.2361904761904762</v>
      </c>
      <c r="AI77" s="185">
        <v>0.24862155388471177</v>
      </c>
      <c r="AJ77" s="303">
        <v>1612</v>
      </c>
      <c r="AK77" s="185">
        <v>0.2361904761904762</v>
      </c>
      <c r="AL77" s="185">
        <v>0.24862155388471177</v>
      </c>
      <c r="AM77" s="314">
        <v>1612</v>
      </c>
      <c r="AN77" s="185">
        <v>0.2361904761904762</v>
      </c>
      <c r="AO77" s="185">
        <v>0.24862155388471177</v>
      </c>
      <c r="AP77" s="185"/>
      <c r="AQ77" s="188">
        <v>1612</v>
      </c>
      <c r="AR77" s="185">
        <v>0.2361904761904762</v>
      </c>
      <c r="AS77" s="185">
        <v>0.24862155388471177</v>
      </c>
      <c r="AT77" s="188">
        <v>1612</v>
      </c>
      <c r="AU77" s="185">
        <v>0.2361904761904762</v>
      </c>
      <c r="AV77" s="185">
        <v>0.24862155388471177</v>
      </c>
      <c r="AW77" s="185"/>
      <c r="AX77" s="185"/>
      <c r="AY77" s="185"/>
      <c r="AZ77" s="185"/>
      <c r="BA77" s="185"/>
      <c r="BB77" s="185"/>
      <c r="BC77" s="188">
        <v>1612</v>
      </c>
      <c r="BD77" s="185">
        <v>0.2361904761904762</v>
      </c>
      <c r="BE77" s="185">
        <v>0.24862155388471177</v>
      </c>
      <c r="BF77" s="188"/>
      <c r="BG77" s="188">
        <v>1811</v>
      </c>
      <c r="BH77" s="185">
        <v>0.26534798534798537</v>
      </c>
      <c r="BI77" s="185">
        <v>0.27931366878735298</v>
      </c>
      <c r="BJ77" s="188">
        <v>6483.75</v>
      </c>
      <c r="BK77" s="188">
        <v>3442</v>
      </c>
      <c r="BL77" s="185">
        <v>0.50432234432234435</v>
      </c>
      <c r="BM77" s="185">
        <v>0.53086562560246775</v>
      </c>
      <c r="BN77" s="188">
        <v>3442</v>
      </c>
      <c r="BO77" s="185">
        <f t="shared" si="87"/>
        <v>0.50432234432234435</v>
      </c>
      <c r="BP77" s="185">
        <f t="shared" si="88"/>
        <v>0.53086562560246775</v>
      </c>
      <c r="BQ77" s="205">
        <f t="shared" si="89"/>
        <v>1830</v>
      </c>
      <c r="BR77" s="205"/>
      <c r="BS77" s="189" t="e">
        <f>#REF!+#REF!</f>
        <v>#REF!</v>
      </c>
      <c r="BT77" s="186" t="e">
        <f t="shared" si="90"/>
        <v>#REF!</v>
      </c>
      <c r="BU77" s="189" t="e">
        <f>#REF!+#REF!</f>
        <v>#REF!</v>
      </c>
      <c r="BV77" s="186" t="e">
        <f t="shared" si="91"/>
        <v>#REF!</v>
      </c>
      <c r="BW77" s="189" t="e">
        <f>#REF!+#REF!</f>
        <v>#REF!</v>
      </c>
      <c r="BX77" s="186" t="e">
        <f t="shared" si="92"/>
        <v>#REF!</v>
      </c>
      <c r="BY77" s="189" t="e">
        <f>#REF!+#REF!</f>
        <v>#REF!</v>
      </c>
      <c r="BZ77" s="186" t="e">
        <f t="shared" si="93"/>
        <v>#REF!</v>
      </c>
      <c r="CA77" s="189" t="e">
        <f>#REF!+#REF!</f>
        <v>#REF!</v>
      </c>
      <c r="CB77" s="186" t="e">
        <f t="shared" si="94"/>
        <v>#REF!</v>
      </c>
      <c r="CC77" s="189" t="e">
        <f>#REF!+#REF!</f>
        <v>#REF!</v>
      </c>
      <c r="CD77" s="186" t="e">
        <f t="shared" si="95"/>
        <v>#REF!</v>
      </c>
      <c r="CE77" s="189" t="e">
        <f>#REF!+#REF!</f>
        <v>#REF!</v>
      </c>
      <c r="CF77" s="186" t="e">
        <f t="shared" si="96"/>
        <v>#REF!</v>
      </c>
      <c r="CG77" s="189" t="e">
        <f>#REF!+#REF!</f>
        <v>#REF!</v>
      </c>
      <c r="CH77" s="186" t="e">
        <f t="shared" si="97"/>
        <v>#REF!</v>
      </c>
      <c r="CI77" s="189" t="e">
        <f>#REF!+#REF!</f>
        <v>#REF!</v>
      </c>
      <c r="CJ77" s="186" t="e">
        <f t="shared" si="98"/>
        <v>#REF!</v>
      </c>
      <c r="CK77" s="189" t="e">
        <f>#REF!+#REF!</f>
        <v>#REF!</v>
      </c>
      <c r="CL77" s="186" t="e">
        <f t="shared" si="99"/>
        <v>#REF!</v>
      </c>
      <c r="CM77" s="189" t="e">
        <f>#REF!+#REF!</f>
        <v>#REF!</v>
      </c>
      <c r="CN77" s="186" t="e">
        <f t="shared" si="100"/>
        <v>#REF!</v>
      </c>
      <c r="CO77" s="189" t="e">
        <f>#REF!+#REF!</f>
        <v>#REF!</v>
      </c>
      <c r="CP77" s="186" t="e">
        <f t="shared" si="101"/>
        <v>#REF!</v>
      </c>
      <c r="CQ77" s="189" t="e">
        <f>#REF!+#REF!</f>
        <v>#REF!</v>
      </c>
      <c r="CR77" s="186" t="e">
        <f t="shared" si="102"/>
        <v>#REF!</v>
      </c>
      <c r="CS77" s="213" t="str">
        <f t="shared" si="103"/>
        <v>Đạt</v>
      </c>
      <c r="CT77" s="213" t="str">
        <f t="shared" si="104"/>
        <v>Đạt</v>
      </c>
      <c r="CU77" s="213"/>
      <c r="CV77" s="213"/>
      <c r="CW77" s="231"/>
      <c r="CX77" s="163"/>
      <c r="CZ77" s="195"/>
      <c r="DA77" s="196"/>
      <c r="DB77" s="196"/>
      <c r="DC77" s="197"/>
      <c r="DD77" s="196"/>
      <c r="DE77" s="196"/>
      <c r="DF77" s="196"/>
      <c r="DH77" s="199"/>
      <c r="DI77" s="200"/>
      <c r="DJ77" s="181"/>
    </row>
    <row r="78" spans="1:115" ht="18" customHeight="1" x14ac:dyDescent="0.25">
      <c r="A78" s="213">
        <v>48</v>
      </c>
      <c r="B78" s="240" t="s">
        <v>420</v>
      </c>
      <c r="C78" s="240"/>
      <c r="D78" s="188">
        <v>8100</v>
      </c>
      <c r="E78" s="188">
        <v>0</v>
      </c>
      <c r="F78" s="188">
        <v>8100</v>
      </c>
      <c r="G78" s="188">
        <v>3000</v>
      </c>
      <c r="H78" s="188">
        <v>5100</v>
      </c>
      <c r="I78" s="188">
        <v>0</v>
      </c>
      <c r="J78" s="188"/>
      <c r="K78" s="188">
        <v>0</v>
      </c>
      <c r="L78" s="188">
        <v>0</v>
      </c>
      <c r="M78" s="188">
        <v>0</v>
      </c>
      <c r="N78" s="188">
        <v>0</v>
      </c>
      <c r="O78" s="188">
        <v>3000</v>
      </c>
      <c r="P78" s="188">
        <v>0</v>
      </c>
      <c r="Q78" s="186">
        <v>0</v>
      </c>
      <c r="R78" s="188">
        <v>0</v>
      </c>
      <c r="S78" s="185">
        <v>0</v>
      </c>
      <c r="T78" s="185">
        <v>0</v>
      </c>
      <c r="U78" s="188">
        <v>0</v>
      </c>
      <c r="V78" s="185">
        <v>0</v>
      </c>
      <c r="W78" s="185">
        <v>0</v>
      </c>
      <c r="X78" s="188">
        <v>0</v>
      </c>
      <c r="Y78" s="185">
        <v>0</v>
      </c>
      <c r="Z78" s="185">
        <v>0</v>
      </c>
      <c r="AA78" s="188">
        <v>0</v>
      </c>
      <c r="AB78" s="185">
        <v>0</v>
      </c>
      <c r="AC78" s="185">
        <v>0</v>
      </c>
      <c r="AD78" s="188">
        <v>1122</v>
      </c>
      <c r="AE78" s="185">
        <v>0.13851851851851851</v>
      </c>
      <c r="AF78" s="185">
        <v>0.14580896686159844</v>
      </c>
      <c r="AG78" s="188">
        <v>1122</v>
      </c>
      <c r="AH78" s="185">
        <v>0.13851851851851851</v>
      </c>
      <c r="AI78" s="185">
        <v>0.14580896686159844</v>
      </c>
      <c r="AJ78" s="303">
        <v>1122</v>
      </c>
      <c r="AK78" s="185">
        <v>0.13851851851851851</v>
      </c>
      <c r="AL78" s="185">
        <v>0.14580896686159844</v>
      </c>
      <c r="AM78" s="188">
        <v>1484</v>
      </c>
      <c r="AN78" s="185">
        <v>0.18320987654320989</v>
      </c>
      <c r="AO78" s="185">
        <v>0.19285250162443146</v>
      </c>
      <c r="AP78" s="185"/>
      <c r="AQ78" s="188">
        <v>1484</v>
      </c>
      <c r="AR78" s="185">
        <v>0.18320987654320989</v>
      </c>
      <c r="AS78" s="185">
        <v>0.19285250162443146</v>
      </c>
      <c r="AT78" s="188">
        <v>1955.328</v>
      </c>
      <c r="AU78" s="185">
        <v>0.24139851851851851</v>
      </c>
      <c r="AV78" s="185">
        <v>0.25410370370370372</v>
      </c>
      <c r="AW78" s="185"/>
      <c r="AX78" s="185"/>
      <c r="AY78" s="185"/>
      <c r="AZ78" s="185"/>
      <c r="BA78" s="185"/>
      <c r="BB78" s="185"/>
      <c r="BC78" s="188">
        <v>1955.328</v>
      </c>
      <c r="BD78" s="185">
        <v>0.24139851851851851</v>
      </c>
      <c r="BE78" s="185">
        <v>0.25410370370370372</v>
      </c>
      <c r="BF78" s="188"/>
      <c r="BG78" s="188">
        <v>2768</v>
      </c>
      <c r="BH78" s="185">
        <v>0.34172839506172842</v>
      </c>
      <c r="BI78" s="185">
        <v>0.35971410006497728</v>
      </c>
      <c r="BJ78" s="188">
        <v>7695</v>
      </c>
      <c r="BK78" s="188">
        <v>4075.9832000000001</v>
      </c>
      <c r="BL78" s="185">
        <v>0.50320780246913577</v>
      </c>
      <c r="BM78" s="185">
        <v>0.52969242365172187</v>
      </c>
      <c r="BN78" s="188">
        <v>4075.9832000000001</v>
      </c>
      <c r="BO78" s="185">
        <f t="shared" si="87"/>
        <v>0.50320780246913577</v>
      </c>
      <c r="BP78" s="185">
        <f t="shared" si="88"/>
        <v>0.52969242365172187</v>
      </c>
      <c r="BQ78" s="205">
        <f t="shared" si="89"/>
        <v>2953.9832000000001</v>
      </c>
      <c r="BR78" s="205"/>
      <c r="BS78" s="189" t="e">
        <f>#REF!+BS79</f>
        <v>#REF!</v>
      </c>
      <c r="BT78" s="186" t="e">
        <f t="shared" si="90"/>
        <v>#REF!</v>
      </c>
      <c r="BU78" s="189" t="e">
        <f>#REF!+BU79</f>
        <v>#REF!</v>
      </c>
      <c r="BV78" s="186" t="e">
        <f t="shared" si="91"/>
        <v>#REF!</v>
      </c>
      <c r="BW78" s="189" t="e">
        <f>#REF!+BW79</f>
        <v>#REF!</v>
      </c>
      <c r="BX78" s="186" t="e">
        <f t="shared" si="92"/>
        <v>#REF!</v>
      </c>
      <c r="BY78" s="189" t="e">
        <f>#REF!+BY79</f>
        <v>#REF!</v>
      </c>
      <c r="BZ78" s="186" t="e">
        <f t="shared" si="93"/>
        <v>#REF!</v>
      </c>
      <c r="CA78" s="189" t="e">
        <f>#REF!+CA79</f>
        <v>#REF!</v>
      </c>
      <c r="CB78" s="186" t="e">
        <f t="shared" si="94"/>
        <v>#REF!</v>
      </c>
      <c r="CC78" s="189" t="e">
        <f>#REF!+CC79</f>
        <v>#REF!</v>
      </c>
      <c r="CD78" s="186" t="e">
        <f t="shared" si="95"/>
        <v>#REF!</v>
      </c>
      <c r="CE78" s="189" t="e">
        <f>#REF!+CE79</f>
        <v>#REF!</v>
      </c>
      <c r="CF78" s="186" t="e">
        <f t="shared" si="96"/>
        <v>#REF!</v>
      </c>
      <c r="CG78" s="189" t="e">
        <f>#REF!+CG79</f>
        <v>#REF!</v>
      </c>
      <c r="CH78" s="186" t="e">
        <f t="shared" si="97"/>
        <v>#REF!</v>
      </c>
      <c r="CI78" s="189" t="e">
        <f>#REF!+CI79</f>
        <v>#REF!</v>
      </c>
      <c r="CJ78" s="186" t="e">
        <f t="shared" si="98"/>
        <v>#REF!</v>
      </c>
      <c r="CK78" s="189" t="e">
        <f>#REF!+CK79</f>
        <v>#REF!</v>
      </c>
      <c r="CL78" s="186" t="e">
        <f t="shared" si="99"/>
        <v>#REF!</v>
      </c>
      <c r="CM78" s="189" t="e">
        <f>#REF!+CM79</f>
        <v>#REF!</v>
      </c>
      <c r="CN78" s="186" t="e">
        <f t="shared" si="100"/>
        <v>#REF!</v>
      </c>
      <c r="CO78" s="189" t="e">
        <f>#REF!+CO79</f>
        <v>#REF!</v>
      </c>
      <c r="CP78" s="186" t="e">
        <f t="shared" si="101"/>
        <v>#REF!</v>
      </c>
      <c r="CQ78" s="189" t="e">
        <f>#REF!+CQ79</f>
        <v>#REF!</v>
      </c>
      <c r="CR78" s="186" t="e">
        <f t="shared" si="102"/>
        <v>#REF!</v>
      </c>
      <c r="CS78" s="213" t="str">
        <f t="shared" si="103"/>
        <v>Đạt</v>
      </c>
      <c r="CT78" s="213" t="str">
        <f t="shared" si="104"/>
        <v>Đạt</v>
      </c>
      <c r="CU78" s="213"/>
      <c r="CV78" s="213"/>
      <c r="CW78" s="231"/>
      <c r="CX78" s="163"/>
      <c r="CZ78" s="195"/>
      <c r="DA78" s="196"/>
      <c r="DB78" s="196"/>
      <c r="DC78" s="197"/>
      <c r="DD78" s="196"/>
      <c r="DE78" s="196"/>
      <c r="DF78" s="196"/>
      <c r="DH78" s="199"/>
      <c r="DI78" s="200"/>
      <c r="DJ78" s="181"/>
    </row>
    <row r="79" spans="1:115" ht="18" customHeight="1" x14ac:dyDescent="0.25">
      <c r="A79" s="213">
        <v>49</v>
      </c>
      <c r="B79" s="240" t="s">
        <v>409</v>
      </c>
      <c r="C79" s="240"/>
      <c r="D79" s="188">
        <v>3255</v>
      </c>
      <c r="E79" s="188">
        <v>0</v>
      </c>
      <c r="F79" s="188">
        <v>3255</v>
      </c>
      <c r="G79" s="188">
        <v>3000</v>
      </c>
      <c r="H79" s="188">
        <v>255</v>
      </c>
      <c r="I79" s="188">
        <v>0</v>
      </c>
      <c r="J79" s="188"/>
      <c r="K79" s="188">
        <v>0</v>
      </c>
      <c r="L79" s="188">
        <v>0</v>
      </c>
      <c r="M79" s="188">
        <v>0</v>
      </c>
      <c r="N79" s="188">
        <v>0</v>
      </c>
      <c r="O79" s="188">
        <v>3000</v>
      </c>
      <c r="P79" s="188">
        <v>0</v>
      </c>
      <c r="Q79" s="186">
        <v>0</v>
      </c>
      <c r="R79" s="188">
        <v>0</v>
      </c>
      <c r="S79" s="185">
        <v>0</v>
      </c>
      <c r="T79" s="185">
        <v>0</v>
      </c>
      <c r="U79" s="188">
        <v>0</v>
      </c>
      <c r="V79" s="185">
        <v>0</v>
      </c>
      <c r="W79" s="185">
        <v>0</v>
      </c>
      <c r="X79" s="188">
        <v>0</v>
      </c>
      <c r="Y79" s="185">
        <v>0</v>
      </c>
      <c r="Z79" s="185">
        <v>0</v>
      </c>
      <c r="AA79" s="188">
        <v>0</v>
      </c>
      <c r="AB79" s="185">
        <v>0</v>
      </c>
      <c r="AC79" s="185">
        <v>0</v>
      </c>
      <c r="AD79" s="188">
        <v>146</v>
      </c>
      <c r="AE79" s="185">
        <v>4.4854070660522272E-2</v>
      </c>
      <c r="AF79" s="185">
        <v>4.7214811221602392E-2</v>
      </c>
      <c r="AG79" s="188">
        <v>146</v>
      </c>
      <c r="AH79" s="185">
        <v>4.4854070660522272E-2</v>
      </c>
      <c r="AI79" s="185">
        <v>4.7214811221602392E-2</v>
      </c>
      <c r="AJ79" s="303">
        <v>146</v>
      </c>
      <c r="AK79" s="185">
        <v>4.4854070660522272E-2</v>
      </c>
      <c r="AL79" s="185">
        <v>4.7214811221602392E-2</v>
      </c>
      <c r="AM79" s="188">
        <v>981.02799999999991</v>
      </c>
      <c r="AN79" s="185">
        <v>0.3013910906298003</v>
      </c>
      <c r="AO79" s="185">
        <v>0.31725377961031609</v>
      </c>
      <c r="AP79" s="185"/>
      <c r="AQ79" s="188">
        <v>1587</v>
      </c>
      <c r="AR79" s="185">
        <v>0.48755760368663592</v>
      </c>
      <c r="AS79" s="185">
        <v>0.51321853019645891</v>
      </c>
      <c r="AT79" s="188">
        <v>1587</v>
      </c>
      <c r="AU79" s="185">
        <v>0.48755760368663592</v>
      </c>
      <c r="AV79" s="185">
        <v>0.51321853019645891</v>
      </c>
      <c r="AW79" s="185"/>
      <c r="AX79" s="185"/>
      <c r="AY79" s="185"/>
      <c r="AZ79" s="185"/>
      <c r="BA79" s="185"/>
      <c r="BB79" s="185"/>
      <c r="BC79" s="188">
        <v>1587</v>
      </c>
      <c r="BD79" s="185">
        <v>0.48755760368663592</v>
      </c>
      <c r="BE79" s="185">
        <v>0.51321853019645891</v>
      </c>
      <c r="BF79" s="188"/>
      <c r="BG79" s="188">
        <v>1637</v>
      </c>
      <c r="BH79" s="185">
        <v>0.50291858678955448</v>
      </c>
      <c r="BI79" s="185">
        <v>0.52938798609426796</v>
      </c>
      <c r="BJ79" s="188">
        <v>3092.25</v>
      </c>
      <c r="BK79" s="188">
        <v>1637</v>
      </c>
      <c r="BL79" s="185">
        <v>0.50291858678955448</v>
      </c>
      <c r="BM79" s="185">
        <v>0.52938798609426796</v>
      </c>
      <c r="BN79" s="188">
        <v>1637</v>
      </c>
      <c r="BO79" s="185">
        <f t="shared" si="87"/>
        <v>0.50291858678955448</v>
      </c>
      <c r="BP79" s="185">
        <f t="shared" si="88"/>
        <v>0.52938798609426796</v>
      </c>
      <c r="BQ79" s="205">
        <f t="shared" si="89"/>
        <v>1491</v>
      </c>
      <c r="BR79" s="205"/>
      <c r="BS79" s="189" t="e">
        <f>#REF!+BS80</f>
        <v>#REF!</v>
      </c>
      <c r="BT79" s="186" t="e">
        <f t="shared" si="90"/>
        <v>#REF!</v>
      </c>
      <c r="BU79" s="189" t="e">
        <f>#REF!+BU80</f>
        <v>#REF!</v>
      </c>
      <c r="BV79" s="186" t="e">
        <f t="shared" si="91"/>
        <v>#REF!</v>
      </c>
      <c r="BW79" s="189" t="e">
        <f>#REF!+BW80</f>
        <v>#REF!</v>
      </c>
      <c r="BX79" s="186" t="e">
        <f t="shared" si="92"/>
        <v>#REF!</v>
      </c>
      <c r="BY79" s="189" t="e">
        <f>#REF!+BY80</f>
        <v>#REF!</v>
      </c>
      <c r="BZ79" s="186" t="e">
        <f t="shared" si="93"/>
        <v>#REF!</v>
      </c>
      <c r="CA79" s="189" t="e">
        <f>#REF!+CA80</f>
        <v>#REF!</v>
      </c>
      <c r="CB79" s="186" t="e">
        <f t="shared" si="94"/>
        <v>#REF!</v>
      </c>
      <c r="CC79" s="189" t="e">
        <f>#REF!+CC80</f>
        <v>#REF!</v>
      </c>
      <c r="CD79" s="186" t="e">
        <f t="shared" si="95"/>
        <v>#REF!</v>
      </c>
      <c r="CE79" s="189" t="e">
        <f>#REF!+CE80</f>
        <v>#REF!</v>
      </c>
      <c r="CF79" s="186" t="e">
        <f t="shared" si="96"/>
        <v>#REF!</v>
      </c>
      <c r="CG79" s="189" t="e">
        <f>#REF!+CG80</f>
        <v>#REF!</v>
      </c>
      <c r="CH79" s="186" t="e">
        <f t="shared" si="97"/>
        <v>#REF!</v>
      </c>
      <c r="CI79" s="189" t="e">
        <f>#REF!+CI80</f>
        <v>#REF!</v>
      </c>
      <c r="CJ79" s="186" t="e">
        <f t="shared" si="98"/>
        <v>#REF!</v>
      </c>
      <c r="CK79" s="189" t="e">
        <f>#REF!+CK80</f>
        <v>#REF!</v>
      </c>
      <c r="CL79" s="186" t="e">
        <f t="shared" si="99"/>
        <v>#REF!</v>
      </c>
      <c r="CM79" s="189" t="e">
        <f>#REF!+CM80</f>
        <v>#REF!</v>
      </c>
      <c r="CN79" s="186" t="e">
        <f t="shared" si="100"/>
        <v>#REF!</v>
      </c>
      <c r="CO79" s="189" t="e">
        <f>#REF!+CO80</f>
        <v>#REF!</v>
      </c>
      <c r="CP79" s="186" t="e">
        <f t="shared" si="101"/>
        <v>#REF!</v>
      </c>
      <c r="CQ79" s="189" t="e">
        <f>#REF!+CQ80</f>
        <v>#REF!</v>
      </c>
      <c r="CR79" s="186" t="e">
        <f t="shared" si="102"/>
        <v>#REF!</v>
      </c>
      <c r="CS79" s="213" t="str">
        <f t="shared" si="103"/>
        <v>Đạt</v>
      </c>
      <c r="CT79" s="213" t="str">
        <f t="shared" si="104"/>
        <v>Đạt</v>
      </c>
      <c r="CU79" s="213"/>
      <c r="CV79" s="213"/>
      <c r="CW79" s="231"/>
      <c r="CX79" s="163"/>
      <c r="CZ79" s="195"/>
      <c r="DA79" s="196"/>
      <c r="DB79" s="196"/>
      <c r="DC79" s="197"/>
      <c r="DD79" s="196"/>
      <c r="DE79" s="196"/>
      <c r="DF79" s="196"/>
      <c r="DH79" s="199"/>
      <c r="DI79" s="200"/>
      <c r="DJ79" s="181"/>
    </row>
    <row r="80" spans="1:115" ht="18" customHeight="1" x14ac:dyDescent="0.25">
      <c r="A80" s="213">
        <v>50</v>
      </c>
      <c r="B80" s="240" t="s">
        <v>510</v>
      </c>
      <c r="C80" s="240"/>
      <c r="D80" s="188">
        <v>3000</v>
      </c>
      <c r="E80" s="188">
        <v>0</v>
      </c>
      <c r="F80" s="188">
        <v>3000</v>
      </c>
      <c r="G80" s="188">
        <v>3000</v>
      </c>
      <c r="H80" s="188">
        <v>0</v>
      </c>
      <c r="I80" s="188">
        <v>0</v>
      </c>
      <c r="J80" s="188"/>
      <c r="K80" s="188">
        <v>0</v>
      </c>
      <c r="L80" s="188">
        <v>0</v>
      </c>
      <c r="M80" s="231"/>
      <c r="N80" s="231"/>
      <c r="O80" s="188">
        <v>3000</v>
      </c>
      <c r="P80" s="188">
        <v>0</v>
      </c>
      <c r="Q80" s="186">
        <v>0</v>
      </c>
      <c r="R80" s="188">
        <v>0</v>
      </c>
      <c r="S80" s="185">
        <v>0</v>
      </c>
      <c r="T80" s="185">
        <v>0</v>
      </c>
      <c r="U80" s="188">
        <v>725.32400000000007</v>
      </c>
      <c r="V80" s="185">
        <v>0.24177466666666669</v>
      </c>
      <c r="W80" s="185">
        <v>0.25449964912280704</v>
      </c>
      <c r="X80" s="188">
        <v>725.32400000000007</v>
      </c>
      <c r="Y80" s="185">
        <v>0.24177466666666669</v>
      </c>
      <c r="Z80" s="185">
        <v>0.25449964912280704</v>
      </c>
      <c r="AA80" s="188">
        <v>725.32400000000007</v>
      </c>
      <c r="AB80" s="185">
        <v>0.24177466666666669</v>
      </c>
      <c r="AC80" s="185">
        <v>0.25449964912280704</v>
      </c>
      <c r="AD80" s="188">
        <v>725.32400000000007</v>
      </c>
      <c r="AE80" s="185">
        <v>0.24177466666666669</v>
      </c>
      <c r="AF80" s="185">
        <v>0.25449964912280704</v>
      </c>
      <c r="AG80" s="188">
        <v>725.32400000000007</v>
      </c>
      <c r="AH80" s="185">
        <v>0.24177466666666669</v>
      </c>
      <c r="AI80" s="185">
        <v>0.25449964912280704</v>
      </c>
      <c r="AJ80" s="303">
        <v>725.32400000000007</v>
      </c>
      <c r="AK80" s="185">
        <v>0.24177466666666669</v>
      </c>
      <c r="AL80" s="185">
        <v>0.25449964912280704</v>
      </c>
      <c r="AM80" s="188">
        <v>725.32400000000007</v>
      </c>
      <c r="AN80" s="185">
        <v>0.24177466666666669</v>
      </c>
      <c r="AO80" s="185">
        <v>0.25449964912280704</v>
      </c>
      <c r="AP80" s="185"/>
      <c r="AQ80" s="188">
        <v>725.32400000000007</v>
      </c>
      <c r="AR80" s="185">
        <v>0.24177466666666669</v>
      </c>
      <c r="AS80" s="185">
        <v>0.25449964912280704</v>
      </c>
      <c r="AT80" s="188">
        <v>725.32400000000007</v>
      </c>
      <c r="AU80" s="185">
        <v>0.24177466666666669</v>
      </c>
      <c r="AV80" s="185">
        <v>0.25449964912280704</v>
      </c>
      <c r="AW80" s="185"/>
      <c r="AX80" s="185"/>
      <c r="AY80" s="185"/>
      <c r="AZ80" s="185"/>
      <c r="BA80" s="185"/>
      <c r="BB80" s="185"/>
      <c r="BC80" s="188">
        <v>725.32400000000007</v>
      </c>
      <c r="BD80" s="185">
        <v>0.24177466666666669</v>
      </c>
      <c r="BE80" s="185">
        <v>0.25449964912280704</v>
      </c>
      <c r="BF80" s="352"/>
      <c r="BG80" s="352">
        <v>1237.441</v>
      </c>
      <c r="BH80" s="185">
        <v>0.41248033333333334</v>
      </c>
      <c r="BI80" s="185">
        <v>0.43418982456140354</v>
      </c>
      <c r="BJ80" s="374">
        <v>2850</v>
      </c>
      <c r="BK80" s="374">
        <v>1460.441</v>
      </c>
      <c r="BL80" s="185">
        <v>0.4868136666666667</v>
      </c>
      <c r="BM80" s="185">
        <v>0.51243543859649121</v>
      </c>
      <c r="BN80" s="374">
        <v>1460.441</v>
      </c>
      <c r="BO80" s="185">
        <f t="shared" si="87"/>
        <v>0.4868136666666667</v>
      </c>
      <c r="BP80" s="185">
        <f t="shared" si="88"/>
        <v>0.51243543859649121</v>
      </c>
      <c r="BQ80" s="205">
        <f t="shared" si="89"/>
        <v>735.11699999999996</v>
      </c>
      <c r="BR80" s="205"/>
      <c r="BS80" s="189" t="e">
        <f>#REF!</f>
        <v>#REF!</v>
      </c>
      <c r="BT80" s="186" t="e">
        <f t="shared" si="90"/>
        <v>#REF!</v>
      </c>
      <c r="BU80" s="189" t="e">
        <f>#REF!</f>
        <v>#REF!</v>
      </c>
      <c r="BV80" s="186" t="e">
        <f t="shared" si="91"/>
        <v>#REF!</v>
      </c>
      <c r="BW80" s="189" t="e">
        <f>#REF!</f>
        <v>#REF!</v>
      </c>
      <c r="BX80" s="186" t="e">
        <f t="shared" si="92"/>
        <v>#REF!</v>
      </c>
      <c r="BY80" s="189" t="e">
        <f>#REF!</f>
        <v>#REF!</v>
      </c>
      <c r="BZ80" s="186" t="e">
        <f t="shared" si="93"/>
        <v>#REF!</v>
      </c>
      <c r="CA80" s="189" t="e">
        <f>#REF!</f>
        <v>#REF!</v>
      </c>
      <c r="CB80" s="186" t="e">
        <f t="shared" si="94"/>
        <v>#REF!</v>
      </c>
      <c r="CC80" s="189" t="e">
        <f>#REF!</f>
        <v>#REF!</v>
      </c>
      <c r="CD80" s="186" t="e">
        <f t="shared" si="95"/>
        <v>#REF!</v>
      </c>
      <c r="CE80" s="189" t="e">
        <f>#REF!</f>
        <v>#REF!</v>
      </c>
      <c r="CF80" s="186" t="e">
        <f t="shared" si="96"/>
        <v>#REF!</v>
      </c>
      <c r="CG80" s="189" t="e">
        <f>#REF!</f>
        <v>#REF!</v>
      </c>
      <c r="CH80" s="186" t="e">
        <f t="shared" si="97"/>
        <v>#REF!</v>
      </c>
      <c r="CI80" s="189" t="e">
        <f>#REF!</f>
        <v>#REF!</v>
      </c>
      <c r="CJ80" s="186" t="e">
        <f t="shared" si="98"/>
        <v>#REF!</v>
      </c>
      <c r="CK80" s="189" t="e">
        <f>#REF!</f>
        <v>#REF!</v>
      </c>
      <c r="CL80" s="186" t="e">
        <f t="shared" si="99"/>
        <v>#REF!</v>
      </c>
      <c r="CM80" s="189" t="e">
        <f>#REF!</f>
        <v>#REF!</v>
      </c>
      <c r="CN80" s="186" t="e">
        <f t="shared" si="100"/>
        <v>#REF!</v>
      </c>
      <c r="CO80" s="189" t="e">
        <f>#REF!</f>
        <v>#REF!</v>
      </c>
      <c r="CP80" s="186" t="e">
        <f t="shared" si="101"/>
        <v>#REF!</v>
      </c>
      <c r="CQ80" s="189" t="e">
        <f>#REF!</f>
        <v>#REF!</v>
      </c>
      <c r="CR80" s="186" t="e">
        <f t="shared" si="102"/>
        <v>#REF!</v>
      </c>
      <c r="CS80" s="213" t="str">
        <f t="shared" si="103"/>
        <v>Đạt</v>
      </c>
      <c r="CT80" s="213" t="str">
        <f t="shared" si="104"/>
        <v>Đạt</v>
      </c>
      <c r="CU80" s="213"/>
      <c r="CV80" s="213"/>
      <c r="CW80" s="231"/>
      <c r="CX80" s="163"/>
      <c r="CZ80" s="195"/>
      <c r="DA80" s="196"/>
      <c r="DB80" s="196"/>
      <c r="DC80" s="197"/>
      <c r="DD80" s="196"/>
      <c r="DE80" s="196"/>
      <c r="DF80" s="196"/>
      <c r="DH80" s="199"/>
      <c r="DI80" s="200"/>
      <c r="DJ80" s="181"/>
    </row>
    <row r="81" spans="1:114" ht="18" customHeight="1" x14ac:dyDescent="0.25">
      <c r="A81" s="213">
        <v>51</v>
      </c>
      <c r="B81" s="240" t="s">
        <v>412</v>
      </c>
      <c r="C81" s="240"/>
      <c r="D81" s="188">
        <v>10150</v>
      </c>
      <c r="E81" s="188">
        <v>0</v>
      </c>
      <c r="F81" s="188">
        <v>10150</v>
      </c>
      <c r="G81" s="188">
        <v>3000</v>
      </c>
      <c r="H81" s="188">
        <v>7150</v>
      </c>
      <c r="I81" s="188">
        <v>0</v>
      </c>
      <c r="J81" s="188"/>
      <c r="K81" s="188">
        <v>0</v>
      </c>
      <c r="L81" s="188">
        <v>0</v>
      </c>
      <c r="M81" s="188">
        <v>0</v>
      </c>
      <c r="N81" s="188">
        <v>0</v>
      </c>
      <c r="O81" s="188">
        <v>3000</v>
      </c>
      <c r="P81" s="188">
        <v>0</v>
      </c>
      <c r="Q81" s="186">
        <v>0</v>
      </c>
      <c r="R81" s="189">
        <v>342</v>
      </c>
      <c r="S81" s="185">
        <v>3.3694581280788179E-2</v>
      </c>
      <c r="T81" s="185">
        <v>3.5467980295566505E-2</v>
      </c>
      <c r="U81" s="189">
        <v>380</v>
      </c>
      <c r="V81" s="185">
        <v>3.7438423645320199E-2</v>
      </c>
      <c r="W81" s="185">
        <v>3.9408866995073892E-2</v>
      </c>
      <c r="X81" s="189">
        <v>380</v>
      </c>
      <c r="Y81" s="185">
        <v>3.7438423645320199E-2</v>
      </c>
      <c r="Z81" s="185">
        <v>3.9408866995073892E-2</v>
      </c>
      <c r="AA81" s="189">
        <v>380</v>
      </c>
      <c r="AB81" s="185">
        <v>3.7438423645320199E-2</v>
      </c>
      <c r="AC81" s="185">
        <v>3.9408866995073892E-2</v>
      </c>
      <c r="AD81" s="189">
        <v>380</v>
      </c>
      <c r="AE81" s="185">
        <v>3.7438423645320199E-2</v>
      </c>
      <c r="AF81" s="185">
        <v>3.9408866995073892E-2</v>
      </c>
      <c r="AG81" s="189">
        <v>380</v>
      </c>
      <c r="AH81" s="185">
        <v>3.7438423645320199E-2</v>
      </c>
      <c r="AI81" s="185">
        <v>3.9408866995073892E-2</v>
      </c>
      <c r="AJ81" s="303">
        <v>380</v>
      </c>
      <c r="AK81" s="185">
        <v>3.7438423645320199E-2</v>
      </c>
      <c r="AL81" s="185">
        <v>3.9408866995073892E-2</v>
      </c>
      <c r="AM81" s="189">
        <v>1400</v>
      </c>
      <c r="AN81" s="185">
        <v>0.13793103448275862</v>
      </c>
      <c r="AO81" s="185">
        <v>0.14519056261343014</v>
      </c>
      <c r="AP81" s="185"/>
      <c r="AQ81" s="189">
        <v>1400</v>
      </c>
      <c r="AR81" s="185">
        <v>0.13793103448275862</v>
      </c>
      <c r="AS81" s="185">
        <v>0.14519056261343014</v>
      </c>
      <c r="AT81" s="189">
        <v>1400</v>
      </c>
      <c r="AU81" s="185">
        <v>0.13793103448275862</v>
      </c>
      <c r="AV81" s="185">
        <v>0.14519056261343014</v>
      </c>
      <c r="AW81" s="185"/>
      <c r="AX81" s="185"/>
      <c r="AY81" s="185"/>
      <c r="AZ81" s="185"/>
      <c r="BA81" s="185"/>
      <c r="BB81" s="185"/>
      <c r="BC81" s="189">
        <v>1400</v>
      </c>
      <c r="BD81" s="185">
        <v>0.13793103448275862</v>
      </c>
      <c r="BE81" s="185">
        <v>0.14519056261343014</v>
      </c>
      <c r="BF81" s="189"/>
      <c r="BG81" s="189">
        <v>4389</v>
      </c>
      <c r="BH81" s="185">
        <v>0.4324137931034483</v>
      </c>
      <c r="BI81" s="185">
        <v>0.45517241379310347</v>
      </c>
      <c r="BJ81" s="189">
        <v>9642.5</v>
      </c>
      <c r="BK81" s="189">
        <v>4851</v>
      </c>
      <c r="BL81" s="185">
        <v>0.47793103448275864</v>
      </c>
      <c r="BM81" s="185">
        <v>0.50308529945553537</v>
      </c>
      <c r="BN81" s="189">
        <v>4851</v>
      </c>
      <c r="BO81" s="185">
        <f t="shared" si="87"/>
        <v>0.47793103448275864</v>
      </c>
      <c r="BP81" s="185">
        <f t="shared" si="88"/>
        <v>0.50308529945553537</v>
      </c>
      <c r="BQ81" s="205">
        <f t="shared" si="89"/>
        <v>4471</v>
      </c>
      <c r="BR81" s="205"/>
      <c r="BS81" s="189" t="e">
        <f>#REF!+#REF!</f>
        <v>#REF!</v>
      </c>
      <c r="BT81" s="186" t="e">
        <f t="shared" si="90"/>
        <v>#REF!</v>
      </c>
      <c r="BU81" s="189" t="e">
        <f>#REF!+#REF!</f>
        <v>#REF!</v>
      </c>
      <c r="BV81" s="186" t="e">
        <f t="shared" si="91"/>
        <v>#REF!</v>
      </c>
      <c r="BW81" s="189" t="e">
        <f>#REF!+#REF!</f>
        <v>#REF!</v>
      </c>
      <c r="BX81" s="186" t="e">
        <f t="shared" si="92"/>
        <v>#REF!</v>
      </c>
      <c r="BY81" s="189" t="e">
        <f>#REF!+#REF!</f>
        <v>#REF!</v>
      </c>
      <c r="BZ81" s="186" t="e">
        <f t="shared" si="93"/>
        <v>#REF!</v>
      </c>
      <c r="CA81" s="189" t="e">
        <f>#REF!+#REF!</f>
        <v>#REF!</v>
      </c>
      <c r="CB81" s="186" t="e">
        <f t="shared" si="94"/>
        <v>#REF!</v>
      </c>
      <c r="CC81" s="189" t="e">
        <f>#REF!+#REF!</f>
        <v>#REF!</v>
      </c>
      <c r="CD81" s="186" t="e">
        <f t="shared" si="95"/>
        <v>#REF!</v>
      </c>
      <c r="CE81" s="189" t="e">
        <f>#REF!+#REF!</f>
        <v>#REF!</v>
      </c>
      <c r="CF81" s="186" t="e">
        <f t="shared" si="96"/>
        <v>#REF!</v>
      </c>
      <c r="CG81" s="189" t="e">
        <f>#REF!+#REF!</f>
        <v>#REF!</v>
      </c>
      <c r="CH81" s="186" t="e">
        <f t="shared" si="97"/>
        <v>#REF!</v>
      </c>
      <c r="CI81" s="189" t="e">
        <f>#REF!+#REF!</f>
        <v>#REF!</v>
      </c>
      <c r="CJ81" s="186" t="e">
        <f t="shared" si="98"/>
        <v>#REF!</v>
      </c>
      <c r="CK81" s="189" t="e">
        <f>#REF!+#REF!</f>
        <v>#REF!</v>
      </c>
      <c r="CL81" s="186" t="e">
        <f t="shared" si="99"/>
        <v>#REF!</v>
      </c>
      <c r="CM81" s="189" t="e">
        <f>#REF!+#REF!</f>
        <v>#REF!</v>
      </c>
      <c r="CN81" s="186" t="e">
        <f t="shared" si="100"/>
        <v>#REF!</v>
      </c>
      <c r="CO81" s="189" t="e">
        <f>#REF!+#REF!</f>
        <v>#REF!</v>
      </c>
      <c r="CP81" s="186" t="e">
        <f t="shared" si="101"/>
        <v>#REF!</v>
      </c>
      <c r="CQ81" s="189" t="e">
        <f>#REF!+#REF!</f>
        <v>#REF!</v>
      </c>
      <c r="CR81" s="186" t="e">
        <f t="shared" si="102"/>
        <v>#REF!</v>
      </c>
      <c r="CS81" s="213" t="str">
        <f t="shared" si="103"/>
        <v>Đạt</v>
      </c>
      <c r="CT81" s="213" t="str">
        <f t="shared" si="104"/>
        <v>Đạt</v>
      </c>
      <c r="CU81" s="213"/>
      <c r="CV81" s="213"/>
      <c r="CW81" s="231"/>
      <c r="CX81" s="163"/>
      <c r="CZ81" s="195"/>
      <c r="DA81" s="196"/>
      <c r="DB81" s="196"/>
      <c r="DC81" s="197"/>
      <c r="DD81" s="196"/>
      <c r="DE81" s="196"/>
      <c r="DF81" s="196"/>
      <c r="DH81" s="199"/>
      <c r="DI81" s="200"/>
      <c r="DJ81" s="181"/>
    </row>
    <row r="82" spans="1:114" ht="18" customHeight="1" x14ac:dyDescent="0.25">
      <c r="A82" s="213">
        <v>52</v>
      </c>
      <c r="B82" s="240" t="s">
        <v>395</v>
      </c>
      <c r="C82" s="240"/>
      <c r="D82" s="188">
        <v>3161</v>
      </c>
      <c r="E82" s="188">
        <v>0</v>
      </c>
      <c r="F82" s="188">
        <v>3161</v>
      </c>
      <c r="G82" s="188">
        <v>3000</v>
      </c>
      <c r="H82" s="188">
        <v>161</v>
      </c>
      <c r="I82" s="188">
        <v>0</v>
      </c>
      <c r="J82" s="188"/>
      <c r="K82" s="188">
        <v>0</v>
      </c>
      <c r="L82" s="188">
        <v>0</v>
      </c>
      <c r="M82" s="188">
        <v>0</v>
      </c>
      <c r="N82" s="188">
        <v>0</v>
      </c>
      <c r="O82" s="188">
        <v>3000</v>
      </c>
      <c r="P82" s="188">
        <v>0</v>
      </c>
      <c r="Q82" s="186">
        <v>0</v>
      </c>
      <c r="R82" s="189">
        <v>306.108</v>
      </c>
      <c r="S82" s="185">
        <v>9.683897500790889E-2</v>
      </c>
      <c r="T82" s="185">
        <v>0.1019357631662199</v>
      </c>
      <c r="U82" s="189">
        <v>1128.873</v>
      </c>
      <c r="V82" s="185">
        <v>0.35712527681113571</v>
      </c>
      <c r="W82" s="185">
        <v>0.37592134401172184</v>
      </c>
      <c r="X82" s="189">
        <v>1128.873</v>
      </c>
      <c r="Y82" s="185">
        <v>0.35712527681113571</v>
      </c>
      <c r="Z82" s="185">
        <v>0.37592134401172184</v>
      </c>
      <c r="AA82" s="189">
        <v>1128.873</v>
      </c>
      <c r="AB82" s="185">
        <v>0.35712527681113571</v>
      </c>
      <c r="AC82" s="185">
        <v>0.37592134401172184</v>
      </c>
      <c r="AD82" s="189">
        <v>1133</v>
      </c>
      <c r="AE82" s="185">
        <v>0.35843087630496678</v>
      </c>
      <c r="AF82" s="185">
        <v>0.3772956592683861</v>
      </c>
      <c r="AG82" s="189">
        <v>1133</v>
      </c>
      <c r="AH82" s="185">
        <v>0.35843087630496678</v>
      </c>
      <c r="AI82" s="185">
        <v>0.3772956592683861</v>
      </c>
      <c r="AJ82" s="303">
        <v>1133</v>
      </c>
      <c r="AK82" s="185">
        <v>0.35843087630496678</v>
      </c>
      <c r="AL82" s="185">
        <v>0.3772956592683861</v>
      </c>
      <c r="AM82" s="189">
        <v>1133</v>
      </c>
      <c r="AN82" s="185">
        <v>0.35843087630496678</v>
      </c>
      <c r="AO82" s="185">
        <v>0.3772956592683861</v>
      </c>
      <c r="AP82" s="185"/>
      <c r="AQ82" s="189">
        <v>1133</v>
      </c>
      <c r="AR82" s="185">
        <v>0.35843087630496678</v>
      </c>
      <c r="AS82" s="185">
        <v>0.3772956592683861</v>
      </c>
      <c r="AT82" s="189">
        <v>1133</v>
      </c>
      <c r="AU82" s="185">
        <v>0.35843087630496678</v>
      </c>
      <c r="AV82" s="185">
        <v>0.3772956592683861</v>
      </c>
      <c r="AW82" s="185"/>
      <c r="AX82" s="185"/>
      <c r="AY82" s="185"/>
      <c r="AZ82" s="185"/>
      <c r="BA82" s="185"/>
      <c r="BB82" s="185"/>
      <c r="BC82" s="189">
        <v>1133</v>
      </c>
      <c r="BD82" s="185">
        <v>0.35843087630496678</v>
      </c>
      <c r="BE82" s="185">
        <v>0.3772956592683861</v>
      </c>
      <c r="BF82" s="189"/>
      <c r="BG82" s="189">
        <v>1501.126</v>
      </c>
      <c r="BH82" s="185">
        <v>0.47488959190129704</v>
      </c>
      <c r="BI82" s="185">
        <v>0.49988378094873376</v>
      </c>
      <c r="BJ82" s="189">
        <v>3002.95</v>
      </c>
      <c r="BK82" s="189">
        <v>1501.126</v>
      </c>
      <c r="BL82" s="185">
        <v>0.47488959190129704</v>
      </c>
      <c r="BM82" s="185">
        <v>0.49988378094873376</v>
      </c>
      <c r="BN82" s="189">
        <v>1501.126</v>
      </c>
      <c r="BO82" s="185">
        <f t="shared" si="87"/>
        <v>0.47488959190129704</v>
      </c>
      <c r="BP82" s="185">
        <f t="shared" si="88"/>
        <v>0.49988378094873376</v>
      </c>
      <c r="BQ82" s="205">
        <f t="shared" si="89"/>
        <v>368.12599999999998</v>
      </c>
      <c r="BR82" s="205"/>
      <c r="BS82" s="189" t="e">
        <f>#REF!+#REF!</f>
        <v>#REF!</v>
      </c>
      <c r="BT82" s="186" t="e">
        <f t="shared" si="90"/>
        <v>#REF!</v>
      </c>
      <c r="BU82" s="189" t="e">
        <f>#REF!+#REF!</f>
        <v>#REF!</v>
      </c>
      <c r="BV82" s="186" t="e">
        <f t="shared" si="91"/>
        <v>#REF!</v>
      </c>
      <c r="BW82" s="189" t="e">
        <f>#REF!+#REF!</f>
        <v>#REF!</v>
      </c>
      <c r="BX82" s="186" t="e">
        <f t="shared" si="92"/>
        <v>#REF!</v>
      </c>
      <c r="BY82" s="189" t="e">
        <f>#REF!+#REF!</f>
        <v>#REF!</v>
      </c>
      <c r="BZ82" s="186" t="e">
        <f t="shared" si="93"/>
        <v>#REF!</v>
      </c>
      <c r="CA82" s="189" t="e">
        <f>#REF!+#REF!</f>
        <v>#REF!</v>
      </c>
      <c r="CB82" s="186" t="e">
        <f t="shared" si="94"/>
        <v>#REF!</v>
      </c>
      <c r="CC82" s="189" t="e">
        <f>#REF!+#REF!</f>
        <v>#REF!</v>
      </c>
      <c r="CD82" s="186" t="e">
        <f t="shared" si="95"/>
        <v>#REF!</v>
      </c>
      <c r="CE82" s="189" t="e">
        <f>#REF!+#REF!</f>
        <v>#REF!</v>
      </c>
      <c r="CF82" s="186" t="e">
        <f t="shared" si="96"/>
        <v>#REF!</v>
      </c>
      <c r="CG82" s="189" t="e">
        <f>#REF!+#REF!</f>
        <v>#REF!</v>
      </c>
      <c r="CH82" s="186" t="e">
        <f t="shared" si="97"/>
        <v>#REF!</v>
      </c>
      <c r="CI82" s="189" t="e">
        <f>#REF!+#REF!</f>
        <v>#REF!</v>
      </c>
      <c r="CJ82" s="186" t="e">
        <f t="shared" si="98"/>
        <v>#REF!</v>
      </c>
      <c r="CK82" s="189" t="e">
        <f>#REF!+#REF!</f>
        <v>#REF!</v>
      </c>
      <c r="CL82" s="186" t="e">
        <f t="shared" si="99"/>
        <v>#REF!</v>
      </c>
      <c r="CM82" s="189" t="e">
        <f>#REF!+#REF!</f>
        <v>#REF!</v>
      </c>
      <c r="CN82" s="186" t="e">
        <f t="shared" si="100"/>
        <v>#REF!</v>
      </c>
      <c r="CO82" s="189" t="e">
        <f>#REF!+#REF!</f>
        <v>#REF!</v>
      </c>
      <c r="CP82" s="186" t="e">
        <f t="shared" si="101"/>
        <v>#REF!</v>
      </c>
      <c r="CQ82" s="189" t="e">
        <f>#REF!+#REF!</f>
        <v>#REF!</v>
      </c>
      <c r="CR82" s="186" t="e">
        <f t="shared" si="102"/>
        <v>#REF!</v>
      </c>
      <c r="CS82" s="213" t="str">
        <f t="shared" si="103"/>
        <v>Đạt</v>
      </c>
      <c r="CT82" s="213" t="str">
        <f t="shared" si="104"/>
        <v>Đạt</v>
      </c>
      <c r="CU82" s="213"/>
      <c r="CV82" s="213"/>
      <c r="CW82" s="231"/>
      <c r="CX82" s="163"/>
      <c r="CZ82" s="195"/>
      <c r="DA82" s="196"/>
      <c r="DB82" s="196"/>
      <c r="DC82" s="197"/>
      <c r="DD82" s="196"/>
      <c r="DE82" s="196"/>
      <c r="DF82" s="196"/>
      <c r="DH82" s="199"/>
      <c r="DI82" s="200"/>
      <c r="DJ82" s="181"/>
    </row>
    <row r="83" spans="1:114" ht="18" customHeight="1" x14ac:dyDescent="0.25">
      <c r="A83" s="213">
        <v>53</v>
      </c>
      <c r="B83" s="240" t="s">
        <v>505</v>
      </c>
      <c r="C83" s="240"/>
      <c r="D83" s="188">
        <v>15750</v>
      </c>
      <c r="E83" s="188">
        <v>0</v>
      </c>
      <c r="F83" s="188">
        <v>15750</v>
      </c>
      <c r="G83" s="188">
        <v>3000</v>
      </c>
      <c r="H83" s="188">
        <v>12750</v>
      </c>
      <c r="I83" s="188">
        <v>0</v>
      </c>
      <c r="J83" s="188"/>
      <c r="K83" s="188">
        <v>0</v>
      </c>
      <c r="L83" s="188">
        <v>0</v>
      </c>
      <c r="M83" s="188">
        <v>0</v>
      </c>
      <c r="N83" s="188">
        <v>0</v>
      </c>
      <c r="O83" s="188">
        <v>3000</v>
      </c>
      <c r="P83" s="188">
        <v>0</v>
      </c>
      <c r="Q83" s="186">
        <v>0</v>
      </c>
      <c r="R83" s="188">
        <v>0</v>
      </c>
      <c r="S83" s="185">
        <v>0</v>
      </c>
      <c r="T83" s="185">
        <v>0</v>
      </c>
      <c r="U83" s="188">
        <v>0</v>
      </c>
      <c r="V83" s="185">
        <v>0</v>
      </c>
      <c r="W83" s="185">
        <v>0</v>
      </c>
      <c r="X83" s="188">
        <v>0</v>
      </c>
      <c r="Y83" s="185">
        <v>0</v>
      </c>
      <c r="Z83" s="185">
        <v>0</v>
      </c>
      <c r="AA83" s="188">
        <v>0</v>
      </c>
      <c r="AB83" s="185">
        <v>0</v>
      </c>
      <c r="AC83" s="185">
        <v>0</v>
      </c>
      <c r="AD83" s="188">
        <v>0</v>
      </c>
      <c r="AE83" s="185">
        <v>0</v>
      </c>
      <c r="AF83" s="185">
        <v>0</v>
      </c>
      <c r="AG83" s="188">
        <v>0</v>
      </c>
      <c r="AH83" s="185">
        <v>0</v>
      </c>
      <c r="AI83" s="185">
        <v>0</v>
      </c>
      <c r="AJ83" s="303">
        <v>0</v>
      </c>
      <c r="AK83" s="185">
        <v>0</v>
      </c>
      <c r="AL83" s="185">
        <v>0</v>
      </c>
      <c r="AM83" s="188">
        <v>0</v>
      </c>
      <c r="AN83" s="185">
        <v>0</v>
      </c>
      <c r="AO83" s="185">
        <v>0</v>
      </c>
      <c r="AP83" s="185"/>
      <c r="AQ83" s="188">
        <v>3028.9780000000001</v>
      </c>
      <c r="AR83" s="185">
        <v>0.19231606349206348</v>
      </c>
      <c r="AS83" s="185">
        <v>0.20243796157059316</v>
      </c>
      <c r="AT83" s="188">
        <v>3028.9780000000001</v>
      </c>
      <c r="AU83" s="185">
        <v>0.19231606349206348</v>
      </c>
      <c r="AV83" s="185">
        <v>0.20243796157059316</v>
      </c>
      <c r="AW83" s="185"/>
      <c r="AX83" s="185"/>
      <c r="AY83" s="185"/>
      <c r="AZ83" s="185"/>
      <c r="BA83" s="185"/>
      <c r="BB83" s="185"/>
      <c r="BC83" s="188">
        <v>3028.9780000000001</v>
      </c>
      <c r="BD83" s="185">
        <v>0.19231606349206348</v>
      </c>
      <c r="BE83" s="185">
        <v>0.20243796157059316</v>
      </c>
      <c r="BF83" s="352"/>
      <c r="BG83" s="352">
        <v>4081.3980000000001</v>
      </c>
      <c r="BH83" s="185">
        <v>0.25913638095238095</v>
      </c>
      <c r="BI83" s="185">
        <v>0.27277513784461155</v>
      </c>
      <c r="BJ83" s="374">
        <v>14962.5</v>
      </c>
      <c r="BK83" s="374">
        <v>7355.6360000000004</v>
      </c>
      <c r="BL83" s="185">
        <v>0.46702450793650796</v>
      </c>
      <c r="BM83" s="185">
        <v>0.49160474519632419</v>
      </c>
      <c r="BN83" s="374">
        <v>7355.6360000000004</v>
      </c>
      <c r="BO83" s="185">
        <f t="shared" si="87"/>
        <v>0.46702450793650796</v>
      </c>
      <c r="BP83" s="185">
        <f t="shared" si="88"/>
        <v>0.49160474519632419</v>
      </c>
      <c r="BQ83" s="205">
        <f t="shared" si="89"/>
        <v>7355.6360000000004</v>
      </c>
      <c r="BR83" s="205"/>
      <c r="BS83" s="189" t="e">
        <f>#REF!+#REF!</f>
        <v>#REF!</v>
      </c>
      <c r="BT83" s="186" t="e">
        <f t="shared" si="90"/>
        <v>#REF!</v>
      </c>
      <c r="BU83" s="189" t="e">
        <f>#REF!+#REF!</f>
        <v>#REF!</v>
      </c>
      <c r="BV83" s="186" t="e">
        <f t="shared" si="91"/>
        <v>#REF!</v>
      </c>
      <c r="BW83" s="189" t="e">
        <f>#REF!+#REF!</f>
        <v>#REF!</v>
      </c>
      <c r="BX83" s="186" t="e">
        <f t="shared" si="92"/>
        <v>#REF!</v>
      </c>
      <c r="BY83" s="189" t="e">
        <f>#REF!+#REF!</f>
        <v>#REF!</v>
      </c>
      <c r="BZ83" s="186" t="e">
        <f t="shared" si="93"/>
        <v>#REF!</v>
      </c>
      <c r="CA83" s="189" t="e">
        <f>#REF!+#REF!</f>
        <v>#REF!</v>
      </c>
      <c r="CB83" s="186" t="e">
        <f t="shared" si="94"/>
        <v>#REF!</v>
      </c>
      <c r="CC83" s="189" t="e">
        <f>#REF!+#REF!</f>
        <v>#REF!</v>
      </c>
      <c r="CD83" s="186" t="e">
        <f t="shared" si="95"/>
        <v>#REF!</v>
      </c>
      <c r="CE83" s="189" t="e">
        <f>#REF!+#REF!</f>
        <v>#REF!</v>
      </c>
      <c r="CF83" s="186" t="e">
        <f t="shared" si="96"/>
        <v>#REF!</v>
      </c>
      <c r="CG83" s="189" t="e">
        <f>#REF!+#REF!</f>
        <v>#REF!</v>
      </c>
      <c r="CH83" s="186" t="e">
        <f t="shared" si="97"/>
        <v>#REF!</v>
      </c>
      <c r="CI83" s="189" t="e">
        <f>#REF!+#REF!</f>
        <v>#REF!</v>
      </c>
      <c r="CJ83" s="186" t="e">
        <f t="shared" si="98"/>
        <v>#REF!</v>
      </c>
      <c r="CK83" s="189" t="e">
        <f>#REF!+#REF!</f>
        <v>#REF!</v>
      </c>
      <c r="CL83" s="186" t="e">
        <f t="shared" si="99"/>
        <v>#REF!</v>
      </c>
      <c r="CM83" s="189" t="e">
        <f>#REF!+#REF!</f>
        <v>#REF!</v>
      </c>
      <c r="CN83" s="186" t="e">
        <f t="shared" si="100"/>
        <v>#REF!</v>
      </c>
      <c r="CO83" s="189" t="e">
        <f>#REF!+#REF!</f>
        <v>#REF!</v>
      </c>
      <c r="CP83" s="186" t="e">
        <f t="shared" si="101"/>
        <v>#REF!</v>
      </c>
      <c r="CQ83" s="189" t="e">
        <f>#REF!+#REF!</f>
        <v>#REF!</v>
      </c>
      <c r="CR83" s="186" t="e">
        <f t="shared" si="102"/>
        <v>#REF!</v>
      </c>
      <c r="CS83" s="213" t="str">
        <f t="shared" si="103"/>
        <v>Đạt</v>
      </c>
      <c r="CT83" s="213" t="str">
        <f t="shared" si="104"/>
        <v>Đạt</v>
      </c>
      <c r="CU83" s="213"/>
      <c r="CV83" s="213"/>
      <c r="CW83" s="231"/>
      <c r="CX83" s="163"/>
      <c r="CZ83" s="195"/>
      <c r="DA83" s="196"/>
      <c r="DB83" s="196"/>
      <c r="DC83" s="197"/>
      <c r="DD83" s="196"/>
      <c r="DE83" s="196"/>
      <c r="DF83" s="196"/>
      <c r="DH83" s="199"/>
      <c r="DI83" s="200"/>
      <c r="DJ83" s="181"/>
    </row>
    <row r="84" spans="1:114" ht="18" customHeight="1" x14ac:dyDescent="0.25">
      <c r="A84" s="213">
        <v>54</v>
      </c>
      <c r="B84" s="240" t="s">
        <v>508</v>
      </c>
      <c r="C84" s="240"/>
      <c r="D84" s="188">
        <v>3085</v>
      </c>
      <c r="E84" s="188">
        <v>0</v>
      </c>
      <c r="F84" s="188">
        <v>3085</v>
      </c>
      <c r="G84" s="188">
        <v>3000</v>
      </c>
      <c r="H84" s="188">
        <v>85</v>
      </c>
      <c r="I84" s="188">
        <v>0</v>
      </c>
      <c r="J84" s="188"/>
      <c r="K84" s="188">
        <v>0</v>
      </c>
      <c r="L84" s="188">
        <v>0</v>
      </c>
      <c r="M84" s="188">
        <v>0</v>
      </c>
      <c r="N84" s="188">
        <v>0</v>
      </c>
      <c r="O84" s="188">
        <v>3000</v>
      </c>
      <c r="P84" s="188">
        <v>0</v>
      </c>
      <c r="Q84" s="186">
        <v>0</v>
      </c>
      <c r="R84" s="189">
        <v>0</v>
      </c>
      <c r="S84" s="185">
        <v>0</v>
      </c>
      <c r="T84" s="185">
        <v>0</v>
      </c>
      <c r="U84" s="189">
        <v>0</v>
      </c>
      <c r="V84" s="185">
        <v>0</v>
      </c>
      <c r="W84" s="185">
        <v>0</v>
      </c>
      <c r="X84" s="189">
        <v>0</v>
      </c>
      <c r="Y84" s="185">
        <v>0</v>
      </c>
      <c r="Z84" s="185">
        <v>0</v>
      </c>
      <c r="AA84" s="189">
        <v>0</v>
      </c>
      <c r="AB84" s="185">
        <v>0</v>
      </c>
      <c r="AC84" s="185">
        <v>0</v>
      </c>
      <c r="AD84" s="189">
        <v>300</v>
      </c>
      <c r="AE84" s="185">
        <v>9.7244732576985418E-2</v>
      </c>
      <c r="AF84" s="185">
        <v>0.10236287639682676</v>
      </c>
      <c r="AG84" s="188">
        <v>300</v>
      </c>
      <c r="AH84" s="185">
        <v>9.7244732576985418E-2</v>
      </c>
      <c r="AI84" s="185">
        <v>0.10236287639682676</v>
      </c>
      <c r="AJ84" s="303">
        <v>300</v>
      </c>
      <c r="AK84" s="185">
        <v>9.7244732576985418E-2</v>
      </c>
      <c r="AL84" s="185">
        <v>0.10236287639682676</v>
      </c>
      <c r="AM84" s="188">
        <v>300</v>
      </c>
      <c r="AN84" s="185">
        <v>9.7244732576985418E-2</v>
      </c>
      <c r="AO84" s="185">
        <v>0.10236287639682676</v>
      </c>
      <c r="AP84" s="185"/>
      <c r="AQ84" s="188">
        <v>485</v>
      </c>
      <c r="AR84" s="185">
        <v>0.15721231766612642</v>
      </c>
      <c r="AS84" s="185">
        <v>0.16548665017486991</v>
      </c>
      <c r="AT84" s="188">
        <v>485</v>
      </c>
      <c r="AU84" s="185">
        <v>0.15721231766612642</v>
      </c>
      <c r="AV84" s="185">
        <v>0.16548665017486991</v>
      </c>
      <c r="AW84" s="185"/>
      <c r="AX84" s="185"/>
      <c r="AY84" s="185"/>
      <c r="AZ84" s="185"/>
      <c r="BA84" s="185"/>
      <c r="BB84" s="185"/>
      <c r="BC84" s="188">
        <v>485</v>
      </c>
      <c r="BD84" s="185">
        <v>0.15721231766612642</v>
      </c>
      <c r="BE84" s="185">
        <v>0.16548665017486991</v>
      </c>
      <c r="BF84" s="352"/>
      <c r="BG84" s="352">
        <v>1436</v>
      </c>
      <c r="BH84" s="185">
        <v>0.46547811993517019</v>
      </c>
      <c r="BI84" s="185">
        <v>0.48997696835281074</v>
      </c>
      <c r="BJ84" s="374">
        <v>2930.75</v>
      </c>
      <c r="BK84" s="374">
        <v>1436</v>
      </c>
      <c r="BL84" s="185">
        <v>0.46547811993517019</v>
      </c>
      <c r="BM84" s="185">
        <v>0.48997696835281074</v>
      </c>
      <c r="BN84" s="374">
        <v>1436</v>
      </c>
      <c r="BO84" s="185">
        <f t="shared" si="87"/>
        <v>0.46547811993517019</v>
      </c>
      <c r="BP84" s="185">
        <f t="shared" si="88"/>
        <v>0.48997696835281074</v>
      </c>
      <c r="BQ84" s="205">
        <f t="shared" si="89"/>
        <v>1136</v>
      </c>
      <c r="BR84" s="205"/>
      <c r="BS84" s="189" t="e">
        <f>#REF!+#REF!</f>
        <v>#REF!</v>
      </c>
      <c r="BT84" s="186" t="e">
        <f t="shared" si="90"/>
        <v>#REF!</v>
      </c>
      <c r="BU84" s="189" t="e">
        <f>#REF!+#REF!</f>
        <v>#REF!</v>
      </c>
      <c r="BV84" s="186" t="e">
        <f t="shared" si="91"/>
        <v>#REF!</v>
      </c>
      <c r="BW84" s="189" t="e">
        <f>#REF!+#REF!</f>
        <v>#REF!</v>
      </c>
      <c r="BX84" s="186" t="e">
        <f t="shared" si="92"/>
        <v>#REF!</v>
      </c>
      <c r="BY84" s="189" t="e">
        <f>#REF!+#REF!</f>
        <v>#REF!</v>
      </c>
      <c r="BZ84" s="186" t="e">
        <f t="shared" si="93"/>
        <v>#REF!</v>
      </c>
      <c r="CA84" s="189" t="e">
        <f>#REF!+#REF!</f>
        <v>#REF!</v>
      </c>
      <c r="CB84" s="186" t="e">
        <f t="shared" si="94"/>
        <v>#REF!</v>
      </c>
      <c r="CC84" s="189" t="e">
        <f>#REF!+#REF!</f>
        <v>#REF!</v>
      </c>
      <c r="CD84" s="186" t="e">
        <f t="shared" si="95"/>
        <v>#REF!</v>
      </c>
      <c r="CE84" s="189" t="e">
        <f>#REF!+#REF!</f>
        <v>#REF!</v>
      </c>
      <c r="CF84" s="186" t="e">
        <f t="shared" si="96"/>
        <v>#REF!</v>
      </c>
      <c r="CG84" s="189" t="e">
        <f>#REF!+#REF!</f>
        <v>#REF!</v>
      </c>
      <c r="CH84" s="186" t="e">
        <f t="shared" si="97"/>
        <v>#REF!</v>
      </c>
      <c r="CI84" s="189" t="e">
        <f>#REF!+#REF!</f>
        <v>#REF!</v>
      </c>
      <c r="CJ84" s="186" t="e">
        <f t="shared" si="98"/>
        <v>#REF!</v>
      </c>
      <c r="CK84" s="189" t="e">
        <f>#REF!+#REF!</f>
        <v>#REF!</v>
      </c>
      <c r="CL84" s="186" t="e">
        <f t="shared" si="99"/>
        <v>#REF!</v>
      </c>
      <c r="CM84" s="189" t="e">
        <f>#REF!+#REF!</f>
        <v>#REF!</v>
      </c>
      <c r="CN84" s="186" t="e">
        <f t="shared" si="100"/>
        <v>#REF!</v>
      </c>
      <c r="CO84" s="189" t="e">
        <f>#REF!+#REF!</f>
        <v>#REF!</v>
      </c>
      <c r="CP84" s="186" t="e">
        <f t="shared" si="101"/>
        <v>#REF!</v>
      </c>
      <c r="CQ84" s="189" t="e">
        <f>#REF!+#REF!</f>
        <v>#REF!</v>
      </c>
      <c r="CR84" s="186" t="e">
        <f t="shared" si="102"/>
        <v>#REF!</v>
      </c>
      <c r="CS84" s="213" t="str">
        <f t="shared" si="103"/>
        <v>Đạt</v>
      </c>
      <c r="CT84" s="213" t="str">
        <f t="shared" si="104"/>
        <v>Đạt</v>
      </c>
      <c r="CU84" s="213"/>
      <c r="CV84" s="213"/>
      <c r="CW84" s="231"/>
      <c r="CX84" s="163"/>
      <c r="CZ84" s="195"/>
      <c r="DA84" s="196"/>
      <c r="DB84" s="196"/>
      <c r="DC84" s="197"/>
      <c r="DD84" s="196"/>
      <c r="DE84" s="196"/>
      <c r="DF84" s="196"/>
      <c r="DH84" s="199"/>
      <c r="DI84" s="200"/>
      <c r="DJ84" s="181"/>
    </row>
    <row r="85" spans="1:114" ht="18" customHeight="1" x14ac:dyDescent="0.25">
      <c r="A85" s="213">
        <v>55</v>
      </c>
      <c r="B85" s="240" t="s">
        <v>480</v>
      </c>
      <c r="C85" s="240"/>
      <c r="D85" s="188">
        <v>3127</v>
      </c>
      <c r="E85" s="188">
        <v>0</v>
      </c>
      <c r="F85" s="188">
        <v>3127</v>
      </c>
      <c r="G85" s="188">
        <v>3000</v>
      </c>
      <c r="H85" s="188">
        <v>127</v>
      </c>
      <c r="I85" s="188">
        <v>0</v>
      </c>
      <c r="J85" s="188"/>
      <c r="K85" s="188">
        <v>0</v>
      </c>
      <c r="L85" s="188">
        <v>0</v>
      </c>
      <c r="M85" s="188">
        <v>0</v>
      </c>
      <c r="N85" s="188">
        <v>0</v>
      </c>
      <c r="O85" s="188">
        <v>3000</v>
      </c>
      <c r="P85" s="188">
        <v>0</v>
      </c>
      <c r="Q85" s="186">
        <v>0</v>
      </c>
      <c r="R85" s="188">
        <v>0</v>
      </c>
      <c r="S85" s="185">
        <v>0</v>
      </c>
      <c r="T85" s="185">
        <v>0</v>
      </c>
      <c r="U85" s="188">
        <v>0</v>
      </c>
      <c r="V85" s="185">
        <v>0</v>
      </c>
      <c r="W85" s="185">
        <v>0</v>
      </c>
      <c r="X85" s="188">
        <v>0</v>
      </c>
      <c r="Y85" s="185">
        <v>0</v>
      </c>
      <c r="Z85" s="185">
        <v>0</v>
      </c>
      <c r="AA85" s="188">
        <v>0</v>
      </c>
      <c r="AB85" s="185">
        <v>0</v>
      </c>
      <c r="AC85" s="185">
        <v>0</v>
      </c>
      <c r="AD85" s="188">
        <v>909.61500000000001</v>
      </c>
      <c r="AE85" s="185">
        <v>0.29089062999680204</v>
      </c>
      <c r="AF85" s="185">
        <v>0.30620066315452849</v>
      </c>
      <c r="AG85" s="188">
        <v>909.61500000000001</v>
      </c>
      <c r="AH85" s="185">
        <v>0.29089062999680204</v>
      </c>
      <c r="AI85" s="185">
        <v>0.30620066315452849</v>
      </c>
      <c r="AJ85" s="307">
        <v>909.61500000000001</v>
      </c>
      <c r="AK85" s="185">
        <v>0.29089062999680204</v>
      </c>
      <c r="AL85" s="185">
        <v>0.30620066315452849</v>
      </c>
      <c r="AM85" s="188">
        <v>909.61500000000001</v>
      </c>
      <c r="AN85" s="185">
        <v>0.29089062999680204</v>
      </c>
      <c r="AO85" s="185">
        <v>0.30620066315452849</v>
      </c>
      <c r="AP85" s="185"/>
      <c r="AQ85" s="188">
        <v>909.61500000000001</v>
      </c>
      <c r="AR85" s="185">
        <v>0.29089062999680204</v>
      </c>
      <c r="AS85" s="185">
        <v>0.30620066315452849</v>
      </c>
      <c r="AT85" s="188">
        <v>909.61500000000001</v>
      </c>
      <c r="AU85" s="185">
        <v>0.29089062999680204</v>
      </c>
      <c r="AV85" s="185">
        <v>0.30620066315452849</v>
      </c>
      <c r="AW85" s="185"/>
      <c r="AX85" s="185"/>
      <c r="AY85" s="185"/>
      <c r="AZ85" s="185"/>
      <c r="BA85" s="185"/>
      <c r="BB85" s="185"/>
      <c r="BC85" s="188">
        <v>909.61500000000001</v>
      </c>
      <c r="BD85" s="185">
        <v>0.29089062999680204</v>
      </c>
      <c r="BE85" s="185">
        <v>0.30620066315452849</v>
      </c>
      <c r="BF85" s="352"/>
      <c r="BG85" s="352">
        <v>1444.26</v>
      </c>
      <c r="BH85" s="185">
        <v>0.46186760473297089</v>
      </c>
      <c r="BI85" s="185">
        <v>0.48617642603470629</v>
      </c>
      <c r="BJ85" s="374">
        <v>2970.6499999999996</v>
      </c>
      <c r="BK85" s="374">
        <v>1444.26</v>
      </c>
      <c r="BL85" s="185">
        <v>0.46186760473297089</v>
      </c>
      <c r="BM85" s="185">
        <v>0.48617642603470629</v>
      </c>
      <c r="BN85" s="374">
        <v>1444.26</v>
      </c>
      <c r="BO85" s="185">
        <f t="shared" si="87"/>
        <v>0.46186760473297089</v>
      </c>
      <c r="BP85" s="185">
        <f t="shared" si="88"/>
        <v>0.48617642603470629</v>
      </c>
      <c r="BQ85" s="205">
        <f t="shared" si="89"/>
        <v>534.64499999999998</v>
      </c>
      <c r="BR85" s="205"/>
      <c r="BS85" s="189" t="e">
        <f>#REF!+#REF!</f>
        <v>#REF!</v>
      </c>
      <c r="BT85" s="186" t="e">
        <f t="shared" si="90"/>
        <v>#REF!</v>
      </c>
      <c r="BU85" s="189" t="e">
        <f>#REF!+#REF!</f>
        <v>#REF!</v>
      </c>
      <c r="BV85" s="186" t="e">
        <f t="shared" si="91"/>
        <v>#REF!</v>
      </c>
      <c r="BW85" s="189" t="e">
        <f>#REF!+#REF!</f>
        <v>#REF!</v>
      </c>
      <c r="BX85" s="186" t="e">
        <f t="shared" si="92"/>
        <v>#REF!</v>
      </c>
      <c r="BY85" s="189" t="e">
        <f>#REF!+#REF!</f>
        <v>#REF!</v>
      </c>
      <c r="BZ85" s="186" t="e">
        <f t="shared" si="93"/>
        <v>#REF!</v>
      </c>
      <c r="CA85" s="189" t="e">
        <f>#REF!+#REF!</f>
        <v>#REF!</v>
      </c>
      <c r="CB85" s="186" t="e">
        <f t="shared" si="94"/>
        <v>#REF!</v>
      </c>
      <c r="CC85" s="189" t="e">
        <f>#REF!+#REF!</f>
        <v>#REF!</v>
      </c>
      <c r="CD85" s="186" t="e">
        <f t="shared" si="95"/>
        <v>#REF!</v>
      </c>
      <c r="CE85" s="189" t="e">
        <f>#REF!+#REF!</f>
        <v>#REF!</v>
      </c>
      <c r="CF85" s="186" t="e">
        <f t="shared" si="96"/>
        <v>#REF!</v>
      </c>
      <c r="CG85" s="189" t="e">
        <f>#REF!+#REF!</f>
        <v>#REF!</v>
      </c>
      <c r="CH85" s="186" t="e">
        <f t="shared" si="97"/>
        <v>#REF!</v>
      </c>
      <c r="CI85" s="189" t="e">
        <f>#REF!+#REF!</f>
        <v>#REF!</v>
      </c>
      <c r="CJ85" s="186" t="e">
        <f t="shared" si="98"/>
        <v>#REF!</v>
      </c>
      <c r="CK85" s="189" t="e">
        <f>#REF!+#REF!</f>
        <v>#REF!</v>
      </c>
      <c r="CL85" s="186" t="e">
        <f t="shared" si="99"/>
        <v>#REF!</v>
      </c>
      <c r="CM85" s="189" t="e">
        <f>#REF!+#REF!</f>
        <v>#REF!</v>
      </c>
      <c r="CN85" s="186" t="e">
        <f t="shared" si="100"/>
        <v>#REF!</v>
      </c>
      <c r="CO85" s="189" t="e">
        <f>#REF!+#REF!</f>
        <v>#REF!</v>
      </c>
      <c r="CP85" s="186" t="e">
        <f t="shared" si="101"/>
        <v>#REF!</v>
      </c>
      <c r="CQ85" s="189" t="e">
        <f>#REF!+#REF!</f>
        <v>#REF!</v>
      </c>
      <c r="CR85" s="186" t="e">
        <f t="shared" si="102"/>
        <v>#REF!</v>
      </c>
      <c r="CS85" s="213" t="str">
        <f t="shared" si="103"/>
        <v>Đạt</v>
      </c>
      <c r="CT85" s="213" t="str">
        <f t="shared" si="104"/>
        <v>Đạt</v>
      </c>
      <c r="CU85" s="213"/>
      <c r="CV85" s="213"/>
      <c r="CW85" s="231"/>
      <c r="CX85" s="163"/>
      <c r="CZ85" s="195"/>
      <c r="DA85" s="196"/>
      <c r="DB85" s="196"/>
      <c r="DC85" s="197"/>
      <c r="DD85" s="196"/>
      <c r="DE85" s="196"/>
      <c r="DF85" s="196"/>
      <c r="DH85" s="199"/>
      <c r="DI85" s="200"/>
      <c r="DJ85" s="181"/>
    </row>
    <row r="86" spans="1:114" ht="18" customHeight="1" x14ac:dyDescent="0.25">
      <c r="A86" s="213">
        <v>56</v>
      </c>
      <c r="B86" s="240" t="s">
        <v>456</v>
      </c>
      <c r="C86" s="240"/>
      <c r="D86" s="188">
        <v>3000</v>
      </c>
      <c r="E86" s="188">
        <v>0</v>
      </c>
      <c r="F86" s="188">
        <v>3000</v>
      </c>
      <c r="G86" s="188">
        <v>3000</v>
      </c>
      <c r="H86" s="188">
        <v>0</v>
      </c>
      <c r="I86" s="188">
        <v>0</v>
      </c>
      <c r="J86" s="188"/>
      <c r="K86" s="188">
        <v>0</v>
      </c>
      <c r="L86" s="188">
        <v>0</v>
      </c>
      <c r="M86" s="231"/>
      <c r="N86" s="231"/>
      <c r="O86" s="188">
        <v>3000</v>
      </c>
      <c r="P86" s="188">
        <v>0</v>
      </c>
      <c r="Q86" s="186">
        <v>0</v>
      </c>
      <c r="R86" s="188">
        <v>0</v>
      </c>
      <c r="S86" s="185">
        <v>0</v>
      </c>
      <c r="T86" s="185">
        <v>0</v>
      </c>
      <c r="U86" s="188">
        <v>722.93299999999999</v>
      </c>
      <c r="V86" s="185">
        <v>0.24097766666666667</v>
      </c>
      <c r="W86" s="185">
        <v>0.25366070175438599</v>
      </c>
      <c r="X86" s="188">
        <v>722.93299999999999</v>
      </c>
      <c r="Y86" s="185">
        <v>0.24097766666666667</v>
      </c>
      <c r="Z86" s="185">
        <v>0.25366070175438599</v>
      </c>
      <c r="AA86" s="188">
        <v>722.93299999999999</v>
      </c>
      <c r="AB86" s="185">
        <v>0.24097766666666667</v>
      </c>
      <c r="AC86" s="185">
        <v>0.25366070175438599</v>
      </c>
      <c r="AD86" s="188">
        <v>745.35299999999995</v>
      </c>
      <c r="AE86" s="185">
        <v>0.24845099999999998</v>
      </c>
      <c r="AF86" s="185">
        <v>0.26152736842105262</v>
      </c>
      <c r="AG86" s="188">
        <v>745.35299999999995</v>
      </c>
      <c r="AH86" s="185">
        <v>0.24845099999999998</v>
      </c>
      <c r="AI86" s="185">
        <v>0.26152736842105262</v>
      </c>
      <c r="AJ86" s="303">
        <v>745.35299999999995</v>
      </c>
      <c r="AK86" s="185">
        <v>0.24845099999999998</v>
      </c>
      <c r="AL86" s="185">
        <v>0.26152736842105262</v>
      </c>
      <c r="AM86" s="188">
        <v>745.35299999999995</v>
      </c>
      <c r="AN86" s="185">
        <v>0.24845099999999998</v>
      </c>
      <c r="AO86" s="185">
        <v>0.26152736842105262</v>
      </c>
      <c r="AP86" s="185"/>
      <c r="AQ86" s="188">
        <v>745.35299999999995</v>
      </c>
      <c r="AR86" s="185">
        <v>0.24845099999999998</v>
      </c>
      <c r="AS86" s="185">
        <v>0.26152736842105262</v>
      </c>
      <c r="AT86" s="188">
        <v>745.35299999999995</v>
      </c>
      <c r="AU86" s="185">
        <v>0.24845099999999998</v>
      </c>
      <c r="AV86" s="185">
        <v>0.26152736842105262</v>
      </c>
      <c r="AW86" s="185"/>
      <c r="AX86" s="185"/>
      <c r="AY86" s="185"/>
      <c r="AZ86" s="185"/>
      <c r="BA86" s="185"/>
      <c r="BB86" s="185"/>
      <c r="BC86" s="188">
        <v>745.35299999999995</v>
      </c>
      <c r="BD86" s="185">
        <v>0.24845099999999998</v>
      </c>
      <c r="BE86" s="185">
        <v>0.26152736842105262</v>
      </c>
      <c r="BF86" s="352"/>
      <c r="BG86" s="352">
        <v>1268</v>
      </c>
      <c r="BH86" s="185">
        <v>0.42266666666666669</v>
      </c>
      <c r="BI86" s="185">
        <v>0.44491228070175437</v>
      </c>
      <c r="BJ86" s="374">
        <v>2850</v>
      </c>
      <c r="BK86" s="374">
        <v>1379</v>
      </c>
      <c r="BL86" s="185">
        <v>0.45966666666666667</v>
      </c>
      <c r="BM86" s="185">
        <v>0.48385964912280705</v>
      </c>
      <c r="BN86" s="374">
        <v>1379</v>
      </c>
      <c r="BO86" s="185">
        <f t="shared" si="87"/>
        <v>0.45966666666666667</v>
      </c>
      <c r="BP86" s="185">
        <f t="shared" si="88"/>
        <v>0.48385964912280705</v>
      </c>
      <c r="BQ86" s="205">
        <f t="shared" si="89"/>
        <v>633.64700000000005</v>
      </c>
      <c r="BR86" s="205"/>
      <c r="BS86" s="189" t="e">
        <f>#REF!</f>
        <v>#REF!</v>
      </c>
      <c r="BT86" s="186" t="e">
        <f t="shared" si="90"/>
        <v>#REF!</v>
      </c>
      <c r="BU86" s="189" t="e">
        <f>#REF!</f>
        <v>#REF!</v>
      </c>
      <c r="BV86" s="186" t="e">
        <f t="shared" si="91"/>
        <v>#REF!</v>
      </c>
      <c r="BW86" s="189" t="e">
        <f>#REF!</f>
        <v>#REF!</v>
      </c>
      <c r="BX86" s="186" t="e">
        <f t="shared" si="92"/>
        <v>#REF!</v>
      </c>
      <c r="BY86" s="189" t="e">
        <f>#REF!</f>
        <v>#REF!</v>
      </c>
      <c r="BZ86" s="186" t="e">
        <f t="shared" si="93"/>
        <v>#REF!</v>
      </c>
      <c r="CA86" s="189" t="e">
        <f>#REF!</f>
        <v>#REF!</v>
      </c>
      <c r="CB86" s="186" t="e">
        <f t="shared" si="94"/>
        <v>#REF!</v>
      </c>
      <c r="CC86" s="189" t="e">
        <f>#REF!</f>
        <v>#REF!</v>
      </c>
      <c r="CD86" s="186" t="e">
        <f t="shared" si="95"/>
        <v>#REF!</v>
      </c>
      <c r="CE86" s="189" t="e">
        <f>#REF!</f>
        <v>#REF!</v>
      </c>
      <c r="CF86" s="186" t="e">
        <f t="shared" si="96"/>
        <v>#REF!</v>
      </c>
      <c r="CG86" s="189" t="e">
        <f>#REF!</f>
        <v>#REF!</v>
      </c>
      <c r="CH86" s="186" t="e">
        <f t="shared" si="97"/>
        <v>#REF!</v>
      </c>
      <c r="CI86" s="189" t="e">
        <f>#REF!</f>
        <v>#REF!</v>
      </c>
      <c r="CJ86" s="186" t="e">
        <f t="shared" si="98"/>
        <v>#REF!</v>
      </c>
      <c r="CK86" s="189" t="e">
        <f>#REF!</f>
        <v>#REF!</v>
      </c>
      <c r="CL86" s="186" t="e">
        <f t="shared" si="99"/>
        <v>#REF!</v>
      </c>
      <c r="CM86" s="189" t="e">
        <f>#REF!</f>
        <v>#REF!</v>
      </c>
      <c r="CN86" s="186" t="e">
        <f t="shared" si="100"/>
        <v>#REF!</v>
      </c>
      <c r="CO86" s="189" t="e">
        <f>#REF!</f>
        <v>#REF!</v>
      </c>
      <c r="CP86" s="186" t="e">
        <f t="shared" si="101"/>
        <v>#REF!</v>
      </c>
      <c r="CQ86" s="189" t="e">
        <f>#REF!</f>
        <v>#REF!</v>
      </c>
      <c r="CR86" s="186" t="e">
        <f t="shared" si="102"/>
        <v>#REF!</v>
      </c>
      <c r="CS86" s="213" t="str">
        <f t="shared" si="103"/>
        <v>Đạt</v>
      </c>
      <c r="CT86" s="213" t="str">
        <f t="shared" si="104"/>
        <v>Đạt</v>
      </c>
      <c r="CU86" s="213"/>
      <c r="CV86" s="213"/>
      <c r="CW86" s="231"/>
      <c r="CX86" s="163"/>
      <c r="CZ86" s="195"/>
      <c r="DA86" s="196"/>
      <c r="DB86" s="196"/>
      <c r="DC86" s="197"/>
      <c r="DD86" s="196"/>
      <c r="DE86" s="196"/>
      <c r="DF86" s="196"/>
      <c r="DH86" s="199"/>
      <c r="DI86" s="200"/>
      <c r="DJ86" s="181"/>
    </row>
    <row r="87" spans="1:114" ht="18" customHeight="1" x14ac:dyDescent="0.25">
      <c r="A87" s="213">
        <v>57</v>
      </c>
      <c r="B87" s="240" t="s">
        <v>500</v>
      </c>
      <c r="C87" s="240"/>
      <c r="D87" s="188">
        <v>3000</v>
      </c>
      <c r="E87" s="188">
        <v>0</v>
      </c>
      <c r="F87" s="188">
        <v>3000</v>
      </c>
      <c r="G87" s="188">
        <v>3000</v>
      </c>
      <c r="H87" s="188">
        <v>0</v>
      </c>
      <c r="I87" s="188">
        <v>0</v>
      </c>
      <c r="J87" s="188"/>
      <c r="K87" s="188">
        <v>0</v>
      </c>
      <c r="L87" s="188">
        <v>0</v>
      </c>
      <c r="M87" s="231"/>
      <c r="N87" s="231"/>
      <c r="O87" s="188">
        <v>3000</v>
      </c>
      <c r="P87" s="188">
        <v>0</v>
      </c>
      <c r="Q87" s="186">
        <v>0</v>
      </c>
      <c r="R87" s="188">
        <v>0</v>
      </c>
      <c r="S87" s="185">
        <v>0</v>
      </c>
      <c r="T87" s="185">
        <v>0</v>
      </c>
      <c r="U87" s="188">
        <v>0</v>
      </c>
      <c r="V87" s="185">
        <v>0</v>
      </c>
      <c r="W87" s="185">
        <v>0</v>
      </c>
      <c r="X87" s="188">
        <v>0</v>
      </c>
      <c r="Y87" s="185">
        <v>0</v>
      </c>
      <c r="Z87" s="185">
        <v>0</v>
      </c>
      <c r="AA87" s="188">
        <v>0</v>
      </c>
      <c r="AB87" s="185">
        <v>0</v>
      </c>
      <c r="AC87" s="185">
        <v>0</v>
      </c>
      <c r="AD87" s="188">
        <v>0</v>
      </c>
      <c r="AE87" s="185">
        <v>0</v>
      </c>
      <c r="AF87" s="185">
        <v>0</v>
      </c>
      <c r="AG87" s="188">
        <v>0</v>
      </c>
      <c r="AH87" s="185">
        <v>0</v>
      </c>
      <c r="AI87" s="185">
        <v>0</v>
      </c>
      <c r="AJ87" s="303">
        <v>0</v>
      </c>
      <c r="AK87" s="185">
        <v>0</v>
      </c>
      <c r="AL87" s="185">
        <v>0</v>
      </c>
      <c r="AM87" s="188">
        <v>0</v>
      </c>
      <c r="AN87" s="185">
        <v>0</v>
      </c>
      <c r="AO87" s="185">
        <v>0</v>
      </c>
      <c r="AP87" s="185"/>
      <c r="AQ87" s="188">
        <v>281.41300000000001</v>
      </c>
      <c r="AR87" s="185">
        <v>9.3804333333333337E-2</v>
      </c>
      <c r="AS87" s="185">
        <v>9.8741403508771933E-2</v>
      </c>
      <c r="AT87" s="188">
        <v>281.41300000000001</v>
      </c>
      <c r="AU87" s="185">
        <v>9.3804333333333337E-2</v>
      </c>
      <c r="AV87" s="185">
        <v>9.8741403508771933E-2</v>
      </c>
      <c r="AW87" s="185"/>
      <c r="AX87" s="185"/>
      <c r="AY87" s="185"/>
      <c r="AZ87" s="185"/>
      <c r="BA87" s="185"/>
      <c r="BB87" s="185"/>
      <c r="BC87" s="188">
        <v>281.41300000000001</v>
      </c>
      <c r="BD87" s="185">
        <v>9.3804333333333337E-2</v>
      </c>
      <c r="BE87" s="185">
        <v>9.8741403508771933E-2</v>
      </c>
      <c r="BF87" s="352"/>
      <c r="BG87" s="352">
        <v>1369</v>
      </c>
      <c r="BH87" s="185">
        <v>0.45633333333333331</v>
      </c>
      <c r="BI87" s="185">
        <v>0.48035087719298247</v>
      </c>
      <c r="BJ87" s="374">
        <v>2850</v>
      </c>
      <c r="BK87" s="374">
        <v>1369</v>
      </c>
      <c r="BL87" s="185">
        <v>0.45633333333333331</v>
      </c>
      <c r="BM87" s="185">
        <v>0.48035087719298247</v>
      </c>
      <c r="BN87" s="374">
        <v>1369</v>
      </c>
      <c r="BO87" s="185">
        <f t="shared" si="87"/>
        <v>0.45633333333333331</v>
      </c>
      <c r="BP87" s="185">
        <f t="shared" si="88"/>
        <v>0.48035087719298247</v>
      </c>
      <c r="BQ87" s="205">
        <f t="shared" si="89"/>
        <v>1369</v>
      </c>
      <c r="BR87" s="205"/>
      <c r="BS87" s="189" t="e">
        <f>#REF!</f>
        <v>#REF!</v>
      </c>
      <c r="BT87" s="186" t="e">
        <f t="shared" si="90"/>
        <v>#REF!</v>
      </c>
      <c r="BU87" s="189" t="e">
        <f>#REF!</f>
        <v>#REF!</v>
      </c>
      <c r="BV87" s="186" t="e">
        <f t="shared" si="91"/>
        <v>#REF!</v>
      </c>
      <c r="BW87" s="189" t="e">
        <f>#REF!</f>
        <v>#REF!</v>
      </c>
      <c r="BX87" s="186" t="e">
        <f t="shared" si="92"/>
        <v>#REF!</v>
      </c>
      <c r="BY87" s="189" t="e">
        <f>#REF!</f>
        <v>#REF!</v>
      </c>
      <c r="BZ87" s="186" t="e">
        <f t="shared" si="93"/>
        <v>#REF!</v>
      </c>
      <c r="CA87" s="189" t="e">
        <f>#REF!</f>
        <v>#REF!</v>
      </c>
      <c r="CB87" s="186" t="e">
        <f t="shared" si="94"/>
        <v>#REF!</v>
      </c>
      <c r="CC87" s="189" t="e">
        <f>#REF!</f>
        <v>#REF!</v>
      </c>
      <c r="CD87" s="186" t="e">
        <f t="shared" si="95"/>
        <v>#REF!</v>
      </c>
      <c r="CE87" s="189" t="e">
        <f>#REF!</f>
        <v>#REF!</v>
      </c>
      <c r="CF87" s="186" t="e">
        <f t="shared" si="96"/>
        <v>#REF!</v>
      </c>
      <c r="CG87" s="189" t="e">
        <f>#REF!</f>
        <v>#REF!</v>
      </c>
      <c r="CH87" s="186" t="e">
        <f t="shared" si="97"/>
        <v>#REF!</v>
      </c>
      <c r="CI87" s="189" t="e">
        <f>#REF!</f>
        <v>#REF!</v>
      </c>
      <c r="CJ87" s="186" t="e">
        <f t="shared" si="98"/>
        <v>#REF!</v>
      </c>
      <c r="CK87" s="189" t="e">
        <f>#REF!</f>
        <v>#REF!</v>
      </c>
      <c r="CL87" s="186" t="e">
        <f t="shared" si="99"/>
        <v>#REF!</v>
      </c>
      <c r="CM87" s="189" t="e">
        <f>#REF!</f>
        <v>#REF!</v>
      </c>
      <c r="CN87" s="186" t="e">
        <f t="shared" si="100"/>
        <v>#REF!</v>
      </c>
      <c r="CO87" s="189" t="e">
        <f>#REF!</f>
        <v>#REF!</v>
      </c>
      <c r="CP87" s="186" t="e">
        <f t="shared" si="101"/>
        <v>#REF!</v>
      </c>
      <c r="CQ87" s="189" t="e">
        <f>#REF!</f>
        <v>#REF!</v>
      </c>
      <c r="CR87" s="186" t="e">
        <f t="shared" si="102"/>
        <v>#REF!</v>
      </c>
      <c r="CS87" s="213" t="str">
        <f t="shared" si="103"/>
        <v>Đạt</v>
      </c>
      <c r="CT87" s="213" t="str">
        <f t="shared" si="104"/>
        <v>Đạt</v>
      </c>
      <c r="CU87" s="213"/>
      <c r="CV87" s="213"/>
      <c r="CW87" s="231"/>
      <c r="CX87" s="163"/>
      <c r="CZ87" s="195"/>
      <c r="DA87" s="196"/>
      <c r="DB87" s="196"/>
      <c r="DC87" s="197"/>
      <c r="DD87" s="196"/>
      <c r="DE87" s="196"/>
      <c r="DF87" s="196"/>
      <c r="DH87" s="199"/>
      <c r="DI87" s="200"/>
      <c r="DJ87" s="181"/>
    </row>
    <row r="88" spans="1:114" ht="18" customHeight="1" x14ac:dyDescent="0.25">
      <c r="A88" s="213">
        <v>58</v>
      </c>
      <c r="B88" s="240" t="s">
        <v>444</v>
      </c>
      <c r="C88" s="240"/>
      <c r="D88" s="188">
        <v>3077</v>
      </c>
      <c r="E88" s="188">
        <v>0</v>
      </c>
      <c r="F88" s="188">
        <v>3077</v>
      </c>
      <c r="G88" s="188">
        <v>3000</v>
      </c>
      <c r="H88" s="188">
        <v>77</v>
      </c>
      <c r="I88" s="188">
        <v>0</v>
      </c>
      <c r="J88" s="188"/>
      <c r="K88" s="188">
        <v>0</v>
      </c>
      <c r="L88" s="188">
        <v>0</v>
      </c>
      <c r="M88" s="188">
        <v>0</v>
      </c>
      <c r="N88" s="188">
        <v>0</v>
      </c>
      <c r="O88" s="188">
        <v>3000</v>
      </c>
      <c r="P88" s="188">
        <v>0</v>
      </c>
      <c r="Q88" s="186">
        <v>0</v>
      </c>
      <c r="R88" s="188">
        <v>0</v>
      </c>
      <c r="S88" s="185">
        <v>0</v>
      </c>
      <c r="T88" s="185">
        <v>0</v>
      </c>
      <c r="U88" s="188">
        <v>0</v>
      </c>
      <c r="V88" s="185">
        <v>0</v>
      </c>
      <c r="W88" s="185">
        <v>0</v>
      </c>
      <c r="X88" s="188">
        <v>0</v>
      </c>
      <c r="Y88" s="185">
        <v>0</v>
      </c>
      <c r="Z88" s="185">
        <v>0</v>
      </c>
      <c r="AA88" s="188">
        <v>0</v>
      </c>
      <c r="AB88" s="185">
        <v>0</v>
      </c>
      <c r="AC88" s="185">
        <v>0</v>
      </c>
      <c r="AD88" s="188">
        <v>6</v>
      </c>
      <c r="AE88" s="185">
        <v>1.9499512512187196E-3</v>
      </c>
      <c r="AF88" s="185">
        <v>2.0525802644407575E-3</v>
      </c>
      <c r="AG88" s="188">
        <v>6</v>
      </c>
      <c r="AH88" s="185">
        <v>1.9499512512187196E-3</v>
      </c>
      <c r="AI88" s="185">
        <v>2.0525802644407575E-3</v>
      </c>
      <c r="AJ88" s="303">
        <v>6</v>
      </c>
      <c r="AK88" s="185">
        <v>1.9499512512187196E-3</v>
      </c>
      <c r="AL88" s="185">
        <v>2.0525802644407575E-3</v>
      </c>
      <c r="AM88" s="188">
        <v>783</v>
      </c>
      <c r="AN88" s="185">
        <v>0.25446863828404293</v>
      </c>
      <c r="AO88" s="185">
        <v>0.26786172450951889</v>
      </c>
      <c r="AP88" s="185"/>
      <c r="AQ88" s="314">
        <v>783</v>
      </c>
      <c r="AR88" s="185">
        <v>0.25446863828404293</v>
      </c>
      <c r="AS88" s="185">
        <v>0.26786172450951889</v>
      </c>
      <c r="AT88" s="314">
        <v>809.83100000000002</v>
      </c>
      <c r="AU88" s="185">
        <v>0.26318849528761784</v>
      </c>
      <c r="AV88" s="185">
        <v>0.2770405213553872</v>
      </c>
      <c r="AW88" s="185"/>
      <c r="AX88" s="185"/>
      <c r="AY88" s="185"/>
      <c r="AZ88" s="185"/>
      <c r="BA88" s="185"/>
      <c r="BB88" s="185"/>
      <c r="BC88" s="314">
        <v>809.83100000000002</v>
      </c>
      <c r="BD88" s="185">
        <v>0.26318849528761784</v>
      </c>
      <c r="BE88" s="185">
        <v>0.2770405213553872</v>
      </c>
      <c r="BF88" s="314"/>
      <c r="BG88" s="314">
        <v>1381</v>
      </c>
      <c r="BH88" s="185">
        <v>0.44881377965550862</v>
      </c>
      <c r="BI88" s="185">
        <v>0.47243555753211441</v>
      </c>
      <c r="BJ88" s="188">
        <v>2923.1499999999996</v>
      </c>
      <c r="BK88" s="188">
        <v>1381</v>
      </c>
      <c r="BL88" s="185">
        <v>0.44881377965550862</v>
      </c>
      <c r="BM88" s="185">
        <v>0.47243555753211441</v>
      </c>
      <c r="BN88" s="188">
        <v>1381</v>
      </c>
      <c r="BO88" s="185">
        <f t="shared" si="87"/>
        <v>0.44881377965550862</v>
      </c>
      <c r="BP88" s="185">
        <f t="shared" si="88"/>
        <v>0.47243555753211441</v>
      </c>
      <c r="BQ88" s="205">
        <f t="shared" si="89"/>
        <v>1375</v>
      </c>
      <c r="BR88" s="205"/>
      <c r="BS88" s="189" t="e">
        <f>#REF!+#REF!</f>
        <v>#REF!</v>
      </c>
      <c r="BT88" s="186" t="e">
        <f t="shared" si="90"/>
        <v>#REF!</v>
      </c>
      <c r="BU88" s="189" t="e">
        <f>#REF!+#REF!</f>
        <v>#REF!</v>
      </c>
      <c r="BV88" s="186" t="e">
        <f t="shared" si="91"/>
        <v>#REF!</v>
      </c>
      <c r="BW88" s="189" t="e">
        <f>#REF!+#REF!</f>
        <v>#REF!</v>
      </c>
      <c r="BX88" s="186" t="e">
        <f t="shared" si="92"/>
        <v>#REF!</v>
      </c>
      <c r="BY88" s="189" t="e">
        <f>#REF!+#REF!</f>
        <v>#REF!</v>
      </c>
      <c r="BZ88" s="186" t="e">
        <f t="shared" si="93"/>
        <v>#REF!</v>
      </c>
      <c r="CA88" s="189" t="e">
        <f>#REF!+#REF!</f>
        <v>#REF!</v>
      </c>
      <c r="CB88" s="186" t="e">
        <f t="shared" si="94"/>
        <v>#REF!</v>
      </c>
      <c r="CC88" s="189" t="e">
        <f>#REF!+#REF!</f>
        <v>#REF!</v>
      </c>
      <c r="CD88" s="186" t="e">
        <f t="shared" si="95"/>
        <v>#REF!</v>
      </c>
      <c r="CE88" s="189" t="e">
        <f>#REF!+#REF!</f>
        <v>#REF!</v>
      </c>
      <c r="CF88" s="186" t="e">
        <f t="shared" si="96"/>
        <v>#REF!</v>
      </c>
      <c r="CG88" s="189" t="e">
        <f>#REF!+#REF!</f>
        <v>#REF!</v>
      </c>
      <c r="CH88" s="186" t="e">
        <f t="shared" si="97"/>
        <v>#REF!</v>
      </c>
      <c r="CI88" s="189" t="e">
        <f>#REF!+#REF!</f>
        <v>#REF!</v>
      </c>
      <c r="CJ88" s="186" t="e">
        <f t="shared" si="98"/>
        <v>#REF!</v>
      </c>
      <c r="CK88" s="189" t="e">
        <f>#REF!+#REF!</f>
        <v>#REF!</v>
      </c>
      <c r="CL88" s="186" t="e">
        <f t="shared" si="99"/>
        <v>#REF!</v>
      </c>
      <c r="CM88" s="189" t="e">
        <f>#REF!+#REF!</f>
        <v>#REF!</v>
      </c>
      <c r="CN88" s="186" t="e">
        <f t="shared" si="100"/>
        <v>#REF!</v>
      </c>
      <c r="CO88" s="189" t="e">
        <f>#REF!+#REF!</f>
        <v>#REF!</v>
      </c>
      <c r="CP88" s="186" t="e">
        <f t="shared" si="101"/>
        <v>#REF!</v>
      </c>
      <c r="CQ88" s="189" t="e">
        <f>#REF!+#REF!</f>
        <v>#REF!</v>
      </c>
      <c r="CR88" s="186" t="e">
        <f t="shared" si="102"/>
        <v>#REF!</v>
      </c>
      <c r="CS88" s="213" t="str">
        <f t="shared" si="103"/>
        <v>Đạt</v>
      </c>
      <c r="CT88" s="213" t="str">
        <f t="shared" si="104"/>
        <v>Đạt</v>
      </c>
      <c r="CU88" s="213"/>
      <c r="CV88" s="213"/>
      <c r="CW88" s="231"/>
      <c r="CX88" s="163"/>
      <c r="CZ88" s="195"/>
      <c r="DA88" s="196"/>
      <c r="DB88" s="196"/>
      <c r="DC88" s="197"/>
      <c r="DD88" s="196"/>
      <c r="DE88" s="196"/>
      <c r="DF88" s="196"/>
      <c r="DH88" s="199"/>
      <c r="DI88" s="200"/>
      <c r="DJ88" s="181"/>
    </row>
    <row r="89" spans="1:114" ht="18" customHeight="1" x14ac:dyDescent="0.25">
      <c r="A89" s="213">
        <v>59</v>
      </c>
      <c r="B89" s="240" t="s">
        <v>414</v>
      </c>
      <c r="C89" s="240"/>
      <c r="D89" s="188">
        <v>6200</v>
      </c>
      <c r="E89" s="188">
        <v>0</v>
      </c>
      <c r="F89" s="188">
        <v>6200</v>
      </c>
      <c r="G89" s="188">
        <v>3000</v>
      </c>
      <c r="H89" s="188">
        <v>3200</v>
      </c>
      <c r="I89" s="188">
        <v>0</v>
      </c>
      <c r="J89" s="188"/>
      <c r="K89" s="188">
        <v>0</v>
      </c>
      <c r="L89" s="188">
        <v>0</v>
      </c>
      <c r="M89" s="188">
        <v>0</v>
      </c>
      <c r="N89" s="188">
        <v>0</v>
      </c>
      <c r="O89" s="188">
        <v>3000</v>
      </c>
      <c r="P89" s="188">
        <v>0</v>
      </c>
      <c r="Q89" s="186">
        <v>0</v>
      </c>
      <c r="R89" s="188">
        <v>0</v>
      </c>
      <c r="S89" s="185">
        <v>0</v>
      </c>
      <c r="T89" s="185">
        <v>0</v>
      </c>
      <c r="U89" s="188">
        <v>0</v>
      </c>
      <c r="V89" s="185">
        <v>0</v>
      </c>
      <c r="W89" s="185">
        <v>0</v>
      </c>
      <c r="X89" s="188">
        <v>0</v>
      </c>
      <c r="Y89" s="185">
        <v>0</v>
      </c>
      <c r="Z89" s="185">
        <v>0</v>
      </c>
      <c r="AA89" s="188">
        <v>0</v>
      </c>
      <c r="AB89" s="185">
        <v>0</v>
      </c>
      <c r="AC89" s="185">
        <v>0</v>
      </c>
      <c r="AD89" s="188">
        <v>0</v>
      </c>
      <c r="AE89" s="185">
        <v>0</v>
      </c>
      <c r="AF89" s="185">
        <v>0</v>
      </c>
      <c r="AG89" s="188">
        <v>0</v>
      </c>
      <c r="AH89" s="185">
        <v>0</v>
      </c>
      <c r="AI89" s="185">
        <v>0</v>
      </c>
      <c r="AJ89" s="303">
        <v>0</v>
      </c>
      <c r="AK89" s="185">
        <v>0</v>
      </c>
      <c r="AL89" s="185">
        <v>0</v>
      </c>
      <c r="AM89" s="188">
        <v>2609</v>
      </c>
      <c r="AN89" s="185">
        <v>0.4208064516129032</v>
      </c>
      <c r="AO89" s="185">
        <v>0.44295415959252971</v>
      </c>
      <c r="AP89" s="185"/>
      <c r="AQ89" s="188">
        <v>2609</v>
      </c>
      <c r="AR89" s="185">
        <v>0.4208064516129032</v>
      </c>
      <c r="AS89" s="185">
        <v>0.44295415959252971</v>
      </c>
      <c r="AT89" s="188">
        <v>2609.4</v>
      </c>
      <c r="AU89" s="185">
        <v>0.4208709677419355</v>
      </c>
      <c r="AV89" s="185">
        <v>0.44302207130730054</v>
      </c>
      <c r="AW89" s="185"/>
      <c r="AX89" s="185"/>
      <c r="AY89" s="185"/>
      <c r="AZ89" s="185"/>
      <c r="BA89" s="185"/>
      <c r="BB89" s="185"/>
      <c r="BC89" s="188">
        <v>2609.4</v>
      </c>
      <c r="BD89" s="185">
        <v>0.4208709677419355</v>
      </c>
      <c r="BE89" s="185">
        <v>0.44302207130730054</v>
      </c>
      <c r="BF89" s="188"/>
      <c r="BG89" s="188">
        <v>2764</v>
      </c>
      <c r="BH89" s="185">
        <v>0.44580645161290322</v>
      </c>
      <c r="BI89" s="185">
        <v>0.46926994906621394</v>
      </c>
      <c r="BJ89" s="188">
        <v>5890</v>
      </c>
      <c r="BK89" s="188">
        <v>2763.7345</v>
      </c>
      <c r="BL89" s="185">
        <v>0.44576362903225808</v>
      </c>
      <c r="BM89" s="185">
        <v>0.46922487266553481</v>
      </c>
      <c r="BN89" s="188">
        <v>2763.7345</v>
      </c>
      <c r="BO89" s="185">
        <f t="shared" si="87"/>
        <v>0.44576362903225808</v>
      </c>
      <c r="BP89" s="185">
        <f t="shared" si="88"/>
        <v>0.46922487266553481</v>
      </c>
      <c r="BQ89" s="205">
        <f t="shared" si="89"/>
        <v>2763.7345</v>
      </c>
      <c r="BR89" s="205"/>
      <c r="BS89" s="189" t="e">
        <f>#REF!+#REF!</f>
        <v>#REF!</v>
      </c>
      <c r="BT89" s="186" t="e">
        <f t="shared" si="90"/>
        <v>#REF!</v>
      </c>
      <c r="BU89" s="189" t="e">
        <f>#REF!+#REF!</f>
        <v>#REF!</v>
      </c>
      <c r="BV89" s="186" t="e">
        <f t="shared" si="91"/>
        <v>#REF!</v>
      </c>
      <c r="BW89" s="189" t="e">
        <f>#REF!+#REF!</f>
        <v>#REF!</v>
      </c>
      <c r="BX89" s="186" t="e">
        <f t="shared" si="92"/>
        <v>#REF!</v>
      </c>
      <c r="BY89" s="189" t="e">
        <f>#REF!+#REF!</f>
        <v>#REF!</v>
      </c>
      <c r="BZ89" s="186" t="e">
        <f t="shared" si="93"/>
        <v>#REF!</v>
      </c>
      <c r="CA89" s="189" t="e">
        <f>#REF!+#REF!</f>
        <v>#REF!</v>
      </c>
      <c r="CB89" s="186" t="e">
        <f t="shared" si="94"/>
        <v>#REF!</v>
      </c>
      <c r="CC89" s="189" t="e">
        <f>#REF!+#REF!</f>
        <v>#REF!</v>
      </c>
      <c r="CD89" s="186" t="e">
        <f t="shared" si="95"/>
        <v>#REF!</v>
      </c>
      <c r="CE89" s="189" t="e">
        <f>#REF!+#REF!</f>
        <v>#REF!</v>
      </c>
      <c r="CF89" s="186" t="e">
        <f t="shared" si="96"/>
        <v>#REF!</v>
      </c>
      <c r="CG89" s="189" t="e">
        <f>#REF!+#REF!</f>
        <v>#REF!</v>
      </c>
      <c r="CH89" s="186" t="e">
        <f t="shared" si="97"/>
        <v>#REF!</v>
      </c>
      <c r="CI89" s="189" t="e">
        <f>#REF!+#REF!</f>
        <v>#REF!</v>
      </c>
      <c r="CJ89" s="186" t="e">
        <f t="shared" si="98"/>
        <v>#REF!</v>
      </c>
      <c r="CK89" s="189" t="e">
        <f>#REF!+#REF!</f>
        <v>#REF!</v>
      </c>
      <c r="CL89" s="186" t="e">
        <f t="shared" si="99"/>
        <v>#REF!</v>
      </c>
      <c r="CM89" s="189" t="e">
        <f>#REF!+#REF!</f>
        <v>#REF!</v>
      </c>
      <c r="CN89" s="186" t="e">
        <f t="shared" si="100"/>
        <v>#REF!</v>
      </c>
      <c r="CO89" s="189" t="e">
        <f>#REF!+#REF!</f>
        <v>#REF!</v>
      </c>
      <c r="CP89" s="186" t="e">
        <f t="shared" si="101"/>
        <v>#REF!</v>
      </c>
      <c r="CQ89" s="189" t="e">
        <f>#REF!+#REF!</f>
        <v>#REF!</v>
      </c>
      <c r="CR89" s="186" t="e">
        <f t="shared" si="102"/>
        <v>#REF!</v>
      </c>
      <c r="CS89" s="213" t="str">
        <f t="shared" si="103"/>
        <v>Đạt</v>
      </c>
      <c r="CT89" s="213" t="str">
        <f t="shared" si="104"/>
        <v>Đạt</v>
      </c>
      <c r="CU89" s="213"/>
      <c r="CV89" s="213"/>
      <c r="CW89" s="231"/>
      <c r="CX89" s="163"/>
      <c r="CZ89" s="195"/>
      <c r="DA89" s="196"/>
      <c r="DB89" s="196"/>
      <c r="DC89" s="197"/>
      <c r="DD89" s="196"/>
      <c r="DE89" s="196"/>
      <c r="DF89" s="196"/>
      <c r="DH89" s="199"/>
      <c r="DI89" s="200"/>
      <c r="DJ89" s="181"/>
    </row>
    <row r="90" spans="1:114" ht="18" customHeight="1" x14ac:dyDescent="0.25">
      <c r="A90" s="213">
        <v>60</v>
      </c>
      <c r="B90" s="240" t="s">
        <v>501</v>
      </c>
      <c r="C90" s="240"/>
      <c r="D90" s="188">
        <v>3000</v>
      </c>
      <c r="E90" s="188">
        <v>0</v>
      </c>
      <c r="F90" s="188">
        <v>3000</v>
      </c>
      <c r="G90" s="188">
        <v>3000</v>
      </c>
      <c r="H90" s="188">
        <v>0</v>
      </c>
      <c r="I90" s="188">
        <v>0</v>
      </c>
      <c r="J90" s="188"/>
      <c r="K90" s="188">
        <v>0</v>
      </c>
      <c r="L90" s="188">
        <v>0</v>
      </c>
      <c r="M90" s="231"/>
      <c r="N90" s="231"/>
      <c r="O90" s="188">
        <v>3000</v>
      </c>
      <c r="P90" s="188">
        <v>0</v>
      </c>
      <c r="Q90" s="186">
        <v>0</v>
      </c>
      <c r="R90" s="188">
        <v>0</v>
      </c>
      <c r="S90" s="185">
        <v>0</v>
      </c>
      <c r="T90" s="185">
        <v>0</v>
      </c>
      <c r="U90" s="188">
        <v>0</v>
      </c>
      <c r="V90" s="185">
        <v>0</v>
      </c>
      <c r="W90" s="185">
        <v>0</v>
      </c>
      <c r="X90" s="188">
        <v>0</v>
      </c>
      <c r="Y90" s="185">
        <v>0</v>
      </c>
      <c r="Z90" s="185">
        <v>0</v>
      </c>
      <c r="AA90" s="188">
        <v>0</v>
      </c>
      <c r="AB90" s="185">
        <v>0</v>
      </c>
      <c r="AC90" s="185">
        <v>0</v>
      </c>
      <c r="AD90" s="188">
        <v>0</v>
      </c>
      <c r="AE90" s="185">
        <v>0</v>
      </c>
      <c r="AF90" s="185">
        <v>0</v>
      </c>
      <c r="AG90" s="188">
        <v>0</v>
      </c>
      <c r="AH90" s="185">
        <v>0</v>
      </c>
      <c r="AI90" s="185">
        <v>0</v>
      </c>
      <c r="AJ90" s="303">
        <v>0</v>
      </c>
      <c r="AK90" s="185">
        <v>0</v>
      </c>
      <c r="AL90" s="185">
        <v>0</v>
      </c>
      <c r="AM90" s="188">
        <v>0</v>
      </c>
      <c r="AN90" s="185">
        <v>0</v>
      </c>
      <c r="AO90" s="185">
        <v>0</v>
      </c>
      <c r="AP90" s="185"/>
      <c r="AQ90" s="188">
        <v>0</v>
      </c>
      <c r="AR90" s="185">
        <v>0</v>
      </c>
      <c r="AS90" s="185">
        <v>0</v>
      </c>
      <c r="AT90" s="188">
        <v>0</v>
      </c>
      <c r="AU90" s="185">
        <v>0</v>
      </c>
      <c r="AV90" s="185">
        <v>0</v>
      </c>
      <c r="AW90" s="185"/>
      <c r="AX90" s="185"/>
      <c r="AY90" s="185"/>
      <c r="AZ90" s="185"/>
      <c r="BA90" s="185"/>
      <c r="BB90" s="185"/>
      <c r="BC90" s="188">
        <v>0</v>
      </c>
      <c r="BD90" s="185">
        <v>0</v>
      </c>
      <c r="BE90" s="185">
        <v>0</v>
      </c>
      <c r="BF90" s="352"/>
      <c r="BG90" s="352">
        <v>908.36689999999999</v>
      </c>
      <c r="BH90" s="185">
        <v>0.30278896666666666</v>
      </c>
      <c r="BI90" s="185">
        <v>0.31872522807017545</v>
      </c>
      <c r="BJ90" s="374">
        <v>2850</v>
      </c>
      <c r="BK90" s="374">
        <v>1325.541817</v>
      </c>
      <c r="BL90" s="185">
        <v>0.44184727233333332</v>
      </c>
      <c r="BM90" s="185">
        <v>0.46510239192982455</v>
      </c>
      <c r="BN90" s="374">
        <v>1325.541817</v>
      </c>
      <c r="BO90" s="185">
        <f t="shared" si="87"/>
        <v>0.44184727233333332</v>
      </c>
      <c r="BP90" s="185">
        <f t="shared" si="88"/>
        <v>0.46510239192982455</v>
      </c>
      <c r="BQ90" s="205">
        <f t="shared" si="89"/>
        <v>1325.541817</v>
      </c>
      <c r="BR90" s="205"/>
      <c r="BS90" s="189" t="e">
        <f>#REF!</f>
        <v>#REF!</v>
      </c>
      <c r="BT90" s="186" t="e">
        <f t="shared" si="90"/>
        <v>#REF!</v>
      </c>
      <c r="BU90" s="189" t="e">
        <f>#REF!</f>
        <v>#REF!</v>
      </c>
      <c r="BV90" s="186" t="e">
        <f t="shared" si="91"/>
        <v>#REF!</v>
      </c>
      <c r="BW90" s="189" t="e">
        <f>#REF!</f>
        <v>#REF!</v>
      </c>
      <c r="BX90" s="186" t="e">
        <f t="shared" si="92"/>
        <v>#REF!</v>
      </c>
      <c r="BY90" s="189" t="e">
        <f>#REF!</f>
        <v>#REF!</v>
      </c>
      <c r="BZ90" s="186" t="e">
        <f t="shared" si="93"/>
        <v>#REF!</v>
      </c>
      <c r="CA90" s="189" t="e">
        <f>#REF!</f>
        <v>#REF!</v>
      </c>
      <c r="CB90" s="186" t="e">
        <f t="shared" si="94"/>
        <v>#REF!</v>
      </c>
      <c r="CC90" s="189" t="e">
        <f>#REF!</f>
        <v>#REF!</v>
      </c>
      <c r="CD90" s="186" t="e">
        <f t="shared" si="95"/>
        <v>#REF!</v>
      </c>
      <c r="CE90" s="189" t="e">
        <f>#REF!</f>
        <v>#REF!</v>
      </c>
      <c r="CF90" s="186" t="e">
        <f t="shared" si="96"/>
        <v>#REF!</v>
      </c>
      <c r="CG90" s="189" t="e">
        <f>#REF!</f>
        <v>#REF!</v>
      </c>
      <c r="CH90" s="186" t="e">
        <f t="shared" si="97"/>
        <v>#REF!</v>
      </c>
      <c r="CI90" s="189" t="e">
        <f>#REF!</f>
        <v>#REF!</v>
      </c>
      <c r="CJ90" s="186" t="e">
        <f t="shared" si="98"/>
        <v>#REF!</v>
      </c>
      <c r="CK90" s="189" t="e">
        <f>#REF!</f>
        <v>#REF!</v>
      </c>
      <c r="CL90" s="186" t="e">
        <f t="shared" si="99"/>
        <v>#REF!</v>
      </c>
      <c r="CM90" s="189" t="e">
        <f>#REF!</f>
        <v>#REF!</v>
      </c>
      <c r="CN90" s="186" t="e">
        <f t="shared" si="100"/>
        <v>#REF!</v>
      </c>
      <c r="CO90" s="189" t="e">
        <f>#REF!</f>
        <v>#REF!</v>
      </c>
      <c r="CP90" s="186" t="e">
        <f t="shared" si="101"/>
        <v>#REF!</v>
      </c>
      <c r="CQ90" s="189" t="e">
        <f>#REF!</f>
        <v>#REF!</v>
      </c>
      <c r="CR90" s="186" t="e">
        <f t="shared" si="102"/>
        <v>#REF!</v>
      </c>
      <c r="CS90" s="213" t="str">
        <f t="shared" si="103"/>
        <v>Đạt</v>
      </c>
      <c r="CT90" s="213" t="str">
        <f t="shared" si="104"/>
        <v>Đạt</v>
      </c>
      <c r="CU90" s="213"/>
      <c r="CV90" s="213"/>
      <c r="CW90" s="231"/>
      <c r="CX90" s="163"/>
      <c r="CZ90" s="195"/>
      <c r="DA90" s="196"/>
      <c r="DB90" s="196"/>
      <c r="DC90" s="197"/>
      <c r="DD90" s="196"/>
      <c r="DE90" s="196"/>
      <c r="DF90" s="196"/>
      <c r="DH90" s="199"/>
      <c r="DI90" s="200"/>
      <c r="DJ90" s="181"/>
    </row>
    <row r="91" spans="1:114" ht="18" customHeight="1" x14ac:dyDescent="0.25">
      <c r="A91" s="213">
        <v>61</v>
      </c>
      <c r="B91" s="240" t="s">
        <v>470</v>
      </c>
      <c r="C91" s="240"/>
      <c r="D91" s="188">
        <v>7675</v>
      </c>
      <c r="E91" s="188">
        <v>0</v>
      </c>
      <c r="F91" s="188">
        <v>7675</v>
      </c>
      <c r="G91" s="188">
        <v>3000</v>
      </c>
      <c r="H91" s="188">
        <v>4675</v>
      </c>
      <c r="I91" s="188">
        <v>0</v>
      </c>
      <c r="J91" s="188"/>
      <c r="K91" s="188">
        <v>0</v>
      </c>
      <c r="L91" s="188">
        <v>0</v>
      </c>
      <c r="M91" s="188">
        <v>0</v>
      </c>
      <c r="N91" s="188">
        <v>0</v>
      </c>
      <c r="O91" s="188">
        <v>3000</v>
      </c>
      <c r="P91" s="188">
        <v>0</v>
      </c>
      <c r="Q91" s="186">
        <v>0</v>
      </c>
      <c r="R91" s="189">
        <v>1088.7765999999999</v>
      </c>
      <c r="S91" s="185">
        <v>0.14186058631921825</v>
      </c>
      <c r="T91" s="185">
        <v>0.14932693296759814</v>
      </c>
      <c r="U91" s="189">
        <v>1088.7765999999999</v>
      </c>
      <c r="V91" s="185">
        <v>0.14186014332247557</v>
      </c>
      <c r="W91" s="185">
        <v>0.14932646665523744</v>
      </c>
      <c r="X91" s="189">
        <v>1088.7765999999999</v>
      </c>
      <c r="Y91" s="185">
        <v>0.14186014332247557</v>
      </c>
      <c r="Z91" s="185">
        <v>0.14932646665523744</v>
      </c>
      <c r="AA91" s="189">
        <v>1088.7765999999999</v>
      </c>
      <c r="AB91" s="185">
        <v>0.14186014332247557</v>
      </c>
      <c r="AC91" s="185">
        <v>0.14932646665523744</v>
      </c>
      <c r="AD91" s="189">
        <v>1158</v>
      </c>
      <c r="AE91" s="185">
        <v>0.15087947882736155</v>
      </c>
      <c r="AF91" s="185">
        <v>0.15882050402880166</v>
      </c>
      <c r="AG91" s="189">
        <v>1158</v>
      </c>
      <c r="AH91" s="185">
        <v>0.15087947882736155</v>
      </c>
      <c r="AI91" s="185">
        <v>0.15882050402880166</v>
      </c>
      <c r="AJ91" s="307">
        <v>1158</v>
      </c>
      <c r="AK91" s="185">
        <v>0.15087947882736155</v>
      </c>
      <c r="AL91" s="185">
        <v>0.15882050402880166</v>
      </c>
      <c r="AM91" s="189">
        <v>1158</v>
      </c>
      <c r="AN91" s="185">
        <v>0.15087947882736155</v>
      </c>
      <c r="AO91" s="185">
        <v>0.15882050402880166</v>
      </c>
      <c r="AP91" s="185"/>
      <c r="AQ91" s="189">
        <v>2191.6206950000001</v>
      </c>
      <c r="AR91" s="185">
        <v>0.28555318501628668</v>
      </c>
      <c r="AS91" s="185">
        <v>0.30058230001714387</v>
      </c>
      <c r="AT91" s="189">
        <v>2191.6206950000001</v>
      </c>
      <c r="AU91" s="185">
        <v>0.28555318501628668</v>
      </c>
      <c r="AV91" s="185">
        <v>0.30058230001714387</v>
      </c>
      <c r="AW91" s="185"/>
      <c r="AX91" s="185"/>
      <c r="AY91" s="185"/>
      <c r="AZ91" s="185"/>
      <c r="BA91" s="185"/>
      <c r="BB91" s="185"/>
      <c r="BC91" s="189">
        <v>2191.6206950000001</v>
      </c>
      <c r="BD91" s="185">
        <v>0.28555318501628668</v>
      </c>
      <c r="BE91" s="185">
        <v>0.30058230001714387</v>
      </c>
      <c r="BF91" s="352"/>
      <c r="BG91" s="352">
        <v>2717.8388570000002</v>
      </c>
      <c r="BH91" s="185">
        <v>0.35411581198697073</v>
      </c>
      <c r="BI91" s="185">
        <v>0.37275348630207444</v>
      </c>
      <c r="BJ91" s="374">
        <v>7291.25</v>
      </c>
      <c r="BK91" s="374">
        <v>3385.7718570000006</v>
      </c>
      <c r="BL91" s="185">
        <v>0.44114291296416946</v>
      </c>
      <c r="BM91" s="185">
        <v>0.46436096101491525</v>
      </c>
      <c r="BN91" s="374">
        <v>3385.7718570000006</v>
      </c>
      <c r="BO91" s="185">
        <f t="shared" si="87"/>
        <v>0.44114291296416946</v>
      </c>
      <c r="BP91" s="185">
        <f t="shared" si="88"/>
        <v>0.46436096101491525</v>
      </c>
      <c r="BQ91" s="205">
        <f t="shared" si="89"/>
        <v>2227.7718570000006</v>
      </c>
      <c r="BR91" s="205"/>
      <c r="BS91" s="189" t="e">
        <f>#REF!+#REF!</f>
        <v>#REF!</v>
      </c>
      <c r="BT91" s="186" t="e">
        <f t="shared" si="90"/>
        <v>#REF!</v>
      </c>
      <c r="BU91" s="189" t="e">
        <f>#REF!+#REF!</f>
        <v>#REF!</v>
      </c>
      <c r="BV91" s="186" t="e">
        <f t="shared" si="91"/>
        <v>#REF!</v>
      </c>
      <c r="BW91" s="189" t="e">
        <f>#REF!+#REF!</f>
        <v>#REF!</v>
      </c>
      <c r="BX91" s="186" t="e">
        <f t="shared" si="92"/>
        <v>#REF!</v>
      </c>
      <c r="BY91" s="189" t="e">
        <f>#REF!+#REF!</f>
        <v>#REF!</v>
      </c>
      <c r="BZ91" s="186" t="e">
        <f t="shared" si="93"/>
        <v>#REF!</v>
      </c>
      <c r="CA91" s="189" t="e">
        <f>#REF!+#REF!</f>
        <v>#REF!</v>
      </c>
      <c r="CB91" s="186" t="e">
        <f t="shared" si="94"/>
        <v>#REF!</v>
      </c>
      <c r="CC91" s="189" t="e">
        <f>#REF!+#REF!</f>
        <v>#REF!</v>
      </c>
      <c r="CD91" s="186" t="e">
        <f t="shared" si="95"/>
        <v>#REF!</v>
      </c>
      <c r="CE91" s="189" t="e">
        <f>#REF!+#REF!</f>
        <v>#REF!</v>
      </c>
      <c r="CF91" s="186" t="e">
        <f t="shared" si="96"/>
        <v>#REF!</v>
      </c>
      <c r="CG91" s="189" t="e">
        <f>#REF!+#REF!</f>
        <v>#REF!</v>
      </c>
      <c r="CH91" s="186" t="e">
        <f t="shared" si="97"/>
        <v>#REF!</v>
      </c>
      <c r="CI91" s="189" t="e">
        <f>#REF!+#REF!</f>
        <v>#REF!</v>
      </c>
      <c r="CJ91" s="186" t="e">
        <f t="shared" si="98"/>
        <v>#REF!</v>
      </c>
      <c r="CK91" s="189" t="e">
        <f>#REF!+#REF!</f>
        <v>#REF!</v>
      </c>
      <c r="CL91" s="186" t="e">
        <f t="shared" si="99"/>
        <v>#REF!</v>
      </c>
      <c r="CM91" s="189" t="e">
        <f>#REF!+#REF!</f>
        <v>#REF!</v>
      </c>
      <c r="CN91" s="186" t="e">
        <f t="shared" si="100"/>
        <v>#REF!</v>
      </c>
      <c r="CO91" s="189" t="e">
        <f>#REF!+#REF!</f>
        <v>#REF!</v>
      </c>
      <c r="CP91" s="186" t="e">
        <f t="shared" si="101"/>
        <v>#REF!</v>
      </c>
      <c r="CQ91" s="189" t="e">
        <f>#REF!+#REF!</f>
        <v>#REF!</v>
      </c>
      <c r="CR91" s="186" t="e">
        <f t="shared" si="102"/>
        <v>#REF!</v>
      </c>
      <c r="CS91" s="213" t="str">
        <f t="shared" si="103"/>
        <v>Đạt</v>
      </c>
      <c r="CT91" s="213" t="str">
        <f t="shared" si="104"/>
        <v>Đạt</v>
      </c>
      <c r="CU91" s="213"/>
      <c r="CV91" s="213"/>
      <c r="CW91" s="231"/>
      <c r="CX91" s="163"/>
      <c r="CZ91" s="195"/>
      <c r="DA91" s="196"/>
      <c r="DB91" s="196"/>
      <c r="DC91" s="197"/>
      <c r="DD91" s="196"/>
      <c r="DE91" s="196"/>
      <c r="DF91" s="196"/>
      <c r="DH91" s="199"/>
      <c r="DI91" s="200"/>
      <c r="DJ91" s="181"/>
    </row>
    <row r="92" spans="1:114" ht="18" customHeight="1" x14ac:dyDescent="0.25">
      <c r="A92" s="213">
        <v>62</v>
      </c>
      <c r="B92" s="240" t="s">
        <v>417</v>
      </c>
      <c r="C92" s="240"/>
      <c r="D92" s="188">
        <v>8750</v>
      </c>
      <c r="E92" s="188">
        <v>0</v>
      </c>
      <c r="F92" s="188">
        <v>8750</v>
      </c>
      <c r="G92" s="188">
        <v>3000</v>
      </c>
      <c r="H92" s="188">
        <v>5750</v>
      </c>
      <c r="I92" s="188">
        <v>0</v>
      </c>
      <c r="J92" s="188"/>
      <c r="K92" s="188">
        <v>0</v>
      </c>
      <c r="L92" s="188">
        <v>0</v>
      </c>
      <c r="M92" s="188">
        <v>0</v>
      </c>
      <c r="N92" s="188">
        <v>0</v>
      </c>
      <c r="O92" s="188">
        <v>3000</v>
      </c>
      <c r="P92" s="188">
        <v>0</v>
      </c>
      <c r="Q92" s="186">
        <v>0</v>
      </c>
      <c r="R92" s="188">
        <v>0</v>
      </c>
      <c r="S92" s="185">
        <v>0</v>
      </c>
      <c r="T92" s="185">
        <v>0</v>
      </c>
      <c r="U92" s="188">
        <v>0</v>
      </c>
      <c r="V92" s="185">
        <v>0</v>
      </c>
      <c r="W92" s="185">
        <v>0</v>
      </c>
      <c r="X92" s="188">
        <v>0</v>
      </c>
      <c r="Y92" s="185">
        <v>0</v>
      </c>
      <c r="Z92" s="185">
        <v>0</v>
      </c>
      <c r="AA92" s="188">
        <v>0</v>
      </c>
      <c r="AB92" s="185">
        <v>0</v>
      </c>
      <c r="AC92" s="185">
        <v>0</v>
      </c>
      <c r="AD92" s="188">
        <v>103</v>
      </c>
      <c r="AE92" s="185">
        <v>1.1771428571428572E-2</v>
      </c>
      <c r="AF92" s="185">
        <v>1.2390977443609022E-2</v>
      </c>
      <c r="AG92" s="188">
        <v>103</v>
      </c>
      <c r="AH92" s="185">
        <v>1.1771428571428572E-2</v>
      </c>
      <c r="AI92" s="185">
        <v>1.2390977443609022E-2</v>
      </c>
      <c r="AJ92" s="303">
        <v>103</v>
      </c>
      <c r="AK92" s="185">
        <v>1.1771428571428572E-2</v>
      </c>
      <c r="AL92" s="185">
        <v>1.2390977443609022E-2</v>
      </c>
      <c r="AM92" s="188">
        <v>2332</v>
      </c>
      <c r="AN92" s="185">
        <v>0.2665142857142857</v>
      </c>
      <c r="AO92" s="185">
        <v>0.28054135338345865</v>
      </c>
      <c r="AP92" s="185"/>
      <c r="AQ92" s="188">
        <v>2880.3220000000001</v>
      </c>
      <c r="AR92" s="185">
        <v>0.32917965714285713</v>
      </c>
      <c r="AS92" s="185">
        <v>0.34650490225563912</v>
      </c>
      <c r="AT92" s="188">
        <v>3205.3220000000001</v>
      </c>
      <c r="AU92" s="185">
        <v>0.36632251428571427</v>
      </c>
      <c r="AV92" s="185">
        <v>0.38560264661654137</v>
      </c>
      <c r="AW92" s="185"/>
      <c r="AX92" s="185"/>
      <c r="AY92" s="185"/>
      <c r="AZ92" s="185"/>
      <c r="BA92" s="185"/>
      <c r="BB92" s="185"/>
      <c r="BC92" s="188">
        <v>3205.3220000000001</v>
      </c>
      <c r="BD92" s="185">
        <v>0.36632251428571427</v>
      </c>
      <c r="BE92" s="185">
        <v>0.38560264661654137</v>
      </c>
      <c r="BF92" s="188"/>
      <c r="BG92" s="188">
        <v>3578</v>
      </c>
      <c r="BH92" s="185">
        <v>0.40891428571428573</v>
      </c>
      <c r="BI92" s="185">
        <v>0.43043609022556389</v>
      </c>
      <c r="BJ92" s="188">
        <v>8312.5</v>
      </c>
      <c r="BK92" s="188">
        <v>3821</v>
      </c>
      <c r="BL92" s="185">
        <v>0.43668571428571429</v>
      </c>
      <c r="BM92" s="185">
        <v>0.45966917293233084</v>
      </c>
      <c r="BN92" s="188">
        <v>3821</v>
      </c>
      <c r="BO92" s="185">
        <f t="shared" si="87"/>
        <v>0.43668571428571429</v>
      </c>
      <c r="BP92" s="185">
        <f t="shared" si="88"/>
        <v>0.45966917293233084</v>
      </c>
      <c r="BQ92" s="205">
        <f t="shared" si="89"/>
        <v>3718</v>
      </c>
      <c r="BR92" s="205"/>
      <c r="BS92" s="189" t="e">
        <f>#REF!+#REF!</f>
        <v>#REF!</v>
      </c>
      <c r="BT92" s="186" t="e">
        <f t="shared" si="90"/>
        <v>#REF!</v>
      </c>
      <c r="BU92" s="189" t="e">
        <f>#REF!+#REF!</f>
        <v>#REF!</v>
      </c>
      <c r="BV92" s="186" t="e">
        <f t="shared" si="91"/>
        <v>#REF!</v>
      </c>
      <c r="BW92" s="189" t="e">
        <f>#REF!+#REF!</f>
        <v>#REF!</v>
      </c>
      <c r="BX92" s="186" t="e">
        <f t="shared" si="92"/>
        <v>#REF!</v>
      </c>
      <c r="BY92" s="189" t="e">
        <f>#REF!+#REF!</f>
        <v>#REF!</v>
      </c>
      <c r="BZ92" s="186" t="e">
        <f t="shared" si="93"/>
        <v>#REF!</v>
      </c>
      <c r="CA92" s="189" t="e">
        <f>#REF!+#REF!</f>
        <v>#REF!</v>
      </c>
      <c r="CB92" s="186" t="e">
        <f t="shared" si="94"/>
        <v>#REF!</v>
      </c>
      <c r="CC92" s="189" t="e">
        <f>#REF!+#REF!</f>
        <v>#REF!</v>
      </c>
      <c r="CD92" s="186" t="e">
        <f t="shared" si="95"/>
        <v>#REF!</v>
      </c>
      <c r="CE92" s="189" t="e">
        <f>#REF!+#REF!</f>
        <v>#REF!</v>
      </c>
      <c r="CF92" s="186" t="e">
        <f t="shared" si="96"/>
        <v>#REF!</v>
      </c>
      <c r="CG92" s="189" t="e">
        <f>#REF!+#REF!</f>
        <v>#REF!</v>
      </c>
      <c r="CH92" s="186" t="e">
        <f t="shared" si="97"/>
        <v>#REF!</v>
      </c>
      <c r="CI92" s="189" t="e">
        <f>#REF!+#REF!</f>
        <v>#REF!</v>
      </c>
      <c r="CJ92" s="186" t="e">
        <f t="shared" si="98"/>
        <v>#REF!</v>
      </c>
      <c r="CK92" s="189" t="e">
        <f>#REF!+#REF!</f>
        <v>#REF!</v>
      </c>
      <c r="CL92" s="186" t="e">
        <f t="shared" si="99"/>
        <v>#REF!</v>
      </c>
      <c r="CM92" s="189" t="e">
        <f>#REF!+#REF!</f>
        <v>#REF!</v>
      </c>
      <c r="CN92" s="186" t="e">
        <f t="shared" si="100"/>
        <v>#REF!</v>
      </c>
      <c r="CO92" s="189" t="e">
        <f>#REF!+#REF!</f>
        <v>#REF!</v>
      </c>
      <c r="CP92" s="186" t="e">
        <f t="shared" si="101"/>
        <v>#REF!</v>
      </c>
      <c r="CQ92" s="189" t="e">
        <f>#REF!+#REF!</f>
        <v>#REF!</v>
      </c>
      <c r="CR92" s="186" t="e">
        <f t="shared" si="102"/>
        <v>#REF!</v>
      </c>
      <c r="CS92" s="213" t="str">
        <f t="shared" si="103"/>
        <v>Đạt</v>
      </c>
      <c r="CT92" s="213" t="str">
        <f t="shared" si="104"/>
        <v>Đạt</v>
      </c>
      <c r="CU92" s="213"/>
      <c r="CV92" s="213"/>
      <c r="CW92" s="231"/>
      <c r="CX92" s="163"/>
      <c r="CZ92" s="195"/>
      <c r="DA92" s="196"/>
      <c r="DB92" s="196"/>
      <c r="DC92" s="197"/>
      <c r="DD92" s="196"/>
      <c r="DE92" s="196"/>
      <c r="DF92" s="196"/>
      <c r="DH92" s="199"/>
      <c r="DI92" s="200"/>
      <c r="DJ92" s="181"/>
    </row>
    <row r="93" spans="1:114" ht="18" customHeight="1" x14ac:dyDescent="0.25">
      <c r="A93" s="213">
        <v>63</v>
      </c>
      <c r="B93" s="240" t="s">
        <v>514</v>
      </c>
      <c r="C93" s="240"/>
      <c r="D93" s="188">
        <v>5125</v>
      </c>
      <c r="E93" s="188">
        <v>0</v>
      </c>
      <c r="F93" s="188">
        <v>5125</v>
      </c>
      <c r="G93" s="188">
        <v>3000</v>
      </c>
      <c r="H93" s="188">
        <v>2125</v>
      </c>
      <c r="I93" s="188">
        <v>0</v>
      </c>
      <c r="J93" s="188"/>
      <c r="K93" s="188">
        <v>0</v>
      </c>
      <c r="L93" s="188">
        <v>0</v>
      </c>
      <c r="M93" s="188">
        <v>0</v>
      </c>
      <c r="N93" s="188">
        <v>0</v>
      </c>
      <c r="O93" s="188">
        <v>3000</v>
      </c>
      <c r="P93" s="188">
        <v>0</v>
      </c>
      <c r="Q93" s="186">
        <v>0</v>
      </c>
      <c r="R93" s="188">
        <v>0</v>
      </c>
      <c r="S93" s="185">
        <v>0</v>
      </c>
      <c r="T93" s="185">
        <v>0</v>
      </c>
      <c r="U93" s="188">
        <v>0</v>
      </c>
      <c r="V93" s="185">
        <v>0</v>
      </c>
      <c r="W93" s="185">
        <v>0</v>
      </c>
      <c r="X93" s="188">
        <v>0</v>
      </c>
      <c r="Y93" s="185">
        <v>0</v>
      </c>
      <c r="Z93" s="185">
        <v>0</v>
      </c>
      <c r="AA93" s="188">
        <v>0</v>
      </c>
      <c r="AB93" s="185">
        <v>0</v>
      </c>
      <c r="AC93" s="185">
        <v>0</v>
      </c>
      <c r="AD93" s="188">
        <v>0</v>
      </c>
      <c r="AE93" s="185">
        <v>0</v>
      </c>
      <c r="AF93" s="185">
        <v>0</v>
      </c>
      <c r="AG93" s="188">
        <v>0</v>
      </c>
      <c r="AH93" s="185">
        <v>0</v>
      </c>
      <c r="AI93" s="185">
        <v>0</v>
      </c>
      <c r="AJ93" s="303">
        <v>0</v>
      </c>
      <c r="AK93" s="185">
        <v>0</v>
      </c>
      <c r="AL93" s="185">
        <v>0</v>
      </c>
      <c r="AM93" s="188">
        <v>0</v>
      </c>
      <c r="AN93" s="185">
        <v>0</v>
      </c>
      <c r="AO93" s="185">
        <v>0</v>
      </c>
      <c r="AP93" s="185"/>
      <c r="AQ93" s="188">
        <v>878</v>
      </c>
      <c r="AR93" s="185">
        <v>0.17131707317073172</v>
      </c>
      <c r="AS93" s="185">
        <v>0.18033376123234918</v>
      </c>
      <c r="AT93" s="188">
        <v>878</v>
      </c>
      <c r="AU93" s="185">
        <v>0.17131707317073172</v>
      </c>
      <c r="AV93" s="185">
        <v>0.18033376123234918</v>
      </c>
      <c r="AW93" s="185"/>
      <c r="AX93" s="185"/>
      <c r="AY93" s="185"/>
      <c r="AZ93" s="185"/>
      <c r="BA93" s="185"/>
      <c r="BB93" s="185"/>
      <c r="BC93" s="188">
        <v>878</v>
      </c>
      <c r="BD93" s="185">
        <v>0.17131707317073172</v>
      </c>
      <c r="BE93" s="185">
        <v>0.18033376123234918</v>
      </c>
      <c r="BF93" s="352"/>
      <c r="BG93" s="352">
        <v>1740.5889999999999</v>
      </c>
      <c r="BH93" s="185">
        <v>0.33962712195121952</v>
      </c>
      <c r="BI93" s="185">
        <v>0.35750223363286265</v>
      </c>
      <c r="BJ93" s="374">
        <v>4868.75</v>
      </c>
      <c r="BK93" s="374">
        <v>2204.3490000000002</v>
      </c>
      <c r="BL93" s="185">
        <v>0.43011687804878052</v>
      </c>
      <c r="BM93" s="185">
        <v>0.45275460847240057</v>
      </c>
      <c r="BN93" s="374">
        <v>2204.3490000000002</v>
      </c>
      <c r="BO93" s="185">
        <f t="shared" si="87"/>
        <v>0.43011687804878052</v>
      </c>
      <c r="BP93" s="185">
        <f t="shared" si="88"/>
        <v>0.45275460847240057</v>
      </c>
      <c r="BQ93" s="205">
        <f t="shared" si="89"/>
        <v>2204.3490000000002</v>
      </c>
      <c r="BR93" s="205"/>
      <c r="BS93" s="189" t="e">
        <f>#REF!+#REF!</f>
        <v>#REF!</v>
      </c>
      <c r="BT93" s="186" t="e">
        <f t="shared" si="90"/>
        <v>#REF!</v>
      </c>
      <c r="BU93" s="189" t="e">
        <f>#REF!+#REF!</f>
        <v>#REF!</v>
      </c>
      <c r="BV93" s="186" t="e">
        <f t="shared" si="91"/>
        <v>#REF!</v>
      </c>
      <c r="BW93" s="189" t="e">
        <f>#REF!+#REF!</f>
        <v>#REF!</v>
      </c>
      <c r="BX93" s="186" t="e">
        <f t="shared" si="92"/>
        <v>#REF!</v>
      </c>
      <c r="BY93" s="189" t="e">
        <f>#REF!+#REF!</f>
        <v>#REF!</v>
      </c>
      <c r="BZ93" s="186" t="e">
        <f t="shared" si="93"/>
        <v>#REF!</v>
      </c>
      <c r="CA93" s="189" t="e">
        <f>#REF!+#REF!</f>
        <v>#REF!</v>
      </c>
      <c r="CB93" s="186" t="e">
        <f t="shared" si="94"/>
        <v>#REF!</v>
      </c>
      <c r="CC93" s="189" t="e">
        <f>#REF!+#REF!</f>
        <v>#REF!</v>
      </c>
      <c r="CD93" s="186" t="e">
        <f t="shared" si="95"/>
        <v>#REF!</v>
      </c>
      <c r="CE93" s="189" t="e">
        <f>#REF!+#REF!</f>
        <v>#REF!</v>
      </c>
      <c r="CF93" s="186" t="e">
        <f t="shared" si="96"/>
        <v>#REF!</v>
      </c>
      <c r="CG93" s="189" t="e">
        <f>#REF!+#REF!</f>
        <v>#REF!</v>
      </c>
      <c r="CH93" s="186" t="e">
        <f t="shared" si="97"/>
        <v>#REF!</v>
      </c>
      <c r="CI93" s="189" t="e">
        <f>#REF!+#REF!</f>
        <v>#REF!</v>
      </c>
      <c r="CJ93" s="186" t="e">
        <f t="shared" si="98"/>
        <v>#REF!</v>
      </c>
      <c r="CK93" s="189" t="e">
        <f>#REF!+#REF!</f>
        <v>#REF!</v>
      </c>
      <c r="CL93" s="186" t="e">
        <f t="shared" si="99"/>
        <v>#REF!</v>
      </c>
      <c r="CM93" s="189" t="e">
        <f>#REF!+#REF!</f>
        <v>#REF!</v>
      </c>
      <c r="CN93" s="186" t="e">
        <f t="shared" si="100"/>
        <v>#REF!</v>
      </c>
      <c r="CO93" s="189" t="e">
        <f>#REF!+#REF!</f>
        <v>#REF!</v>
      </c>
      <c r="CP93" s="186" t="e">
        <f t="shared" si="101"/>
        <v>#REF!</v>
      </c>
      <c r="CQ93" s="189" t="e">
        <f>#REF!+#REF!</f>
        <v>#REF!</v>
      </c>
      <c r="CR93" s="186" t="e">
        <f t="shared" si="102"/>
        <v>#REF!</v>
      </c>
      <c r="CS93" s="213" t="str">
        <f t="shared" si="103"/>
        <v>Đạt</v>
      </c>
      <c r="CT93" s="213" t="str">
        <f t="shared" si="104"/>
        <v>Đạt</v>
      </c>
      <c r="CU93" s="213"/>
      <c r="CV93" s="213"/>
      <c r="CW93" s="231"/>
      <c r="CX93" s="163"/>
      <c r="CZ93" s="195"/>
      <c r="DA93" s="196"/>
      <c r="DB93" s="196"/>
      <c r="DC93" s="197"/>
      <c r="DD93" s="196"/>
      <c r="DE93" s="196"/>
      <c r="DF93" s="196"/>
      <c r="DH93" s="199"/>
      <c r="DI93" s="200"/>
      <c r="DJ93" s="181"/>
    </row>
    <row r="94" spans="1:114" ht="18" customHeight="1" x14ac:dyDescent="0.25">
      <c r="A94" s="213">
        <v>64</v>
      </c>
      <c r="B94" s="240" t="s">
        <v>394</v>
      </c>
      <c r="C94" s="240"/>
      <c r="D94" s="188">
        <v>3187</v>
      </c>
      <c r="E94" s="188">
        <v>0</v>
      </c>
      <c r="F94" s="188">
        <v>3187</v>
      </c>
      <c r="G94" s="188">
        <v>3000</v>
      </c>
      <c r="H94" s="188">
        <v>187</v>
      </c>
      <c r="I94" s="188">
        <v>0</v>
      </c>
      <c r="J94" s="188"/>
      <c r="K94" s="188">
        <v>0</v>
      </c>
      <c r="L94" s="188">
        <v>0</v>
      </c>
      <c r="M94" s="188">
        <v>0</v>
      </c>
      <c r="N94" s="188">
        <v>0</v>
      </c>
      <c r="O94" s="188">
        <v>3000</v>
      </c>
      <c r="P94" s="188">
        <v>0</v>
      </c>
      <c r="Q94" s="186">
        <v>0</v>
      </c>
      <c r="R94" s="188">
        <v>0</v>
      </c>
      <c r="S94" s="185">
        <v>0</v>
      </c>
      <c r="T94" s="185">
        <v>0</v>
      </c>
      <c r="U94" s="188">
        <v>0</v>
      </c>
      <c r="V94" s="185">
        <v>0</v>
      </c>
      <c r="W94" s="185">
        <v>0</v>
      </c>
      <c r="X94" s="188">
        <v>0</v>
      </c>
      <c r="Y94" s="185">
        <v>0</v>
      </c>
      <c r="Z94" s="185">
        <v>0</v>
      </c>
      <c r="AA94" s="188">
        <v>0</v>
      </c>
      <c r="AB94" s="185">
        <v>0</v>
      </c>
      <c r="AC94" s="185">
        <v>0</v>
      </c>
      <c r="AD94" s="188">
        <v>215</v>
      </c>
      <c r="AE94" s="185">
        <v>6.7461562598054595E-2</v>
      </c>
      <c r="AF94" s="185">
        <v>7.1012171155846959E-2</v>
      </c>
      <c r="AG94" s="188">
        <v>215</v>
      </c>
      <c r="AH94" s="185">
        <v>6.7461562598054595E-2</v>
      </c>
      <c r="AI94" s="185">
        <v>7.1012171155846959E-2</v>
      </c>
      <c r="AJ94" s="214">
        <v>215</v>
      </c>
      <c r="AK94" s="185">
        <v>6.7461562598054595E-2</v>
      </c>
      <c r="AL94" s="185">
        <v>7.1012171155846959E-2</v>
      </c>
      <c r="AM94" s="314">
        <v>215</v>
      </c>
      <c r="AN94" s="185">
        <v>6.7461562598054595E-2</v>
      </c>
      <c r="AO94" s="185">
        <v>7.1012171155846959E-2</v>
      </c>
      <c r="AP94" s="185"/>
      <c r="AQ94" s="188">
        <v>1040</v>
      </c>
      <c r="AR94" s="185">
        <v>0.32632569814872919</v>
      </c>
      <c r="AS94" s="185">
        <v>0.34350073489339922</v>
      </c>
      <c r="AT94" s="188">
        <v>1040</v>
      </c>
      <c r="AU94" s="185">
        <v>0.32632569814872919</v>
      </c>
      <c r="AV94" s="185">
        <v>0.34350073489339922</v>
      </c>
      <c r="AW94" s="185"/>
      <c r="AX94" s="185"/>
      <c r="AY94" s="185"/>
      <c r="AZ94" s="185"/>
      <c r="BA94" s="185"/>
      <c r="BB94" s="185"/>
      <c r="BC94" s="188">
        <v>1040</v>
      </c>
      <c r="BD94" s="185">
        <v>0.32632569814872919</v>
      </c>
      <c r="BE94" s="185">
        <v>0.34350073489339922</v>
      </c>
      <c r="BF94" s="188"/>
      <c r="BG94" s="188">
        <v>1351.37</v>
      </c>
      <c r="BH94" s="185">
        <v>0.42402572952620016</v>
      </c>
      <c r="BI94" s="185">
        <v>0.44634287318547389</v>
      </c>
      <c r="BJ94" s="188">
        <v>3027.6499999999996</v>
      </c>
      <c r="BK94" s="188">
        <v>1351.37</v>
      </c>
      <c r="BL94" s="185">
        <v>0.42402572952620016</v>
      </c>
      <c r="BM94" s="185">
        <v>0.44634287318547389</v>
      </c>
      <c r="BN94" s="188">
        <v>1351.37</v>
      </c>
      <c r="BO94" s="185">
        <f t="shared" si="87"/>
        <v>0.42402572952620016</v>
      </c>
      <c r="BP94" s="185">
        <f t="shared" si="88"/>
        <v>0.44634287318547389</v>
      </c>
      <c r="BQ94" s="205">
        <f t="shared" si="89"/>
        <v>1136.3699999999999</v>
      </c>
      <c r="BR94" s="205"/>
      <c r="BS94" s="189" t="e">
        <f>#REF!+#REF!</f>
        <v>#REF!</v>
      </c>
      <c r="BT94" s="186" t="e">
        <f t="shared" si="90"/>
        <v>#REF!</v>
      </c>
      <c r="BU94" s="189" t="e">
        <f>#REF!+#REF!</f>
        <v>#REF!</v>
      </c>
      <c r="BV94" s="186" t="e">
        <f t="shared" si="91"/>
        <v>#REF!</v>
      </c>
      <c r="BW94" s="189" t="e">
        <f>#REF!+#REF!</f>
        <v>#REF!</v>
      </c>
      <c r="BX94" s="186" t="e">
        <f t="shared" si="92"/>
        <v>#REF!</v>
      </c>
      <c r="BY94" s="189" t="e">
        <f>#REF!+#REF!</f>
        <v>#REF!</v>
      </c>
      <c r="BZ94" s="186" t="e">
        <f t="shared" si="93"/>
        <v>#REF!</v>
      </c>
      <c r="CA94" s="189" t="e">
        <f>#REF!+#REF!</f>
        <v>#REF!</v>
      </c>
      <c r="CB94" s="186" t="e">
        <f t="shared" si="94"/>
        <v>#REF!</v>
      </c>
      <c r="CC94" s="189" t="e">
        <f>#REF!+#REF!</f>
        <v>#REF!</v>
      </c>
      <c r="CD94" s="186" t="e">
        <f t="shared" si="95"/>
        <v>#REF!</v>
      </c>
      <c r="CE94" s="189" t="e">
        <f>#REF!+#REF!</f>
        <v>#REF!</v>
      </c>
      <c r="CF94" s="186" t="e">
        <f t="shared" si="96"/>
        <v>#REF!</v>
      </c>
      <c r="CG94" s="189" t="e">
        <f>#REF!+#REF!</f>
        <v>#REF!</v>
      </c>
      <c r="CH94" s="186" t="e">
        <f t="shared" si="97"/>
        <v>#REF!</v>
      </c>
      <c r="CI94" s="189" t="e">
        <f>#REF!+#REF!</f>
        <v>#REF!</v>
      </c>
      <c r="CJ94" s="186" t="e">
        <f t="shared" si="98"/>
        <v>#REF!</v>
      </c>
      <c r="CK94" s="189" t="e">
        <f>#REF!+#REF!</f>
        <v>#REF!</v>
      </c>
      <c r="CL94" s="186" t="e">
        <f t="shared" si="99"/>
        <v>#REF!</v>
      </c>
      <c r="CM94" s="189" t="e">
        <f>#REF!+#REF!</f>
        <v>#REF!</v>
      </c>
      <c r="CN94" s="186" t="e">
        <f t="shared" si="100"/>
        <v>#REF!</v>
      </c>
      <c r="CO94" s="189" t="e">
        <f>#REF!+#REF!</f>
        <v>#REF!</v>
      </c>
      <c r="CP94" s="186" t="e">
        <f t="shared" si="101"/>
        <v>#REF!</v>
      </c>
      <c r="CQ94" s="189" t="e">
        <f>#REF!+#REF!</f>
        <v>#REF!</v>
      </c>
      <c r="CR94" s="186" t="e">
        <f t="shared" si="102"/>
        <v>#REF!</v>
      </c>
      <c r="CS94" s="213" t="str">
        <f t="shared" si="103"/>
        <v>Đạt</v>
      </c>
      <c r="CT94" s="213" t="str">
        <f t="shared" si="104"/>
        <v>Đạt</v>
      </c>
      <c r="CU94" s="213"/>
      <c r="CV94" s="213"/>
      <c r="CW94" s="231"/>
      <c r="CX94" s="163"/>
      <c r="CZ94" s="195"/>
      <c r="DA94" s="196"/>
      <c r="DB94" s="196"/>
      <c r="DC94" s="197"/>
      <c r="DD94" s="196"/>
      <c r="DE94" s="196"/>
      <c r="DF94" s="196"/>
      <c r="DH94" s="199"/>
      <c r="DI94" s="200"/>
      <c r="DJ94" s="181"/>
    </row>
    <row r="95" spans="1:114" ht="18" customHeight="1" x14ac:dyDescent="0.25">
      <c r="A95" s="213">
        <v>65</v>
      </c>
      <c r="B95" s="240" t="s">
        <v>413</v>
      </c>
      <c r="C95" s="240"/>
      <c r="D95" s="188">
        <v>36100</v>
      </c>
      <c r="E95" s="188">
        <v>0</v>
      </c>
      <c r="F95" s="188">
        <v>36100</v>
      </c>
      <c r="G95" s="188">
        <v>3000</v>
      </c>
      <c r="H95" s="188">
        <v>33100</v>
      </c>
      <c r="I95" s="188">
        <v>0</v>
      </c>
      <c r="J95" s="188"/>
      <c r="K95" s="188">
        <v>0</v>
      </c>
      <c r="L95" s="188">
        <v>0</v>
      </c>
      <c r="M95" s="188">
        <v>0</v>
      </c>
      <c r="N95" s="188">
        <v>0</v>
      </c>
      <c r="O95" s="188">
        <v>3000</v>
      </c>
      <c r="P95" s="188">
        <v>0</v>
      </c>
      <c r="Q95" s="186">
        <v>0</v>
      </c>
      <c r="R95" s="188">
        <v>0</v>
      </c>
      <c r="S95" s="185">
        <v>0</v>
      </c>
      <c r="T95" s="185">
        <v>0</v>
      </c>
      <c r="U95" s="188">
        <v>0</v>
      </c>
      <c r="V95" s="185">
        <v>0</v>
      </c>
      <c r="W95" s="185">
        <v>0</v>
      </c>
      <c r="X95" s="188">
        <v>0</v>
      </c>
      <c r="Y95" s="185">
        <v>0</v>
      </c>
      <c r="Z95" s="185">
        <v>0</v>
      </c>
      <c r="AA95" s="188">
        <v>0</v>
      </c>
      <c r="AB95" s="185">
        <v>0</v>
      </c>
      <c r="AC95" s="185">
        <v>0</v>
      </c>
      <c r="AD95" s="188">
        <v>475</v>
      </c>
      <c r="AE95" s="185">
        <v>1.3157894736842105E-2</v>
      </c>
      <c r="AF95" s="185">
        <v>1.3850415512465374E-2</v>
      </c>
      <c r="AG95" s="188">
        <v>475</v>
      </c>
      <c r="AH95" s="185">
        <v>1.3157894736842105E-2</v>
      </c>
      <c r="AI95" s="185">
        <v>1.3850415512465374E-2</v>
      </c>
      <c r="AJ95" s="303">
        <v>475</v>
      </c>
      <c r="AK95" s="185">
        <v>1.3157894736842105E-2</v>
      </c>
      <c r="AL95" s="185">
        <v>1.3850415512465374E-2</v>
      </c>
      <c r="AM95" s="188">
        <v>1719.4</v>
      </c>
      <c r="AN95" s="185">
        <v>4.7628808864265931E-2</v>
      </c>
      <c r="AO95" s="185">
        <v>5.0135588278174666E-2</v>
      </c>
      <c r="AP95" s="185"/>
      <c r="AQ95" s="188">
        <v>2724</v>
      </c>
      <c r="AR95" s="185">
        <v>7.5457063711911354E-2</v>
      </c>
      <c r="AS95" s="185">
        <v>7.9428488117801427E-2</v>
      </c>
      <c r="AT95" s="188">
        <v>3685.6</v>
      </c>
      <c r="AU95" s="185">
        <v>0.10209418282548476</v>
      </c>
      <c r="AV95" s="185">
        <v>0.10746756086893133</v>
      </c>
      <c r="AW95" s="185"/>
      <c r="AX95" s="185"/>
      <c r="AY95" s="185"/>
      <c r="AZ95" s="185"/>
      <c r="BA95" s="185"/>
      <c r="BB95" s="185"/>
      <c r="BC95" s="188">
        <v>3685.6</v>
      </c>
      <c r="BD95" s="185">
        <v>0.10209418282548476</v>
      </c>
      <c r="BE95" s="185">
        <v>0.10746756086893133</v>
      </c>
      <c r="BF95" s="188"/>
      <c r="BG95" s="188">
        <v>12548</v>
      </c>
      <c r="BH95" s="185">
        <v>0.34759002770083103</v>
      </c>
      <c r="BI95" s="185">
        <v>0.36588423968508527</v>
      </c>
      <c r="BJ95" s="188">
        <v>34295</v>
      </c>
      <c r="BK95" s="188">
        <v>15216.286800000002</v>
      </c>
      <c r="BL95" s="185">
        <v>0.42150378947368428</v>
      </c>
      <c r="BM95" s="185">
        <v>0.44368819944598342</v>
      </c>
      <c r="BN95" s="188">
        <v>15216.286800000002</v>
      </c>
      <c r="BO95" s="185">
        <f t="shared" ref="BO95:BO126" si="105">BN95/$D95</f>
        <v>0.42150378947368428</v>
      </c>
      <c r="BP95" s="185">
        <f t="shared" ref="BP95:BP126" si="106">BN95/(E95+0.95*F95)</f>
        <v>0.44368819944598342</v>
      </c>
      <c r="BQ95" s="205">
        <f t="shared" ref="BQ95:BQ126" si="107">BN95-AD95</f>
        <v>14741.286800000002</v>
      </c>
      <c r="BR95" s="205"/>
      <c r="BS95" s="189" t="e">
        <f>#REF!+#REF!</f>
        <v>#REF!</v>
      </c>
      <c r="BT95" s="186" t="e">
        <f t="shared" ref="BT95:BT126" si="108">BS95/$D95</f>
        <v>#REF!</v>
      </c>
      <c r="BU95" s="189" t="e">
        <f>#REF!+#REF!</f>
        <v>#REF!</v>
      </c>
      <c r="BV95" s="186" t="e">
        <f t="shared" ref="BV95:BV126" si="109">BU95/$D95</f>
        <v>#REF!</v>
      </c>
      <c r="BW95" s="189" t="e">
        <f>#REF!+#REF!</f>
        <v>#REF!</v>
      </c>
      <c r="BX95" s="186" t="e">
        <f t="shared" ref="BX95:BX126" si="110">BW95/$D95</f>
        <v>#REF!</v>
      </c>
      <c r="BY95" s="189" t="e">
        <f>#REF!+#REF!</f>
        <v>#REF!</v>
      </c>
      <c r="BZ95" s="186" t="e">
        <f t="shared" ref="BZ95:BZ126" si="111">BY95/$D95</f>
        <v>#REF!</v>
      </c>
      <c r="CA95" s="189" t="e">
        <f>#REF!+#REF!</f>
        <v>#REF!</v>
      </c>
      <c r="CB95" s="186" t="e">
        <f t="shared" ref="CB95:CB126" si="112">CA95/$D95</f>
        <v>#REF!</v>
      </c>
      <c r="CC95" s="189" t="e">
        <f>#REF!+#REF!</f>
        <v>#REF!</v>
      </c>
      <c r="CD95" s="186" t="e">
        <f t="shared" ref="CD95:CD126" si="113">CC95/$D95</f>
        <v>#REF!</v>
      </c>
      <c r="CE95" s="189" t="e">
        <f>#REF!+#REF!</f>
        <v>#REF!</v>
      </c>
      <c r="CF95" s="186" t="e">
        <f t="shared" ref="CF95:CF126" si="114">CE95/$D95</f>
        <v>#REF!</v>
      </c>
      <c r="CG95" s="189" t="e">
        <f>#REF!+#REF!</f>
        <v>#REF!</v>
      </c>
      <c r="CH95" s="186" t="e">
        <f t="shared" ref="CH95:CH126" si="115">CG95/$D95</f>
        <v>#REF!</v>
      </c>
      <c r="CI95" s="189" t="e">
        <f>#REF!+#REF!</f>
        <v>#REF!</v>
      </c>
      <c r="CJ95" s="186" t="e">
        <f t="shared" ref="CJ95:CJ126" si="116">CI95/$D95</f>
        <v>#REF!</v>
      </c>
      <c r="CK95" s="189" t="e">
        <f>#REF!+#REF!</f>
        <v>#REF!</v>
      </c>
      <c r="CL95" s="186" t="e">
        <f t="shared" ref="CL95:CL126" si="117">CK95/$D95</f>
        <v>#REF!</v>
      </c>
      <c r="CM95" s="189" t="e">
        <f>#REF!+#REF!</f>
        <v>#REF!</v>
      </c>
      <c r="CN95" s="186" t="e">
        <f t="shared" ref="CN95:CN126" si="118">CM95/$D95</f>
        <v>#REF!</v>
      </c>
      <c r="CO95" s="189" t="e">
        <f>#REF!+#REF!</f>
        <v>#REF!</v>
      </c>
      <c r="CP95" s="186" t="e">
        <f t="shared" ref="CP95:CP126" si="119">CO95/$D95</f>
        <v>#REF!</v>
      </c>
      <c r="CQ95" s="189" t="e">
        <f>#REF!+#REF!</f>
        <v>#REF!</v>
      </c>
      <c r="CR95" s="186" t="e">
        <f t="shared" ref="CR95:CR126" si="120">CQ95/$D95</f>
        <v>#REF!</v>
      </c>
      <c r="CS95" s="213" t="str">
        <f t="shared" ref="CS95:CS126" si="121">IF(BP95&gt;30.9%,"Đạt","Không đạt")</f>
        <v>Đạt</v>
      </c>
      <c r="CT95" s="213" t="str">
        <f t="shared" ref="CT95:CT126" si="122">IF(BP95&gt;38.5%,"Đạt","Không đạt")</f>
        <v>Đạt</v>
      </c>
      <c r="CU95" s="213"/>
      <c r="CV95" s="213"/>
      <c r="CW95" s="231"/>
      <c r="CX95" s="163"/>
      <c r="CZ95" s="195"/>
      <c r="DA95" s="196"/>
      <c r="DB95" s="196"/>
      <c r="DC95" s="197"/>
      <c r="DD95" s="196"/>
      <c r="DE95" s="196"/>
      <c r="DF95" s="196"/>
      <c r="DH95" s="199"/>
      <c r="DI95" s="200"/>
      <c r="DJ95" s="181"/>
    </row>
    <row r="96" spans="1:114" ht="18" customHeight="1" x14ac:dyDescent="0.25">
      <c r="A96" s="213">
        <v>66</v>
      </c>
      <c r="B96" s="240" t="s">
        <v>432</v>
      </c>
      <c r="C96" s="240"/>
      <c r="D96" s="188">
        <v>4275</v>
      </c>
      <c r="E96" s="188">
        <v>0</v>
      </c>
      <c r="F96" s="188">
        <v>4275</v>
      </c>
      <c r="G96" s="188">
        <v>3000</v>
      </c>
      <c r="H96" s="188">
        <v>1275</v>
      </c>
      <c r="I96" s="188">
        <v>0</v>
      </c>
      <c r="J96" s="188"/>
      <c r="K96" s="188">
        <v>0</v>
      </c>
      <c r="L96" s="188">
        <v>0</v>
      </c>
      <c r="M96" s="188">
        <v>0</v>
      </c>
      <c r="N96" s="188">
        <v>0</v>
      </c>
      <c r="O96" s="188">
        <v>3000</v>
      </c>
      <c r="P96" s="188">
        <v>0</v>
      </c>
      <c r="Q96" s="186">
        <v>0</v>
      </c>
      <c r="R96" s="188">
        <v>0</v>
      </c>
      <c r="S96" s="185">
        <v>0</v>
      </c>
      <c r="T96" s="185">
        <v>0</v>
      </c>
      <c r="U96" s="188">
        <v>0</v>
      </c>
      <c r="V96" s="185">
        <v>0</v>
      </c>
      <c r="W96" s="185">
        <v>0</v>
      </c>
      <c r="X96" s="188">
        <v>0</v>
      </c>
      <c r="Y96" s="185">
        <v>0</v>
      </c>
      <c r="Z96" s="185">
        <v>0</v>
      </c>
      <c r="AA96" s="188">
        <v>0</v>
      </c>
      <c r="AB96" s="185">
        <v>0</v>
      </c>
      <c r="AC96" s="185">
        <v>0</v>
      </c>
      <c r="AD96" s="188">
        <v>0</v>
      </c>
      <c r="AE96" s="185">
        <v>0</v>
      </c>
      <c r="AF96" s="185">
        <v>0</v>
      </c>
      <c r="AG96" s="188">
        <v>0</v>
      </c>
      <c r="AH96" s="185">
        <v>0</v>
      </c>
      <c r="AI96" s="185">
        <v>0</v>
      </c>
      <c r="AJ96" s="303">
        <v>0</v>
      </c>
      <c r="AK96" s="185">
        <v>0</v>
      </c>
      <c r="AL96" s="185">
        <v>0</v>
      </c>
      <c r="AM96" s="314">
        <v>0</v>
      </c>
      <c r="AN96" s="185">
        <v>0</v>
      </c>
      <c r="AO96" s="185">
        <v>0</v>
      </c>
      <c r="AP96" s="185"/>
      <c r="AQ96" s="188">
        <v>1800.9659999999999</v>
      </c>
      <c r="AR96" s="185">
        <v>0.42127859649122806</v>
      </c>
      <c r="AS96" s="185">
        <v>0.44345115420129266</v>
      </c>
      <c r="AT96" s="188">
        <v>1800.9659999999999</v>
      </c>
      <c r="AU96" s="185">
        <v>0.42127859649122806</v>
      </c>
      <c r="AV96" s="185">
        <v>0.44345115420129266</v>
      </c>
      <c r="AW96" s="185"/>
      <c r="AX96" s="185"/>
      <c r="AY96" s="185"/>
      <c r="AZ96" s="185"/>
      <c r="BA96" s="185"/>
      <c r="BB96" s="185"/>
      <c r="BC96" s="188">
        <v>1800.9659999999999</v>
      </c>
      <c r="BD96" s="185">
        <v>0.42127859649122806</v>
      </c>
      <c r="BE96" s="185">
        <v>0.44345115420129266</v>
      </c>
      <c r="BF96" s="188"/>
      <c r="BG96" s="188">
        <v>1800.9659999999999</v>
      </c>
      <c r="BH96" s="185">
        <v>0.42127859649122806</v>
      </c>
      <c r="BI96" s="185">
        <v>0.44345115420129266</v>
      </c>
      <c r="BJ96" s="188">
        <v>4061.25</v>
      </c>
      <c r="BK96" s="188">
        <v>1800.9659999999999</v>
      </c>
      <c r="BL96" s="185">
        <v>0.42127859649122806</v>
      </c>
      <c r="BM96" s="185">
        <v>0.44345115420129266</v>
      </c>
      <c r="BN96" s="188">
        <v>1800.9659999999999</v>
      </c>
      <c r="BO96" s="185">
        <f t="shared" si="105"/>
        <v>0.42127859649122806</v>
      </c>
      <c r="BP96" s="185">
        <f t="shared" si="106"/>
        <v>0.44345115420129266</v>
      </c>
      <c r="BQ96" s="205">
        <f t="shared" si="107"/>
        <v>1800.9659999999999</v>
      </c>
      <c r="BR96" s="205"/>
      <c r="BS96" s="189" t="e">
        <f>#REF!+#REF!</f>
        <v>#REF!</v>
      </c>
      <c r="BT96" s="186" t="e">
        <f t="shared" si="108"/>
        <v>#REF!</v>
      </c>
      <c r="BU96" s="189" t="e">
        <f>#REF!+#REF!</f>
        <v>#REF!</v>
      </c>
      <c r="BV96" s="186" t="e">
        <f t="shared" si="109"/>
        <v>#REF!</v>
      </c>
      <c r="BW96" s="189" t="e">
        <f>#REF!+#REF!</f>
        <v>#REF!</v>
      </c>
      <c r="BX96" s="186" t="e">
        <f t="shared" si="110"/>
        <v>#REF!</v>
      </c>
      <c r="BY96" s="189" t="e">
        <f>#REF!+#REF!</f>
        <v>#REF!</v>
      </c>
      <c r="BZ96" s="186" t="e">
        <f t="shared" si="111"/>
        <v>#REF!</v>
      </c>
      <c r="CA96" s="189" t="e">
        <f>#REF!+#REF!</f>
        <v>#REF!</v>
      </c>
      <c r="CB96" s="186" t="e">
        <f t="shared" si="112"/>
        <v>#REF!</v>
      </c>
      <c r="CC96" s="189" t="e">
        <f>#REF!+#REF!</f>
        <v>#REF!</v>
      </c>
      <c r="CD96" s="186" t="e">
        <f t="shared" si="113"/>
        <v>#REF!</v>
      </c>
      <c r="CE96" s="189" t="e">
        <f>#REF!+#REF!</f>
        <v>#REF!</v>
      </c>
      <c r="CF96" s="186" t="e">
        <f t="shared" si="114"/>
        <v>#REF!</v>
      </c>
      <c r="CG96" s="189" t="e">
        <f>#REF!+#REF!</f>
        <v>#REF!</v>
      </c>
      <c r="CH96" s="186" t="e">
        <f t="shared" si="115"/>
        <v>#REF!</v>
      </c>
      <c r="CI96" s="189" t="e">
        <f>#REF!+#REF!</f>
        <v>#REF!</v>
      </c>
      <c r="CJ96" s="186" t="e">
        <f t="shared" si="116"/>
        <v>#REF!</v>
      </c>
      <c r="CK96" s="189" t="e">
        <f>#REF!+#REF!</f>
        <v>#REF!</v>
      </c>
      <c r="CL96" s="186" t="e">
        <f t="shared" si="117"/>
        <v>#REF!</v>
      </c>
      <c r="CM96" s="189" t="e">
        <f>#REF!+#REF!</f>
        <v>#REF!</v>
      </c>
      <c r="CN96" s="186" t="e">
        <f t="shared" si="118"/>
        <v>#REF!</v>
      </c>
      <c r="CO96" s="189" t="e">
        <f>#REF!+#REF!</f>
        <v>#REF!</v>
      </c>
      <c r="CP96" s="186" t="e">
        <f t="shared" si="119"/>
        <v>#REF!</v>
      </c>
      <c r="CQ96" s="189" t="e">
        <f>#REF!+#REF!</f>
        <v>#REF!</v>
      </c>
      <c r="CR96" s="186" t="e">
        <f t="shared" si="120"/>
        <v>#REF!</v>
      </c>
      <c r="CS96" s="213" t="str">
        <f t="shared" si="121"/>
        <v>Đạt</v>
      </c>
      <c r="CT96" s="213" t="str">
        <f t="shared" si="122"/>
        <v>Đạt</v>
      </c>
      <c r="CU96" s="213"/>
      <c r="CV96" s="213"/>
      <c r="CW96" s="231"/>
      <c r="CX96" s="163"/>
      <c r="CZ96" s="195"/>
      <c r="DA96" s="196"/>
      <c r="DB96" s="196"/>
      <c r="DC96" s="197"/>
      <c r="DD96" s="196"/>
      <c r="DE96" s="196"/>
      <c r="DF96" s="196"/>
      <c r="DH96" s="199"/>
      <c r="DI96" s="200"/>
      <c r="DJ96" s="181"/>
    </row>
    <row r="97" spans="1:114" ht="18" customHeight="1" x14ac:dyDescent="0.25">
      <c r="A97" s="213">
        <v>67</v>
      </c>
      <c r="B97" s="240" t="s">
        <v>398</v>
      </c>
      <c r="C97" s="240"/>
      <c r="D97" s="188">
        <v>3000</v>
      </c>
      <c r="E97" s="188">
        <v>0</v>
      </c>
      <c r="F97" s="188">
        <v>3000</v>
      </c>
      <c r="G97" s="188">
        <v>3000</v>
      </c>
      <c r="H97" s="188">
        <v>0</v>
      </c>
      <c r="I97" s="188">
        <v>0</v>
      </c>
      <c r="J97" s="188"/>
      <c r="K97" s="188">
        <v>0</v>
      </c>
      <c r="L97" s="188">
        <v>0</v>
      </c>
      <c r="M97" s="231"/>
      <c r="N97" s="231"/>
      <c r="O97" s="188">
        <v>3000</v>
      </c>
      <c r="P97" s="188">
        <v>0</v>
      </c>
      <c r="Q97" s="186">
        <v>0</v>
      </c>
      <c r="R97" s="188">
        <v>0</v>
      </c>
      <c r="S97" s="185">
        <v>0</v>
      </c>
      <c r="T97" s="185">
        <v>0</v>
      </c>
      <c r="U97" s="188">
        <v>0</v>
      </c>
      <c r="V97" s="185">
        <v>0</v>
      </c>
      <c r="W97" s="185">
        <v>0</v>
      </c>
      <c r="X97" s="188">
        <v>0</v>
      </c>
      <c r="Y97" s="185">
        <v>0</v>
      </c>
      <c r="Z97" s="185">
        <v>0</v>
      </c>
      <c r="AA97" s="188">
        <v>0</v>
      </c>
      <c r="AB97" s="185">
        <v>0</v>
      </c>
      <c r="AC97" s="185">
        <v>0</v>
      </c>
      <c r="AD97" s="188">
        <v>340</v>
      </c>
      <c r="AE97" s="185">
        <v>0.11333333333333333</v>
      </c>
      <c r="AF97" s="185">
        <v>0.11929824561403508</v>
      </c>
      <c r="AG97" s="188">
        <v>340</v>
      </c>
      <c r="AH97" s="185">
        <v>0.11333333333333333</v>
      </c>
      <c r="AI97" s="185">
        <v>0.11929824561403508</v>
      </c>
      <c r="AJ97" s="214">
        <v>340</v>
      </c>
      <c r="AK97" s="185">
        <v>0.11333333333333333</v>
      </c>
      <c r="AL97" s="185">
        <v>0.11929824561403508</v>
      </c>
      <c r="AM97" s="188">
        <v>340</v>
      </c>
      <c r="AN97" s="185">
        <v>0.11333333333333333</v>
      </c>
      <c r="AO97" s="185">
        <v>0.11929824561403508</v>
      </c>
      <c r="AP97" s="185"/>
      <c r="AQ97" s="188">
        <v>1180</v>
      </c>
      <c r="AR97" s="185">
        <v>0.39333333333333331</v>
      </c>
      <c r="AS97" s="185">
        <v>0.41403508771929826</v>
      </c>
      <c r="AT97" s="188">
        <v>1180</v>
      </c>
      <c r="AU97" s="185">
        <v>0.39333333333333331</v>
      </c>
      <c r="AV97" s="185">
        <v>0.41403508771929826</v>
      </c>
      <c r="AW97" s="185"/>
      <c r="AX97" s="185"/>
      <c r="AY97" s="185"/>
      <c r="AZ97" s="185"/>
      <c r="BA97" s="185"/>
      <c r="BB97" s="185"/>
      <c r="BC97" s="188">
        <v>1180</v>
      </c>
      <c r="BD97" s="185">
        <v>0.39333333333333331</v>
      </c>
      <c r="BE97" s="185">
        <v>0.41403508771929826</v>
      </c>
      <c r="BF97" s="188"/>
      <c r="BG97" s="188">
        <v>1180</v>
      </c>
      <c r="BH97" s="185">
        <v>0.39333333333333331</v>
      </c>
      <c r="BI97" s="185">
        <v>0.41403508771929826</v>
      </c>
      <c r="BJ97" s="188">
        <v>2850</v>
      </c>
      <c r="BK97" s="188">
        <v>1245.0060000000001</v>
      </c>
      <c r="BL97" s="185">
        <v>0.41500200000000004</v>
      </c>
      <c r="BM97" s="185">
        <v>0.43684421052631583</v>
      </c>
      <c r="BN97" s="188">
        <v>1245.0060000000001</v>
      </c>
      <c r="BO97" s="185">
        <f t="shared" si="105"/>
        <v>0.41500200000000004</v>
      </c>
      <c r="BP97" s="185">
        <f t="shared" si="106"/>
        <v>0.43684421052631583</v>
      </c>
      <c r="BQ97" s="205">
        <f t="shared" si="107"/>
        <v>905.00600000000009</v>
      </c>
      <c r="BR97" s="205"/>
      <c r="BS97" s="189" t="e">
        <f>#REF!</f>
        <v>#REF!</v>
      </c>
      <c r="BT97" s="186" t="e">
        <f t="shared" si="108"/>
        <v>#REF!</v>
      </c>
      <c r="BU97" s="189" t="e">
        <f>#REF!</f>
        <v>#REF!</v>
      </c>
      <c r="BV97" s="186" t="e">
        <f t="shared" si="109"/>
        <v>#REF!</v>
      </c>
      <c r="BW97" s="189" t="e">
        <f>#REF!</f>
        <v>#REF!</v>
      </c>
      <c r="BX97" s="186" t="e">
        <f t="shared" si="110"/>
        <v>#REF!</v>
      </c>
      <c r="BY97" s="189" t="e">
        <f>#REF!</f>
        <v>#REF!</v>
      </c>
      <c r="BZ97" s="186" t="e">
        <f t="shared" si="111"/>
        <v>#REF!</v>
      </c>
      <c r="CA97" s="189" t="e">
        <f>#REF!</f>
        <v>#REF!</v>
      </c>
      <c r="CB97" s="186" t="e">
        <f t="shared" si="112"/>
        <v>#REF!</v>
      </c>
      <c r="CC97" s="189" t="e">
        <f>#REF!</f>
        <v>#REF!</v>
      </c>
      <c r="CD97" s="186" t="e">
        <f t="shared" si="113"/>
        <v>#REF!</v>
      </c>
      <c r="CE97" s="189" t="e">
        <f>#REF!</f>
        <v>#REF!</v>
      </c>
      <c r="CF97" s="186" t="e">
        <f t="shared" si="114"/>
        <v>#REF!</v>
      </c>
      <c r="CG97" s="189" t="e">
        <f>#REF!</f>
        <v>#REF!</v>
      </c>
      <c r="CH97" s="186" t="e">
        <f t="shared" si="115"/>
        <v>#REF!</v>
      </c>
      <c r="CI97" s="189" t="e">
        <f>#REF!</f>
        <v>#REF!</v>
      </c>
      <c r="CJ97" s="186" t="e">
        <f t="shared" si="116"/>
        <v>#REF!</v>
      </c>
      <c r="CK97" s="189" t="e">
        <f>#REF!</f>
        <v>#REF!</v>
      </c>
      <c r="CL97" s="186" t="e">
        <f t="shared" si="117"/>
        <v>#REF!</v>
      </c>
      <c r="CM97" s="189" t="e">
        <f>#REF!</f>
        <v>#REF!</v>
      </c>
      <c r="CN97" s="186" t="e">
        <f t="shared" si="118"/>
        <v>#REF!</v>
      </c>
      <c r="CO97" s="189" t="e">
        <f>#REF!</f>
        <v>#REF!</v>
      </c>
      <c r="CP97" s="186" t="e">
        <f t="shared" si="119"/>
        <v>#REF!</v>
      </c>
      <c r="CQ97" s="189" t="e">
        <f>#REF!</f>
        <v>#REF!</v>
      </c>
      <c r="CR97" s="186" t="e">
        <f t="shared" si="120"/>
        <v>#REF!</v>
      </c>
      <c r="CS97" s="213" t="str">
        <f t="shared" si="121"/>
        <v>Đạt</v>
      </c>
      <c r="CT97" s="213" t="str">
        <f t="shared" si="122"/>
        <v>Đạt</v>
      </c>
      <c r="CU97" s="213"/>
      <c r="CV97" s="213"/>
      <c r="CW97" s="231"/>
      <c r="CX97" s="163"/>
      <c r="CZ97" s="195"/>
      <c r="DA97" s="196"/>
      <c r="DB97" s="196"/>
      <c r="DC97" s="197"/>
      <c r="DD97" s="196"/>
      <c r="DE97" s="196"/>
      <c r="DF97" s="196"/>
      <c r="DH97" s="199"/>
      <c r="DI97" s="200"/>
      <c r="DJ97" s="181"/>
    </row>
    <row r="98" spans="1:114" ht="18" customHeight="1" x14ac:dyDescent="0.25">
      <c r="A98" s="213">
        <v>68</v>
      </c>
      <c r="B98" s="240" t="s">
        <v>428</v>
      </c>
      <c r="C98" s="240"/>
      <c r="D98" s="188">
        <v>8100</v>
      </c>
      <c r="E98" s="188">
        <v>0</v>
      </c>
      <c r="F98" s="188">
        <v>8100</v>
      </c>
      <c r="G98" s="188">
        <v>3000</v>
      </c>
      <c r="H98" s="188">
        <v>5100</v>
      </c>
      <c r="I98" s="188">
        <v>0</v>
      </c>
      <c r="J98" s="188"/>
      <c r="K98" s="188">
        <v>0</v>
      </c>
      <c r="L98" s="188">
        <v>0</v>
      </c>
      <c r="M98" s="188">
        <v>0</v>
      </c>
      <c r="N98" s="188">
        <v>0</v>
      </c>
      <c r="O98" s="188">
        <v>3000</v>
      </c>
      <c r="P98" s="188">
        <v>0</v>
      </c>
      <c r="Q98" s="186">
        <v>0</v>
      </c>
      <c r="R98" s="188">
        <v>0</v>
      </c>
      <c r="S98" s="185">
        <v>0</v>
      </c>
      <c r="T98" s="185">
        <v>0</v>
      </c>
      <c r="U98" s="188">
        <v>276.92660000000001</v>
      </c>
      <c r="V98" s="185">
        <v>3.4188469135802473E-2</v>
      </c>
      <c r="W98" s="185">
        <v>3.5987862248213126E-2</v>
      </c>
      <c r="X98" s="188">
        <v>276.92660000000001</v>
      </c>
      <c r="Y98" s="185">
        <v>3.4188469135802473E-2</v>
      </c>
      <c r="Z98" s="185">
        <v>3.5987862248213126E-2</v>
      </c>
      <c r="AA98" s="188">
        <v>276.92660000000001</v>
      </c>
      <c r="AB98" s="185">
        <v>3.4188469135802473E-2</v>
      </c>
      <c r="AC98" s="185">
        <v>3.5987862248213126E-2</v>
      </c>
      <c r="AD98" s="188">
        <v>1122</v>
      </c>
      <c r="AE98" s="185">
        <v>0.13851851851851851</v>
      </c>
      <c r="AF98" s="185">
        <v>0.14580896686159844</v>
      </c>
      <c r="AG98" s="188">
        <v>1122</v>
      </c>
      <c r="AH98" s="185">
        <v>0.13851851851851851</v>
      </c>
      <c r="AI98" s="185">
        <v>0.14580896686159844</v>
      </c>
      <c r="AJ98" s="303">
        <v>1122</v>
      </c>
      <c r="AK98" s="185">
        <v>0.13851851851851851</v>
      </c>
      <c r="AL98" s="185">
        <v>0.14580896686159844</v>
      </c>
      <c r="AM98" s="188">
        <v>3913</v>
      </c>
      <c r="AN98" s="185">
        <v>0.48308641975308642</v>
      </c>
      <c r="AO98" s="185">
        <v>0.50851202079272251</v>
      </c>
      <c r="AP98" s="185"/>
      <c r="AQ98" s="188">
        <v>1727</v>
      </c>
      <c r="AR98" s="185">
        <v>0.21320987654320989</v>
      </c>
      <c r="AS98" s="185">
        <v>0.2244314489928525</v>
      </c>
      <c r="AT98" s="188">
        <v>1852</v>
      </c>
      <c r="AU98" s="185">
        <v>0.22864197530864197</v>
      </c>
      <c r="AV98" s="185">
        <v>0.24067576348278102</v>
      </c>
      <c r="AW98" s="185"/>
      <c r="AX98" s="185"/>
      <c r="AY98" s="185"/>
      <c r="AZ98" s="185"/>
      <c r="BA98" s="185"/>
      <c r="BB98" s="185"/>
      <c r="BC98" s="188">
        <v>1852</v>
      </c>
      <c r="BD98" s="185">
        <v>0.22864197530864197</v>
      </c>
      <c r="BE98" s="185">
        <v>0.24067576348278102</v>
      </c>
      <c r="BF98" s="188"/>
      <c r="BG98" s="188">
        <v>3349</v>
      </c>
      <c r="BH98" s="185">
        <v>0.41345679012345676</v>
      </c>
      <c r="BI98" s="185">
        <v>0.43521767381416504</v>
      </c>
      <c r="BJ98" s="188">
        <v>7695</v>
      </c>
      <c r="BK98" s="188">
        <v>3356</v>
      </c>
      <c r="BL98" s="185">
        <v>0.41432098765432096</v>
      </c>
      <c r="BM98" s="185">
        <v>0.43612735542560105</v>
      </c>
      <c r="BN98" s="188">
        <v>3356</v>
      </c>
      <c r="BO98" s="185">
        <f t="shared" si="105"/>
        <v>0.41432098765432096</v>
      </c>
      <c r="BP98" s="185">
        <f t="shared" si="106"/>
        <v>0.43612735542560105</v>
      </c>
      <c r="BQ98" s="205">
        <f t="shared" si="107"/>
        <v>2234</v>
      </c>
      <c r="BR98" s="205"/>
      <c r="BS98" s="189" t="e">
        <f>#REF!+#REF!</f>
        <v>#REF!</v>
      </c>
      <c r="BT98" s="186" t="e">
        <f t="shared" si="108"/>
        <v>#REF!</v>
      </c>
      <c r="BU98" s="189" t="e">
        <f>#REF!+#REF!</f>
        <v>#REF!</v>
      </c>
      <c r="BV98" s="186" t="e">
        <f t="shared" si="109"/>
        <v>#REF!</v>
      </c>
      <c r="BW98" s="189" t="e">
        <f>#REF!+#REF!</f>
        <v>#REF!</v>
      </c>
      <c r="BX98" s="186" t="e">
        <f t="shared" si="110"/>
        <v>#REF!</v>
      </c>
      <c r="BY98" s="189" t="e">
        <f>#REF!+#REF!</f>
        <v>#REF!</v>
      </c>
      <c r="BZ98" s="186" t="e">
        <f t="shared" si="111"/>
        <v>#REF!</v>
      </c>
      <c r="CA98" s="189" t="e">
        <f>#REF!+#REF!</f>
        <v>#REF!</v>
      </c>
      <c r="CB98" s="186" t="e">
        <f t="shared" si="112"/>
        <v>#REF!</v>
      </c>
      <c r="CC98" s="189" t="e">
        <f>#REF!+#REF!</f>
        <v>#REF!</v>
      </c>
      <c r="CD98" s="186" t="e">
        <f t="shared" si="113"/>
        <v>#REF!</v>
      </c>
      <c r="CE98" s="189" t="e">
        <f>#REF!+#REF!</f>
        <v>#REF!</v>
      </c>
      <c r="CF98" s="186" t="e">
        <f t="shared" si="114"/>
        <v>#REF!</v>
      </c>
      <c r="CG98" s="189" t="e">
        <f>#REF!+#REF!</f>
        <v>#REF!</v>
      </c>
      <c r="CH98" s="186" t="e">
        <f t="shared" si="115"/>
        <v>#REF!</v>
      </c>
      <c r="CI98" s="189" t="e">
        <f>#REF!+#REF!</f>
        <v>#REF!</v>
      </c>
      <c r="CJ98" s="186" t="e">
        <f t="shared" si="116"/>
        <v>#REF!</v>
      </c>
      <c r="CK98" s="189" t="e">
        <f>#REF!+#REF!</f>
        <v>#REF!</v>
      </c>
      <c r="CL98" s="186" t="e">
        <f t="shared" si="117"/>
        <v>#REF!</v>
      </c>
      <c r="CM98" s="189" t="e">
        <f>#REF!+#REF!</f>
        <v>#REF!</v>
      </c>
      <c r="CN98" s="186" t="e">
        <f t="shared" si="118"/>
        <v>#REF!</v>
      </c>
      <c r="CO98" s="189" t="e">
        <f>#REF!+#REF!</f>
        <v>#REF!</v>
      </c>
      <c r="CP98" s="186" t="e">
        <f t="shared" si="119"/>
        <v>#REF!</v>
      </c>
      <c r="CQ98" s="189" t="e">
        <f>#REF!+#REF!</f>
        <v>#REF!</v>
      </c>
      <c r="CR98" s="186" t="e">
        <f t="shared" si="120"/>
        <v>#REF!</v>
      </c>
      <c r="CS98" s="213" t="str">
        <f t="shared" si="121"/>
        <v>Đạt</v>
      </c>
      <c r="CT98" s="213" t="str">
        <f t="shared" si="122"/>
        <v>Đạt</v>
      </c>
      <c r="CU98" s="213"/>
      <c r="CV98" s="213"/>
      <c r="CW98" s="231"/>
      <c r="CX98" s="163"/>
      <c r="CZ98" s="195"/>
      <c r="DA98" s="196"/>
      <c r="DB98" s="196"/>
      <c r="DC98" s="197"/>
      <c r="DD98" s="196"/>
      <c r="DE98" s="196"/>
      <c r="DF98" s="196"/>
      <c r="DH98" s="199"/>
      <c r="DI98" s="200"/>
      <c r="DJ98" s="181"/>
    </row>
    <row r="99" spans="1:114" ht="18" customHeight="1" x14ac:dyDescent="0.25">
      <c r="A99" s="213">
        <v>69</v>
      </c>
      <c r="B99" s="240" t="s">
        <v>483</v>
      </c>
      <c r="C99" s="240"/>
      <c r="D99" s="188">
        <v>54700</v>
      </c>
      <c r="E99" s="188">
        <v>50000</v>
      </c>
      <c r="F99" s="188">
        <v>4700</v>
      </c>
      <c r="G99" s="188">
        <v>3000</v>
      </c>
      <c r="H99" s="188">
        <v>1700</v>
      </c>
      <c r="I99" s="188">
        <v>0</v>
      </c>
      <c r="J99" s="188"/>
      <c r="K99" s="188">
        <v>0</v>
      </c>
      <c r="L99" s="188">
        <v>0</v>
      </c>
      <c r="M99" s="188">
        <v>0</v>
      </c>
      <c r="N99" s="188">
        <v>0</v>
      </c>
      <c r="O99" s="188">
        <v>3000</v>
      </c>
      <c r="P99" s="188">
        <v>215</v>
      </c>
      <c r="Q99" s="186">
        <v>3.9305301645338213E-3</v>
      </c>
      <c r="R99" s="189">
        <v>370.13300000000004</v>
      </c>
      <c r="S99" s="185">
        <v>6.7665996343692879E-3</v>
      </c>
      <c r="T99" s="185">
        <v>6.7957954649775091E-3</v>
      </c>
      <c r="U99" s="189">
        <v>10395.552453999999</v>
      </c>
      <c r="V99" s="185">
        <v>0.1900466627787934</v>
      </c>
      <c r="W99" s="185">
        <v>0.19086665664188007</v>
      </c>
      <c r="X99" s="189">
        <v>10395.552453999999</v>
      </c>
      <c r="Y99" s="185">
        <v>0.1900466627787934</v>
      </c>
      <c r="Z99" s="185">
        <v>0.19086665664188007</v>
      </c>
      <c r="AA99" s="189">
        <v>10395.552453999999</v>
      </c>
      <c r="AB99" s="185">
        <v>0.1900466627787934</v>
      </c>
      <c r="AC99" s="185">
        <v>0.19086665664188007</v>
      </c>
      <c r="AD99" s="189">
        <v>10959</v>
      </c>
      <c r="AE99" s="185">
        <v>0.20034734917733091</v>
      </c>
      <c r="AF99" s="185">
        <v>0.20121178738639492</v>
      </c>
      <c r="AG99" s="189">
        <v>11144</v>
      </c>
      <c r="AH99" s="185">
        <v>0.20372943327239487</v>
      </c>
      <c r="AI99" s="185">
        <v>0.20460846415128983</v>
      </c>
      <c r="AJ99" s="188">
        <v>11144</v>
      </c>
      <c r="AK99" s="185">
        <v>0.20372943327239487</v>
      </c>
      <c r="AL99" s="185">
        <v>0.20460846415128983</v>
      </c>
      <c r="AM99" s="189">
        <v>11144</v>
      </c>
      <c r="AN99" s="185">
        <v>0.20372943327239487</v>
      </c>
      <c r="AO99" s="185">
        <v>0.20460846415128983</v>
      </c>
      <c r="AP99" s="185"/>
      <c r="AQ99" s="189">
        <v>14444</v>
      </c>
      <c r="AR99" s="185">
        <v>0.26405850091407679</v>
      </c>
      <c r="AS99" s="185">
        <v>0.26519783347103643</v>
      </c>
      <c r="AT99" s="189">
        <v>14444</v>
      </c>
      <c r="AU99" s="185">
        <v>0.26405850091407679</v>
      </c>
      <c r="AV99" s="185">
        <v>0.26519783347103643</v>
      </c>
      <c r="AW99" s="185"/>
      <c r="AX99" s="185"/>
      <c r="AY99" s="185"/>
      <c r="AZ99" s="185"/>
      <c r="BA99" s="185"/>
      <c r="BB99" s="185"/>
      <c r="BC99" s="189">
        <v>14444</v>
      </c>
      <c r="BD99" s="185">
        <v>0.26405850091407679</v>
      </c>
      <c r="BE99" s="185">
        <v>0.26519783347103643</v>
      </c>
      <c r="BF99" s="352"/>
      <c r="BG99" s="352">
        <v>16688.655409999999</v>
      </c>
      <c r="BH99" s="185">
        <v>0.30509424881170016</v>
      </c>
      <c r="BI99" s="185">
        <v>0.3064106382080235</v>
      </c>
      <c r="BJ99" s="374">
        <v>54465</v>
      </c>
      <c r="BK99" s="374">
        <v>22955.228465</v>
      </c>
      <c r="BL99" s="185">
        <v>0.41965682751371114</v>
      </c>
      <c r="BM99" s="185">
        <v>0.42146751978334712</v>
      </c>
      <c r="BN99" s="374">
        <v>22955.228465</v>
      </c>
      <c r="BO99" s="185">
        <f t="shared" si="105"/>
        <v>0.41965682751371114</v>
      </c>
      <c r="BP99" s="185">
        <f t="shared" si="106"/>
        <v>0.42146751978334712</v>
      </c>
      <c r="BQ99" s="205">
        <f t="shared" si="107"/>
        <v>11996.228465</v>
      </c>
      <c r="BR99" s="205"/>
      <c r="BS99" s="189" t="e">
        <f>#REF!+#REF!</f>
        <v>#REF!</v>
      </c>
      <c r="BT99" s="186" t="e">
        <f t="shared" si="108"/>
        <v>#REF!</v>
      </c>
      <c r="BU99" s="189" t="e">
        <f>#REF!+#REF!</f>
        <v>#REF!</v>
      </c>
      <c r="BV99" s="186" t="e">
        <f t="shared" si="109"/>
        <v>#REF!</v>
      </c>
      <c r="BW99" s="189" t="e">
        <f>#REF!+#REF!</f>
        <v>#REF!</v>
      </c>
      <c r="BX99" s="186" t="e">
        <f t="shared" si="110"/>
        <v>#REF!</v>
      </c>
      <c r="BY99" s="189" t="e">
        <f>#REF!+#REF!</f>
        <v>#REF!</v>
      </c>
      <c r="BZ99" s="186" t="e">
        <f t="shared" si="111"/>
        <v>#REF!</v>
      </c>
      <c r="CA99" s="189" t="e">
        <f>#REF!+#REF!</f>
        <v>#REF!</v>
      </c>
      <c r="CB99" s="186" t="e">
        <f t="shared" si="112"/>
        <v>#REF!</v>
      </c>
      <c r="CC99" s="189" t="e">
        <f>#REF!+#REF!</f>
        <v>#REF!</v>
      </c>
      <c r="CD99" s="186" t="e">
        <f t="shared" si="113"/>
        <v>#REF!</v>
      </c>
      <c r="CE99" s="189" t="e">
        <f>#REF!+#REF!</f>
        <v>#REF!</v>
      </c>
      <c r="CF99" s="186" t="e">
        <f t="shared" si="114"/>
        <v>#REF!</v>
      </c>
      <c r="CG99" s="189" t="e">
        <f>#REF!+#REF!</f>
        <v>#REF!</v>
      </c>
      <c r="CH99" s="186" t="e">
        <f t="shared" si="115"/>
        <v>#REF!</v>
      </c>
      <c r="CI99" s="189" t="e">
        <f>#REF!+#REF!</f>
        <v>#REF!</v>
      </c>
      <c r="CJ99" s="186" t="e">
        <f t="shared" si="116"/>
        <v>#REF!</v>
      </c>
      <c r="CK99" s="189" t="e">
        <f>#REF!+#REF!</f>
        <v>#REF!</v>
      </c>
      <c r="CL99" s="186" t="e">
        <f t="shared" si="117"/>
        <v>#REF!</v>
      </c>
      <c r="CM99" s="189" t="e">
        <f>#REF!+#REF!</f>
        <v>#REF!</v>
      </c>
      <c r="CN99" s="186" t="e">
        <f t="shared" si="118"/>
        <v>#REF!</v>
      </c>
      <c r="CO99" s="189" t="e">
        <f>#REF!+#REF!</f>
        <v>#REF!</v>
      </c>
      <c r="CP99" s="186" t="e">
        <f t="shared" si="119"/>
        <v>#REF!</v>
      </c>
      <c r="CQ99" s="189" t="e">
        <f>#REF!+#REF!</f>
        <v>#REF!</v>
      </c>
      <c r="CR99" s="186" t="e">
        <f t="shared" si="120"/>
        <v>#REF!</v>
      </c>
      <c r="CS99" s="213" t="str">
        <f t="shared" si="121"/>
        <v>Đạt</v>
      </c>
      <c r="CT99" s="213" t="str">
        <f t="shared" si="122"/>
        <v>Đạt</v>
      </c>
      <c r="CU99" s="213"/>
      <c r="CV99" s="213"/>
      <c r="CW99" s="231"/>
      <c r="CX99" s="163"/>
      <c r="CZ99" s="195"/>
      <c r="DA99" s="196"/>
      <c r="DB99" s="196"/>
      <c r="DC99" s="197"/>
      <c r="DD99" s="196"/>
      <c r="DE99" s="196"/>
      <c r="DF99" s="196"/>
      <c r="DH99" s="199"/>
      <c r="DI99" s="200"/>
      <c r="DJ99" s="181"/>
    </row>
    <row r="100" spans="1:114" ht="18" customHeight="1" x14ac:dyDescent="0.25">
      <c r="A100" s="213">
        <v>70</v>
      </c>
      <c r="B100" s="240" t="s">
        <v>431</v>
      </c>
      <c r="C100" s="240"/>
      <c r="D100" s="188">
        <v>11500</v>
      </c>
      <c r="E100" s="188">
        <v>0</v>
      </c>
      <c r="F100" s="188">
        <v>11500</v>
      </c>
      <c r="G100" s="188">
        <v>3000</v>
      </c>
      <c r="H100" s="188">
        <v>8500</v>
      </c>
      <c r="I100" s="188">
        <v>0</v>
      </c>
      <c r="J100" s="188"/>
      <c r="K100" s="188">
        <v>0</v>
      </c>
      <c r="L100" s="188">
        <v>0</v>
      </c>
      <c r="M100" s="188">
        <v>0</v>
      </c>
      <c r="N100" s="188">
        <v>0</v>
      </c>
      <c r="O100" s="188">
        <v>3000</v>
      </c>
      <c r="P100" s="188">
        <v>0</v>
      </c>
      <c r="Q100" s="186">
        <v>0</v>
      </c>
      <c r="R100" s="188">
        <v>0</v>
      </c>
      <c r="S100" s="185">
        <v>0</v>
      </c>
      <c r="T100" s="185">
        <v>0</v>
      </c>
      <c r="U100" s="188">
        <v>0</v>
      </c>
      <c r="V100" s="185">
        <v>0</v>
      </c>
      <c r="W100" s="185">
        <v>0</v>
      </c>
      <c r="X100" s="188">
        <v>0</v>
      </c>
      <c r="Y100" s="185">
        <v>0</v>
      </c>
      <c r="Z100" s="185">
        <v>0</v>
      </c>
      <c r="AA100" s="188">
        <v>0</v>
      </c>
      <c r="AB100" s="185">
        <v>0</v>
      </c>
      <c r="AC100" s="185">
        <v>0</v>
      </c>
      <c r="AD100" s="188">
        <v>413</v>
      </c>
      <c r="AE100" s="185">
        <v>3.5913043478260867E-2</v>
      </c>
      <c r="AF100" s="185">
        <v>3.780320366132723E-2</v>
      </c>
      <c r="AG100" s="188">
        <v>413</v>
      </c>
      <c r="AH100" s="185">
        <v>3.5913043478260867E-2</v>
      </c>
      <c r="AI100" s="185">
        <v>3.780320366132723E-2</v>
      </c>
      <c r="AJ100" s="303">
        <v>413</v>
      </c>
      <c r="AK100" s="185">
        <v>3.5913043478260867E-2</v>
      </c>
      <c r="AL100" s="185">
        <v>3.780320366132723E-2</v>
      </c>
      <c r="AM100" s="188">
        <v>1549</v>
      </c>
      <c r="AN100" s="185">
        <v>0.13469565217391305</v>
      </c>
      <c r="AO100" s="185">
        <v>0.14178489702517164</v>
      </c>
      <c r="AP100" s="185"/>
      <c r="AQ100" s="188">
        <v>2417</v>
      </c>
      <c r="AR100" s="185">
        <v>0.21017391304347827</v>
      </c>
      <c r="AS100" s="185">
        <v>0.22123569794050343</v>
      </c>
      <c r="AT100" s="188">
        <v>2417</v>
      </c>
      <c r="AU100" s="185">
        <v>0.21017391304347827</v>
      </c>
      <c r="AV100" s="185">
        <v>0.22123569794050343</v>
      </c>
      <c r="AW100" s="185"/>
      <c r="AX100" s="185"/>
      <c r="AY100" s="185"/>
      <c r="AZ100" s="185"/>
      <c r="BA100" s="185"/>
      <c r="BB100" s="185"/>
      <c r="BC100" s="188">
        <v>2417</v>
      </c>
      <c r="BD100" s="185">
        <v>0.21017391304347827</v>
      </c>
      <c r="BE100" s="185">
        <v>0.22123569794050343</v>
      </c>
      <c r="BF100" s="188"/>
      <c r="BG100" s="188">
        <v>4361.5556319999996</v>
      </c>
      <c r="BH100" s="185">
        <v>0.37926570713043473</v>
      </c>
      <c r="BI100" s="185">
        <v>0.39922706013729975</v>
      </c>
      <c r="BJ100" s="188">
        <v>10925</v>
      </c>
      <c r="BK100" s="188">
        <v>4418.375</v>
      </c>
      <c r="BL100" s="185">
        <v>0.38420652173913045</v>
      </c>
      <c r="BM100" s="185">
        <v>0.4044279176201373</v>
      </c>
      <c r="BN100" s="188">
        <v>4418.375</v>
      </c>
      <c r="BO100" s="185">
        <f t="shared" si="105"/>
        <v>0.38420652173913045</v>
      </c>
      <c r="BP100" s="185">
        <f t="shared" si="106"/>
        <v>0.4044279176201373</v>
      </c>
      <c r="BQ100" s="205">
        <f t="shared" si="107"/>
        <v>4005.375</v>
      </c>
      <c r="BR100" s="205"/>
      <c r="BS100" s="189" t="e">
        <f>#REF!+#REF!</f>
        <v>#REF!</v>
      </c>
      <c r="BT100" s="186" t="e">
        <f t="shared" si="108"/>
        <v>#REF!</v>
      </c>
      <c r="BU100" s="189" t="e">
        <f>#REF!+#REF!</f>
        <v>#REF!</v>
      </c>
      <c r="BV100" s="186" t="e">
        <f t="shared" si="109"/>
        <v>#REF!</v>
      </c>
      <c r="BW100" s="189" t="e">
        <f>#REF!+#REF!</f>
        <v>#REF!</v>
      </c>
      <c r="BX100" s="186" t="e">
        <f t="shared" si="110"/>
        <v>#REF!</v>
      </c>
      <c r="BY100" s="189" t="e">
        <f>#REF!+#REF!</f>
        <v>#REF!</v>
      </c>
      <c r="BZ100" s="186" t="e">
        <f t="shared" si="111"/>
        <v>#REF!</v>
      </c>
      <c r="CA100" s="189" t="e">
        <f>#REF!+#REF!</f>
        <v>#REF!</v>
      </c>
      <c r="CB100" s="186" t="e">
        <f t="shared" si="112"/>
        <v>#REF!</v>
      </c>
      <c r="CC100" s="189" t="e">
        <f>#REF!+#REF!</f>
        <v>#REF!</v>
      </c>
      <c r="CD100" s="186" t="e">
        <f t="shared" si="113"/>
        <v>#REF!</v>
      </c>
      <c r="CE100" s="189" t="e">
        <f>#REF!+#REF!</f>
        <v>#REF!</v>
      </c>
      <c r="CF100" s="186" t="e">
        <f t="shared" si="114"/>
        <v>#REF!</v>
      </c>
      <c r="CG100" s="189" t="e">
        <f>#REF!+#REF!</f>
        <v>#REF!</v>
      </c>
      <c r="CH100" s="186" t="e">
        <f t="shared" si="115"/>
        <v>#REF!</v>
      </c>
      <c r="CI100" s="189" t="e">
        <f>#REF!+#REF!</f>
        <v>#REF!</v>
      </c>
      <c r="CJ100" s="186" t="e">
        <f t="shared" si="116"/>
        <v>#REF!</v>
      </c>
      <c r="CK100" s="189" t="e">
        <f>#REF!+#REF!</f>
        <v>#REF!</v>
      </c>
      <c r="CL100" s="186" t="e">
        <f t="shared" si="117"/>
        <v>#REF!</v>
      </c>
      <c r="CM100" s="189" t="e">
        <f>#REF!+#REF!</f>
        <v>#REF!</v>
      </c>
      <c r="CN100" s="186" t="e">
        <f t="shared" si="118"/>
        <v>#REF!</v>
      </c>
      <c r="CO100" s="189" t="e">
        <f>#REF!+#REF!</f>
        <v>#REF!</v>
      </c>
      <c r="CP100" s="186" t="e">
        <f t="shared" si="119"/>
        <v>#REF!</v>
      </c>
      <c r="CQ100" s="189" t="e">
        <f>#REF!+#REF!</f>
        <v>#REF!</v>
      </c>
      <c r="CR100" s="186" t="e">
        <f t="shared" si="120"/>
        <v>#REF!</v>
      </c>
      <c r="CS100" s="213" t="str">
        <f t="shared" si="121"/>
        <v>Đạt</v>
      </c>
      <c r="CT100" s="213" t="str">
        <f t="shared" si="122"/>
        <v>Đạt</v>
      </c>
      <c r="CU100" s="213"/>
      <c r="CV100" s="213"/>
      <c r="CW100" s="231"/>
      <c r="CX100" s="163"/>
      <c r="CZ100" s="195"/>
      <c r="DA100" s="196"/>
      <c r="DB100" s="196"/>
      <c r="DC100" s="197"/>
      <c r="DD100" s="196"/>
      <c r="DE100" s="196"/>
      <c r="DF100" s="196"/>
      <c r="DH100" s="199"/>
      <c r="DI100" s="200"/>
      <c r="DJ100" s="181"/>
    </row>
    <row r="101" spans="1:114" ht="18" customHeight="1" x14ac:dyDescent="0.25">
      <c r="A101" s="213">
        <v>71</v>
      </c>
      <c r="B101" s="240" t="s">
        <v>438</v>
      </c>
      <c r="C101" s="240"/>
      <c r="D101" s="188">
        <v>4360</v>
      </c>
      <c r="E101" s="188">
        <v>0</v>
      </c>
      <c r="F101" s="188">
        <v>4360</v>
      </c>
      <c r="G101" s="188">
        <v>3000</v>
      </c>
      <c r="H101" s="188">
        <v>1360</v>
      </c>
      <c r="I101" s="188">
        <v>0</v>
      </c>
      <c r="J101" s="188"/>
      <c r="K101" s="188">
        <v>0</v>
      </c>
      <c r="L101" s="188">
        <v>0</v>
      </c>
      <c r="M101" s="188">
        <v>0</v>
      </c>
      <c r="N101" s="188">
        <v>0</v>
      </c>
      <c r="O101" s="188">
        <v>3000</v>
      </c>
      <c r="P101" s="188">
        <v>0</v>
      </c>
      <c r="Q101" s="186">
        <v>0</v>
      </c>
      <c r="R101" s="188">
        <v>0</v>
      </c>
      <c r="S101" s="185">
        <v>0</v>
      </c>
      <c r="T101" s="185">
        <v>0</v>
      </c>
      <c r="U101" s="188">
        <v>0</v>
      </c>
      <c r="V101" s="185">
        <v>0</v>
      </c>
      <c r="W101" s="185">
        <v>0</v>
      </c>
      <c r="X101" s="188">
        <v>0</v>
      </c>
      <c r="Y101" s="185">
        <v>0</v>
      </c>
      <c r="Z101" s="185">
        <v>0</v>
      </c>
      <c r="AA101" s="188">
        <v>0</v>
      </c>
      <c r="AB101" s="185">
        <v>0</v>
      </c>
      <c r="AC101" s="185">
        <v>0</v>
      </c>
      <c r="AD101" s="188">
        <v>574</v>
      </c>
      <c r="AE101" s="185">
        <v>0.13165137614678898</v>
      </c>
      <c r="AF101" s="185">
        <v>0.13858039594398841</v>
      </c>
      <c r="AG101" s="188">
        <v>574</v>
      </c>
      <c r="AH101" s="185">
        <v>0.13165137614678898</v>
      </c>
      <c r="AI101" s="185">
        <v>0.13858039594398841</v>
      </c>
      <c r="AJ101" s="303">
        <v>574</v>
      </c>
      <c r="AK101" s="185">
        <v>0.13165137614678898</v>
      </c>
      <c r="AL101" s="185">
        <v>0.13858039594398841</v>
      </c>
      <c r="AM101" s="188">
        <v>945</v>
      </c>
      <c r="AN101" s="185">
        <v>0.21674311926605505</v>
      </c>
      <c r="AO101" s="185">
        <v>0.22815065185900532</v>
      </c>
      <c r="AP101" s="185"/>
      <c r="AQ101" s="188">
        <v>945</v>
      </c>
      <c r="AR101" s="185">
        <v>0.21674311926605505</v>
      </c>
      <c r="AS101" s="185">
        <v>0.22815065185900532</v>
      </c>
      <c r="AT101" s="188">
        <v>945</v>
      </c>
      <c r="AU101" s="185">
        <v>0.21674311926605505</v>
      </c>
      <c r="AV101" s="185">
        <v>0.22815065185900532</v>
      </c>
      <c r="AW101" s="185"/>
      <c r="AX101" s="185"/>
      <c r="AY101" s="185"/>
      <c r="AZ101" s="185"/>
      <c r="BA101" s="185"/>
      <c r="BB101" s="185"/>
      <c r="BC101" s="188">
        <v>945</v>
      </c>
      <c r="BD101" s="185">
        <v>0.21674311926605505</v>
      </c>
      <c r="BE101" s="185">
        <v>0.22815065185900532</v>
      </c>
      <c r="BF101" s="188"/>
      <c r="BG101" s="188">
        <v>1565</v>
      </c>
      <c r="BH101" s="185">
        <v>0.35894495412844035</v>
      </c>
      <c r="BI101" s="185">
        <v>0.37783679381941093</v>
      </c>
      <c r="BJ101" s="188">
        <v>4142</v>
      </c>
      <c r="BK101" s="188">
        <v>1565</v>
      </c>
      <c r="BL101" s="185">
        <v>0.35894495412844035</v>
      </c>
      <c r="BM101" s="185">
        <v>0.37783679381941093</v>
      </c>
      <c r="BN101" s="188">
        <v>1565</v>
      </c>
      <c r="BO101" s="185">
        <f t="shared" si="105"/>
        <v>0.35894495412844035</v>
      </c>
      <c r="BP101" s="185">
        <f t="shared" si="106"/>
        <v>0.37783679381941093</v>
      </c>
      <c r="BQ101" s="205">
        <f t="shared" si="107"/>
        <v>991</v>
      </c>
      <c r="BR101" s="205"/>
      <c r="BS101" s="189" t="e">
        <f>#REF!+#REF!</f>
        <v>#REF!</v>
      </c>
      <c r="BT101" s="186" t="e">
        <f t="shared" si="108"/>
        <v>#REF!</v>
      </c>
      <c r="BU101" s="189" t="e">
        <f>#REF!+#REF!</f>
        <v>#REF!</v>
      </c>
      <c r="BV101" s="186" t="e">
        <f t="shared" si="109"/>
        <v>#REF!</v>
      </c>
      <c r="BW101" s="189" t="e">
        <f>#REF!+#REF!</f>
        <v>#REF!</v>
      </c>
      <c r="BX101" s="186" t="e">
        <f t="shared" si="110"/>
        <v>#REF!</v>
      </c>
      <c r="BY101" s="189" t="e">
        <f>#REF!+#REF!</f>
        <v>#REF!</v>
      </c>
      <c r="BZ101" s="186" t="e">
        <f t="shared" si="111"/>
        <v>#REF!</v>
      </c>
      <c r="CA101" s="189" t="e">
        <f>#REF!+#REF!</f>
        <v>#REF!</v>
      </c>
      <c r="CB101" s="186" t="e">
        <f t="shared" si="112"/>
        <v>#REF!</v>
      </c>
      <c r="CC101" s="189" t="e">
        <f>#REF!+#REF!</f>
        <v>#REF!</v>
      </c>
      <c r="CD101" s="186" t="e">
        <f t="shared" si="113"/>
        <v>#REF!</v>
      </c>
      <c r="CE101" s="189" t="e">
        <f>#REF!+#REF!</f>
        <v>#REF!</v>
      </c>
      <c r="CF101" s="186" t="e">
        <f t="shared" si="114"/>
        <v>#REF!</v>
      </c>
      <c r="CG101" s="189" t="e">
        <f>#REF!+#REF!</f>
        <v>#REF!</v>
      </c>
      <c r="CH101" s="186" t="e">
        <f t="shared" si="115"/>
        <v>#REF!</v>
      </c>
      <c r="CI101" s="189" t="e">
        <f>#REF!+#REF!</f>
        <v>#REF!</v>
      </c>
      <c r="CJ101" s="186" t="e">
        <f t="shared" si="116"/>
        <v>#REF!</v>
      </c>
      <c r="CK101" s="189" t="e">
        <f>#REF!+#REF!</f>
        <v>#REF!</v>
      </c>
      <c r="CL101" s="186" t="e">
        <f t="shared" si="117"/>
        <v>#REF!</v>
      </c>
      <c r="CM101" s="189" t="e">
        <f>#REF!+#REF!</f>
        <v>#REF!</v>
      </c>
      <c r="CN101" s="186" t="e">
        <f t="shared" si="118"/>
        <v>#REF!</v>
      </c>
      <c r="CO101" s="189" t="e">
        <f>#REF!+#REF!</f>
        <v>#REF!</v>
      </c>
      <c r="CP101" s="186" t="e">
        <f t="shared" si="119"/>
        <v>#REF!</v>
      </c>
      <c r="CQ101" s="189" t="e">
        <f>#REF!+#REF!</f>
        <v>#REF!</v>
      </c>
      <c r="CR101" s="186" t="e">
        <f t="shared" si="120"/>
        <v>#REF!</v>
      </c>
      <c r="CS101" s="213" t="str">
        <f t="shared" si="121"/>
        <v>Đạt</v>
      </c>
      <c r="CT101" s="213" t="str">
        <f t="shared" si="122"/>
        <v>Không đạt</v>
      </c>
      <c r="CU101" s="213"/>
      <c r="CV101" s="213"/>
      <c r="CW101" s="231"/>
      <c r="CX101" s="163"/>
      <c r="CZ101" s="195"/>
      <c r="DA101" s="196"/>
      <c r="DB101" s="196"/>
      <c r="DC101" s="197"/>
      <c r="DD101" s="196"/>
      <c r="DE101" s="196"/>
      <c r="DF101" s="196"/>
      <c r="DH101" s="199"/>
      <c r="DI101" s="200"/>
      <c r="DJ101" s="181"/>
    </row>
    <row r="102" spans="1:114" ht="18" customHeight="1" x14ac:dyDescent="0.25">
      <c r="A102" s="213">
        <v>72</v>
      </c>
      <c r="B102" s="240" t="s">
        <v>426</v>
      </c>
      <c r="C102" s="240"/>
      <c r="D102" s="188">
        <v>8250</v>
      </c>
      <c r="E102" s="188">
        <v>0</v>
      </c>
      <c r="F102" s="188">
        <v>8250</v>
      </c>
      <c r="G102" s="188">
        <v>3000</v>
      </c>
      <c r="H102" s="188">
        <v>5250</v>
      </c>
      <c r="I102" s="188">
        <v>950</v>
      </c>
      <c r="J102" s="188"/>
      <c r="K102" s="188">
        <v>0</v>
      </c>
      <c r="L102" s="188">
        <v>0</v>
      </c>
      <c r="M102" s="188">
        <v>0</v>
      </c>
      <c r="N102" s="188">
        <v>0</v>
      </c>
      <c r="O102" s="188">
        <v>3950</v>
      </c>
      <c r="P102" s="188">
        <v>0</v>
      </c>
      <c r="Q102" s="186">
        <v>0</v>
      </c>
      <c r="R102" s="188">
        <v>0</v>
      </c>
      <c r="S102" s="185">
        <v>0</v>
      </c>
      <c r="T102" s="185">
        <v>0</v>
      </c>
      <c r="U102" s="188">
        <v>0</v>
      </c>
      <c r="V102" s="185">
        <v>0</v>
      </c>
      <c r="W102" s="185">
        <v>0</v>
      </c>
      <c r="X102" s="188">
        <v>0</v>
      </c>
      <c r="Y102" s="185">
        <v>0</v>
      </c>
      <c r="Z102" s="185">
        <v>0</v>
      </c>
      <c r="AA102" s="188">
        <v>0</v>
      </c>
      <c r="AB102" s="185">
        <v>0</v>
      </c>
      <c r="AC102" s="185">
        <v>0</v>
      </c>
      <c r="AD102" s="188">
        <v>0</v>
      </c>
      <c r="AE102" s="185">
        <v>0</v>
      </c>
      <c r="AF102" s="185">
        <v>0</v>
      </c>
      <c r="AG102" s="188">
        <v>0</v>
      </c>
      <c r="AH102" s="185">
        <v>0</v>
      </c>
      <c r="AI102" s="185">
        <v>0</v>
      </c>
      <c r="AJ102" s="317">
        <v>0</v>
      </c>
      <c r="AK102" s="185">
        <v>0</v>
      </c>
      <c r="AL102" s="185">
        <v>0</v>
      </c>
      <c r="AM102" s="188">
        <v>1872</v>
      </c>
      <c r="AN102" s="185">
        <v>0.22690909090909092</v>
      </c>
      <c r="AO102" s="185">
        <v>0.23885167464114831</v>
      </c>
      <c r="AP102" s="185"/>
      <c r="AQ102" s="188">
        <v>2101.5160000000001</v>
      </c>
      <c r="AR102" s="185">
        <v>0.25472921212121213</v>
      </c>
      <c r="AS102" s="185">
        <v>0.26813601275917065</v>
      </c>
      <c r="AT102" s="188">
        <v>2101.5160000000001</v>
      </c>
      <c r="AU102" s="185">
        <v>0.25472921212121213</v>
      </c>
      <c r="AV102" s="185">
        <v>0.26813601275917065</v>
      </c>
      <c r="AW102" s="185"/>
      <c r="AX102" s="185"/>
      <c r="AY102" s="185"/>
      <c r="AZ102" s="185"/>
      <c r="BA102" s="185"/>
      <c r="BB102" s="185"/>
      <c r="BC102" s="188">
        <v>2101.5160000000001</v>
      </c>
      <c r="BD102" s="185">
        <v>0.25472921212121213</v>
      </c>
      <c r="BE102" s="185">
        <v>0.26813601275917065</v>
      </c>
      <c r="BF102" s="188"/>
      <c r="BG102" s="188">
        <v>2542.5970000000002</v>
      </c>
      <c r="BH102" s="185">
        <v>0.30819357575757578</v>
      </c>
      <c r="BI102" s="185">
        <v>0.32441429027113239</v>
      </c>
      <c r="BJ102" s="188">
        <v>7837.5</v>
      </c>
      <c r="BK102" s="188">
        <v>2947.0810000000001</v>
      </c>
      <c r="BL102" s="185">
        <v>0.35722193939393942</v>
      </c>
      <c r="BM102" s="185">
        <v>0.37602309409888357</v>
      </c>
      <c r="BN102" s="188">
        <v>2947.0810000000001</v>
      </c>
      <c r="BO102" s="185">
        <f t="shared" si="105"/>
        <v>0.35722193939393942</v>
      </c>
      <c r="BP102" s="185">
        <f t="shared" si="106"/>
        <v>0.37602309409888357</v>
      </c>
      <c r="BQ102" s="205">
        <f t="shared" si="107"/>
        <v>2947.0810000000001</v>
      </c>
      <c r="BR102" s="205"/>
      <c r="BS102" s="189" t="e">
        <f>#REF!+BS103+#REF!</f>
        <v>#REF!</v>
      </c>
      <c r="BT102" s="186" t="e">
        <f t="shared" si="108"/>
        <v>#REF!</v>
      </c>
      <c r="BU102" s="189" t="e">
        <f>#REF!+BU103+#REF!</f>
        <v>#REF!</v>
      </c>
      <c r="BV102" s="186" t="e">
        <f t="shared" si="109"/>
        <v>#REF!</v>
      </c>
      <c r="BW102" s="189" t="e">
        <f>#REF!+BW103+#REF!</f>
        <v>#REF!</v>
      </c>
      <c r="BX102" s="186" t="e">
        <f t="shared" si="110"/>
        <v>#REF!</v>
      </c>
      <c r="BY102" s="189" t="e">
        <f>#REF!+BY103+#REF!</f>
        <v>#REF!</v>
      </c>
      <c r="BZ102" s="186" t="e">
        <f t="shared" si="111"/>
        <v>#REF!</v>
      </c>
      <c r="CA102" s="189" t="e">
        <f>#REF!+CA103+#REF!</f>
        <v>#REF!</v>
      </c>
      <c r="CB102" s="186" t="e">
        <f t="shared" si="112"/>
        <v>#REF!</v>
      </c>
      <c r="CC102" s="189" t="e">
        <f>#REF!+CC103+#REF!</f>
        <v>#REF!</v>
      </c>
      <c r="CD102" s="186" t="e">
        <f t="shared" si="113"/>
        <v>#REF!</v>
      </c>
      <c r="CE102" s="189" t="e">
        <f>#REF!+CE103+#REF!</f>
        <v>#REF!</v>
      </c>
      <c r="CF102" s="186" t="e">
        <f t="shared" si="114"/>
        <v>#REF!</v>
      </c>
      <c r="CG102" s="189" t="e">
        <f>#REF!+CG103+#REF!</f>
        <v>#REF!</v>
      </c>
      <c r="CH102" s="186" t="e">
        <f t="shared" si="115"/>
        <v>#REF!</v>
      </c>
      <c r="CI102" s="189" t="e">
        <f>#REF!+CI103+#REF!</f>
        <v>#REF!</v>
      </c>
      <c r="CJ102" s="186" t="e">
        <f t="shared" si="116"/>
        <v>#REF!</v>
      </c>
      <c r="CK102" s="189" t="e">
        <f>#REF!+CK103+#REF!</f>
        <v>#REF!</v>
      </c>
      <c r="CL102" s="186" t="e">
        <f t="shared" si="117"/>
        <v>#REF!</v>
      </c>
      <c r="CM102" s="189" t="e">
        <f>#REF!+CM103+#REF!</f>
        <v>#REF!</v>
      </c>
      <c r="CN102" s="186" t="e">
        <f t="shared" si="118"/>
        <v>#REF!</v>
      </c>
      <c r="CO102" s="189" t="e">
        <f>#REF!+CO103+#REF!</f>
        <v>#REF!</v>
      </c>
      <c r="CP102" s="186" t="e">
        <f t="shared" si="119"/>
        <v>#REF!</v>
      </c>
      <c r="CQ102" s="189" t="e">
        <f>#REF!+CQ103+#REF!</f>
        <v>#REF!</v>
      </c>
      <c r="CR102" s="186" t="e">
        <f t="shared" si="120"/>
        <v>#REF!</v>
      </c>
      <c r="CS102" s="213" t="str">
        <f t="shared" si="121"/>
        <v>Đạt</v>
      </c>
      <c r="CT102" s="213" t="str">
        <f t="shared" si="122"/>
        <v>Không đạt</v>
      </c>
      <c r="CU102" s="213"/>
      <c r="CV102" s="213"/>
      <c r="CW102" s="231"/>
      <c r="CX102" s="163"/>
      <c r="CZ102" s="195"/>
      <c r="DA102" s="196"/>
      <c r="DB102" s="196"/>
      <c r="DC102" s="197"/>
      <c r="DD102" s="196"/>
      <c r="DE102" s="196"/>
      <c r="DF102" s="196"/>
      <c r="DH102" s="199"/>
      <c r="DI102" s="200"/>
      <c r="DJ102" s="181"/>
    </row>
    <row r="103" spans="1:114" ht="18" customHeight="1" x14ac:dyDescent="0.25">
      <c r="A103" s="213">
        <v>73</v>
      </c>
      <c r="B103" s="240" t="s">
        <v>489</v>
      </c>
      <c r="C103" s="240"/>
      <c r="D103" s="188">
        <v>7250</v>
      </c>
      <c r="E103" s="188">
        <v>0</v>
      </c>
      <c r="F103" s="188">
        <v>7250</v>
      </c>
      <c r="G103" s="188">
        <v>3000</v>
      </c>
      <c r="H103" s="188">
        <v>4250</v>
      </c>
      <c r="I103" s="188">
        <v>0</v>
      </c>
      <c r="J103" s="188"/>
      <c r="K103" s="188">
        <v>0</v>
      </c>
      <c r="L103" s="188">
        <v>0</v>
      </c>
      <c r="M103" s="188">
        <v>0</v>
      </c>
      <c r="N103" s="188">
        <v>0</v>
      </c>
      <c r="O103" s="188">
        <v>3000</v>
      </c>
      <c r="P103" s="188">
        <v>0</v>
      </c>
      <c r="Q103" s="186">
        <v>0</v>
      </c>
      <c r="R103" s="188">
        <v>0</v>
      </c>
      <c r="S103" s="185">
        <v>0</v>
      </c>
      <c r="T103" s="185">
        <v>0</v>
      </c>
      <c r="U103" s="188">
        <v>0</v>
      </c>
      <c r="V103" s="185">
        <v>0</v>
      </c>
      <c r="W103" s="185">
        <v>0</v>
      </c>
      <c r="X103" s="188">
        <v>0</v>
      </c>
      <c r="Y103" s="185">
        <v>0</v>
      </c>
      <c r="Z103" s="185">
        <v>0</v>
      </c>
      <c r="AA103" s="188">
        <v>0</v>
      </c>
      <c r="AB103" s="185">
        <v>0</v>
      </c>
      <c r="AC103" s="185">
        <v>0</v>
      </c>
      <c r="AD103" s="188">
        <v>0</v>
      </c>
      <c r="AE103" s="185">
        <v>0</v>
      </c>
      <c r="AF103" s="185">
        <v>0</v>
      </c>
      <c r="AG103" s="188">
        <v>0</v>
      </c>
      <c r="AH103" s="185">
        <v>0</v>
      </c>
      <c r="AI103" s="185">
        <v>0</v>
      </c>
      <c r="AJ103" s="303">
        <v>0</v>
      </c>
      <c r="AK103" s="185">
        <v>0</v>
      </c>
      <c r="AL103" s="185">
        <v>0</v>
      </c>
      <c r="AM103" s="188">
        <v>0</v>
      </c>
      <c r="AN103" s="185">
        <v>0</v>
      </c>
      <c r="AO103" s="185">
        <v>0</v>
      </c>
      <c r="AP103" s="185"/>
      <c r="AQ103" s="188">
        <v>384.464</v>
      </c>
      <c r="AR103" s="185">
        <v>5.3029517241379311E-2</v>
      </c>
      <c r="AS103" s="185">
        <v>5.5820544464609802E-2</v>
      </c>
      <c r="AT103" s="188">
        <v>384.464</v>
      </c>
      <c r="AU103" s="185">
        <v>5.3029517241379311E-2</v>
      </c>
      <c r="AV103" s="185">
        <v>5.5820544464609802E-2</v>
      </c>
      <c r="AW103" s="185"/>
      <c r="AX103" s="185"/>
      <c r="AY103" s="185"/>
      <c r="AZ103" s="185"/>
      <c r="BA103" s="185"/>
      <c r="BB103" s="185"/>
      <c r="BC103" s="188">
        <v>384.464</v>
      </c>
      <c r="BD103" s="185">
        <v>5.3029517241379311E-2</v>
      </c>
      <c r="BE103" s="185">
        <v>5.5820544464609802E-2</v>
      </c>
      <c r="BF103" s="352"/>
      <c r="BG103" s="352">
        <v>664</v>
      </c>
      <c r="BH103" s="185">
        <v>9.1586206896551725E-2</v>
      </c>
      <c r="BI103" s="185">
        <v>9.6406533575317602E-2</v>
      </c>
      <c r="BJ103" s="374">
        <v>6887.5</v>
      </c>
      <c r="BK103" s="374">
        <v>2394.5</v>
      </c>
      <c r="BL103" s="185">
        <v>0.33027586206896553</v>
      </c>
      <c r="BM103" s="185">
        <v>0.34765880217785844</v>
      </c>
      <c r="BN103" s="374">
        <v>2394.5</v>
      </c>
      <c r="BO103" s="185">
        <f t="shared" si="105"/>
        <v>0.33027586206896553</v>
      </c>
      <c r="BP103" s="185">
        <f t="shared" si="106"/>
        <v>0.34765880217785844</v>
      </c>
      <c r="BQ103" s="205">
        <f t="shared" si="107"/>
        <v>2394.5</v>
      </c>
      <c r="BR103" s="205"/>
      <c r="BS103" s="189" t="e">
        <f>#REF!+#REF!</f>
        <v>#REF!</v>
      </c>
      <c r="BT103" s="186" t="e">
        <f t="shared" si="108"/>
        <v>#REF!</v>
      </c>
      <c r="BU103" s="189" t="e">
        <f>#REF!+#REF!</f>
        <v>#REF!</v>
      </c>
      <c r="BV103" s="186" t="e">
        <f t="shared" si="109"/>
        <v>#REF!</v>
      </c>
      <c r="BW103" s="189" t="e">
        <f>#REF!+#REF!</f>
        <v>#REF!</v>
      </c>
      <c r="BX103" s="186" t="e">
        <f t="shared" si="110"/>
        <v>#REF!</v>
      </c>
      <c r="BY103" s="189" t="e">
        <f>#REF!+#REF!</f>
        <v>#REF!</v>
      </c>
      <c r="BZ103" s="186" t="e">
        <f t="shared" si="111"/>
        <v>#REF!</v>
      </c>
      <c r="CA103" s="189" t="e">
        <f>#REF!+#REF!</f>
        <v>#REF!</v>
      </c>
      <c r="CB103" s="186" t="e">
        <f t="shared" si="112"/>
        <v>#REF!</v>
      </c>
      <c r="CC103" s="189" t="e">
        <f>#REF!+#REF!</f>
        <v>#REF!</v>
      </c>
      <c r="CD103" s="186" t="e">
        <f t="shared" si="113"/>
        <v>#REF!</v>
      </c>
      <c r="CE103" s="189" t="e">
        <f>#REF!+#REF!</f>
        <v>#REF!</v>
      </c>
      <c r="CF103" s="186" t="e">
        <f t="shared" si="114"/>
        <v>#REF!</v>
      </c>
      <c r="CG103" s="189" t="e">
        <f>#REF!+#REF!</f>
        <v>#REF!</v>
      </c>
      <c r="CH103" s="186" t="e">
        <f t="shared" si="115"/>
        <v>#REF!</v>
      </c>
      <c r="CI103" s="189" t="e">
        <f>#REF!+#REF!</f>
        <v>#REF!</v>
      </c>
      <c r="CJ103" s="186" t="e">
        <f t="shared" si="116"/>
        <v>#REF!</v>
      </c>
      <c r="CK103" s="189" t="e">
        <f>#REF!+#REF!</f>
        <v>#REF!</v>
      </c>
      <c r="CL103" s="186" t="e">
        <f t="shared" si="117"/>
        <v>#REF!</v>
      </c>
      <c r="CM103" s="189" t="e">
        <f>#REF!+#REF!</f>
        <v>#REF!</v>
      </c>
      <c r="CN103" s="186" t="e">
        <f t="shared" si="118"/>
        <v>#REF!</v>
      </c>
      <c r="CO103" s="189" t="e">
        <f>#REF!+#REF!</f>
        <v>#REF!</v>
      </c>
      <c r="CP103" s="186" t="e">
        <f t="shared" si="119"/>
        <v>#REF!</v>
      </c>
      <c r="CQ103" s="189" t="e">
        <f>#REF!+#REF!</f>
        <v>#REF!</v>
      </c>
      <c r="CR103" s="186" t="e">
        <f t="shared" si="120"/>
        <v>#REF!</v>
      </c>
      <c r="CS103" s="213" t="str">
        <f t="shared" si="121"/>
        <v>Đạt</v>
      </c>
      <c r="CT103" s="213" t="str">
        <f t="shared" si="122"/>
        <v>Không đạt</v>
      </c>
      <c r="CU103" s="213"/>
      <c r="CV103" s="213"/>
      <c r="CW103" s="231"/>
      <c r="CX103" s="163"/>
      <c r="CZ103" s="195"/>
      <c r="DA103" s="196"/>
      <c r="DB103" s="196"/>
      <c r="DC103" s="197"/>
      <c r="DD103" s="196"/>
      <c r="DE103" s="196"/>
      <c r="DF103" s="196"/>
      <c r="DH103" s="199"/>
      <c r="DI103" s="200"/>
      <c r="DJ103" s="181"/>
    </row>
    <row r="104" spans="1:114" ht="18" customHeight="1" x14ac:dyDescent="0.25">
      <c r="A104" s="213">
        <v>74</v>
      </c>
      <c r="B104" s="240" t="s">
        <v>504</v>
      </c>
      <c r="C104" s="240"/>
      <c r="D104" s="188">
        <v>3000</v>
      </c>
      <c r="E104" s="188">
        <v>0</v>
      </c>
      <c r="F104" s="188">
        <v>3000</v>
      </c>
      <c r="G104" s="188">
        <v>3000</v>
      </c>
      <c r="H104" s="188">
        <v>0</v>
      </c>
      <c r="I104" s="188">
        <v>0</v>
      </c>
      <c r="J104" s="188"/>
      <c r="K104" s="188">
        <v>0</v>
      </c>
      <c r="L104" s="188">
        <v>0</v>
      </c>
      <c r="M104" s="231"/>
      <c r="N104" s="231"/>
      <c r="O104" s="188">
        <v>3000</v>
      </c>
      <c r="P104" s="188">
        <v>0</v>
      </c>
      <c r="Q104" s="186">
        <v>0</v>
      </c>
      <c r="R104" s="188">
        <v>0</v>
      </c>
      <c r="S104" s="185">
        <v>0</v>
      </c>
      <c r="T104" s="185">
        <v>0</v>
      </c>
      <c r="U104" s="188">
        <v>0</v>
      </c>
      <c r="V104" s="185">
        <v>0</v>
      </c>
      <c r="W104" s="185">
        <v>0</v>
      </c>
      <c r="X104" s="188">
        <v>0</v>
      </c>
      <c r="Y104" s="185">
        <v>0</v>
      </c>
      <c r="Z104" s="185">
        <v>0</v>
      </c>
      <c r="AA104" s="188">
        <v>0</v>
      </c>
      <c r="AB104" s="185">
        <v>0</v>
      </c>
      <c r="AC104" s="185">
        <v>0</v>
      </c>
      <c r="AD104" s="188">
        <v>0</v>
      </c>
      <c r="AE104" s="185">
        <v>0</v>
      </c>
      <c r="AF104" s="185">
        <v>0</v>
      </c>
      <c r="AG104" s="188">
        <v>0</v>
      </c>
      <c r="AH104" s="185">
        <v>0</v>
      </c>
      <c r="AI104" s="185">
        <v>0</v>
      </c>
      <c r="AJ104" s="303">
        <v>0</v>
      </c>
      <c r="AK104" s="185">
        <v>0</v>
      </c>
      <c r="AL104" s="185">
        <v>0</v>
      </c>
      <c r="AM104" s="188">
        <v>0</v>
      </c>
      <c r="AN104" s="185">
        <v>0</v>
      </c>
      <c r="AO104" s="185">
        <v>0</v>
      </c>
      <c r="AP104" s="185"/>
      <c r="AQ104" s="188">
        <v>181.1216</v>
      </c>
      <c r="AR104" s="185">
        <v>6.0373866666666665E-2</v>
      </c>
      <c r="AS104" s="185">
        <v>6.3551438596491233E-2</v>
      </c>
      <c r="AT104" s="188">
        <v>181.1216</v>
      </c>
      <c r="AU104" s="185">
        <v>6.0373866666666665E-2</v>
      </c>
      <c r="AV104" s="185">
        <v>6.3551438596491233E-2</v>
      </c>
      <c r="AW104" s="185"/>
      <c r="AX104" s="185"/>
      <c r="AY104" s="185"/>
      <c r="AZ104" s="185"/>
      <c r="BA104" s="185"/>
      <c r="BB104" s="185"/>
      <c r="BC104" s="188">
        <v>181.1216</v>
      </c>
      <c r="BD104" s="185">
        <v>6.0373866666666665E-2</v>
      </c>
      <c r="BE104" s="185">
        <v>6.3551438596491233E-2</v>
      </c>
      <c r="BF104" s="352"/>
      <c r="BG104" s="352">
        <v>953.25559999999996</v>
      </c>
      <c r="BH104" s="185">
        <v>0.31775186666666666</v>
      </c>
      <c r="BI104" s="185">
        <v>0.33447564912280703</v>
      </c>
      <c r="BJ104" s="374">
        <v>2850</v>
      </c>
      <c r="BK104" s="374">
        <v>953.25559999999996</v>
      </c>
      <c r="BL104" s="185">
        <v>0.31775186666666666</v>
      </c>
      <c r="BM104" s="185">
        <v>0.33447564912280703</v>
      </c>
      <c r="BN104" s="374">
        <v>953.25559999999996</v>
      </c>
      <c r="BO104" s="185">
        <f t="shared" si="105"/>
        <v>0.31775186666666666</v>
      </c>
      <c r="BP104" s="185">
        <f t="shared" si="106"/>
        <v>0.33447564912280703</v>
      </c>
      <c r="BQ104" s="205">
        <f t="shared" si="107"/>
        <v>953.25559999999996</v>
      </c>
      <c r="BR104" s="205"/>
      <c r="BS104" s="189" t="e">
        <f>#REF!</f>
        <v>#REF!</v>
      </c>
      <c r="BT104" s="186" t="e">
        <f t="shared" si="108"/>
        <v>#REF!</v>
      </c>
      <c r="BU104" s="189" t="e">
        <f>#REF!</f>
        <v>#REF!</v>
      </c>
      <c r="BV104" s="186" t="e">
        <f t="shared" si="109"/>
        <v>#REF!</v>
      </c>
      <c r="BW104" s="189" t="e">
        <f>#REF!</f>
        <v>#REF!</v>
      </c>
      <c r="BX104" s="186" t="e">
        <f t="shared" si="110"/>
        <v>#REF!</v>
      </c>
      <c r="BY104" s="189" t="e">
        <f>#REF!</f>
        <v>#REF!</v>
      </c>
      <c r="BZ104" s="186" t="e">
        <f t="shared" si="111"/>
        <v>#REF!</v>
      </c>
      <c r="CA104" s="189" t="e">
        <f>#REF!</f>
        <v>#REF!</v>
      </c>
      <c r="CB104" s="186" t="e">
        <f t="shared" si="112"/>
        <v>#REF!</v>
      </c>
      <c r="CC104" s="189" t="e">
        <f>#REF!</f>
        <v>#REF!</v>
      </c>
      <c r="CD104" s="186" t="e">
        <f t="shared" si="113"/>
        <v>#REF!</v>
      </c>
      <c r="CE104" s="189" t="e">
        <f>#REF!</f>
        <v>#REF!</v>
      </c>
      <c r="CF104" s="186" t="e">
        <f t="shared" si="114"/>
        <v>#REF!</v>
      </c>
      <c r="CG104" s="189" t="e">
        <f>#REF!</f>
        <v>#REF!</v>
      </c>
      <c r="CH104" s="186" t="e">
        <f t="shared" si="115"/>
        <v>#REF!</v>
      </c>
      <c r="CI104" s="189" t="e">
        <f>#REF!</f>
        <v>#REF!</v>
      </c>
      <c r="CJ104" s="186" t="e">
        <f t="shared" si="116"/>
        <v>#REF!</v>
      </c>
      <c r="CK104" s="189" t="e">
        <f>#REF!</f>
        <v>#REF!</v>
      </c>
      <c r="CL104" s="186" t="e">
        <f t="shared" si="117"/>
        <v>#REF!</v>
      </c>
      <c r="CM104" s="189" t="e">
        <f>#REF!</f>
        <v>#REF!</v>
      </c>
      <c r="CN104" s="186" t="e">
        <f t="shared" si="118"/>
        <v>#REF!</v>
      </c>
      <c r="CO104" s="189" t="e">
        <f>#REF!</f>
        <v>#REF!</v>
      </c>
      <c r="CP104" s="186" t="e">
        <f t="shared" si="119"/>
        <v>#REF!</v>
      </c>
      <c r="CQ104" s="189" t="e">
        <f>#REF!</f>
        <v>#REF!</v>
      </c>
      <c r="CR104" s="186" t="e">
        <f t="shared" si="120"/>
        <v>#REF!</v>
      </c>
      <c r="CS104" s="213" t="str">
        <f t="shared" si="121"/>
        <v>Đạt</v>
      </c>
      <c r="CT104" s="213" t="str">
        <f t="shared" si="122"/>
        <v>Không đạt</v>
      </c>
      <c r="CU104" s="213"/>
      <c r="CV104" s="213"/>
      <c r="CW104" s="231"/>
      <c r="CX104" s="163"/>
      <c r="CZ104" s="195"/>
      <c r="DA104" s="196"/>
      <c r="DB104" s="196"/>
      <c r="DC104" s="197"/>
      <c r="DD104" s="196"/>
      <c r="DE104" s="196"/>
      <c r="DF104" s="196"/>
      <c r="DH104" s="199"/>
      <c r="DI104" s="200"/>
      <c r="DJ104" s="181"/>
    </row>
    <row r="105" spans="1:114" ht="18" customHeight="1" x14ac:dyDescent="0.25">
      <c r="A105" s="213">
        <v>75</v>
      </c>
      <c r="B105" s="240" t="s">
        <v>418</v>
      </c>
      <c r="C105" s="240"/>
      <c r="D105" s="188">
        <v>3850</v>
      </c>
      <c r="E105" s="188">
        <v>0</v>
      </c>
      <c r="F105" s="188">
        <v>3850</v>
      </c>
      <c r="G105" s="188">
        <v>3000</v>
      </c>
      <c r="H105" s="188">
        <v>850</v>
      </c>
      <c r="I105" s="188">
        <v>0</v>
      </c>
      <c r="J105" s="188"/>
      <c r="K105" s="188">
        <v>0</v>
      </c>
      <c r="L105" s="188">
        <v>0</v>
      </c>
      <c r="M105" s="188">
        <v>0</v>
      </c>
      <c r="N105" s="188">
        <v>0</v>
      </c>
      <c r="O105" s="188">
        <v>3000</v>
      </c>
      <c r="P105" s="188">
        <v>0</v>
      </c>
      <c r="Q105" s="186">
        <v>0</v>
      </c>
      <c r="R105" s="188">
        <v>0</v>
      </c>
      <c r="S105" s="185">
        <v>0</v>
      </c>
      <c r="T105" s="185">
        <v>0</v>
      </c>
      <c r="U105" s="188">
        <v>0</v>
      </c>
      <c r="V105" s="185">
        <v>0</v>
      </c>
      <c r="W105" s="185">
        <v>0</v>
      </c>
      <c r="X105" s="188">
        <v>0</v>
      </c>
      <c r="Y105" s="185">
        <v>0</v>
      </c>
      <c r="Z105" s="185">
        <v>0</v>
      </c>
      <c r="AA105" s="188">
        <v>0</v>
      </c>
      <c r="AB105" s="185">
        <v>0</v>
      </c>
      <c r="AC105" s="185">
        <v>0</v>
      </c>
      <c r="AD105" s="188">
        <v>0</v>
      </c>
      <c r="AE105" s="185">
        <v>0</v>
      </c>
      <c r="AF105" s="185">
        <v>0</v>
      </c>
      <c r="AG105" s="188">
        <v>0</v>
      </c>
      <c r="AH105" s="185">
        <v>0</v>
      </c>
      <c r="AI105" s="185">
        <v>0</v>
      </c>
      <c r="AJ105" s="303">
        <v>0</v>
      </c>
      <c r="AK105" s="185">
        <v>0</v>
      </c>
      <c r="AL105" s="185">
        <v>0</v>
      </c>
      <c r="AM105" s="188">
        <v>217</v>
      </c>
      <c r="AN105" s="185">
        <v>5.6363636363636366E-2</v>
      </c>
      <c r="AO105" s="185">
        <v>5.9330143540669858E-2</v>
      </c>
      <c r="AP105" s="185"/>
      <c r="AQ105" s="188">
        <v>612</v>
      </c>
      <c r="AR105" s="185">
        <v>0.15896103896103897</v>
      </c>
      <c r="AS105" s="185">
        <v>0.1673274094326726</v>
      </c>
      <c r="AT105" s="188">
        <v>753</v>
      </c>
      <c r="AU105" s="185">
        <v>0.19558441558441558</v>
      </c>
      <c r="AV105" s="185">
        <v>0.20587833219412166</v>
      </c>
      <c r="AW105" s="185"/>
      <c r="AX105" s="185"/>
      <c r="AY105" s="185"/>
      <c r="AZ105" s="185"/>
      <c r="BA105" s="185"/>
      <c r="BB105" s="185"/>
      <c r="BC105" s="188">
        <v>753</v>
      </c>
      <c r="BD105" s="185">
        <v>0.19558441558441558</v>
      </c>
      <c r="BE105" s="185">
        <v>0.20587833219412166</v>
      </c>
      <c r="BF105" s="188"/>
      <c r="BG105" s="188">
        <v>1209</v>
      </c>
      <c r="BH105" s="185">
        <v>0.31402597402597404</v>
      </c>
      <c r="BI105" s="185">
        <v>0.33055365686944632</v>
      </c>
      <c r="BJ105" s="188">
        <v>3657.5</v>
      </c>
      <c r="BK105" s="188">
        <v>1209</v>
      </c>
      <c r="BL105" s="185">
        <v>0.31402597402597404</v>
      </c>
      <c r="BM105" s="185">
        <v>0.33055365686944632</v>
      </c>
      <c r="BN105" s="188">
        <v>1209</v>
      </c>
      <c r="BO105" s="185">
        <f t="shared" si="105"/>
        <v>0.31402597402597404</v>
      </c>
      <c r="BP105" s="185">
        <f t="shared" si="106"/>
        <v>0.33055365686944632</v>
      </c>
      <c r="BQ105" s="205">
        <f t="shared" si="107"/>
        <v>1209</v>
      </c>
      <c r="BR105" s="205"/>
      <c r="BS105" s="189" t="e">
        <f>#REF!+BS106</f>
        <v>#REF!</v>
      </c>
      <c r="BT105" s="186" t="e">
        <f t="shared" si="108"/>
        <v>#REF!</v>
      </c>
      <c r="BU105" s="189" t="e">
        <f>#REF!+BU106</f>
        <v>#REF!</v>
      </c>
      <c r="BV105" s="186" t="e">
        <f t="shared" si="109"/>
        <v>#REF!</v>
      </c>
      <c r="BW105" s="189" t="e">
        <f>#REF!+BW106</f>
        <v>#REF!</v>
      </c>
      <c r="BX105" s="186" t="e">
        <f t="shared" si="110"/>
        <v>#REF!</v>
      </c>
      <c r="BY105" s="189" t="e">
        <f>#REF!+BY106</f>
        <v>#REF!</v>
      </c>
      <c r="BZ105" s="186" t="e">
        <f t="shared" si="111"/>
        <v>#REF!</v>
      </c>
      <c r="CA105" s="189" t="e">
        <f>#REF!+CA106</f>
        <v>#REF!</v>
      </c>
      <c r="CB105" s="186" t="e">
        <f t="shared" si="112"/>
        <v>#REF!</v>
      </c>
      <c r="CC105" s="189" t="e">
        <f>#REF!+CC106</f>
        <v>#REF!</v>
      </c>
      <c r="CD105" s="186" t="e">
        <f t="shared" si="113"/>
        <v>#REF!</v>
      </c>
      <c r="CE105" s="189" t="e">
        <f>#REF!+CE106</f>
        <v>#REF!</v>
      </c>
      <c r="CF105" s="186" t="e">
        <f t="shared" si="114"/>
        <v>#REF!</v>
      </c>
      <c r="CG105" s="189" t="e">
        <f>#REF!+CG106</f>
        <v>#REF!</v>
      </c>
      <c r="CH105" s="186" t="e">
        <f t="shared" si="115"/>
        <v>#REF!</v>
      </c>
      <c r="CI105" s="189" t="e">
        <f>#REF!+CI106</f>
        <v>#REF!</v>
      </c>
      <c r="CJ105" s="186" t="e">
        <f t="shared" si="116"/>
        <v>#REF!</v>
      </c>
      <c r="CK105" s="189" t="e">
        <f>#REF!+CK106</f>
        <v>#REF!</v>
      </c>
      <c r="CL105" s="186" t="e">
        <f t="shared" si="117"/>
        <v>#REF!</v>
      </c>
      <c r="CM105" s="189" t="e">
        <f>#REF!+CM106</f>
        <v>#REF!</v>
      </c>
      <c r="CN105" s="186" t="e">
        <f t="shared" si="118"/>
        <v>#REF!</v>
      </c>
      <c r="CO105" s="189" t="e">
        <f>#REF!+CO106</f>
        <v>#REF!</v>
      </c>
      <c r="CP105" s="186" t="e">
        <f t="shared" si="119"/>
        <v>#REF!</v>
      </c>
      <c r="CQ105" s="189" t="e">
        <f>#REF!+CQ106</f>
        <v>#REF!</v>
      </c>
      <c r="CR105" s="186" t="e">
        <f t="shared" si="120"/>
        <v>#REF!</v>
      </c>
      <c r="CS105" s="213" t="str">
        <f t="shared" si="121"/>
        <v>Đạt</v>
      </c>
      <c r="CT105" s="213" t="str">
        <f t="shared" si="122"/>
        <v>Không đạt</v>
      </c>
      <c r="CU105" s="213"/>
      <c r="CV105" s="213"/>
      <c r="CW105" s="231"/>
      <c r="CX105" s="163"/>
      <c r="CZ105" s="195"/>
      <c r="DA105" s="196"/>
      <c r="DB105" s="196"/>
      <c r="DC105" s="197"/>
      <c r="DD105" s="196"/>
      <c r="DE105" s="196"/>
      <c r="DF105" s="196"/>
      <c r="DH105" s="199"/>
      <c r="DI105" s="200"/>
      <c r="DJ105" s="181"/>
    </row>
    <row r="106" spans="1:114" ht="18" customHeight="1" x14ac:dyDescent="0.25">
      <c r="A106" s="213">
        <v>76</v>
      </c>
      <c r="B106" s="240" t="s">
        <v>440</v>
      </c>
      <c r="C106" s="240"/>
      <c r="D106" s="188">
        <v>3170</v>
      </c>
      <c r="E106" s="188">
        <v>0</v>
      </c>
      <c r="F106" s="188">
        <v>3170</v>
      </c>
      <c r="G106" s="188">
        <v>3000</v>
      </c>
      <c r="H106" s="188">
        <v>170</v>
      </c>
      <c r="I106" s="188">
        <v>0</v>
      </c>
      <c r="J106" s="188"/>
      <c r="K106" s="188">
        <v>0</v>
      </c>
      <c r="L106" s="188">
        <v>0</v>
      </c>
      <c r="M106" s="188">
        <v>0</v>
      </c>
      <c r="N106" s="188">
        <v>0</v>
      </c>
      <c r="O106" s="188">
        <v>3000</v>
      </c>
      <c r="P106" s="188">
        <v>0</v>
      </c>
      <c r="Q106" s="186">
        <v>0</v>
      </c>
      <c r="R106" s="188">
        <v>0</v>
      </c>
      <c r="S106" s="185">
        <v>0</v>
      </c>
      <c r="T106" s="185">
        <v>0</v>
      </c>
      <c r="U106" s="188">
        <v>0</v>
      </c>
      <c r="V106" s="185">
        <v>0</v>
      </c>
      <c r="W106" s="185">
        <v>0</v>
      </c>
      <c r="X106" s="188">
        <v>0</v>
      </c>
      <c r="Y106" s="185">
        <v>0</v>
      </c>
      <c r="Z106" s="185">
        <v>0</v>
      </c>
      <c r="AA106" s="188">
        <v>0</v>
      </c>
      <c r="AB106" s="185">
        <v>0</v>
      </c>
      <c r="AC106" s="185">
        <v>0</v>
      </c>
      <c r="AD106" s="188">
        <v>0</v>
      </c>
      <c r="AE106" s="185">
        <v>0</v>
      </c>
      <c r="AF106" s="185">
        <v>0</v>
      </c>
      <c r="AG106" s="188">
        <v>0</v>
      </c>
      <c r="AH106" s="185">
        <v>0</v>
      </c>
      <c r="AI106" s="185">
        <v>0</v>
      </c>
      <c r="AJ106" s="303">
        <v>0</v>
      </c>
      <c r="AK106" s="185">
        <v>0</v>
      </c>
      <c r="AL106" s="185">
        <v>0</v>
      </c>
      <c r="AM106" s="188">
        <v>498</v>
      </c>
      <c r="AN106" s="185">
        <v>0.15709779179810726</v>
      </c>
      <c r="AO106" s="185">
        <v>0.1653660966295866</v>
      </c>
      <c r="AP106" s="185"/>
      <c r="AQ106" s="188">
        <v>666</v>
      </c>
      <c r="AR106" s="185">
        <v>0.21009463722397476</v>
      </c>
      <c r="AS106" s="185">
        <v>0.22115224970944711</v>
      </c>
      <c r="AT106" s="188">
        <v>707</v>
      </c>
      <c r="AU106" s="185">
        <v>0.22302839116719242</v>
      </c>
      <c r="AV106" s="185">
        <v>0.23476672754441308</v>
      </c>
      <c r="AW106" s="185"/>
      <c r="AX106" s="185"/>
      <c r="AY106" s="185"/>
      <c r="AZ106" s="185"/>
      <c r="BA106" s="185"/>
      <c r="BB106" s="185"/>
      <c r="BC106" s="188">
        <v>707</v>
      </c>
      <c r="BD106" s="185">
        <v>0.22302839116719242</v>
      </c>
      <c r="BE106" s="185">
        <v>0.23476672754441308</v>
      </c>
      <c r="BF106" s="188"/>
      <c r="BG106" s="188">
        <v>984</v>
      </c>
      <c r="BH106" s="185">
        <v>0.31041009463722397</v>
      </c>
      <c r="BI106" s="185">
        <v>0.32674746803918314</v>
      </c>
      <c r="BJ106" s="188">
        <v>3011.5</v>
      </c>
      <c r="BK106" s="188">
        <v>984</v>
      </c>
      <c r="BL106" s="185">
        <v>0.31041009463722397</v>
      </c>
      <c r="BM106" s="185">
        <v>0.32674746803918314</v>
      </c>
      <c r="BN106" s="188">
        <v>984</v>
      </c>
      <c r="BO106" s="185">
        <f t="shared" si="105"/>
        <v>0.31041009463722397</v>
      </c>
      <c r="BP106" s="185">
        <f t="shared" si="106"/>
        <v>0.32674746803918314</v>
      </c>
      <c r="BQ106" s="205">
        <f t="shared" si="107"/>
        <v>984</v>
      </c>
      <c r="BR106" s="205"/>
      <c r="BS106" s="189" t="e">
        <f>#REF!+#REF!</f>
        <v>#REF!</v>
      </c>
      <c r="BT106" s="186" t="e">
        <f t="shared" si="108"/>
        <v>#REF!</v>
      </c>
      <c r="BU106" s="189" t="e">
        <f>#REF!+#REF!</f>
        <v>#REF!</v>
      </c>
      <c r="BV106" s="186" t="e">
        <f t="shared" si="109"/>
        <v>#REF!</v>
      </c>
      <c r="BW106" s="189" t="e">
        <f>#REF!+#REF!</f>
        <v>#REF!</v>
      </c>
      <c r="BX106" s="186" t="e">
        <f t="shared" si="110"/>
        <v>#REF!</v>
      </c>
      <c r="BY106" s="189" t="e">
        <f>#REF!+#REF!</f>
        <v>#REF!</v>
      </c>
      <c r="BZ106" s="186" t="e">
        <f t="shared" si="111"/>
        <v>#REF!</v>
      </c>
      <c r="CA106" s="189" t="e">
        <f>#REF!+#REF!</f>
        <v>#REF!</v>
      </c>
      <c r="CB106" s="186" t="e">
        <f t="shared" si="112"/>
        <v>#REF!</v>
      </c>
      <c r="CC106" s="189" t="e">
        <f>#REF!+#REF!</f>
        <v>#REF!</v>
      </c>
      <c r="CD106" s="186" t="e">
        <f t="shared" si="113"/>
        <v>#REF!</v>
      </c>
      <c r="CE106" s="189" t="e">
        <f>#REF!+#REF!</f>
        <v>#REF!</v>
      </c>
      <c r="CF106" s="186" t="e">
        <f t="shared" si="114"/>
        <v>#REF!</v>
      </c>
      <c r="CG106" s="189" t="e">
        <f>#REF!+#REF!</f>
        <v>#REF!</v>
      </c>
      <c r="CH106" s="186" t="e">
        <f t="shared" si="115"/>
        <v>#REF!</v>
      </c>
      <c r="CI106" s="189" t="e">
        <f>#REF!+#REF!</f>
        <v>#REF!</v>
      </c>
      <c r="CJ106" s="186" t="e">
        <f t="shared" si="116"/>
        <v>#REF!</v>
      </c>
      <c r="CK106" s="189" t="e">
        <f>#REF!+#REF!</f>
        <v>#REF!</v>
      </c>
      <c r="CL106" s="186" t="e">
        <f t="shared" si="117"/>
        <v>#REF!</v>
      </c>
      <c r="CM106" s="189" t="e">
        <f>#REF!+#REF!</f>
        <v>#REF!</v>
      </c>
      <c r="CN106" s="186" t="e">
        <f t="shared" si="118"/>
        <v>#REF!</v>
      </c>
      <c r="CO106" s="189" t="e">
        <f>#REF!+#REF!</f>
        <v>#REF!</v>
      </c>
      <c r="CP106" s="186" t="e">
        <f t="shared" si="119"/>
        <v>#REF!</v>
      </c>
      <c r="CQ106" s="189" t="e">
        <f>#REF!+#REF!</f>
        <v>#REF!</v>
      </c>
      <c r="CR106" s="186" t="e">
        <f t="shared" si="120"/>
        <v>#REF!</v>
      </c>
      <c r="CS106" s="213" t="str">
        <f t="shared" si="121"/>
        <v>Đạt</v>
      </c>
      <c r="CT106" s="213" t="str">
        <f t="shared" si="122"/>
        <v>Không đạt</v>
      </c>
      <c r="CU106" s="213"/>
      <c r="CV106" s="213"/>
      <c r="CW106" s="231"/>
      <c r="CX106" s="163"/>
      <c r="CZ106" s="195"/>
      <c r="DA106" s="196"/>
      <c r="DB106" s="196"/>
      <c r="DC106" s="197"/>
      <c r="DD106" s="196"/>
      <c r="DE106" s="196"/>
      <c r="DF106" s="196"/>
      <c r="DH106" s="199"/>
      <c r="DI106" s="200"/>
      <c r="DJ106" s="181"/>
    </row>
    <row r="107" spans="1:114" ht="18" customHeight="1" x14ac:dyDescent="0.25">
      <c r="A107" s="213">
        <v>77</v>
      </c>
      <c r="B107" s="240" t="s">
        <v>445</v>
      </c>
      <c r="C107" s="240"/>
      <c r="D107" s="188">
        <v>4600</v>
      </c>
      <c r="E107" s="188">
        <v>0</v>
      </c>
      <c r="F107" s="188">
        <v>4600</v>
      </c>
      <c r="G107" s="188">
        <v>3000</v>
      </c>
      <c r="H107" s="188">
        <v>1600</v>
      </c>
      <c r="I107" s="188">
        <v>0</v>
      </c>
      <c r="J107" s="188"/>
      <c r="K107" s="188">
        <v>0</v>
      </c>
      <c r="L107" s="188">
        <v>0</v>
      </c>
      <c r="M107" s="188">
        <v>0</v>
      </c>
      <c r="N107" s="188">
        <v>0</v>
      </c>
      <c r="O107" s="188">
        <v>3000</v>
      </c>
      <c r="P107" s="188">
        <v>0</v>
      </c>
      <c r="Q107" s="186">
        <v>0</v>
      </c>
      <c r="R107" s="188">
        <v>0</v>
      </c>
      <c r="S107" s="185">
        <v>0</v>
      </c>
      <c r="T107" s="185">
        <v>0</v>
      </c>
      <c r="U107" s="188">
        <v>0</v>
      </c>
      <c r="V107" s="185">
        <v>0</v>
      </c>
      <c r="W107" s="185">
        <v>0</v>
      </c>
      <c r="X107" s="188">
        <v>0</v>
      </c>
      <c r="Y107" s="185">
        <v>0</v>
      </c>
      <c r="Z107" s="185">
        <v>0</v>
      </c>
      <c r="AA107" s="188">
        <v>0</v>
      </c>
      <c r="AB107" s="185">
        <v>0</v>
      </c>
      <c r="AC107" s="185">
        <v>0</v>
      </c>
      <c r="AD107" s="188">
        <v>31</v>
      </c>
      <c r="AE107" s="185">
        <v>6.7391304347826086E-3</v>
      </c>
      <c r="AF107" s="185">
        <v>7.0938215102974832E-3</v>
      </c>
      <c r="AG107" s="188">
        <v>31</v>
      </c>
      <c r="AH107" s="185">
        <v>6.7391304347826086E-3</v>
      </c>
      <c r="AI107" s="185">
        <v>7.0938215102974832E-3</v>
      </c>
      <c r="AJ107" s="303">
        <v>31</v>
      </c>
      <c r="AK107" s="185">
        <v>6.7391304347826086E-3</v>
      </c>
      <c r="AL107" s="185">
        <v>7.0938215102974832E-3</v>
      </c>
      <c r="AM107" s="188">
        <v>230</v>
      </c>
      <c r="AN107" s="185">
        <v>0.05</v>
      </c>
      <c r="AO107" s="185">
        <v>5.2631578947368418E-2</v>
      </c>
      <c r="AP107" s="185"/>
      <c r="AQ107" s="188">
        <v>538</v>
      </c>
      <c r="AR107" s="185">
        <v>0.11695652173913043</v>
      </c>
      <c r="AS107" s="185">
        <v>0.12311212814645309</v>
      </c>
      <c r="AT107" s="188">
        <v>697</v>
      </c>
      <c r="AU107" s="185">
        <v>0.15152173913043479</v>
      </c>
      <c r="AV107" s="185">
        <v>0.15949656750572083</v>
      </c>
      <c r="AW107" s="185"/>
      <c r="AX107" s="185"/>
      <c r="AY107" s="185"/>
      <c r="AZ107" s="185"/>
      <c r="BA107" s="185"/>
      <c r="BB107" s="185"/>
      <c r="BC107" s="188">
        <v>697</v>
      </c>
      <c r="BD107" s="185">
        <v>0.15152173913043479</v>
      </c>
      <c r="BE107" s="185">
        <v>0.15949656750572083</v>
      </c>
      <c r="BF107" s="188"/>
      <c r="BG107" s="188">
        <v>1366</v>
      </c>
      <c r="BH107" s="185">
        <v>0.29695652173913045</v>
      </c>
      <c r="BI107" s="185">
        <v>0.31258581235697941</v>
      </c>
      <c r="BJ107" s="188">
        <v>4370</v>
      </c>
      <c r="BK107" s="188">
        <v>1366</v>
      </c>
      <c r="BL107" s="185">
        <v>0.29695652173913045</v>
      </c>
      <c r="BM107" s="185">
        <v>0.31258581235697941</v>
      </c>
      <c r="BN107" s="188">
        <v>1366</v>
      </c>
      <c r="BO107" s="185">
        <f t="shared" si="105"/>
        <v>0.29695652173913045</v>
      </c>
      <c r="BP107" s="185">
        <f t="shared" si="106"/>
        <v>0.31258581235697941</v>
      </c>
      <c r="BQ107" s="205">
        <f t="shared" si="107"/>
        <v>1335</v>
      </c>
      <c r="BR107" s="205"/>
      <c r="BS107" s="189" t="e">
        <f>#REF!+#REF!</f>
        <v>#REF!</v>
      </c>
      <c r="BT107" s="186" t="e">
        <f t="shared" si="108"/>
        <v>#REF!</v>
      </c>
      <c r="BU107" s="189" t="e">
        <f>#REF!+#REF!</f>
        <v>#REF!</v>
      </c>
      <c r="BV107" s="186" t="e">
        <f t="shared" si="109"/>
        <v>#REF!</v>
      </c>
      <c r="BW107" s="189" t="e">
        <f>#REF!+#REF!</f>
        <v>#REF!</v>
      </c>
      <c r="BX107" s="186" t="e">
        <f t="shared" si="110"/>
        <v>#REF!</v>
      </c>
      <c r="BY107" s="189" t="e">
        <f>#REF!+#REF!</f>
        <v>#REF!</v>
      </c>
      <c r="BZ107" s="186" t="e">
        <f t="shared" si="111"/>
        <v>#REF!</v>
      </c>
      <c r="CA107" s="189" t="e">
        <f>#REF!+#REF!</f>
        <v>#REF!</v>
      </c>
      <c r="CB107" s="186" t="e">
        <f t="shared" si="112"/>
        <v>#REF!</v>
      </c>
      <c r="CC107" s="189" t="e">
        <f>#REF!+#REF!</f>
        <v>#REF!</v>
      </c>
      <c r="CD107" s="186" t="e">
        <f t="shared" si="113"/>
        <v>#REF!</v>
      </c>
      <c r="CE107" s="189" t="e">
        <f>#REF!+#REF!</f>
        <v>#REF!</v>
      </c>
      <c r="CF107" s="186" t="e">
        <f t="shared" si="114"/>
        <v>#REF!</v>
      </c>
      <c r="CG107" s="189" t="e">
        <f>#REF!+#REF!</f>
        <v>#REF!</v>
      </c>
      <c r="CH107" s="186" t="e">
        <f t="shared" si="115"/>
        <v>#REF!</v>
      </c>
      <c r="CI107" s="189" t="e">
        <f>#REF!+#REF!</f>
        <v>#REF!</v>
      </c>
      <c r="CJ107" s="186" t="e">
        <f t="shared" si="116"/>
        <v>#REF!</v>
      </c>
      <c r="CK107" s="189" t="e">
        <f>#REF!+#REF!</f>
        <v>#REF!</v>
      </c>
      <c r="CL107" s="186" t="e">
        <f t="shared" si="117"/>
        <v>#REF!</v>
      </c>
      <c r="CM107" s="189" t="e">
        <f>#REF!+#REF!</f>
        <v>#REF!</v>
      </c>
      <c r="CN107" s="186" t="e">
        <f t="shared" si="118"/>
        <v>#REF!</v>
      </c>
      <c r="CO107" s="189" t="e">
        <f>#REF!+#REF!</f>
        <v>#REF!</v>
      </c>
      <c r="CP107" s="186" t="e">
        <f t="shared" si="119"/>
        <v>#REF!</v>
      </c>
      <c r="CQ107" s="189" t="e">
        <f>#REF!+#REF!</f>
        <v>#REF!</v>
      </c>
      <c r="CR107" s="186" t="e">
        <f t="shared" si="120"/>
        <v>#REF!</v>
      </c>
      <c r="CS107" s="213" t="str">
        <f t="shared" si="121"/>
        <v>Đạt</v>
      </c>
      <c r="CT107" s="213" t="str">
        <f t="shared" si="122"/>
        <v>Không đạt</v>
      </c>
      <c r="CU107" s="213"/>
      <c r="CV107" s="213"/>
      <c r="CW107" s="231"/>
      <c r="CX107" s="163"/>
      <c r="CZ107" s="195"/>
      <c r="DA107" s="196"/>
      <c r="DB107" s="196"/>
      <c r="DC107" s="197"/>
      <c r="DD107" s="196"/>
      <c r="DE107" s="196"/>
      <c r="DF107" s="196"/>
      <c r="DH107" s="199"/>
      <c r="DI107" s="200"/>
      <c r="DJ107" s="181"/>
    </row>
    <row r="108" spans="1:114" ht="18" customHeight="1" x14ac:dyDescent="0.25">
      <c r="A108" s="213">
        <v>78</v>
      </c>
      <c r="B108" s="240" t="s">
        <v>481</v>
      </c>
      <c r="C108" s="240"/>
      <c r="D108" s="188">
        <v>38425</v>
      </c>
      <c r="E108" s="188">
        <v>0</v>
      </c>
      <c r="F108" s="188">
        <v>38425</v>
      </c>
      <c r="G108" s="188">
        <v>13000</v>
      </c>
      <c r="H108" s="188">
        <v>25425</v>
      </c>
      <c r="I108" s="188">
        <v>0</v>
      </c>
      <c r="J108" s="188"/>
      <c r="K108" s="188">
        <v>0</v>
      </c>
      <c r="L108" s="188">
        <v>0</v>
      </c>
      <c r="M108" s="188">
        <v>0</v>
      </c>
      <c r="N108" s="188">
        <v>0</v>
      </c>
      <c r="O108" s="188">
        <v>13000</v>
      </c>
      <c r="P108" s="188">
        <v>0</v>
      </c>
      <c r="Q108" s="186">
        <v>0</v>
      </c>
      <c r="R108" s="188">
        <v>0</v>
      </c>
      <c r="S108" s="185">
        <v>0</v>
      </c>
      <c r="T108" s="185">
        <v>0</v>
      </c>
      <c r="U108" s="188">
        <v>501.61723599999999</v>
      </c>
      <c r="V108" s="185">
        <v>1.3054449863370201E-2</v>
      </c>
      <c r="W108" s="185">
        <v>1.3741526171968632E-2</v>
      </c>
      <c r="X108" s="188">
        <v>501.61723599999999</v>
      </c>
      <c r="Y108" s="185">
        <v>1.3054449863370201E-2</v>
      </c>
      <c r="Z108" s="185">
        <v>1.3741526171968632E-2</v>
      </c>
      <c r="AA108" s="188">
        <v>501.61723599999999</v>
      </c>
      <c r="AB108" s="185">
        <v>1.3054449863370201E-2</v>
      </c>
      <c r="AC108" s="185">
        <v>1.3741526171968632E-2</v>
      </c>
      <c r="AD108" s="188">
        <v>2020.509648</v>
      </c>
      <c r="AE108" s="185">
        <v>5.2583204892648013E-2</v>
      </c>
      <c r="AF108" s="185">
        <v>5.5350741992261067E-2</v>
      </c>
      <c r="AG108" s="188">
        <v>2020.509648</v>
      </c>
      <c r="AH108" s="185">
        <v>5.2583204892648013E-2</v>
      </c>
      <c r="AI108" s="185">
        <v>5.5350741992261067E-2</v>
      </c>
      <c r="AJ108" s="317">
        <v>2020.509648</v>
      </c>
      <c r="AK108" s="185">
        <v>5.2583204892648013E-2</v>
      </c>
      <c r="AL108" s="185">
        <v>5.5350741992261067E-2</v>
      </c>
      <c r="AM108" s="188">
        <v>2020.509648</v>
      </c>
      <c r="AN108" s="185">
        <v>5.2583204892648013E-2</v>
      </c>
      <c r="AO108" s="185">
        <v>5.5350741992261067E-2</v>
      </c>
      <c r="AP108" s="185"/>
      <c r="AQ108" s="188">
        <v>7299.8275509999994</v>
      </c>
      <c r="AR108" s="185">
        <v>0.18997599351984384</v>
      </c>
      <c r="AS108" s="185">
        <v>0.19997473002088825</v>
      </c>
      <c r="AT108" s="188">
        <v>7299.8275509999994</v>
      </c>
      <c r="AU108" s="185">
        <v>0.18997599351984384</v>
      </c>
      <c r="AV108" s="185">
        <v>0.19997473002088825</v>
      </c>
      <c r="AW108" s="185"/>
      <c r="AX108" s="185"/>
      <c r="AY108" s="185"/>
      <c r="AZ108" s="185"/>
      <c r="BA108" s="185"/>
      <c r="BB108" s="185"/>
      <c r="BC108" s="188">
        <v>7299.8275509999994</v>
      </c>
      <c r="BD108" s="185">
        <v>0.18997599351984384</v>
      </c>
      <c r="BE108" s="185">
        <v>0.19997473002088825</v>
      </c>
      <c r="BF108" s="352"/>
      <c r="BG108" s="352">
        <v>11335.739648000001</v>
      </c>
      <c r="BH108" s="185">
        <v>0.29500948986337022</v>
      </c>
      <c r="BI108" s="185">
        <v>0.31053630511933705</v>
      </c>
      <c r="BJ108" s="374">
        <v>36503.75</v>
      </c>
      <c r="BK108" s="374">
        <v>11335.739648000001</v>
      </c>
      <c r="BL108" s="185">
        <v>0.29500948986337022</v>
      </c>
      <c r="BM108" s="185">
        <v>0.31053630511933705</v>
      </c>
      <c r="BN108" s="374">
        <v>11335.739648000001</v>
      </c>
      <c r="BO108" s="185">
        <f t="shared" si="105"/>
        <v>0.29500948986337022</v>
      </c>
      <c r="BP108" s="185">
        <f t="shared" si="106"/>
        <v>0.31053630511933705</v>
      </c>
      <c r="BQ108" s="205">
        <f t="shared" si="107"/>
        <v>9315.2300000000014</v>
      </c>
      <c r="BR108" s="205"/>
      <c r="BS108" s="189" t="e">
        <f>#REF!+BS109+#REF!</f>
        <v>#REF!</v>
      </c>
      <c r="BT108" s="186" t="e">
        <f t="shared" si="108"/>
        <v>#REF!</v>
      </c>
      <c r="BU108" s="189" t="e">
        <f>#REF!+BU109+#REF!</f>
        <v>#REF!</v>
      </c>
      <c r="BV108" s="186" t="e">
        <f t="shared" si="109"/>
        <v>#REF!</v>
      </c>
      <c r="BW108" s="189" t="e">
        <f>#REF!+BW109+#REF!</f>
        <v>#REF!</v>
      </c>
      <c r="BX108" s="186" t="e">
        <f t="shared" si="110"/>
        <v>#REF!</v>
      </c>
      <c r="BY108" s="189" t="e">
        <f>#REF!+BY109+#REF!</f>
        <v>#REF!</v>
      </c>
      <c r="BZ108" s="186" t="e">
        <f t="shared" si="111"/>
        <v>#REF!</v>
      </c>
      <c r="CA108" s="189" t="e">
        <f>#REF!+CA109+#REF!</f>
        <v>#REF!</v>
      </c>
      <c r="CB108" s="186" t="e">
        <f t="shared" si="112"/>
        <v>#REF!</v>
      </c>
      <c r="CC108" s="189" t="e">
        <f>#REF!+CC109+#REF!</f>
        <v>#REF!</v>
      </c>
      <c r="CD108" s="186" t="e">
        <f t="shared" si="113"/>
        <v>#REF!</v>
      </c>
      <c r="CE108" s="189" t="e">
        <f>#REF!+CE109+#REF!</f>
        <v>#REF!</v>
      </c>
      <c r="CF108" s="186" t="e">
        <f t="shared" si="114"/>
        <v>#REF!</v>
      </c>
      <c r="CG108" s="189" t="e">
        <f>#REF!+CG109+#REF!</f>
        <v>#REF!</v>
      </c>
      <c r="CH108" s="186" t="e">
        <f t="shared" si="115"/>
        <v>#REF!</v>
      </c>
      <c r="CI108" s="189" t="e">
        <f>#REF!+CI109+#REF!</f>
        <v>#REF!</v>
      </c>
      <c r="CJ108" s="186" t="e">
        <f t="shared" si="116"/>
        <v>#REF!</v>
      </c>
      <c r="CK108" s="189" t="e">
        <f>#REF!+CK109+#REF!</f>
        <v>#REF!</v>
      </c>
      <c r="CL108" s="186" t="e">
        <f t="shared" si="117"/>
        <v>#REF!</v>
      </c>
      <c r="CM108" s="189" t="e">
        <f>#REF!+CM109+#REF!</f>
        <v>#REF!</v>
      </c>
      <c r="CN108" s="186" t="e">
        <f t="shared" si="118"/>
        <v>#REF!</v>
      </c>
      <c r="CO108" s="189" t="e">
        <f>#REF!+CO109+#REF!</f>
        <v>#REF!</v>
      </c>
      <c r="CP108" s="186" t="e">
        <f t="shared" si="119"/>
        <v>#REF!</v>
      </c>
      <c r="CQ108" s="189" t="e">
        <f>#REF!+CQ109+#REF!</f>
        <v>#REF!</v>
      </c>
      <c r="CR108" s="186" t="e">
        <f t="shared" si="120"/>
        <v>#REF!</v>
      </c>
      <c r="CS108" s="213" t="str">
        <f t="shared" si="121"/>
        <v>Đạt</v>
      </c>
      <c r="CT108" s="213" t="str">
        <f t="shared" si="122"/>
        <v>Không đạt</v>
      </c>
      <c r="CU108" s="213"/>
      <c r="CV108" s="213"/>
      <c r="CW108" s="231"/>
      <c r="CX108" s="163"/>
      <c r="CZ108" s="195"/>
      <c r="DA108" s="196"/>
      <c r="DB108" s="196"/>
      <c r="DC108" s="197"/>
      <c r="DD108" s="196"/>
      <c r="DE108" s="196"/>
      <c r="DF108" s="196"/>
      <c r="DH108" s="199"/>
      <c r="DI108" s="200"/>
      <c r="DJ108" s="181"/>
    </row>
    <row r="109" spans="1:114" ht="18" customHeight="1" x14ac:dyDescent="0.25">
      <c r="A109" s="213">
        <v>79</v>
      </c>
      <c r="B109" s="344" t="s">
        <v>429</v>
      </c>
      <c r="C109" s="240"/>
      <c r="D109" s="188">
        <v>7675</v>
      </c>
      <c r="E109" s="188">
        <v>0</v>
      </c>
      <c r="F109" s="188">
        <v>7675</v>
      </c>
      <c r="G109" s="188">
        <v>3000</v>
      </c>
      <c r="H109" s="188">
        <v>4675</v>
      </c>
      <c r="I109" s="188">
        <v>0</v>
      </c>
      <c r="J109" s="188"/>
      <c r="K109" s="188">
        <v>0</v>
      </c>
      <c r="L109" s="188">
        <v>0</v>
      </c>
      <c r="M109" s="188">
        <v>0</v>
      </c>
      <c r="N109" s="188">
        <v>0</v>
      </c>
      <c r="O109" s="188">
        <v>3000</v>
      </c>
      <c r="P109" s="188">
        <v>0</v>
      </c>
      <c r="Q109" s="186">
        <v>0</v>
      </c>
      <c r="R109" s="188">
        <v>0</v>
      </c>
      <c r="S109" s="185">
        <v>0</v>
      </c>
      <c r="T109" s="185">
        <v>0</v>
      </c>
      <c r="U109" s="188">
        <v>595.112572</v>
      </c>
      <c r="V109" s="185">
        <v>7.7539097328990225E-2</v>
      </c>
      <c r="W109" s="185">
        <v>8.1620102451568657E-2</v>
      </c>
      <c r="X109" s="188">
        <v>595.112572</v>
      </c>
      <c r="Y109" s="185">
        <v>7.7539097328990225E-2</v>
      </c>
      <c r="Z109" s="185">
        <v>8.1620102451568657E-2</v>
      </c>
      <c r="AA109" s="188">
        <v>595.112572</v>
      </c>
      <c r="AB109" s="185">
        <v>7.7539097328990225E-2</v>
      </c>
      <c r="AC109" s="185">
        <v>8.1620102451568657E-2</v>
      </c>
      <c r="AD109" s="188">
        <v>1041</v>
      </c>
      <c r="AE109" s="185">
        <v>0.13563517915309448</v>
      </c>
      <c r="AF109" s="185">
        <v>0.14277387279273102</v>
      </c>
      <c r="AG109" s="188">
        <v>1041</v>
      </c>
      <c r="AH109" s="185">
        <v>0.13563517915309448</v>
      </c>
      <c r="AI109" s="185">
        <v>0.14277387279273102</v>
      </c>
      <c r="AJ109" s="303">
        <v>1041</v>
      </c>
      <c r="AK109" s="185">
        <v>0.13563517915309448</v>
      </c>
      <c r="AL109" s="185">
        <v>0.14277387279273102</v>
      </c>
      <c r="AM109" s="314">
        <v>1041</v>
      </c>
      <c r="AN109" s="185">
        <v>0.13563517915309448</v>
      </c>
      <c r="AO109" s="185">
        <v>0.14277387279273102</v>
      </c>
      <c r="AP109" s="185"/>
      <c r="AQ109" s="188">
        <v>1041</v>
      </c>
      <c r="AR109" s="185">
        <v>0.13563517915309448</v>
      </c>
      <c r="AS109" s="185">
        <v>0.14277387279273102</v>
      </c>
      <c r="AT109" s="188">
        <v>1041</v>
      </c>
      <c r="AU109" s="185">
        <v>0.13563517915309448</v>
      </c>
      <c r="AV109" s="185">
        <v>0.14277387279273102</v>
      </c>
      <c r="AW109" s="185"/>
      <c r="AX109" s="185"/>
      <c r="AY109" s="185"/>
      <c r="AZ109" s="185"/>
      <c r="BA109" s="185"/>
      <c r="BB109" s="185"/>
      <c r="BC109" s="188">
        <v>1041</v>
      </c>
      <c r="BD109" s="185">
        <v>0.13563517915309448</v>
      </c>
      <c r="BE109" s="185">
        <v>0.14277387279273102</v>
      </c>
      <c r="BF109" s="188"/>
      <c r="BG109" s="188">
        <v>1041</v>
      </c>
      <c r="BH109" s="185">
        <v>0.13563517915309448</v>
      </c>
      <c r="BI109" s="185">
        <v>0.14277387279273102</v>
      </c>
      <c r="BJ109" s="188">
        <v>7291.25</v>
      </c>
      <c r="BK109" s="188">
        <v>2250</v>
      </c>
      <c r="BL109" s="185">
        <v>0.29315960912052119</v>
      </c>
      <c r="BM109" s="185">
        <v>0.30858906223212756</v>
      </c>
      <c r="BN109" s="188">
        <v>2250</v>
      </c>
      <c r="BO109" s="185">
        <f t="shared" si="105"/>
        <v>0.29315960912052119</v>
      </c>
      <c r="BP109" s="185">
        <f t="shared" si="106"/>
        <v>0.30858906223212756</v>
      </c>
      <c r="BQ109" s="205">
        <f t="shared" si="107"/>
        <v>1209</v>
      </c>
      <c r="BR109" s="205"/>
      <c r="BS109" s="189" t="e">
        <f>#REF!+#REF!</f>
        <v>#REF!</v>
      </c>
      <c r="BT109" s="186" t="e">
        <f t="shared" si="108"/>
        <v>#REF!</v>
      </c>
      <c r="BU109" s="189" t="e">
        <f>#REF!+#REF!</f>
        <v>#REF!</v>
      </c>
      <c r="BV109" s="186" t="e">
        <f t="shared" si="109"/>
        <v>#REF!</v>
      </c>
      <c r="BW109" s="189" t="e">
        <f>#REF!+#REF!</f>
        <v>#REF!</v>
      </c>
      <c r="BX109" s="186" t="e">
        <f t="shared" si="110"/>
        <v>#REF!</v>
      </c>
      <c r="BY109" s="189" t="e">
        <f>#REF!+#REF!</f>
        <v>#REF!</v>
      </c>
      <c r="BZ109" s="186" t="e">
        <f t="shared" si="111"/>
        <v>#REF!</v>
      </c>
      <c r="CA109" s="189" t="e">
        <f>#REF!+#REF!</f>
        <v>#REF!</v>
      </c>
      <c r="CB109" s="186" t="e">
        <f t="shared" si="112"/>
        <v>#REF!</v>
      </c>
      <c r="CC109" s="189" t="e">
        <f>#REF!+#REF!</f>
        <v>#REF!</v>
      </c>
      <c r="CD109" s="186" t="e">
        <f t="shared" si="113"/>
        <v>#REF!</v>
      </c>
      <c r="CE109" s="189" t="e">
        <f>#REF!+#REF!</f>
        <v>#REF!</v>
      </c>
      <c r="CF109" s="186" t="e">
        <f t="shared" si="114"/>
        <v>#REF!</v>
      </c>
      <c r="CG109" s="189" t="e">
        <f>#REF!+#REF!</f>
        <v>#REF!</v>
      </c>
      <c r="CH109" s="186" t="e">
        <f t="shared" si="115"/>
        <v>#REF!</v>
      </c>
      <c r="CI109" s="189" t="e">
        <f>#REF!+#REF!</f>
        <v>#REF!</v>
      </c>
      <c r="CJ109" s="186" t="e">
        <f t="shared" si="116"/>
        <v>#REF!</v>
      </c>
      <c r="CK109" s="189" t="e">
        <f>#REF!+#REF!</f>
        <v>#REF!</v>
      </c>
      <c r="CL109" s="186" t="e">
        <f t="shared" si="117"/>
        <v>#REF!</v>
      </c>
      <c r="CM109" s="189" t="e">
        <f>#REF!+#REF!</f>
        <v>#REF!</v>
      </c>
      <c r="CN109" s="186" t="e">
        <f t="shared" si="118"/>
        <v>#REF!</v>
      </c>
      <c r="CO109" s="189" t="e">
        <f>#REF!+#REF!</f>
        <v>#REF!</v>
      </c>
      <c r="CP109" s="186" t="e">
        <f t="shared" si="119"/>
        <v>#REF!</v>
      </c>
      <c r="CQ109" s="189" t="e">
        <f>#REF!+#REF!</f>
        <v>#REF!</v>
      </c>
      <c r="CR109" s="186" t="e">
        <f t="shared" si="120"/>
        <v>#REF!</v>
      </c>
      <c r="CS109" s="213" t="str">
        <f t="shared" si="121"/>
        <v>Không đạt</v>
      </c>
      <c r="CT109" s="213" t="str">
        <f t="shared" si="122"/>
        <v>Không đạt</v>
      </c>
      <c r="CU109" s="213"/>
      <c r="CV109" s="213"/>
      <c r="CW109" s="231"/>
      <c r="CX109" s="163"/>
      <c r="CZ109" s="195"/>
      <c r="DA109" s="196"/>
      <c r="DB109" s="196"/>
      <c r="DC109" s="197"/>
      <c r="DD109" s="196"/>
      <c r="DE109" s="196"/>
      <c r="DF109" s="196"/>
      <c r="DH109" s="199"/>
      <c r="DI109" s="200"/>
      <c r="DJ109" s="181"/>
    </row>
    <row r="110" spans="1:114" ht="18" customHeight="1" x14ac:dyDescent="0.25">
      <c r="A110" s="213">
        <v>80</v>
      </c>
      <c r="B110" s="240" t="s">
        <v>478</v>
      </c>
      <c r="C110" s="240"/>
      <c r="D110" s="188">
        <v>4700</v>
      </c>
      <c r="E110" s="188">
        <v>0</v>
      </c>
      <c r="F110" s="188">
        <v>4700</v>
      </c>
      <c r="G110" s="188">
        <v>3000</v>
      </c>
      <c r="H110" s="188">
        <v>1700</v>
      </c>
      <c r="I110" s="188">
        <v>0</v>
      </c>
      <c r="J110" s="188"/>
      <c r="K110" s="188">
        <v>0</v>
      </c>
      <c r="L110" s="188">
        <v>0</v>
      </c>
      <c r="M110" s="188">
        <v>0</v>
      </c>
      <c r="N110" s="188">
        <v>0</v>
      </c>
      <c r="O110" s="188">
        <v>3000</v>
      </c>
      <c r="P110" s="188">
        <v>0</v>
      </c>
      <c r="Q110" s="186">
        <v>0</v>
      </c>
      <c r="R110" s="188">
        <v>0</v>
      </c>
      <c r="S110" s="185">
        <v>0</v>
      </c>
      <c r="T110" s="185">
        <v>0</v>
      </c>
      <c r="U110" s="188">
        <v>0</v>
      </c>
      <c r="V110" s="185">
        <v>0</v>
      </c>
      <c r="W110" s="185">
        <v>0</v>
      </c>
      <c r="X110" s="188">
        <v>0</v>
      </c>
      <c r="Y110" s="185">
        <v>0</v>
      </c>
      <c r="Z110" s="185">
        <v>0</v>
      </c>
      <c r="AA110" s="188">
        <v>0</v>
      </c>
      <c r="AB110" s="185">
        <v>0</v>
      </c>
      <c r="AC110" s="185">
        <v>0</v>
      </c>
      <c r="AD110" s="188">
        <v>323.27699999999999</v>
      </c>
      <c r="AE110" s="185">
        <v>6.8782340425531913E-2</v>
      </c>
      <c r="AF110" s="185">
        <v>7.2402463605823059E-2</v>
      </c>
      <c r="AG110" s="188">
        <v>323.27699999999999</v>
      </c>
      <c r="AH110" s="185">
        <v>6.8782340425531913E-2</v>
      </c>
      <c r="AI110" s="185">
        <v>7.2402463605823059E-2</v>
      </c>
      <c r="AJ110" s="307">
        <v>323.27699999999999</v>
      </c>
      <c r="AK110" s="185">
        <v>6.8782340425531913E-2</v>
      </c>
      <c r="AL110" s="185">
        <v>7.2402463605823059E-2</v>
      </c>
      <c r="AM110" s="188">
        <v>323.27699999999999</v>
      </c>
      <c r="AN110" s="185">
        <v>6.8782340425531913E-2</v>
      </c>
      <c r="AO110" s="185">
        <v>7.2402463605823059E-2</v>
      </c>
      <c r="AP110" s="185"/>
      <c r="AQ110" s="188">
        <v>1369.3629000000001</v>
      </c>
      <c r="AR110" s="185">
        <v>0.2913538085106383</v>
      </c>
      <c r="AS110" s="185">
        <v>0.30668821948488245</v>
      </c>
      <c r="AT110" s="188">
        <v>1369.3629000000001</v>
      </c>
      <c r="AU110" s="185">
        <v>0.2913538085106383</v>
      </c>
      <c r="AV110" s="185">
        <v>0.30668821948488245</v>
      </c>
      <c r="AW110" s="185"/>
      <c r="AX110" s="185"/>
      <c r="AY110" s="185"/>
      <c r="AZ110" s="185"/>
      <c r="BA110" s="185"/>
      <c r="BB110" s="185"/>
      <c r="BC110" s="188">
        <v>1369.3629000000001</v>
      </c>
      <c r="BD110" s="185">
        <v>0.2913538085106383</v>
      </c>
      <c r="BE110" s="185">
        <v>0.30668821948488245</v>
      </c>
      <c r="BF110" s="352"/>
      <c r="BG110" s="352">
        <v>1369.3629000000001</v>
      </c>
      <c r="BH110" s="185">
        <v>0.2913538085106383</v>
      </c>
      <c r="BI110" s="185">
        <v>0.30668821948488245</v>
      </c>
      <c r="BJ110" s="374">
        <v>4465</v>
      </c>
      <c r="BK110" s="374">
        <v>1369.3629000000001</v>
      </c>
      <c r="BL110" s="185">
        <v>0.2913538085106383</v>
      </c>
      <c r="BM110" s="185">
        <v>0.30668821948488245</v>
      </c>
      <c r="BN110" s="374">
        <v>1369.3629000000001</v>
      </c>
      <c r="BO110" s="185">
        <f t="shared" si="105"/>
        <v>0.2913538085106383</v>
      </c>
      <c r="BP110" s="185">
        <f t="shared" si="106"/>
        <v>0.30668821948488245</v>
      </c>
      <c r="BQ110" s="205">
        <f t="shared" si="107"/>
        <v>1046.0859</v>
      </c>
      <c r="BR110" s="205"/>
      <c r="BS110" s="189" t="e">
        <f>#REF!+#REF!</f>
        <v>#REF!</v>
      </c>
      <c r="BT110" s="186" t="e">
        <f t="shared" si="108"/>
        <v>#REF!</v>
      </c>
      <c r="BU110" s="189" t="e">
        <f>#REF!+#REF!</f>
        <v>#REF!</v>
      </c>
      <c r="BV110" s="186" t="e">
        <f t="shared" si="109"/>
        <v>#REF!</v>
      </c>
      <c r="BW110" s="189" t="e">
        <f>#REF!+#REF!</f>
        <v>#REF!</v>
      </c>
      <c r="BX110" s="186" t="e">
        <f t="shared" si="110"/>
        <v>#REF!</v>
      </c>
      <c r="BY110" s="189" t="e">
        <f>#REF!+#REF!</f>
        <v>#REF!</v>
      </c>
      <c r="BZ110" s="186" t="e">
        <f t="shared" si="111"/>
        <v>#REF!</v>
      </c>
      <c r="CA110" s="189" t="e">
        <f>#REF!+#REF!</f>
        <v>#REF!</v>
      </c>
      <c r="CB110" s="186" t="e">
        <f t="shared" si="112"/>
        <v>#REF!</v>
      </c>
      <c r="CC110" s="189" t="e">
        <f>#REF!+#REF!</f>
        <v>#REF!</v>
      </c>
      <c r="CD110" s="186" t="e">
        <f t="shared" si="113"/>
        <v>#REF!</v>
      </c>
      <c r="CE110" s="189" t="e">
        <f>#REF!+#REF!</f>
        <v>#REF!</v>
      </c>
      <c r="CF110" s="186" t="e">
        <f t="shared" si="114"/>
        <v>#REF!</v>
      </c>
      <c r="CG110" s="189" t="e">
        <f>#REF!+#REF!</f>
        <v>#REF!</v>
      </c>
      <c r="CH110" s="186" t="e">
        <f t="shared" si="115"/>
        <v>#REF!</v>
      </c>
      <c r="CI110" s="189" t="e">
        <f>#REF!+#REF!</f>
        <v>#REF!</v>
      </c>
      <c r="CJ110" s="186" t="e">
        <f t="shared" si="116"/>
        <v>#REF!</v>
      </c>
      <c r="CK110" s="189" t="e">
        <f>#REF!+#REF!</f>
        <v>#REF!</v>
      </c>
      <c r="CL110" s="186" t="e">
        <f t="shared" si="117"/>
        <v>#REF!</v>
      </c>
      <c r="CM110" s="189" t="e">
        <f>#REF!+#REF!</f>
        <v>#REF!</v>
      </c>
      <c r="CN110" s="186" t="e">
        <f t="shared" si="118"/>
        <v>#REF!</v>
      </c>
      <c r="CO110" s="189" t="e">
        <f>#REF!+#REF!</f>
        <v>#REF!</v>
      </c>
      <c r="CP110" s="186" t="e">
        <f t="shared" si="119"/>
        <v>#REF!</v>
      </c>
      <c r="CQ110" s="189" t="e">
        <f>#REF!+#REF!</f>
        <v>#REF!</v>
      </c>
      <c r="CR110" s="186" t="e">
        <f t="shared" si="120"/>
        <v>#REF!</v>
      </c>
      <c r="CS110" s="213" t="str">
        <f t="shared" si="121"/>
        <v>Không đạt</v>
      </c>
      <c r="CT110" s="213" t="str">
        <f t="shared" si="122"/>
        <v>Không đạt</v>
      </c>
      <c r="CU110" s="213"/>
      <c r="CV110" s="213"/>
      <c r="CW110" s="231"/>
      <c r="CX110" s="163"/>
      <c r="CZ110" s="195"/>
      <c r="DA110" s="196"/>
      <c r="DB110" s="196"/>
      <c r="DC110" s="197"/>
      <c r="DD110" s="196"/>
      <c r="DE110" s="196"/>
      <c r="DF110" s="196"/>
      <c r="DH110" s="199"/>
      <c r="DI110" s="200"/>
      <c r="DJ110" s="181"/>
    </row>
    <row r="111" spans="1:114" ht="18" customHeight="1" x14ac:dyDescent="0.25">
      <c r="A111" s="213">
        <v>81</v>
      </c>
      <c r="B111" s="240" t="s">
        <v>378</v>
      </c>
      <c r="C111" s="240"/>
      <c r="D111" s="188">
        <v>8200</v>
      </c>
      <c r="E111" s="188">
        <v>0</v>
      </c>
      <c r="F111" s="188">
        <v>8200</v>
      </c>
      <c r="G111" s="188">
        <v>3000</v>
      </c>
      <c r="H111" s="188">
        <v>5200</v>
      </c>
      <c r="I111" s="188">
        <v>0</v>
      </c>
      <c r="J111" s="188"/>
      <c r="K111" s="188">
        <v>0</v>
      </c>
      <c r="L111" s="188">
        <v>0</v>
      </c>
      <c r="M111" s="188">
        <v>0</v>
      </c>
      <c r="N111" s="188">
        <v>0</v>
      </c>
      <c r="O111" s="188">
        <v>3000</v>
      </c>
      <c r="P111" s="188">
        <v>0</v>
      </c>
      <c r="Q111" s="186">
        <v>0</v>
      </c>
      <c r="R111" s="189">
        <v>1175.9293540000001</v>
      </c>
      <c r="S111" s="185">
        <v>0.14340601878048781</v>
      </c>
      <c r="T111" s="185">
        <v>0.15095370397946087</v>
      </c>
      <c r="U111" s="189">
        <v>1175.9293540000001</v>
      </c>
      <c r="V111" s="185">
        <v>0.14340601878048781</v>
      </c>
      <c r="W111" s="185">
        <v>0.15095370397946087</v>
      </c>
      <c r="X111" s="189">
        <v>1175.9293540000001</v>
      </c>
      <c r="Y111" s="185">
        <v>0.14340601878048781</v>
      </c>
      <c r="Z111" s="185">
        <v>0.15095370397946087</v>
      </c>
      <c r="AA111" s="189">
        <v>1175.9293540000001</v>
      </c>
      <c r="AB111" s="185">
        <v>0.14340601878048781</v>
      </c>
      <c r="AC111" s="185">
        <v>0.15095370397946087</v>
      </c>
      <c r="AD111" s="189">
        <v>1175.9293540000001</v>
      </c>
      <c r="AE111" s="185">
        <v>0.14340601878048781</v>
      </c>
      <c r="AF111" s="185">
        <v>0.15095370397946087</v>
      </c>
      <c r="AG111" s="189">
        <v>1175.9293540000001</v>
      </c>
      <c r="AH111" s="185">
        <v>0.14340601878048781</v>
      </c>
      <c r="AI111" s="185">
        <v>0.15095370397946087</v>
      </c>
      <c r="AJ111" s="303">
        <v>1175.9293540000001</v>
      </c>
      <c r="AK111" s="185">
        <v>0.14340601878048781</v>
      </c>
      <c r="AL111" s="185">
        <v>0.15095370397946087</v>
      </c>
      <c r="AM111" s="189">
        <v>2347.4313540000003</v>
      </c>
      <c r="AN111" s="185">
        <v>0.28627211634146343</v>
      </c>
      <c r="AO111" s="185">
        <v>0.30133906983311942</v>
      </c>
      <c r="AP111" s="185"/>
      <c r="AQ111" s="189">
        <v>2347.4313540000003</v>
      </c>
      <c r="AR111" s="185">
        <v>0.28627211634146343</v>
      </c>
      <c r="AS111" s="185">
        <v>0.30133906983311942</v>
      </c>
      <c r="AT111" s="189">
        <v>2347.4313540000003</v>
      </c>
      <c r="AU111" s="185">
        <v>0.28627211634146343</v>
      </c>
      <c r="AV111" s="185">
        <v>0.30133906983311942</v>
      </c>
      <c r="AW111" s="185"/>
      <c r="AX111" s="185"/>
      <c r="AY111" s="185"/>
      <c r="AZ111" s="185"/>
      <c r="BA111" s="185"/>
      <c r="BB111" s="185"/>
      <c r="BC111" s="189">
        <v>2347.4313540000003</v>
      </c>
      <c r="BD111" s="185">
        <v>0.28627211634146343</v>
      </c>
      <c r="BE111" s="185">
        <v>0.30133906983311942</v>
      </c>
      <c r="BF111" s="189"/>
      <c r="BG111" s="189">
        <v>2347.4313540000003</v>
      </c>
      <c r="BH111" s="185">
        <v>0.28627211634146343</v>
      </c>
      <c r="BI111" s="185">
        <v>0.30133906983311942</v>
      </c>
      <c r="BJ111" s="189">
        <v>7790</v>
      </c>
      <c r="BK111" s="189">
        <v>2353</v>
      </c>
      <c r="BL111" s="185">
        <v>0.2869512195121951</v>
      </c>
      <c r="BM111" s="185">
        <v>0.30205391527599484</v>
      </c>
      <c r="BN111" s="189">
        <v>2353</v>
      </c>
      <c r="BO111" s="185">
        <f t="shared" si="105"/>
        <v>0.2869512195121951</v>
      </c>
      <c r="BP111" s="185">
        <f t="shared" si="106"/>
        <v>0.30205391527599484</v>
      </c>
      <c r="BQ111" s="205">
        <f t="shared" si="107"/>
        <v>1177.0706459999999</v>
      </c>
      <c r="BR111" s="205"/>
      <c r="BS111" s="189" t="e">
        <f>#REF!+#REF!</f>
        <v>#REF!</v>
      </c>
      <c r="BT111" s="186" t="e">
        <f t="shared" si="108"/>
        <v>#REF!</v>
      </c>
      <c r="BU111" s="189" t="e">
        <f>#REF!+#REF!</f>
        <v>#REF!</v>
      </c>
      <c r="BV111" s="186" t="e">
        <f t="shared" si="109"/>
        <v>#REF!</v>
      </c>
      <c r="BW111" s="189" t="e">
        <f>#REF!+#REF!</f>
        <v>#REF!</v>
      </c>
      <c r="BX111" s="186" t="e">
        <f t="shared" si="110"/>
        <v>#REF!</v>
      </c>
      <c r="BY111" s="189" t="e">
        <f>#REF!+#REF!</f>
        <v>#REF!</v>
      </c>
      <c r="BZ111" s="186" t="e">
        <f t="shared" si="111"/>
        <v>#REF!</v>
      </c>
      <c r="CA111" s="189" t="e">
        <f>#REF!+#REF!</f>
        <v>#REF!</v>
      </c>
      <c r="CB111" s="186" t="e">
        <f t="shared" si="112"/>
        <v>#REF!</v>
      </c>
      <c r="CC111" s="189" t="e">
        <f>#REF!+#REF!</f>
        <v>#REF!</v>
      </c>
      <c r="CD111" s="186" t="e">
        <f t="shared" si="113"/>
        <v>#REF!</v>
      </c>
      <c r="CE111" s="189" t="e">
        <f>#REF!+#REF!</f>
        <v>#REF!</v>
      </c>
      <c r="CF111" s="186" t="e">
        <f t="shared" si="114"/>
        <v>#REF!</v>
      </c>
      <c r="CG111" s="189" t="e">
        <f>#REF!+#REF!</f>
        <v>#REF!</v>
      </c>
      <c r="CH111" s="186" t="e">
        <f t="shared" si="115"/>
        <v>#REF!</v>
      </c>
      <c r="CI111" s="189" t="e">
        <f>#REF!+#REF!</f>
        <v>#REF!</v>
      </c>
      <c r="CJ111" s="186" t="e">
        <f t="shared" si="116"/>
        <v>#REF!</v>
      </c>
      <c r="CK111" s="189" t="e">
        <f>#REF!+#REF!</f>
        <v>#REF!</v>
      </c>
      <c r="CL111" s="186" t="e">
        <f t="shared" si="117"/>
        <v>#REF!</v>
      </c>
      <c r="CM111" s="189" t="e">
        <f>#REF!+#REF!</f>
        <v>#REF!</v>
      </c>
      <c r="CN111" s="186" t="e">
        <f t="shared" si="118"/>
        <v>#REF!</v>
      </c>
      <c r="CO111" s="189" t="e">
        <f>#REF!+#REF!</f>
        <v>#REF!</v>
      </c>
      <c r="CP111" s="186" t="e">
        <f t="shared" si="119"/>
        <v>#REF!</v>
      </c>
      <c r="CQ111" s="189" t="e">
        <f>#REF!+#REF!</f>
        <v>#REF!</v>
      </c>
      <c r="CR111" s="186" t="e">
        <f t="shared" si="120"/>
        <v>#REF!</v>
      </c>
      <c r="CS111" s="213" t="str">
        <f t="shared" si="121"/>
        <v>Không đạt</v>
      </c>
      <c r="CT111" s="213" t="str">
        <f t="shared" si="122"/>
        <v>Không đạt</v>
      </c>
      <c r="CU111" s="213"/>
      <c r="CV111" s="213"/>
      <c r="CW111" s="231"/>
      <c r="CX111" s="163"/>
      <c r="CZ111" s="195"/>
      <c r="DA111" s="196"/>
      <c r="DB111" s="196"/>
      <c r="DC111" s="197"/>
      <c r="DD111" s="196"/>
      <c r="DE111" s="196"/>
      <c r="DF111" s="196"/>
      <c r="DH111" s="199"/>
      <c r="DI111" s="200"/>
      <c r="DJ111" s="181"/>
    </row>
    <row r="112" spans="1:114" ht="18" customHeight="1" x14ac:dyDescent="0.25">
      <c r="A112" s="213">
        <v>82</v>
      </c>
      <c r="B112" s="240" t="s">
        <v>448</v>
      </c>
      <c r="C112" s="240"/>
      <c r="D112" s="188">
        <v>3535</v>
      </c>
      <c r="E112" s="188">
        <v>0</v>
      </c>
      <c r="F112" s="188">
        <v>3535</v>
      </c>
      <c r="G112" s="188">
        <v>3000</v>
      </c>
      <c r="H112" s="188">
        <v>535</v>
      </c>
      <c r="I112" s="188">
        <v>0</v>
      </c>
      <c r="J112" s="188"/>
      <c r="K112" s="188">
        <v>0</v>
      </c>
      <c r="L112" s="188">
        <v>0</v>
      </c>
      <c r="M112" s="188">
        <v>0</v>
      </c>
      <c r="N112" s="188">
        <v>0</v>
      </c>
      <c r="O112" s="188">
        <v>3000</v>
      </c>
      <c r="P112" s="188">
        <v>0</v>
      </c>
      <c r="Q112" s="186">
        <v>0</v>
      </c>
      <c r="R112" s="188">
        <v>0</v>
      </c>
      <c r="S112" s="185">
        <v>0</v>
      </c>
      <c r="T112" s="185">
        <v>0</v>
      </c>
      <c r="U112" s="188">
        <v>0</v>
      </c>
      <c r="V112" s="185">
        <v>0</v>
      </c>
      <c r="W112" s="185">
        <v>0</v>
      </c>
      <c r="X112" s="188">
        <v>0</v>
      </c>
      <c r="Y112" s="185">
        <v>0</v>
      </c>
      <c r="Z112" s="185">
        <v>0</v>
      </c>
      <c r="AA112" s="188">
        <v>0</v>
      </c>
      <c r="AB112" s="185">
        <v>0</v>
      </c>
      <c r="AC112" s="185">
        <v>0</v>
      </c>
      <c r="AD112" s="188">
        <v>316</v>
      </c>
      <c r="AE112" s="185">
        <v>8.9391796322489392E-2</v>
      </c>
      <c r="AF112" s="185">
        <v>9.4096627707883573E-2</v>
      </c>
      <c r="AG112" s="188">
        <v>316</v>
      </c>
      <c r="AH112" s="185">
        <v>8.9391796322489392E-2</v>
      </c>
      <c r="AI112" s="185">
        <v>9.4096627707883573E-2</v>
      </c>
      <c r="AJ112" s="303">
        <v>316</v>
      </c>
      <c r="AK112" s="185">
        <v>8.9391796322489392E-2</v>
      </c>
      <c r="AL112" s="185">
        <v>9.4096627707883573E-2</v>
      </c>
      <c r="AM112" s="188">
        <v>971</v>
      </c>
      <c r="AN112" s="185">
        <v>0.2746817538896747</v>
      </c>
      <c r="AO112" s="185">
        <v>0.28913868830492073</v>
      </c>
      <c r="AP112" s="185"/>
      <c r="AQ112" s="188">
        <v>971</v>
      </c>
      <c r="AR112" s="185">
        <v>0.2746817538896747</v>
      </c>
      <c r="AS112" s="185">
        <v>0.28913868830492073</v>
      </c>
      <c r="AT112" s="188">
        <v>971</v>
      </c>
      <c r="AU112" s="185">
        <v>0.2746817538896747</v>
      </c>
      <c r="AV112" s="185">
        <v>0.28913868830492073</v>
      </c>
      <c r="AW112" s="185"/>
      <c r="AX112" s="185"/>
      <c r="AY112" s="185"/>
      <c r="AZ112" s="185"/>
      <c r="BA112" s="185"/>
      <c r="BB112" s="185"/>
      <c r="BC112" s="188">
        <v>971</v>
      </c>
      <c r="BD112" s="185">
        <v>0.2746817538896747</v>
      </c>
      <c r="BE112" s="185">
        <v>0.28913868830492073</v>
      </c>
      <c r="BF112" s="188"/>
      <c r="BG112" s="188">
        <v>971</v>
      </c>
      <c r="BH112" s="185">
        <v>0.2746817538896747</v>
      </c>
      <c r="BI112" s="185">
        <v>0.28913868830492073</v>
      </c>
      <c r="BJ112" s="188">
        <v>3358.25</v>
      </c>
      <c r="BK112" s="188">
        <v>971</v>
      </c>
      <c r="BL112" s="185">
        <v>0.2746817538896747</v>
      </c>
      <c r="BM112" s="185">
        <v>0.28913868830492073</v>
      </c>
      <c r="BN112" s="188">
        <v>971</v>
      </c>
      <c r="BO112" s="185">
        <f t="shared" si="105"/>
        <v>0.2746817538896747</v>
      </c>
      <c r="BP112" s="185">
        <f t="shared" si="106"/>
        <v>0.28913868830492073</v>
      </c>
      <c r="BQ112" s="205">
        <f t="shared" si="107"/>
        <v>655</v>
      </c>
      <c r="BR112" s="205"/>
      <c r="BS112" s="189" t="e">
        <f>#REF!+#REF!</f>
        <v>#REF!</v>
      </c>
      <c r="BT112" s="186" t="e">
        <f t="shared" si="108"/>
        <v>#REF!</v>
      </c>
      <c r="BU112" s="189" t="e">
        <f>#REF!+#REF!</f>
        <v>#REF!</v>
      </c>
      <c r="BV112" s="186" t="e">
        <f t="shared" si="109"/>
        <v>#REF!</v>
      </c>
      <c r="BW112" s="189" t="e">
        <f>#REF!+#REF!</f>
        <v>#REF!</v>
      </c>
      <c r="BX112" s="186" t="e">
        <f t="shared" si="110"/>
        <v>#REF!</v>
      </c>
      <c r="BY112" s="189" t="e">
        <f>#REF!+#REF!</f>
        <v>#REF!</v>
      </c>
      <c r="BZ112" s="186" t="e">
        <f t="shared" si="111"/>
        <v>#REF!</v>
      </c>
      <c r="CA112" s="189" t="e">
        <f>#REF!+#REF!</f>
        <v>#REF!</v>
      </c>
      <c r="CB112" s="186" t="e">
        <f t="shared" si="112"/>
        <v>#REF!</v>
      </c>
      <c r="CC112" s="189" t="e">
        <f>#REF!+#REF!</f>
        <v>#REF!</v>
      </c>
      <c r="CD112" s="186" t="e">
        <f t="shared" si="113"/>
        <v>#REF!</v>
      </c>
      <c r="CE112" s="189" t="e">
        <f>#REF!+#REF!</f>
        <v>#REF!</v>
      </c>
      <c r="CF112" s="186" t="e">
        <f t="shared" si="114"/>
        <v>#REF!</v>
      </c>
      <c r="CG112" s="189" t="e">
        <f>#REF!+#REF!</f>
        <v>#REF!</v>
      </c>
      <c r="CH112" s="186" t="e">
        <f t="shared" si="115"/>
        <v>#REF!</v>
      </c>
      <c r="CI112" s="189" t="e">
        <f>#REF!+#REF!</f>
        <v>#REF!</v>
      </c>
      <c r="CJ112" s="186" t="e">
        <f t="shared" si="116"/>
        <v>#REF!</v>
      </c>
      <c r="CK112" s="189" t="e">
        <f>#REF!+#REF!</f>
        <v>#REF!</v>
      </c>
      <c r="CL112" s="186" t="e">
        <f t="shared" si="117"/>
        <v>#REF!</v>
      </c>
      <c r="CM112" s="189" t="e">
        <f>#REF!+#REF!</f>
        <v>#REF!</v>
      </c>
      <c r="CN112" s="186" t="e">
        <f t="shared" si="118"/>
        <v>#REF!</v>
      </c>
      <c r="CO112" s="189" t="e">
        <f>#REF!+#REF!</f>
        <v>#REF!</v>
      </c>
      <c r="CP112" s="186" t="e">
        <f t="shared" si="119"/>
        <v>#REF!</v>
      </c>
      <c r="CQ112" s="189" t="e">
        <f>#REF!+#REF!</f>
        <v>#REF!</v>
      </c>
      <c r="CR112" s="186" t="e">
        <f t="shared" si="120"/>
        <v>#REF!</v>
      </c>
      <c r="CS112" s="213" t="str">
        <f t="shared" si="121"/>
        <v>Không đạt</v>
      </c>
      <c r="CT112" s="213" t="str">
        <f t="shared" si="122"/>
        <v>Không đạt</v>
      </c>
      <c r="CU112" s="213"/>
      <c r="CV112" s="213"/>
      <c r="CW112" s="231"/>
      <c r="CX112" s="163"/>
      <c r="CZ112" s="195"/>
      <c r="DA112" s="196"/>
      <c r="DB112" s="196"/>
      <c r="DC112" s="197"/>
      <c r="DD112" s="196"/>
      <c r="DE112" s="196"/>
      <c r="DF112" s="196"/>
      <c r="DH112" s="199"/>
      <c r="DI112" s="200"/>
      <c r="DJ112" s="181"/>
    </row>
    <row r="113" spans="1:114" ht="18" customHeight="1" x14ac:dyDescent="0.25">
      <c r="A113" s="213">
        <v>83</v>
      </c>
      <c r="B113" s="240" t="s">
        <v>423</v>
      </c>
      <c r="C113" s="240"/>
      <c r="D113" s="188">
        <v>10600</v>
      </c>
      <c r="E113" s="188">
        <v>0</v>
      </c>
      <c r="F113" s="188">
        <v>10600</v>
      </c>
      <c r="G113" s="188">
        <v>3000</v>
      </c>
      <c r="H113" s="188">
        <v>7600</v>
      </c>
      <c r="I113" s="188">
        <v>1425</v>
      </c>
      <c r="J113" s="188"/>
      <c r="K113" s="188">
        <v>0</v>
      </c>
      <c r="L113" s="188">
        <v>0</v>
      </c>
      <c r="M113" s="188">
        <v>0</v>
      </c>
      <c r="N113" s="188">
        <v>0</v>
      </c>
      <c r="O113" s="188">
        <v>4425</v>
      </c>
      <c r="P113" s="188">
        <v>0</v>
      </c>
      <c r="Q113" s="186">
        <v>0</v>
      </c>
      <c r="R113" s="188">
        <v>0</v>
      </c>
      <c r="S113" s="185">
        <v>0</v>
      </c>
      <c r="T113" s="185">
        <v>0</v>
      </c>
      <c r="U113" s="188">
        <v>0</v>
      </c>
      <c r="V113" s="185">
        <v>0</v>
      </c>
      <c r="W113" s="185">
        <v>0</v>
      </c>
      <c r="X113" s="188">
        <v>0</v>
      </c>
      <c r="Y113" s="185">
        <v>0</v>
      </c>
      <c r="Z113" s="185">
        <v>0</v>
      </c>
      <c r="AA113" s="188">
        <v>0</v>
      </c>
      <c r="AB113" s="185">
        <v>0</v>
      </c>
      <c r="AC113" s="185">
        <v>0</v>
      </c>
      <c r="AD113" s="188">
        <v>604</v>
      </c>
      <c r="AE113" s="185">
        <v>5.6981132075471695E-2</v>
      </c>
      <c r="AF113" s="185">
        <v>5.9980139026812311E-2</v>
      </c>
      <c r="AG113" s="188">
        <v>604</v>
      </c>
      <c r="AH113" s="185">
        <v>5.6981132075471695E-2</v>
      </c>
      <c r="AI113" s="185">
        <v>5.9980139026812311E-2</v>
      </c>
      <c r="AJ113" s="317">
        <v>604</v>
      </c>
      <c r="AK113" s="185">
        <v>5.6981132075471695E-2</v>
      </c>
      <c r="AL113" s="185">
        <v>5.9980139026812311E-2</v>
      </c>
      <c r="AM113" s="188">
        <v>1628</v>
      </c>
      <c r="AN113" s="185">
        <v>0.15358490566037736</v>
      </c>
      <c r="AO113" s="185">
        <v>0.16166832174776563</v>
      </c>
      <c r="AP113" s="185"/>
      <c r="AQ113" s="188">
        <v>1683.9950899999999</v>
      </c>
      <c r="AR113" s="185">
        <v>0.15886746132075472</v>
      </c>
      <c r="AS113" s="185">
        <v>0.16722890665342602</v>
      </c>
      <c r="AT113" s="188">
        <v>1683.9950899999999</v>
      </c>
      <c r="AU113" s="185">
        <v>0.15886746132075472</v>
      </c>
      <c r="AV113" s="185">
        <v>0.16722890665342602</v>
      </c>
      <c r="AW113" s="185"/>
      <c r="AX113" s="185"/>
      <c r="AY113" s="185"/>
      <c r="AZ113" s="185"/>
      <c r="BA113" s="185"/>
      <c r="BB113" s="185"/>
      <c r="BC113" s="188">
        <v>1683.9950899999999</v>
      </c>
      <c r="BD113" s="185">
        <v>0.15886746132075472</v>
      </c>
      <c r="BE113" s="185">
        <v>0.16722890665342602</v>
      </c>
      <c r="BF113" s="188"/>
      <c r="BG113" s="188">
        <v>2685.8945779999999</v>
      </c>
      <c r="BH113" s="185">
        <v>0.25338628094339621</v>
      </c>
      <c r="BI113" s="185">
        <v>0.26672240099304867</v>
      </c>
      <c r="BJ113" s="188">
        <v>10070</v>
      </c>
      <c r="BK113" s="188">
        <v>2884.05</v>
      </c>
      <c r="BL113" s="185">
        <v>0.27208018867924533</v>
      </c>
      <c r="BM113" s="185">
        <v>0.28640019860973187</v>
      </c>
      <c r="BN113" s="188">
        <v>2884.05</v>
      </c>
      <c r="BO113" s="185">
        <f t="shared" si="105"/>
        <v>0.27208018867924533</v>
      </c>
      <c r="BP113" s="185">
        <f t="shared" si="106"/>
        <v>0.28640019860973187</v>
      </c>
      <c r="BQ113" s="205">
        <f t="shared" si="107"/>
        <v>2280.0500000000002</v>
      </c>
      <c r="BR113" s="205"/>
      <c r="BS113" s="189" t="e">
        <f>#REF!+#REF!+BS114</f>
        <v>#REF!</v>
      </c>
      <c r="BT113" s="186" t="e">
        <f t="shared" si="108"/>
        <v>#REF!</v>
      </c>
      <c r="BU113" s="189" t="e">
        <f>#REF!+#REF!+BU114</f>
        <v>#REF!</v>
      </c>
      <c r="BV113" s="186" t="e">
        <f t="shared" si="109"/>
        <v>#REF!</v>
      </c>
      <c r="BW113" s="189" t="e">
        <f>#REF!+#REF!+BW114</f>
        <v>#REF!</v>
      </c>
      <c r="BX113" s="186" t="e">
        <f t="shared" si="110"/>
        <v>#REF!</v>
      </c>
      <c r="BY113" s="189" t="e">
        <f>#REF!+#REF!+BY114</f>
        <v>#REF!</v>
      </c>
      <c r="BZ113" s="186" t="e">
        <f t="shared" si="111"/>
        <v>#REF!</v>
      </c>
      <c r="CA113" s="189" t="e">
        <f>#REF!+#REF!+CA114</f>
        <v>#REF!</v>
      </c>
      <c r="CB113" s="186" t="e">
        <f t="shared" si="112"/>
        <v>#REF!</v>
      </c>
      <c r="CC113" s="189" t="e">
        <f>#REF!+#REF!+CC114</f>
        <v>#REF!</v>
      </c>
      <c r="CD113" s="186" t="e">
        <f t="shared" si="113"/>
        <v>#REF!</v>
      </c>
      <c r="CE113" s="189" t="e">
        <f>#REF!+#REF!+CE114</f>
        <v>#REF!</v>
      </c>
      <c r="CF113" s="186" t="e">
        <f t="shared" si="114"/>
        <v>#REF!</v>
      </c>
      <c r="CG113" s="189" t="e">
        <f>#REF!+#REF!+CG114</f>
        <v>#REF!</v>
      </c>
      <c r="CH113" s="186" t="e">
        <f t="shared" si="115"/>
        <v>#REF!</v>
      </c>
      <c r="CI113" s="189" t="e">
        <f>#REF!+#REF!+CI114</f>
        <v>#REF!</v>
      </c>
      <c r="CJ113" s="186" t="e">
        <f t="shared" si="116"/>
        <v>#REF!</v>
      </c>
      <c r="CK113" s="189" t="e">
        <f>#REF!+#REF!+CK114</f>
        <v>#REF!</v>
      </c>
      <c r="CL113" s="186" t="e">
        <f t="shared" si="117"/>
        <v>#REF!</v>
      </c>
      <c r="CM113" s="189" t="e">
        <f>#REF!+#REF!+CM114</f>
        <v>#REF!</v>
      </c>
      <c r="CN113" s="186" t="e">
        <f t="shared" si="118"/>
        <v>#REF!</v>
      </c>
      <c r="CO113" s="189" t="e">
        <f>#REF!+#REF!+CO114</f>
        <v>#REF!</v>
      </c>
      <c r="CP113" s="186" t="e">
        <f t="shared" si="119"/>
        <v>#REF!</v>
      </c>
      <c r="CQ113" s="189" t="e">
        <f>#REF!+#REF!+CQ114</f>
        <v>#REF!</v>
      </c>
      <c r="CR113" s="186" t="e">
        <f t="shared" si="120"/>
        <v>#REF!</v>
      </c>
      <c r="CS113" s="213" t="str">
        <f t="shared" si="121"/>
        <v>Không đạt</v>
      </c>
      <c r="CT113" s="213" t="str">
        <f t="shared" si="122"/>
        <v>Không đạt</v>
      </c>
      <c r="CU113" s="213"/>
      <c r="CV113" s="213"/>
      <c r="CW113" s="231"/>
      <c r="CX113" s="163"/>
      <c r="CZ113" s="195"/>
      <c r="DA113" s="196"/>
      <c r="DB113" s="196"/>
      <c r="DC113" s="197"/>
      <c r="DD113" s="196"/>
      <c r="DE113" s="196"/>
      <c r="DF113" s="196"/>
      <c r="DH113" s="199"/>
      <c r="DI113" s="200"/>
      <c r="DJ113" s="181"/>
    </row>
    <row r="114" spans="1:114" ht="18" customHeight="1" x14ac:dyDescent="0.25">
      <c r="A114" s="213">
        <v>84</v>
      </c>
      <c r="B114" s="240" t="s">
        <v>451</v>
      </c>
      <c r="C114" s="240"/>
      <c r="D114" s="188">
        <v>14948.663</v>
      </c>
      <c r="E114" s="188">
        <v>0</v>
      </c>
      <c r="F114" s="188">
        <v>14948.663</v>
      </c>
      <c r="G114" s="188">
        <v>3573.663</v>
      </c>
      <c r="H114" s="188">
        <v>11375</v>
      </c>
      <c r="I114" s="188">
        <v>0</v>
      </c>
      <c r="J114" s="188">
        <v>0</v>
      </c>
      <c r="K114" s="188">
        <v>0</v>
      </c>
      <c r="L114" s="188">
        <v>0</v>
      </c>
      <c r="M114" s="188">
        <v>0</v>
      </c>
      <c r="N114" s="188">
        <v>0</v>
      </c>
      <c r="O114" s="188">
        <v>3000</v>
      </c>
      <c r="P114" s="188">
        <v>0</v>
      </c>
      <c r="Q114" s="188">
        <v>0</v>
      </c>
      <c r="R114" s="188">
        <v>0</v>
      </c>
      <c r="S114" s="188">
        <v>0</v>
      </c>
      <c r="T114" s="188">
        <v>0</v>
      </c>
      <c r="U114" s="188">
        <v>0</v>
      </c>
      <c r="V114" s="188">
        <v>0</v>
      </c>
      <c r="W114" s="188">
        <v>0</v>
      </c>
      <c r="X114" s="188">
        <v>0</v>
      </c>
      <c r="Y114" s="188">
        <v>0</v>
      </c>
      <c r="Z114" s="188">
        <v>0</v>
      </c>
      <c r="AA114" s="188">
        <v>0</v>
      </c>
      <c r="AB114" s="188">
        <v>0</v>
      </c>
      <c r="AC114" s="188">
        <v>0</v>
      </c>
      <c r="AD114" s="188">
        <v>3176</v>
      </c>
      <c r="AE114" s="188">
        <v>0.31759999999999999</v>
      </c>
      <c r="AF114" s="188">
        <v>0.33431578947368423</v>
      </c>
      <c r="AG114" s="188">
        <v>3176</v>
      </c>
      <c r="AH114" s="188">
        <v>0.31759999999999999</v>
      </c>
      <c r="AI114" s="188">
        <v>0.33431578947368423</v>
      </c>
      <c r="AJ114" s="188">
        <v>3176</v>
      </c>
      <c r="AK114" s="188">
        <v>0.31759999999999999</v>
      </c>
      <c r="AL114" s="188">
        <v>0.33431578947368423</v>
      </c>
      <c r="AM114" s="188">
        <v>3176</v>
      </c>
      <c r="AN114" s="188">
        <v>0.31759999999999999</v>
      </c>
      <c r="AO114" s="188">
        <v>0.33431578947368423</v>
      </c>
      <c r="AP114" s="188">
        <v>0</v>
      </c>
      <c r="AQ114" s="188">
        <v>2430</v>
      </c>
      <c r="AR114" s="188">
        <v>0.81</v>
      </c>
      <c r="AS114" s="188">
        <v>0.85263157894736841</v>
      </c>
      <c r="AT114" s="188">
        <v>2430</v>
      </c>
      <c r="AU114" s="188">
        <v>0.81</v>
      </c>
      <c r="AV114" s="188">
        <v>0.85263157894736841</v>
      </c>
      <c r="AW114" s="188">
        <v>0</v>
      </c>
      <c r="AX114" s="188">
        <v>0</v>
      </c>
      <c r="AY114" s="188">
        <v>0</v>
      </c>
      <c r="AZ114" s="188">
        <v>0</v>
      </c>
      <c r="BA114" s="188">
        <v>0</v>
      </c>
      <c r="BB114" s="188">
        <v>0</v>
      </c>
      <c r="BC114" s="188">
        <v>2430</v>
      </c>
      <c r="BD114" s="185">
        <v>0.16904347826086957</v>
      </c>
      <c r="BE114" s="185">
        <v>0.17794050343249429</v>
      </c>
      <c r="BF114" s="188"/>
      <c r="BG114" s="188">
        <v>3730.663</v>
      </c>
      <c r="BH114" s="185">
        <v>0.24956499454165232</v>
      </c>
      <c r="BI114" s="185">
        <v>0.26269999425437085</v>
      </c>
      <c r="BJ114" s="188">
        <v>14201.22985</v>
      </c>
      <c r="BK114" s="188">
        <v>3730.663</v>
      </c>
      <c r="BL114" s="185">
        <v>0.24956499454165232</v>
      </c>
      <c r="BM114" s="185">
        <v>0.26269999425437085</v>
      </c>
      <c r="BN114" s="188">
        <v>3730.663</v>
      </c>
      <c r="BO114" s="185">
        <f t="shared" si="105"/>
        <v>0.24956499454165232</v>
      </c>
      <c r="BP114" s="185">
        <f t="shared" si="106"/>
        <v>0.26269999425437085</v>
      </c>
      <c r="BQ114" s="205">
        <f t="shared" si="107"/>
        <v>554.66300000000001</v>
      </c>
      <c r="BR114" s="205"/>
      <c r="BS114" s="189" t="e">
        <f>BS115+BS116+#REF!</f>
        <v>#REF!</v>
      </c>
      <c r="BT114" s="186" t="e">
        <f t="shared" si="108"/>
        <v>#REF!</v>
      </c>
      <c r="BU114" s="189" t="e">
        <f>BU115+BU116+#REF!</f>
        <v>#REF!</v>
      </c>
      <c r="BV114" s="186" t="e">
        <f t="shared" si="109"/>
        <v>#REF!</v>
      </c>
      <c r="BW114" s="189" t="e">
        <f>BW115+BW116+#REF!</f>
        <v>#REF!</v>
      </c>
      <c r="BX114" s="186" t="e">
        <f t="shared" si="110"/>
        <v>#REF!</v>
      </c>
      <c r="BY114" s="189" t="e">
        <f>BY115+BY116+#REF!</f>
        <v>#REF!</v>
      </c>
      <c r="BZ114" s="186" t="e">
        <f t="shared" si="111"/>
        <v>#REF!</v>
      </c>
      <c r="CA114" s="189" t="e">
        <f>CA115+CA116+#REF!</f>
        <v>#REF!</v>
      </c>
      <c r="CB114" s="186" t="e">
        <f t="shared" si="112"/>
        <v>#REF!</v>
      </c>
      <c r="CC114" s="189" t="e">
        <f>CC115+CC116+#REF!</f>
        <v>#REF!</v>
      </c>
      <c r="CD114" s="186" t="e">
        <f t="shared" si="113"/>
        <v>#REF!</v>
      </c>
      <c r="CE114" s="189" t="e">
        <f>CE115+CE116+#REF!</f>
        <v>#REF!</v>
      </c>
      <c r="CF114" s="186" t="e">
        <f t="shared" si="114"/>
        <v>#REF!</v>
      </c>
      <c r="CG114" s="189" t="e">
        <f>CG115+CG116+#REF!</f>
        <v>#REF!</v>
      </c>
      <c r="CH114" s="186" t="e">
        <f t="shared" si="115"/>
        <v>#REF!</v>
      </c>
      <c r="CI114" s="189" t="e">
        <f>CI115+CI116+#REF!</f>
        <v>#REF!</v>
      </c>
      <c r="CJ114" s="186" t="e">
        <f t="shared" si="116"/>
        <v>#REF!</v>
      </c>
      <c r="CK114" s="189" t="e">
        <f>CK115+CK116+#REF!</f>
        <v>#REF!</v>
      </c>
      <c r="CL114" s="186" t="e">
        <f t="shared" si="117"/>
        <v>#REF!</v>
      </c>
      <c r="CM114" s="189" t="e">
        <f>CM115+CM116+#REF!</f>
        <v>#REF!</v>
      </c>
      <c r="CN114" s="186" t="e">
        <f t="shared" si="118"/>
        <v>#REF!</v>
      </c>
      <c r="CO114" s="189" t="e">
        <f>CO115+CO116+#REF!</f>
        <v>#REF!</v>
      </c>
      <c r="CP114" s="186" t="e">
        <f t="shared" si="119"/>
        <v>#REF!</v>
      </c>
      <c r="CQ114" s="189" t="e">
        <f>CQ115+CQ116+#REF!</f>
        <v>#REF!</v>
      </c>
      <c r="CR114" s="186" t="e">
        <f t="shared" si="120"/>
        <v>#REF!</v>
      </c>
      <c r="CS114" s="213" t="str">
        <f t="shared" si="121"/>
        <v>Không đạt</v>
      </c>
      <c r="CT114" s="213" t="str">
        <f t="shared" si="122"/>
        <v>Không đạt</v>
      </c>
      <c r="CU114" s="213"/>
      <c r="CV114" s="213"/>
      <c r="CW114" s="231"/>
      <c r="CX114" s="163"/>
      <c r="CZ114" s="195"/>
      <c r="DA114" s="196"/>
      <c r="DB114" s="196"/>
      <c r="DC114" s="197"/>
      <c r="DD114" s="196"/>
      <c r="DE114" s="196"/>
      <c r="DF114" s="196"/>
      <c r="DH114" s="199"/>
      <c r="DI114" s="200"/>
      <c r="DJ114" s="181"/>
    </row>
    <row r="115" spans="1:114" ht="18" customHeight="1" x14ac:dyDescent="0.25">
      <c r="A115" s="213">
        <v>85</v>
      </c>
      <c r="B115" s="240" t="s">
        <v>421</v>
      </c>
      <c r="C115" s="240"/>
      <c r="D115" s="188">
        <v>4700</v>
      </c>
      <c r="E115" s="188">
        <v>0</v>
      </c>
      <c r="F115" s="188">
        <v>4700</v>
      </c>
      <c r="G115" s="188">
        <v>3000</v>
      </c>
      <c r="H115" s="188">
        <v>1700</v>
      </c>
      <c r="I115" s="188">
        <v>0</v>
      </c>
      <c r="J115" s="188"/>
      <c r="K115" s="188">
        <v>0</v>
      </c>
      <c r="L115" s="188">
        <v>0</v>
      </c>
      <c r="M115" s="188">
        <v>0</v>
      </c>
      <c r="N115" s="188">
        <v>0</v>
      </c>
      <c r="O115" s="188">
        <v>3000</v>
      </c>
      <c r="P115" s="188">
        <v>0</v>
      </c>
      <c r="Q115" s="186">
        <v>0</v>
      </c>
      <c r="R115" s="188">
        <v>0</v>
      </c>
      <c r="S115" s="185">
        <v>0</v>
      </c>
      <c r="T115" s="185">
        <v>0</v>
      </c>
      <c r="U115" s="188">
        <v>0</v>
      </c>
      <c r="V115" s="185">
        <v>0</v>
      </c>
      <c r="W115" s="185">
        <v>0</v>
      </c>
      <c r="X115" s="188">
        <v>0</v>
      </c>
      <c r="Y115" s="185">
        <v>0</v>
      </c>
      <c r="Z115" s="185">
        <v>0</v>
      </c>
      <c r="AA115" s="188">
        <v>0</v>
      </c>
      <c r="AB115" s="185">
        <v>0</v>
      </c>
      <c r="AC115" s="185">
        <v>0</v>
      </c>
      <c r="AD115" s="188">
        <v>1088</v>
      </c>
      <c r="AE115" s="185">
        <v>0.23148936170212767</v>
      </c>
      <c r="AF115" s="185">
        <v>0.24367301231802913</v>
      </c>
      <c r="AG115" s="188">
        <v>1088</v>
      </c>
      <c r="AH115" s="185">
        <v>0.23148936170212767</v>
      </c>
      <c r="AI115" s="185">
        <v>0.24367301231802913</v>
      </c>
      <c r="AJ115" s="303">
        <v>1088</v>
      </c>
      <c r="AK115" s="185">
        <v>0.23148936170212767</v>
      </c>
      <c r="AL115" s="185">
        <v>0.24367301231802913</v>
      </c>
      <c r="AM115" s="314">
        <v>1088</v>
      </c>
      <c r="AN115" s="185">
        <v>0.23148936170212767</v>
      </c>
      <c r="AO115" s="185">
        <v>0.24367301231802913</v>
      </c>
      <c r="AP115" s="185"/>
      <c r="AQ115" s="188">
        <v>1088</v>
      </c>
      <c r="AR115" s="185">
        <v>0.23148936170212767</v>
      </c>
      <c r="AS115" s="185">
        <v>0.24367301231802913</v>
      </c>
      <c r="AT115" s="188">
        <v>1088</v>
      </c>
      <c r="AU115" s="185">
        <v>0.23148936170212767</v>
      </c>
      <c r="AV115" s="185">
        <v>0.24367301231802913</v>
      </c>
      <c r="AW115" s="185"/>
      <c r="AX115" s="185"/>
      <c r="AY115" s="185"/>
      <c r="AZ115" s="185"/>
      <c r="BA115" s="185"/>
      <c r="BB115" s="185"/>
      <c r="BC115" s="188">
        <v>1088</v>
      </c>
      <c r="BD115" s="185">
        <v>0.23148936170212767</v>
      </c>
      <c r="BE115" s="185">
        <v>0.24367301231802913</v>
      </c>
      <c r="BF115" s="188"/>
      <c r="BG115" s="188">
        <v>1088</v>
      </c>
      <c r="BH115" s="185">
        <v>0.23148936170212767</v>
      </c>
      <c r="BI115" s="185">
        <v>0.24367301231802913</v>
      </c>
      <c r="BJ115" s="188">
        <v>4465</v>
      </c>
      <c r="BK115" s="188">
        <v>1088</v>
      </c>
      <c r="BL115" s="185">
        <v>0.23148936170212767</v>
      </c>
      <c r="BM115" s="185">
        <v>0.24367301231802913</v>
      </c>
      <c r="BN115" s="188">
        <v>1088</v>
      </c>
      <c r="BO115" s="185">
        <f t="shared" si="105"/>
        <v>0.23148936170212767</v>
      </c>
      <c r="BP115" s="185">
        <f t="shared" si="106"/>
        <v>0.24367301231802913</v>
      </c>
      <c r="BQ115" s="205">
        <f t="shared" si="107"/>
        <v>0</v>
      </c>
      <c r="BR115" s="205"/>
      <c r="BS115" s="189" t="e">
        <f>#REF!+BS116</f>
        <v>#REF!</v>
      </c>
      <c r="BT115" s="186" t="e">
        <f t="shared" si="108"/>
        <v>#REF!</v>
      </c>
      <c r="BU115" s="189" t="e">
        <f>#REF!+BU116</f>
        <v>#REF!</v>
      </c>
      <c r="BV115" s="186" t="e">
        <f t="shared" si="109"/>
        <v>#REF!</v>
      </c>
      <c r="BW115" s="189" t="e">
        <f>#REF!+BW116</f>
        <v>#REF!</v>
      </c>
      <c r="BX115" s="186" t="e">
        <f t="shared" si="110"/>
        <v>#REF!</v>
      </c>
      <c r="BY115" s="189" t="e">
        <f>#REF!+BY116</f>
        <v>#REF!</v>
      </c>
      <c r="BZ115" s="186" t="e">
        <f t="shared" si="111"/>
        <v>#REF!</v>
      </c>
      <c r="CA115" s="189" t="e">
        <f>#REF!+CA116</f>
        <v>#REF!</v>
      </c>
      <c r="CB115" s="186" t="e">
        <f t="shared" si="112"/>
        <v>#REF!</v>
      </c>
      <c r="CC115" s="189" t="e">
        <f>#REF!+CC116</f>
        <v>#REF!</v>
      </c>
      <c r="CD115" s="186" t="e">
        <f t="shared" si="113"/>
        <v>#REF!</v>
      </c>
      <c r="CE115" s="189" t="e">
        <f>#REF!+CE116</f>
        <v>#REF!</v>
      </c>
      <c r="CF115" s="186" t="e">
        <f t="shared" si="114"/>
        <v>#REF!</v>
      </c>
      <c r="CG115" s="189" t="e">
        <f>#REF!+CG116</f>
        <v>#REF!</v>
      </c>
      <c r="CH115" s="186" t="e">
        <f t="shared" si="115"/>
        <v>#REF!</v>
      </c>
      <c r="CI115" s="189" t="e">
        <f>#REF!+CI116</f>
        <v>#REF!</v>
      </c>
      <c r="CJ115" s="186" t="e">
        <f t="shared" si="116"/>
        <v>#REF!</v>
      </c>
      <c r="CK115" s="189" t="e">
        <f>#REF!+CK116</f>
        <v>#REF!</v>
      </c>
      <c r="CL115" s="186" t="e">
        <f t="shared" si="117"/>
        <v>#REF!</v>
      </c>
      <c r="CM115" s="189" t="e">
        <f>#REF!+CM116</f>
        <v>#REF!</v>
      </c>
      <c r="CN115" s="186" t="e">
        <f t="shared" si="118"/>
        <v>#REF!</v>
      </c>
      <c r="CO115" s="189" t="e">
        <f>#REF!+CO116</f>
        <v>#REF!</v>
      </c>
      <c r="CP115" s="186" t="e">
        <f t="shared" si="119"/>
        <v>#REF!</v>
      </c>
      <c r="CQ115" s="189" t="e">
        <f>#REF!+CQ116</f>
        <v>#REF!</v>
      </c>
      <c r="CR115" s="186" t="e">
        <f t="shared" si="120"/>
        <v>#REF!</v>
      </c>
      <c r="CS115" s="213" t="str">
        <f t="shared" si="121"/>
        <v>Không đạt</v>
      </c>
      <c r="CT115" s="213" t="str">
        <f t="shared" si="122"/>
        <v>Không đạt</v>
      </c>
      <c r="CU115" s="213"/>
      <c r="CV115" s="213"/>
      <c r="CW115" s="231"/>
      <c r="CX115" s="163"/>
      <c r="CZ115" s="195"/>
      <c r="DA115" s="196"/>
      <c r="DB115" s="196"/>
      <c r="DC115" s="197"/>
      <c r="DD115" s="196"/>
      <c r="DE115" s="196"/>
      <c r="DF115" s="196"/>
      <c r="DH115" s="199"/>
      <c r="DI115" s="200"/>
      <c r="DJ115" s="181"/>
    </row>
    <row r="116" spans="1:114" ht="18" customHeight="1" x14ac:dyDescent="0.25">
      <c r="A116" s="213">
        <v>86</v>
      </c>
      <c r="B116" s="240" t="s">
        <v>502</v>
      </c>
      <c r="C116" s="240"/>
      <c r="D116" s="188">
        <v>120870</v>
      </c>
      <c r="E116" s="188">
        <v>117700</v>
      </c>
      <c r="F116" s="188">
        <v>3170</v>
      </c>
      <c r="G116" s="188">
        <v>3000</v>
      </c>
      <c r="H116" s="188">
        <v>170</v>
      </c>
      <c r="I116" s="188">
        <v>0</v>
      </c>
      <c r="J116" s="188"/>
      <c r="K116" s="188">
        <v>0</v>
      </c>
      <c r="L116" s="188">
        <v>0</v>
      </c>
      <c r="M116" s="188">
        <v>0</v>
      </c>
      <c r="N116" s="188">
        <v>0</v>
      </c>
      <c r="O116" s="188">
        <v>3000</v>
      </c>
      <c r="P116" s="188">
        <v>14122</v>
      </c>
      <c r="Q116" s="186">
        <v>0.11683627037312816</v>
      </c>
      <c r="R116" s="189">
        <v>15608.609871999999</v>
      </c>
      <c r="S116" s="185">
        <v>0.1291355164391495</v>
      </c>
      <c r="T116" s="185">
        <v>0.12930507757752988</v>
      </c>
      <c r="U116" s="189">
        <v>15608.609871999999</v>
      </c>
      <c r="V116" s="185">
        <v>0.1291355164391495</v>
      </c>
      <c r="W116" s="185">
        <v>0.12930507757752988</v>
      </c>
      <c r="X116" s="189">
        <v>15718.071671999998</v>
      </c>
      <c r="Y116" s="185">
        <v>0.13004113239017123</v>
      </c>
      <c r="Z116" s="185">
        <v>0.13021188264581252</v>
      </c>
      <c r="AA116" s="189">
        <v>15718.071671999998</v>
      </c>
      <c r="AB116" s="185">
        <v>0.13004113239017123</v>
      </c>
      <c r="AC116" s="185">
        <v>0.13021188264581252</v>
      </c>
      <c r="AD116" s="189">
        <v>15718.071671999998</v>
      </c>
      <c r="AE116" s="185">
        <v>0.13004113239017123</v>
      </c>
      <c r="AF116" s="185">
        <v>0.13021188264581252</v>
      </c>
      <c r="AG116" s="189">
        <v>15718.071671999998</v>
      </c>
      <c r="AH116" s="185">
        <v>0.13004113239017123</v>
      </c>
      <c r="AI116" s="185">
        <v>0.13021188264581252</v>
      </c>
      <c r="AJ116" s="189">
        <v>15718.071671999998</v>
      </c>
      <c r="AK116" s="185">
        <v>0.13004113239017123</v>
      </c>
      <c r="AL116" s="185">
        <v>0.13021188264581252</v>
      </c>
      <c r="AM116" s="189">
        <v>15718.071671999998</v>
      </c>
      <c r="AN116" s="185">
        <v>0.13004113239017123</v>
      </c>
      <c r="AO116" s="185">
        <v>0.13021188264581252</v>
      </c>
      <c r="AP116" s="185"/>
      <c r="AQ116" s="189">
        <v>16888.754000000001</v>
      </c>
      <c r="AR116" s="185">
        <v>0.1397265988251841</v>
      </c>
      <c r="AS116" s="185">
        <v>0.13991006656366628</v>
      </c>
      <c r="AT116" s="189">
        <v>16888.754000000001</v>
      </c>
      <c r="AU116" s="185">
        <v>0.1397265988251841</v>
      </c>
      <c r="AV116" s="185">
        <v>0.13991006656366628</v>
      </c>
      <c r="AW116" s="185"/>
      <c r="AX116" s="185"/>
      <c r="AY116" s="185"/>
      <c r="AZ116" s="185"/>
      <c r="BA116" s="185"/>
      <c r="BB116" s="185"/>
      <c r="BC116" s="189">
        <v>16888.754000000001</v>
      </c>
      <c r="BD116" s="185">
        <v>0.1397265988251841</v>
      </c>
      <c r="BE116" s="185">
        <v>0.13991006656366628</v>
      </c>
      <c r="BF116" s="352"/>
      <c r="BG116" s="352">
        <v>28644.607699</v>
      </c>
      <c r="BH116" s="185">
        <v>0.23698690906759329</v>
      </c>
      <c r="BI116" s="185">
        <v>0.23729808426703339</v>
      </c>
      <c r="BJ116" s="374">
        <v>120711.5</v>
      </c>
      <c r="BK116" s="374">
        <v>29120.607699</v>
      </c>
      <c r="BL116" s="185">
        <v>0.24092502439811367</v>
      </c>
      <c r="BM116" s="185">
        <v>0.24124137053221939</v>
      </c>
      <c r="BN116" s="374">
        <v>29120.607699</v>
      </c>
      <c r="BO116" s="185">
        <f t="shared" si="105"/>
        <v>0.24092502439811367</v>
      </c>
      <c r="BP116" s="185">
        <f t="shared" si="106"/>
        <v>0.24124137053221939</v>
      </c>
      <c r="BQ116" s="205">
        <f t="shared" si="107"/>
        <v>13402.536027000002</v>
      </c>
      <c r="BR116" s="205"/>
      <c r="BS116" s="189" t="e">
        <f>#REF!+#REF!</f>
        <v>#REF!</v>
      </c>
      <c r="BT116" s="186" t="e">
        <f t="shared" si="108"/>
        <v>#REF!</v>
      </c>
      <c r="BU116" s="189" t="e">
        <f>#REF!+#REF!</f>
        <v>#REF!</v>
      </c>
      <c r="BV116" s="186" t="e">
        <f t="shared" si="109"/>
        <v>#REF!</v>
      </c>
      <c r="BW116" s="189" t="e">
        <f>#REF!+#REF!</f>
        <v>#REF!</v>
      </c>
      <c r="BX116" s="186" t="e">
        <f t="shared" si="110"/>
        <v>#REF!</v>
      </c>
      <c r="BY116" s="189" t="e">
        <f>#REF!+#REF!</f>
        <v>#REF!</v>
      </c>
      <c r="BZ116" s="186" t="e">
        <f t="shared" si="111"/>
        <v>#REF!</v>
      </c>
      <c r="CA116" s="189" t="e">
        <f>#REF!+#REF!</f>
        <v>#REF!</v>
      </c>
      <c r="CB116" s="186" t="e">
        <f t="shared" si="112"/>
        <v>#REF!</v>
      </c>
      <c r="CC116" s="189" t="e">
        <f>#REF!+#REF!</f>
        <v>#REF!</v>
      </c>
      <c r="CD116" s="186" t="e">
        <f t="shared" si="113"/>
        <v>#REF!</v>
      </c>
      <c r="CE116" s="189" t="e">
        <f>#REF!+#REF!</f>
        <v>#REF!</v>
      </c>
      <c r="CF116" s="186" t="e">
        <f t="shared" si="114"/>
        <v>#REF!</v>
      </c>
      <c r="CG116" s="189" t="e">
        <f>#REF!+#REF!</f>
        <v>#REF!</v>
      </c>
      <c r="CH116" s="186" t="e">
        <f t="shared" si="115"/>
        <v>#REF!</v>
      </c>
      <c r="CI116" s="189" t="e">
        <f>#REF!+#REF!</f>
        <v>#REF!</v>
      </c>
      <c r="CJ116" s="186" t="e">
        <f t="shared" si="116"/>
        <v>#REF!</v>
      </c>
      <c r="CK116" s="189" t="e">
        <f>#REF!+#REF!</f>
        <v>#REF!</v>
      </c>
      <c r="CL116" s="186" t="e">
        <f t="shared" si="117"/>
        <v>#REF!</v>
      </c>
      <c r="CM116" s="189" t="e">
        <f>#REF!+#REF!</f>
        <v>#REF!</v>
      </c>
      <c r="CN116" s="186" t="e">
        <f t="shared" si="118"/>
        <v>#REF!</v>
      </c>
      <c r="CO116" s="189" t="e">
        <f>#REF!+#REF!</f>
        <v>#REF!</v>
      </c>
      <c r="CP116" s="186" t="e">
        <f t="shared" si="119"/>
        <v>#REF!</v>
      </c>
      <c r="CQ116" s="189" t="e">
        <f>#REF!+#REF!</f>
        <v>#REF!</v>
      </c>
      <c r="CR116" s="186" t="e">
        <f t="shared" si="120"/>
        <v>#REF!</v>
      </c>
      <c r="CS116" s="213" t="str">
        <f t="shared" si="121"/>
        <v>Không đạt</v>
      </c>
      <c r="CT116" s="213" t="str">
        <f t="shared" si="122"/>
        <v>Không đạt</v>
      </c>
      <c r="CU116" s="213"/>
      <c r="CV116" s="213"/>
      <c r="CW116" s="231"/>
      <c r="CX116" s="163"/>
      <c r="CZ116" s="195"/>
      <c r="DA116" s="196"/>
      <c r="DB116" s="196"/>
      <c r="DC116" s="197"/>
      <c r="DD116" s="196"/>
      <c r="DE116" s="196"/>
      <c r="DF116" s="196"/>
      <c r="DH116" s="199"/>
      <c r="DI116" s="200"/>
      <c r="DJ116" s="181"/>
    </row>
    <row r="117" spans="1:114" ht="18" customHeight="1" x14ac:dyDescent="0.25">
      <c r="A117" s="213">
        <v>87</v>
      </c>
      <c r="B117" s="240" t="s">
        <v>392</v>
      </c>
      <c r="C117" s="240"/>
      <c r="D117" s="188">
        <v>3425</v>
      </c>
      <c r="E117" s="188">
        <v>0</v>
      </c>
      <c r="F117" s="188">
        <v>3425</v>
      </c>
      <c r="G117" s="188">
        <v>3000</v>
      </c>
      <c r="H117" s="188">
        <v>425</v>
      </c>
      <c r="I117" s="188">
        <v>0</v>
      </c>
      <c r="J117" s="188"/>
      <c r="K117" s="188">
        <v>0</v>
      </c>
      <c r="L117" s="188">
        <v>0</v>
      </c>
      <c r="M117" s="188">
        <v>0</v>
      </c>
      <c r="N117" s="188">
        <v>0</v>
      </c>
      <c r="O117" s="188">
        <v>3000</v>
      </c>
      <c r="P117" s="188">
        <v>0</v>
      </c>
      <c r="Q117" s="186">
        <v>0</v>
      </c>
      <c r="R117" s="188">
        <v>0</v>
      </c>
      <c r="S117" s="185">
        <v>0</v>
      </c>
      <c r="T117" s="185">
        <v>0</v>
      </c>
      <c r="U117" s="188">
        <v>339.39300000000003</v>
      </c>
      <c r="V117" s="185">
        <v>9.9092846715328475E-2</v>
      </c>
      <c r="W117" s="185">
        <v>0.10430825970034577</v>
      </c>
      <c r="X117" s="188">
        <v>339.39300000000003</v>
      </c>
      <c r="Y117" s="185">
        <v>9.9092846715328475E-2</v>
      </c>
      <c r="Z117" s="185">
        <v>0.10430825970034577</v>
      </c>
      <c r="AA117" s="188">
        <v>339.39300000000003</v>
      </c>
      <c r="AB117" s="185">
        <v>9.9092846715328475E-2</v>
      </c>
      <c r="AC117" s="185">
        <v>0.10430825970034577</v>
      </c>
      <c r="AD117" s="188">
        <v>506</v>
      </c>
      <c r="AE117" s="185">
        <v>0.14773722627737226</v>
      </c>
      <c r="AF117" s="185">
        <v>0.15551286976565501</v>
      </c>
      <c r="AG117" s="188">
        <v>506</v>
      </c>
      <c r="AH117" s="185">
        <v>0.14773722627737226</v>
      </c>
      <c r="AI117" s="185">
        <v>0.15551286976565501</v>
      </c>
      <c r="AJ117" s="303">
        <v>506</v>
      </c>
      <c r="AK117" s="185">
        <v>0.14773722627737226</v>
      </c>
      <c r="AL117" s="185">
        <v>0.15551286976565501</v>
      </c>
      <c r="AM117" s="188">
        <v>506</v>
      </c>
      <c r="AN117" s="185">
        <v>0.14773722627737226</v>
      </c>
      <c r="AO117" s="185">
        <v>0.15551286976565501</v>
      </c>
      <c r="AP117" s="185"/>
      <c r="AQ117" s="188">
        <v>506</v>
      </c>
      <c r="AR117" s="185">
        <v>0.14773722627737226</v>
      </c>
      <c r="AS117" s="185">
        <v>0.15551286976565501</v>
      </c>
      <c r="AT117" s="188">
        <v>506</v>
      </c>
      <c r="AU117" s="185">
        <v>0.14773722627737226</v>
      </c>
      <c r="AV117" s="185">
        <v>0.15551286976565501</v>
      </c>
      <c r="AW117" s="185"/>
      <c r="AX117" s="185"/>
      <c r="AY117" s="185"/>
      <c r="AZ117" s="185"/>
      <c r="BA117" s="185"/>
      <c r="BB117" s="185"/>
      <c r="BC117" s="188">
        <v>506</v>
      </c>
      <c r="BD117" s="185">
        <v>0.14773722627737226</v>
      </c>
      <c r="BE117" s="185">
        <v>0.15551286976565501</v>
      </c>
      <c r="BF117" s="188"/>
      <c r="BG117" s="188">
        <v>538</v>
      </c>
      <c r="BH117" s="185">
        <v>0.15708029197080292</v>
      </c>
      <c r="BI117" s="185">
        <v>0.1653476757587399</v>
      </c>
      <c r="BJ117" s="188">
        <v>3253.75</v>
      </c>
      <c r="BK117" s="188">
        <v>538</v>
      </c>
      <c r="BL117" s="185">
        <v>0.15708029197080292</v>
      </c>
      <c r="BM117" s="185">
        <v>0.1653476757587399</v>
      </c>
      <c r="BN117" s="188">
        <v>538</v>
      </c>
      <c r="BO117" s="185">
        <f t="shared" si="105"/>
        <v>0.15708029197080292</v>
      </c>
      <c r="BP117" s="185">
        <f t="shared" si="106"/>
        <v>0.1653476757587399</v>
      </c>
      <c r="BQ117" s="205">
        <f t="shared" si="107"/>
        <v>32</v>
      </c>
      <c r="BR117" s="205"/>
      <c r="BS117" s="189" t="e">
        <f>#REF!+BS118</f>
        <v>#REF!</v>
      </c>
      <c r="BT117" s="186" t="e">
        <f t="shared" si="108"/>
        <v>#REF!</v>
      </c>
      <c r="BU117" s="189" t="e">
        <f>#REF!+BU118</f>
        <v>#REF!</v>
      </c>
      <c r="BV117" s="186" t="e">
        <f t="shared" si="109"/>
        <v>#REF!</v>
      </c>
      <c r="BW117" s="189" t="e">
        <f>#REF!+BW118</f>
        <v>#REF!</v>
      </c>
      <c r="BX117" s="186" t="e">
        <f t="shared" si="110"/>
        <v>#REF!</v>
      </c>
      <c r="BY117" s="189" t="e">
        <f>#REF!+BY118</f>
        <v>#REF!</v>
      </c>
      <c r="BZ117" s="186" t="e">
        <f t="shared" si="111"/>
        <v>#REF!</v>
      </c>
      <c r="CA117" s="189" t="e">
        <f>#REF!+CA118</f>
        <v>#REF!</v>
      </c>
      <c r="CB117" s="186" t="e">
        <f t="shared" si="112"/>
        <v>#REF!</v>
      </c>
      <c r="CC117" s="189" t="e">
        <f>#REF!+CC118</f>
        <v>#REF!</v>
      </c>
      <c r="CD117" s="186" t="e">
        <f t="shared" si="113"/>
        <v>#REF!</v>
      </c>
      <c r="CE117" s="189" t="e">
        <f>#REF!+CE118</f>
        <v>#REF!</v>
      </c>
      <c r="CF117" s="186" t="e">
        <f t="shared" si="114"/>
        <v>#REF!</v>
      </c>
      <c r="CG117" s="189" t="e">
        <f>#REF!+CG118</f>
        <v>#REF!</v>
      </c>
      <c r="CH117" s="186" t="e">
        <f t="shared" si="115"/>
        <v>#REF!</v>
      </c>
      <c r="CI117" s="189" t="e">
        <f>#REF!+CI118</f>
        <v>#REF!</v>
      </c>
      <c r="CJ117" s="186" t="e">
        <f t="shared" si="116"/>
        <v>#REF!</v>
      </c>
      <c r="CK117" s="189" t="e">
        <f>#REF!+CK118</f>
        <v>#REF!</v>
      </c>
      <c r="CL117" s="186" t="e">
        <f t="shared" si="117"/>
        <v>#REF!</v>
      </c>
      <c r="CM117" s="189" t="e">
        <f>#REF!+CM118</f>
        <v>#REF!</v>
      </c>
      <c r="CN117" s="186" t="e">
        <f t="shared" si="118"/>
        <v>#REF!</v>
      </c>
      <c r="CO117" s="189" t="e">
        <f>#REF!+CO118</f>
        <v>#REF!</v>
      </c>
      <c r="CP117" s="186" t="e">
        <f t="shared" si="119"/>
        <v>#REF!</v>
      </c>
      <c r="CQ117" s="189" t="e">
        <f>#REF!+CQ118</f>
        <v>#REF!</v>
      </c>
      <c r="CR117" s="186" t="e">
        <f t="shared" si="120"/>
        <v>#REF!</v>
      </c>
      <c r="CS117" s="213" t="str">
        <f t="shared" si="121"/>
        <v>Không đạt</v>
      </c>
      <c r="CT117" s="213" t="str">
        <f t="shared" si="122"/>
        <v>Không đạt</v>
      </c>
      <c r="CU117" s="213"/>
      <c r="CV117" s="213"/>
      <c r="CW117" s="231"/>
      <c r="CX117" s="163"/>
      <c r="CZ117" s="195"/>
      <c r="DA117" s="196"/>
      <c r="DB117" s="196"/>
      <c r="DC117" s="197"/>
      <c r="DD117" s="196"/>
      <c r="DE117" s="196"/>
      <c r="DF117" s="196"/>
      <c r="DH117" s="199"/>
      <c r="DI117" s="200"/>
      <c r="DJ117" s="181"/>
    </row>
    <row r="118" spans="1:114" ht="18" customHeight="1" x14ac:dyDescent="0.25">
      <c r="A118" s="213">
        <v>88</v>
      </c>
      <c r="B118" s="240" t="s">
        <v>487</v>
      </c>
      <c r="C118" s="240"/>
      <c r="D118" s="188">
        <v>97034</v>
      </c>
      <c r="E118" s="188">
        <v>94000</v>
      </c>
      <c r="F118" s="188">
        <v>3034</v>
      </c>
      <c r="G118" s="188">
        <v>3000</v>
      </c>
      <c r="H118" s="188">
        <v>34</v>
      </c>
      <c r="I118" s="188">
        <v>0</v>
      </c>
      <c r="J118" s="188"/>
      <c r="K118" s="188">
        <v>0</v>
      </c>
      <c r="L118" s="188">
        <v>0</v>
      </c>
      <c r="M118" s="188">
        <v>0</v>
      </c>
      <c r="N118" s="188">
        <v>0</v>
      </c>
      <c r="O118" s="188">
        <v>3000</v>
      </c>
      <c r="P118" s="188">
        <v>311.01900000000001</v>
      </c>
      <c r="Q118" s="186">
        <v>3.2052579508213617E-3</v>
      </c>
      <c r="R118" s="189">
        <v>311.01900000000001</v>
      </c>
      <c r="S118" s="185">
        <v>3.2052579508213617E-3</v>
      </c>
      <c r="T118" s="185">
        <v>3.2102767997869578E-3</v>
      </c>
      <c r="U118" s="189">
        <v>5849.2040260000003</v>
      </c>
      <c r="V118" s="185">
        <v>6.0279943380670699E-2</v>
      </c>
      <c r="W118" s="185">
        <v>6.0374330770429689E-2</v>
      </c>
      <c r="X118" s="189">
        <v>5849.2040260000003</v>
      </c>
      <c r="Y118" s="185">
        <v>6.0279943380670699E-2</v>
      </c>
      <c r="Z118" s="185">
        <v>6.0374330770429689E-2</v>
      </c>
      <c r="AA118" s="189">
        <v>5849.2040260000003</v>
      </c>
      <c r="AB118" s="185">
        <v>6.0279943380670699E-2</v>
      </c>
      <c r="AC118" s="185">
        <v>6.0374330770429689E-2</v>
      </c>
      <c r="AD118" s="189">
        <v>6156.2858109999997</v>
      </c>
      <c r="AE118" s="185">
        <v>6.3444625708514543E-2</v>
      </c>
      <c r="AF118" s="185">
        <v>6.3543968413218924E-2</v>
      </c>
      <c r="AG118" s="189">
        <v>6156.2858109999997</v>
      </c>
      <c r="AH118" s="185">
        <v>6.3444625708514543E-2</v>
      </c>
      <c r="AI118" s="185">
        <v>6.3543968413218924E-2</v>
      </c>
      <c r="AJ118" s="188">
        <v>6156.2858109999997</v>
      </c>
      <c r="AK118" s="185">
        <v>6.3444625708514543E-2</v>
      </c>
      <c r="AL118" s="185">
        <v>6.3543968413218924E-2</v>
      </c>
      <c r="AM118" s="189">
        <v>6156.2858109999997</v>
      </c>
      <c r="AN118" s="185">
        <v>6.3444625708514543E-2</v>
      </c>
      <c r="AO118" s="185">
        <v>6.3543968413218924E-2</v>
      </c>
      <c r="AP118" s="185"/>
      <c r="AQ118" s="189">
        <v>7421.4766479999998</v>
      </c>
      <c r="AR118" s="185">
        <v>7.6483259970731909E-2</v>
      </c>
      <c r="AS118" s="185">
        <v>7.6603018797035155E-2</v>
      </c>
      <c r="AT118" s="189">
        <v>7421.4766479999998</v>
      </c>
      <c r="AU118" s="185">
        <v>7.6483259970731909E-2</v>
      </c>
      <c r="AV118" s="185">
        <v>7.6603018797035155E-2</v>
      </c>
      <c r="AW118" s="185"/>
      <c r="AX118" s="185"/>
      <c r="AY118" s="185"/>
      <c r="AZ118" s="185"/>
      <c r="BA118" s="185"/>
      <c r="BB118" s="185"/>
      <c r="BC118" s="189">
        <v>7421.4766479999998</v>
      </c>
      <c r="BD118" s="185">
        <v>7.6483259970731909E-2</v>
      </c>
      <c r="BE118" s="185">
        <v>7.6603018797035155E-2</v>
      </c>
      <c r="BF118" s="352"/>
      <c r="BG118" s="352">
        <v>14336.176648000001</v>
      </c>
      <c r="BH118" s="185">
        <v>0.14774384904260363</v>
      </c>
      <c r="BI118" s="185">
        <v>0.14797518894576203</v>
      </c>
      <c r="BJ118" s="374">
        <v>96882.3</v>
      </c>
      <c r="BK118" s="374">
        <v>14336.176648000001</v>
      </c>
      <c r="BL118" s="185">
        <v>0.14774384904260363</v>
      </c>
      <c r="BM118" s="185">
        <v>0.14797518894576203</v>
      </c>
      <c r="BN118" s="374">
        <v>14336.176648000001</v>
      </c>
      <c r="BO118" s="185">
        <f t="shared" si="105"/>
        <v>0.14774384904260363</v>
      </c>
      <c r="BP118" s="185">
        <f t="shared" si="106"/>
        <v>0.14797518894576203</v>
      </c>
      <c r="BQ118" s="205">
        <f t="shared" si="107"/>
        <v>8179.8908370000008</v>
      </c>
      <c r="BR118" s="205"/>
      <c r="BS118" s="189" t="e">
        <f>#REF!+BS119</f>
        <v>#REF!</v>
      </c>
      <c r="BT118" s="186" t="e">
        <f t="shared" si="108"/>
        <v>#REF!</v>
      </c>
      <c r="BU118" s="189" t="e">
        <f>#REF!+BU119</f>
        <v>#REF!</v>
      </c>
      <c r="BV118" s="186" t="e">
        <f t="shared" si="109"/>
        <v>#REF!</v>
      </c>
      <c r="BW118" s="189" t="e">
        <f>#REF!+BW119</f>
        <v>#REF!</v>
      </c>
      <c r="BX118" s="186" t="e">
        <f t="shared" si="110"/>
        <v>#REF!</v>
      </c>
      <c r="BY118" s="189" t="e">
        <f>#REF!+BY119</f>
        <v>#REF!</v>
      </c>
      <c r="BZ118" s="186" t="e">
        <f t="shared" si="111"/>
        <v>#REF!</v>
      </c>
      <c r="CA118" s="189" t="e">
        <f>#REF!+CA119</f>
        <v>#REF!</v>
      </c>
      <c r="CB118" s="186" t="e">
        <f t="shared" si="112"/>
        <v>#REF!</v>
      </c>
      <c r="CC118" s="189" t="e">
        <f>#REF!+CC119</f>
        <v>#REF!</v>
      </c>
      <c r="CD118" s="186" t="e">
        <f t="shared" si="113"/>
        <v>#REF!</v>
      </c>
      <c r="CE118" s="189" t="e">
        <f>#REF!+CE119</f>
        <v>#REF!</v>
      </c>
      <c r="CF118" s="186" t="e">
        <f t="shared" si="114"/>
        <v>#REF!</v>
      </c>
      <c r="CG118" s="189" t="e">
        <f>#REF!+CG119</f>
        <v>#REF!</v>
      </c>
      <c r="CH118" s="186" t="e">
        <f t="shared" si="115"/>
        <v>#REF!</v>
      </c>
      <c r="CI118" s="189" t="e">
        <f>#REF!+CI119</f>
        <v>#REF!</v>
      </c>
      <c r="CJ118" s="186" t="e">
        <f t="shared" si="116"/>
        <v>#REF!</v>
      </c>
      <c r="CK118" s="189" t="e">
        <f>#REF!+CK119</f>
        <v>#REF!</v>
      </c>
      <c r="CL118" s="186" t="e">
        <f t="shared" si="117"/>
        <v>#REF!</v>
      </c>
      <c r="CM118" s="189" t="e">
        <f>#REF!+CM119</f>
        <v>#REF!</v>
      </c>
      <c r="CN118" s="186" t="e">
        <f t="shared" si="118"/>
        <v>#REF!</v>
      </c>
      <c r="CO118" s="189" t="e">
        <f>#REF!+CO119</f>
        <v>#REF!</v>
      </c>
      <c r="CP118" s="186" t="e">
        <f t="shared" si="119"/>
        <v>#REF!</v>
      </c>
      <c r="CQ118" s="189" t="e">
        <f>#REF!+CQ119</f>
        <v>#REF!</v>
      </c>
      <c r="CR118" s="186" t="e">
        <f t="shared" si="120"/>
        <v>#REF!</v>
      </c>
      <c r="CS118" s="213" t="str">
        <f t="shared" si="121"/>
        <v>Không đạt</v>
      </c>
      <c r="CT118" s="213" t="str">
        <f t="shared" si="122"/>
        <v>Không đạt</v>
      </c>
      <c r="CU118" s="213"/>
      <c r="CV118" s="213"/>
      <c r="CW118" s="231"/>
      <c r="CX118" s="163"/>
      <c r="CZ118" s="195"/>
      <c r="DA118" s="196"/>
      <c r="DB118" s="196"/>
      <c r="DC118" s="197"/>
      <c r="DD118" s="196"/>
      <c r="DE118" s="196"/>
      <c r="DF118" s="196"/>
      <c r="DH118" s="199"/>
      <c r="DI118" s="200"/>
      <c r="DJ118" s="181"/>
    </row>
    <row r="119" spans="1:114" ht="18" customHeight="1" x14ac:dyDescent="0.25">
      <c r="A119" s="213">
        <v>89</v>
      </c>
      <c r="B119" s="240" t="s">
        <v>385</v>
      </c>
      <c r="C119" s="240"/>
      <c r="D119" s="188">
        <v>143400.110506</v>
      </c>
      <c r="E119" s="188">
        <v>66500.110505999997</v>
      </c>
      <c r="F119" s="188">
        <v>76900</v>
      </c>
      <c r="G119" s="188">
        <v>33000</v>
      </c>
      <c r="H119" s="188">
        <v>43900</v>
      </c>
      <c r="I119" s="188">
        <v>0</v>
      </c>
      <c r="J119" s="188"/>
      <c r="K119" s="188">
        <v>0</v>
      </c>
      <c r="L119" s="188">
        <v>0</v>
      </c>
      <c r="M119" s="188">
        <v>0</v>
      </c>
      <c r="N119" s="188">
        <v>0</v>
      </c>
      <c r="O119" s="188">
        <v>33000</v>
      </c>
      <c r="P119" s="188">
        <v>2461</v>
      </c>
      <c r="Q119" s="186">
        <v>1.7161771991082458E-2</v>
      </c>
      <c r="R119" s="189">
        <v>2736.32</v>
      </c>
      <c r="S119" s="185">
        <v>1.9081714723542767E-2</v>
      </c>
      <c r="T119" s="185">
        <v>1.9607451064161174E-2</v>
      </c>
      <c r="U119" s="189">
        <v>5175.192035</v>
      </c>
      <c r="V119" s="185">
        <v>3.6089177454179611E-2</v>
      </c>
      <c r="W119" s="185">
        <v>3.7083500677515494E-2</v>
      </c>
      <c r="X119" s="189">
        <v>8106.4310349999996</v>
      </c>
      <c r="Y119" s="185">
        <v>5.653015891267963E-2</v>
      </c>
      <c r="Z119" s="185">
        <v>5.8087668775494067E-2</v>
      </c>
      <c r="AA119" s="189">
        <v>8106.4310349999996</v>
      </c>
      <c r="AB119" s="185">
        <v>5.653015891267963E-2</v>
      </c>
      <c r="AC119" s="185">
        <v>5.8087668775494067E-2</v>
      </c>
      <c r="AD119" s="189">
        <v>8657.8545350000004</v>
      </c>
      <c r="AE119" s="185">
        <v>6.03755081111862E-2</v>
      </c>
      <c r="AF119" s="185">
        <v>6.2038964417772194E-2</v>
      </c>
      <c r="AG119" s="189">
        <v>8657.8545350000004</v>
      </c>
      <c r="AH119" s="185">
        <v>6.03755081111862E-2</v>
      </c>
      <c r="AI119" s="185">
        <v>6.2038964417772194E-2</v>
      </c>
      <c r="AJ119" s="189">
        <v>8657.8545350000004</v>
      </c>
      <c r="AK119" s="185">
        <v>6.03755081111862E-2</v>
      </c>
      <c r="AL119" s="185">
        <v>6.2038964417772194E-2</v>
      </c>
      <c r="AM119" s="189">
        <v>8657.8545350000004</v>
      </c>
      <c r="AN119" s="185">
        <v>6.03755081111862E-2</v>
      </c>
      <c r="AO119" s="185">
        <v>6.2038964417772194E-2</v>
      </c>
      <c r="AP119" s="185"/>
      <c r="AQ119" s="189">
        <v>13702.339035000001</v>
      </c>
      <c r="AR119" s="185">
        <v>9.5553197181299815E-2</v>
      </c>
      <c r="AS119" s="185">
        <v>9.8185863529597406E-2</v>
      </c>
      <c r="AT119" s="189">
        <v>13702.339035000001</v>
      </c>
      <c r="AU119" s="185">
        <v>9.5553197181299815E-2</v>
      </c>
      <c r="AV119" s="185">
        <v>9.8185863529597406E-2</v>
      </c>
      <c r="AW119" s="185"/>
      <c r="AX119" s="185"/>
      <c r="AY119" s="185"/>
      <c r="AZ119" s="185"/>
      <c r="BA119" s="185"/>
      <c r="BB119" s="185"/>
      <c r="BC119" s="189">
        <v>13702.339035000001</v>
      </c>
      <c r="BD119" s="185">
        <v>9.5553197181299815E-2</v>
      </c>
      <c r="BE119" s="185">
        <v>9.8185863529597406E-2</v>
      </c>
      <c r="BF119" s="189"/>
      <c r="BG119" s="189">
        <v>13959.064034999999</v>
      </c>
      <c r="BH119" s="185">
        <v>9.7343467768220018E-2</v>
      </c>
      <c r="BI119" s="185">
        <v>0.10002545936431219</v>
      </c>
      <c r="BJ119" s="189">
        <v>139555.110506</v>
      </c>
      <c r="BK119" s="189">
        <v>19747.553034999997</v>
      </c>
      <c r="BL119" s="185">
        <v>0.13770946873973114</v>
      </c>
      <c r="BM119" s="185">
        <v>0.14150361791409263</v>
      </c>
      <c r="BN119" s="189">
        <v>19747.553034999997</v>
      </c>
      <c r="BO119" s="185">
        <f t="shared" si="105"/>
        <v>0.13770946873973114</v>
      </c>
      <c r="BP119" s="185">
        <f t="shared" si="106"/>
        <v>0.14150361791409263</v>
      </c>
      <c r="BQ119" s="205">
        <f t="shared" si="107"/>
        <v>11089.698499999997</v>
      </c>
      <c r="BR119" s="205"/>
      <c r="BS119" s="189" t="e">
        <f>#REF!+#REF!</f>
        <v>#REF!</v>
      </c>
      <c r="BT119" s="186" t="e">
        <f t="shared" si="108"/>
        <v>#REF!</v>
      </c>
      <c r="BU119" s="189" t="e">
        <f>#REF!+#REF!</f>
        <v>#REF!</v>
      </c>
      <c r="BV119" s="186" t="e">
        <f t="shared" si="109"/>
        <v>#REF!</v>
      </c>
      <c r="BW119" s="189" t="e">
        <f>#REF!+#REF!</f>
        <v>#REF!</v>
      </c>
      <c r="BX119" s="186" t="e">
        <f t="shared" si="110"/>
        <v>#REF!</v>
      </c>
      <c r="BY119" s="189" t="e">
        <f>#REF!+#REF!</f>
        <v>#REF!</v>
      </c>
      <c r="BZ119" s="186" t="e">
        <f t="shared" si="111"/>
        <v>#REF!</v>
      </c>
      <c r="CA119" s="189" t="e">
        <f>#REF!+#REF!</f>
        <v>#REF!</v>
      </c>
      <c r="CB119" s="186" t="e">
        <f t="shared" si="112"/>
        <v>#REF!</v>
      </c>
      <c r="CC119" s="189" t="e">
        <f>#REF!+#REF!</f>
        <v>#REF!</v>
      </c>
      <c r="CD119" s="186" t="e">
        <f t="shared" si="113"/>
        <v>#REF!</v>
      </c>
      <c r="CE119" s="189" t="e">
        <f>#REF!+#REF!</f>
        <v>#REF!</v>
      </c>
      <c r="CF119" s="186" t="e">
        <f t="shared" si="114"/>
        <v>#REF!</v>
      </c>
      <c r="CG119" s="189" t="e">
        <f>#REF!+#REF!</f>
        <v>#REF!</v>
      </c>
      <c r="CH119" s="186" t="e">
        <f t="shared" si="115"/>
        <v>#REF!</v>
      </c>
      <c r="CI119" s="189" t="e">
        <f>#REF!+#REF!</f>
        <v>#REF!</v>
      </c>
      <c r="CJ119" s="186" t="e">
        <f t="shared" si="116"/>
        <v>#REF!</v>
      </c>
      <c r="CK119" s="189" t="e">
        <f>#REF!+#REF!</f>
        <v>#REF!</v>
      </c>
      <c r="CL119" s="186" t="e">
        <f t="shared" si="117"/>
        <v>#REF!</v>
      </c>
      <c r="CM119" s="189" t="e">
        <f>#REF!+#REF!</f>
        <v>#REF!</v>
      </c>
      <c r="CN119" s="186" t="e">
        <f t="shared" si="118"/>
        <v>#REF!</v>
      </c>
      <c r="CO119" s="189" t="e">
        <f>#REF!+#REF!</f>
        <v>#REF!</v>
      </c>
      <c r="CP119" s="186" t="e">
        <f t="shared" si="119"/>
        <v>#REF!</v>
      </c>
      <c r="CQ119" s="189" t="e">
        <f>#REF!+#REF!</f>
        <v>#REF!</v>
      </c>
      <c r="CR119" s="186" t="e">
        <f t="shared" si="120"/>
        <v>#REF!</v>
      </c>
      <c r="CS119" s="213" t="str">
        <f t="shared" si="121"/>
        <v>Không đạt</v>
      </c>
      <c r="CT119" s="213" t="str">
        <f t="shared" si="122"/>
        <v>Không đạt</v>
      </c>
      <c r="CU119" s="213"/>
      <c r="CV119" s="213"/>
      <c r="CW119" s="231"/>
      <c r="CX119" s="163"/>
      <c r="CZ119" s="195"/>
      <c r="DA119" s="196"/>
      <c r="DB119" s="196"/>
      <c r="DC119" s="197"/>
      <c r="DD119" s="196"/>
      <c r="DE119" s="196"/>
      <c r="DF119" s="196"/>
      <c r="DH119" s="199"/>
      <c r="DI119" s="200"/>
      <c r="DJ119" s="181"/>
    </row>
    <row r="120" spans="1:114" ht="18" customHeight="1" x14ac:dyDescent="0.25">
      <c r="A120" s="213">
        <v>90</v>
      </c>
      <c r="B120" s="240" t="s">
        <v>471</v>
      </c>
      <c r="C120" s="240"/>
      <c r="D120" s="188">
        <v>10975</v>
      </c>
      <c r="E120" s="188">
        <v>0</v>
      </c>
      <c r="F120" s="188">
        <v>10975</v>
      </c>
      <c r="G120" s="188">
        <v>8000</v>
      </c>
      <c r="H120" s="188">
        <v>2975</v>
      </c>
      <c r="I120" s="188">
        <v>0</v>
      </c>
      <c r="J120" s="188"/>
      <c r="K120" s="188">
        <v>0</v>
      </c>
      <c r="L120" s="188">
        <v>0</v>
      </c>
      <c r="M120" s="188">
        <v>0</v>
      </c>
      <c r="N120" s="188">
        <v>0</v>
      </c>
      <c r="O120" s="188">
        <v>8000</v>
      </c>
      <c r="P120" s="188">
        <v>0</v>
      </c>
      <c r="Q120" s="186">
        <v>0</v>
      </c>
      <c r="R120" s="188">
        <v>0</v>
      </c>
      <c r="S120" s="185">
        <v>0</v>
      </c>
      <c r="T120" s="185">
        <v>0</v>
      </c>
      <c r="U120" s="188">
        <v>0</v>
      </c>
      <c r="V120" s="185">
        <v>0</v>
      </c>
      <c r="W120" s="185">
        <v>0</v>
      </c>
      <c r="X120" s="188">
        <v>0</v>
      </c>
      <c r="Y120" s="185">
        <v>0</v>
      </c>
      <c r="Z120" s="185">
        <v>0</v>
      </c>
      <c r="AA120" s="188">
        <v>0</v>
      </c>
      <c r="AB120" s="185">
        <v>0</v>
      </c>
      <c r="AC120" s="185">
        <v>0</v>
      </c>
      <c r="AD120" s="188">
        <v>872.75300000000004</v>
      </c>
      <c r="AE120" s="185">
        <v>7.9521913439635536E-2</v>
      </c>
      <c r="AF120" s="185">
        <v>8.3707277304879521E-2</v>
      </c>
      <c r="AG120" s="188">
        <v>872.75300000000004</v>
      </c>
      <c r="AH120" s="185">
        <v>7.9521913439635536E-2</v>
      </c>
      <c r="AI120" s="185">
        <v>8.3707277304879521E-2</v>
      </c>
      <c r="AJ120" s="317">
        <v>872.75300000000004</v>
      </c>
      <c r="AK120" s="185">
        <v>7.9521913439635536E-2</v>
      </c>
      <c r="AL120" s="185">
        <v>8.3707277304879521E-2</v>
      </c>
      <c r="AM120" s="188">
        <v>872.75300000000004</v>
      </c>
      <c r="AN120" s="185">
        <v>7.9521913439635536E-2</v>
      </c>
      <c r="AO120" s="185">
        <v>8.3707277304879521E-2</v>
      </c>
      <c r="AP120" s="185"/>
      <c r="AQ120" s="188">
        <v>872.75300000000004</v>
      </c>
      <c r="AR120" s="185">
        <v>7.9521913439635536E-2</v>
      </c>
      <c r="AS120" s="185">
        <v>8.3707277304879521E-2</v>
      </c>
      <c r="AT120" s="188">
        <v>872.75300000000004</v>
      </c>
      <c r="AU120" s="185">
        <v>7.9521913439635536E-2</v>
      </c>
      <c r="AV120" s="185">
        <v>8.3707277304879521E-2</v>
      </c>
      <c r="AW120" s="185"/>
      <c r="AX120" s="185"/>
      <c r="AY120" s="185"/>
      <c r="AZ120" s="185"/>
      <c r="BA120" s="185"/>
      <c r="BB120" s="185"/>
      <c r="BC120" s="188">
        <v>872.75300000000004</v>
      </c>
      <c r="BD120" s="185">
        <v>7.9521913439635536E-2</v>
      </c>
      <c r="BE120" s="185">
        <v>8.3707277304879521E-2</v>
      </c>
      <c r="BF120" s="352"/>
      <c r="BG120" s="352">
        <v>962.173</v>
      </c>
      <c r="BH120" s="185">
        <v>8.7669521640091119E-2</v>
      </c>
      <c r="BI120" s="185">
        <v>9.22837069895696E-2</v>
      </c>
      <c r="BJ120" s="374">
        <v>10426.25</v>
      </c>
      <c r="BK120" s="374">
        <v>962.173</v>
      </c>
      <c r="BL120" s="185">
        <v>8.7669521640091119E-2</v>
      </c>
      <c r="BM120" s="185">
        <v>9.22837069895696E-2</v>
      </c>
      <c r="BN120" s="374">
        <v>962.173</v>
      </c>
      <c r="BO120" s="185">
        <f t="shared" si="105"/>
        <v>8.7669521640091119E-2</v>
      </c>
      <c r="BP120" s="185">
        <f t="shared" si="106"/>
        <v>9.22837069895696E-2</v>
      </c>
      <c r="BQ120" s="205">
        <f t="shared" si="107"/>
        <v>89.419999999999959</v>
      </c>
      <c r="BR120" s="205"/>
      <c r="BS120" s="189" t="e">
        <f>#REF!+BS121+#REF!</f>
        <v>#REF!</v>
      </c>
      <c r="BT120" s="186" t="e">
        <f t="shared" si="108"/>
        <v>#REF!</v>
      </c>
      <c r="BU120" s="189" t="e">
        <f>#REF!+BU121+#REF!</f>
        <v>#REF!</v>
      </c>
      <c r="BV120" s="186" t="e">
        <f t="shared" si="109"/>
        <v>#REF!</v>
      </c>
      <c r="BW120" s="189" t="e">
        <f>#REF!+BW121+#REF!</f>
        <v>#REF!</v>
      </c>
      <c r="BX120" s="186" t="e">
        <f t="shared" si="110"/>
        <v>#REF!</v>
      </c>
      <c r="BY120" s="189" t="e">
        <f>#REF!+BY121+#REF!</f>
        <v>#REF!</v>
      </c>
      <c r="BZ120" s="186" t="e">
        <f t="shared" si="111"/>
        <v>#REF!</v>
      </c>
      <c r="CA120" s="189" t="e">
        <f>#REF!+CA121+#REF!</f>
        <v>#REF!</v>
      </c>
      <c r="CB120" s="186" t="e">
        <f t="shared" si="112"/>
        <v>#REF!</v>
      </c>
      <c r="CC120" s="189" t="e">
        <f>#REF!+CC121+#REF!</f>
        <v>#REF!</v>
      </c>
      <c r="CD120" s="186" t="e">
        <f t="shared" si="113"/>
        <v>#REF!</v>
      </c>
      <c r="CE120" s="189" t="e">
        <f>#REF!+CE121+#REF!</f>
        <v>#REF!</v>
      </c>
      <c r="CF120" s="186" t="e">
        <f t="shared" si="114"/>
        <v>#REF!</v>
      </c>
      <c r="CG120" s="189" t="e">
        <f>#REF!+CG121+#REF!</f>
        <v>#REF!</v>
      </c>
      <c r="CH120" s="186" t="e">
        <f t="shared" si="115"/>
        <v>#REF!</v>
      </c>
      <c r="CI120" s="189" t="e">
        <f>#REF!+CI121+#REF!</f>
        <v>#REF!</v>
      </c>
      <c r="CJ120" s="186" t="e">
        <f t="shared" si="116"/>
        <v>#REF!</v>
      </c>
      <c r="CK120" s="189" t="e">
        <f>#REF!+CK121+#REF!</f>
        <v>#REF!</v>
      </c>
      <c r="CL120" s="186" t="e">
        <f t="shared" si="117"/>
        <v>#REF!</v>
      </c>
      <c r="CM120" s="189" t="e">
        <f>#REF!+CM121+#REF!</f>
        <v>#REF!</v>
      </c>
      <c r="CN120" s="186" t="e">
        <f t="shared" si="118"/>
        <v>#REF!</v>
      </c>
      <c r="CO120" s="189" t="e">
        <f>#REF!+CO121+#REF!</f>
        <v>#REF!</v>
      </c>
      <c r="CP120" s="186" t="e">
        <f t="shared" si="119"/>
        <v>#REF!</v>
      </c>
      <c r="CQ120" s="189" t="e">
        <f>#REF!+CQ121+#REF!</f>
        <v>#REF!</v>
      </c>
      <c r="CR120" s="186" t="e">
        <f t="shared" si="120"/>
        <v>#REF!</v>
      </c>
      <c r="CS120" s="213" t="str">
        <f t="shared" si="121"/>
        <v>Không đạt</v>
      </c>
      <c r="CT120" s="213" t="str">
        <f t="shared" si="122"/>
        <v>Không đạt</v>
      </c>
      <c r="CU120" s="213"/>
      <c r="CV120" s="213"/>
      <c r="CW120" s="231"/>
      <c r="CX120" s="163"/>
      <c r="CZ120" s="195"/>
      <c r="DA120" s="196"/>
      <c r="DB120" s="196"/>
      <c r="DC120" s="197"/>
      <c r="DD120" s="196"/>
      <c r="DE120" s="196"/>
      <c r="DF120" s="196"/>
      <c r="DH120" s="199"/>
      <c r="DI120" s="200"/>
      <c r="DJ120" s="181"/>
    </row>
    <row r="121" spans="1:114" ht="18" customHeight="1" x14ac:dyDescent="0.25">
      <c r="A121" s="213">
        <v>91</v>
      </c>
      <c r="B121" s="240" t="s">
        <v>379</v>
      </c>
      <c r="C121" s="240"/>
      <c r="D121" s="188">
        <v>21400</v>
      </c>
      <c r="E121" s="188">
        <v>0</v>
      </c>
      <c r="F121" s="188">
        <v>21400</v>
      </c>
      <c r="G121" s="188">
        <v>3000</v>
      </c>
      <c r="H121" s="188">
        <v>18400</v>
      </c>
      <c r="I121" s="188">
        <v>0</v>
      </c>
      <c r="J121" s="188"/>
      <c r="K121" s="188">
        <v>0</v>
      </c>
      <c r="L121" s="188">
        <v>0</v>
      </c>
      <c r="M121" s="188">
        <v>0</v>
      </c>
      <c r="N121" s="188">
        <v>0</v>
      </c>
      <c r="O121" s="188">
        <v>3000</v>
      </c>
      <c r="P121" s="188">
        <v>0</v>
      </c>
      <c r="Q121" s="186">
        <v>0</v>
      </c>
      <c r="R121" s="188">
        <v>0</v>
      </c>
      <c r="S121" s="185">
        <v>0</v>
      </c>
      <c r="T121" s="185">
        <v>0</v>
      </c>
      <c r="U121" s="188">
        <v>0</v>
      </c>
      <c r="V121" s="185">
        <v>0</v>
      </c>
      <c r="W121" s="185">
        <v>0</v>
      </c>
      <c r="X121" s="188">
        <v>0</v>
      </c>
      <c r="Y121" s="185">
        <v>0</v>
      </c>
      <c r="Z121" s="185">
        <v>0</v>
      </c>
      <c r="AA121" s="188">
        <v>0</v>
      </c>
      <c r="AB121" s="185">
        <v>0</v>
      </c>
      <c r="AC121" s="185">
        <v>0</v>
      </c>
      <c r="AD121" s="188">
        <v>0</v>
      </c>
      <c r="AE121" s="185">
        <v>0</v>
      </c>
      <c r="AF121" s="185">
        <v>0</v>
      </c>
      <c r="AG121" s="188">
        <v>0</v>
      </c>
      <c r="AH121" s="185">
        <v>0</v>
      </c>
      <c r="AI121" s="185">
        <v>0</v>
      </c>
      <c r="AJ121" s="303">
        <v>0</v>
      </c>
      <c r="AK121" s="185">
        <v>0</v>
      </c>
      <c r="AL121" s="185">
        <v>0</v>
      </c>
      <c r="AM121" s="314">
        <v>0</v>
      </c>
      <c r="AN121" s="185">
        <v>0</v>
      </c>
      <c r="AO121" s="185">
        <v>0</v>
      </c>
      <c r="AP121" s="185"/>
      <c r="AQ121" s="188">
        <v>0</v>
      </c>
      <c r="AR121" s="185">
        <v>0</v>
      </c>
      <c r="AS121" s="185">
        <v>0</v>
      </c>
      <c r="AT121" s="188">
        <v>0</v>
      </c>
      <c r="AU121" s="185">
        <v>0</v>
      </c>
      <c r="AV121" s="185">
        <v>0</v>
      </c>
      <c r="AW121" s="185"/>
      <c r="AX121" s="185"/>
      <c r="AY121" s="185"/>
      <c r="AZ121" s="185"/>
      <c r="BA121" s="185"/>
      <c r="BB121" s="185"/>
      <c r="BC121" s="188">
        <v>0</v>
      </c>
      <c r="BD121" s="185">
        <v>0</v>
      </c>
      <c r="BE121" s="185">
        <v>0</v>
      </c>
      <c r="BF121" s="188"/>
      <c r="BG121" s="188">
        <v>1645.212</v>
      </c>
      <c r="BH121" s="185">
        <v>7.6879065420560749E-2</v>
      </c>
      <c r="BI121" s="185">
        <v>8.0925332021642898E-2</v>
      </c>
      <c r="BJ121" s="188">
        <v>20330</v>
      </c>
      <c r="BK121" s="188">
        <v>1714</v>
      </c>
      <c r="BL121" s="185">
        <v>8.0093457943925236E-2</v>
      </c>
      <c r="BM121" s="185">
        <v>8.4308903098868668E-2</v>
      </c>
      <c r="BN121" s="188">
        <v>1714</v>
      </c>
      <c r="BO121" s="185">
        <f t="shared" si="105"/>
        <v>8.0093457943925236E-2</v>
      </c>
      <c r="BP121" s="185">
        <f t="shared" si="106"/>
        <v>8.4308903098868668E-2</v>
      </c>
      <c r="BQ121" s="205">
        <f t="shared" si="107"/>
        <v>1714</v>
      </c>
      <c r="BR121" s="205"/>
      <c r="BS121" s="189" t="e">
        <f>#REF!+#REF!</f>
        <v>#REF!</v>
      </c>
      <c r="BT121" s="186" t="e">
        <f t="shared" si="108"/>
        <v>#REF!</v>
      </c>
      <c r="BU121" s="189" t="e">
        <f>#REF!+#REF!</f>
        <v>#REF!</v>
      </c>
      <c r="BV121" s="186" t="e">
        <f t="shared" si="109"/>
        <v>#REF!</v>
      </c>
      <c r="BW121" s="189" t="e">
        <f>#REF!+#REF!</f>
        <v>#REF!</v>
      </c>
      <c r="BX121" s="186" t="e">
        <f t="shared" si="110"/>
        <v>#REF!</v>
      </c>
      <c r="BY121" s="189" t="e">
        <f>#REF!+#REF!</f>
        <v>#REF!</v>
      </c>
      <c r="BZ121" s="186" t="e">
        <f t="shared" si="111"/>
        <v>#REF!</v>
      </c>
      <c r="CA121" s="189" t="e">
        <f>#REF!+#REF!</f>
        <v>#REF!</v>
      </c>
      <c r="CB121" s="186" t="e">
        <f t="shared" si="112"/>
        <v>#REF!</v>
      </c>
      <c r="CC121" s="189" t="e">
        <f>#REF!+#REF!</f>
        <v>#REF!</v>
      </c>
      <c r="CD121" s="186" t="e">
        <f t="shared" si="113"/>
        <v>#REF!</v>
      </c>
      <c r="CE121" s="189" t="e">
        <f>#REF!+#REF!</f>
        <v>#REF!</v>
      </c>
      <c r="CF121" s="186" t="e">
        <f t="shared" si="114"/>
        <v>#REF!</v>
      </c>
      <c r="CG121" s="189" t="e">
        <f>#REF!+#REF!</f>
        <v>#REF!</v>
      </c>
      <c r="CH121" s="186" t="e">
        <f t="shared" si="115"/>
        <v>#REF!</v>
      </c>
      <c r="CI121" s="189" t="e">
        <f>#REF!+#REF!</f>
        <v>#REF!</v>
      </c>
      <c r="CJ121" s="186" t="e">
        <f t="shared" si="116"/>
        <v>#REF!</v>
      </c>
      <c r="CK121" s="189" t="e">
        <f>#REF!+#REF!</f>
        <v>#REF!</v>
      </c>
      <c r="CL121" s="186" t="e">
        <f t="shared" si="117"/>
        <v>#REF!</v>
      </c>
      <c r="CM121" s="189" t="e">
        <f>#REF!+#REF!</f>
        <v>#REF!</v>
      </c>
      <c r="CN121" s="186" t="e">
        <f t="shared" si="118"/>
        <v>#REF!</v>
      </c>
      <c r="CO121" s="189" t="e">
        <f>#REF!+#REF!</f>
        <v>#REF!</v>
      </c>
      <c r="CP121" s="186" t="e">
        <f t="shared" si="119"/>
        <v>#REF!</v>
      </c>
      <c r="CQ121" s="189" t="e">
        <f>#REF!+#REF!</f>
        <v>#REF!</v>
      </c>
      <c r="CR121" s="186" t="e">
        <f t="shared" si="120"/>
        <v>#REF!</v>
      </c>
      <c r="CS121" s="213" t="str">
        <f t="shared" si="121"/>
        <v>Không đạt</v>
      </c>
      <c r="CT121" s="213" t="str">
        <f t="shared" si="122"/>
        <v>Không đạt</v>
      </c>
      <c r="CU121" s="213"/>
      <c r="CV121" s="213"/>
      <c r="CW121" s="231"/>
      <c r="CX121" s="163"/>
      <c r="CZ121" s="195"/>
      <c r="DA121" s="196"/>
      <c r="DB121" s="196"/>
      <c r="DC121" s="197"/>
      <c r="DD121" s="196"/>
      <c r="DE121" s="196"/>
      <c r="DF121" s="196"/>
      <c r="DH121" s="199"/>
      <c r="DI121" s="200"/>
      <c r="DJ121" s="181"/>
    </row>
    <row r="122" spans="1:114" ht="18" customHeight="1" x14ac:dyDescent="0.25">
      <c r="A122" s="213">
        <v>92</v>
      </c>
      <c r="B122" s="240" t="s">
        <v>453</v>
      </c>
      <c r="C122" s="240"/>
      <c r="D122" s="188">
        <v>166907.22700000001</v>
      </c>
      <c r="E122" s="188">
        <v>0</v>
      </c>
      <c r="F122" s="188">
        <v>166907.22700000001</v>
      </c>
      <c r="G122" s="188">
        <v>3157.2269999999999</v>
      </c>
      <c r="H122" s="188">
        <v>163750</v>
      </c>
      <c r="I122" s="188">
        <v>0</v>
      </c>
      <c r="J122" s="188">
        <v>0</v>
      </c>
      <c r="K122" s="188">
        <v>0</v>
      </c>
      <c r="L122" s="188">
        <v>0</v>
      </c>
      <c r="M122" s="188">
        <v>0</v>
      </c>
      <c r="N122" s="188">
        <v>0</v>
      </c>
      <c r="O122" s="188">
        <v>3000</v>
      </c>
      <c r="P122" s="188">
        <v>0</v>
      </c>
      <c r="Q122" s="186">
        <v>0</v>
      </c>
      <c r="R122" s="188">
        <v>0</v>
      </c>
      <c r="S122" s="185">
        <v>0</v>
      </c>
      <c r="T122" s="185">
        <v>0</v>
      </c>
      <c r="U122" s="188">
        <v>173.05199999999999</v>
      </c>
      <c r="V122" s="185">
        <v>1.0377931034482757E-3</v>
      </c>
      <c r="W122" s="185">
        <v>1.0924137931034481E-3</v>
      </c>
      <c r="X122" s="188">
        <v>173.05199999999999</v>
      </c>
      <c r="Y122" s="185">
        <v>1.0377931034482757E-3</v>
      </c>
      <c r="Z122" s="185">
        <v>1.0924137931034481E-3</v>
      </c>
      <c r="AA122" s="188">
        <v>173.05199999999999</v>
      </c>
      <c r="AB122" s="185">
        <v>1.0377931034482757E-3</v>
      </c>
      <c r="AC122" s="185">
        <v>1.0924137931034481E-3</v>
      </c>
      <c r="AD122" s="188">
        <v>1998.8809999999999</v>
      </c>
      <c r="AE122" s="185">
        <v>1.1987292353823087E-2</v>
      </c>
      <c r="AF122" s="185">
        <v>1.2618202477708514E-2</v>
      </c>
      <c r="AG122" s="188">
        <v>1998.8809999999999</v>
      </c>
      <c r="AH122" s="185">
        <v>1.1987292353823087E-2</v>
      </c>
      <c r="AI122" s="185">
        <v>1.2618202477708514E-2</v>
      </c>
      <c r="AJ122" s="317">
        <v>1998.8809999999999</v>
      </c>
      <c r="AK122" s="185">
        <v>1.1987292353823087E-2</v>
      </c>
      <c r="AL122" s="185">
        <v>1.2618202477708514E-2</v>
      </c>
      <c r="AM122" s="188">
        <v>1998.8809999999999</v>
      </c>
      <c r="AN122" s="185">
        <v>1.1987292353823087E-2</v>
      </c>
      <c r="AO122" s="185">
        <v>1.2618202477708514E-2</v>
      </c>
      <c r="AP122" s="185"/>
      <c r="AQ122" s="188">
        <v>9490.0709999999999</v>
      </c>
      <c r="AR122" s="185">
        <v>5.6911970014992506E-2</v>
      </c>
      <c r="AS122" s="185">
        <v>5.9907336857886843E-2</v>
      </c>
      <c r="AT122" s="188">
        <v>9490.0709999999999</v>
      </c>
      <c r="AU122" s="185">
        <v>5.6911970014992506E-2</v>
      </c>
      <c r="AV122" s="185">
        <v>5.9907336857886843E-2</v>
      </c>
      <c r="AW122" s="185"/>
      <c r="AX122" s="185"/>
      <c r="AY122" s="185"/>
      <c r="AZ122" s="185"/>
      <c r="BA122" s="185"/>
      <c r="BB122" s="185"/>
      <c r="BC122" s="188">
        <v>9490.0709999999999</v>
      </c>
      <c r="BD122" s="185">
        <v>5.6911970014992506E-2</v>
      </c>
      <c r="BE122" s="185">
        <v>5.9907336857886843E-2</v>
      </c>
      <c r="BF122" s="188"/>
      <c r="BG122" s="188">
        <v>10699.332000000002</v>
      </c>
      <c r="BH122" s="185">
        <v>6.4103467490955329E-2</v>
      </c>
      <c r="BI122" s="185">
        <v>6.7477334201005615E-2</v>
      </c>
      <c r="BJ122" s="188">
        <v>158561.86564999999</v>
      </c>
      <c r="BK122" s="188">
        <v>13279.985000000002</v>
      </c>
      <c r="BL122" s="185">
        <v>7.9565068803162137E-2</v>
      </c>
      <c r="BM122" s="185">
        <v>8.3752704003328571E-2</v>
      </c>
      <c r="BN122" s="188">
        <v>13279.985000000002</v>
      </c>
      <c r="BO122" s="185">
        <f t="shared" si="105"/>
        <v>7.9565068803162137E-2</v>
      </c>
      <c r="BP122" s="185">
        <f t="shared" si="106"/>
        <v>8.3752704003328571E-2</v>
      </c>
      <c r="BQ122" s="205">
        <f t="shared" si="107"/>
        <v>11281.104000000003</v>
      </c>
      <c r="BR122" s="205"/>
      <c r="BS122" s="189" t="e">
        <f>BS123+#REF!+#REF!</f>
        <v>#REF!</v>
      </c>
      <c r="BT122" s="186" t="e">
        <f t="shared" si="108"/>
        <v>#REF!</v>
      </c>
      <c r="BU122" s="189" t="e">
        <f>BU123+#REF!+#REF!</f>
        <v>#REF!</v>
      </c>
      <c r="BV122" s="186" t="e">
        <f t="shared" si="109"/>
        <v>#REF!</v>
      </c>
      <c r="BW122" s="189" t="e">
        <f>BW123+#REF!+#REF!</f>
        <v>#REF!</v>
      </c>
      <c r="BX122" s="186" t="e">
        <f t="shared" si="110"/>
        <v>#REF!</v>
      </c>
      <c r="BY122" s="189" t="e">
        <f>BY123+#REF!+#REF!</f>
        <v>#REF!</v>
      </c>
      <c r="BZ122" s="186" t="e">
        <f t="shared" si="111"/>
        <v>#REF!</v>
      </c>
      <c r="CA122" s="189" t="e">
        <f>CA123+#REF!+#REF!</f>
        <v>#REF!</v>
      </c>
      <c r="CB122" s="186" t="e">
        <f t="shared" si="112"/>
        <v>#REF!</v>
      </c>
      <c r="CC122" s="189" t="e">
        <f>CC123+#REF!+#REF!</f>
        <v>#REF!</v>
      </c>
      <c r="CD122" s="186" t="e">
        <f t="shared" si="113"/>
        <v>#REF!</v>
      </c>
      <c r="CE122" s="189" t="e">
        <f>CE123+#REF!+#REF!</f>
        <v>#REF!</v>
      </c>
      <c r="CF122" s="186" t="e">
        <f t="shared" si="114"/>
        <v>#REF!</v>
      </c>
      <c r="CG122" s="189" t="e">
        <f>CG123+#REF!+#REF!</f>
        <v>#REF!</v>
      </c>
      <c r="CH122" s="186" t="e">
        <f t="shared" si="115"/>
        <v>#REF!</v>
      </c>
      <c r="CI122" s="189" t="e">
        <f>CI123+#REF!+#REF!</f>
        <v>#REF!</v>
      </c>
      <c r="CJ122" s="186" t="e">
        <f t="shared" si="116"/>
        <v>#REF!</v>
      </c>
      <c r="CK122" s="189" t="e">
        <f>CK123+#REF!+#REF!</f>
        <v>#REF!</v>
      </c>
      <c r="CL122" s="186" t="e">
        <f t="shared" si="117"/>
        <v>#REF!</v>
      </c>
      <c r="CM122" s="189" t="e">
        <f>CM123+#REF!+#REF!</f>
        <v>#REF!</v>
      </c>
      <c r="CN122" s="186" t="e">
        <f t="shared" si="118"/>
        <v>#REF!</v>
      </c>
      <c r="CO122" s="189" t="e">
        <f>CO123+#REF!+#REF!</f>
        <v>#REF!</v>
      </c>
      <c r="CP122" s="186" t="e">
        <f t="shared" si="119"/>
        <v>#REF!</v>
      </c>
      <c r="CQ122" s="189" t="e">
        <f>CQ123+#REF!+#REF!</f>
        <v>#REF!</v>
      </c>
      <c r="CR122" s="186" t="e">
        <f t="shared" si="120"/>
        <v>#REF!</v>
      </c>
      <c r="CS122" s="213" t="str">
        <f t="shared" si="121"/>
        <v>Không đạt</v>
      </c>
      <c r="CT122" s="213" t="str">
        <f t="shared" si="122"/>
        <v>Không đạt</v>
      </c>
      <c r="CU122" s="213"/>
      <c r="CV122" s="213"/>
      <c r="CW122" s="231"/>
      <c r="CX122" s="163"/>
      <c r="CZ122" s="195"/>
      <c r="DA122" s="196"/>
      <c r="DB122" s="196"/>
      <c r="DC122" s="197"/>
      <c r="DD122" s="196"/>
      <c r="DE122" s="196"/>
      <c r="DF122" s="196"/>
      <c r="DH122" s="199"/>
      <c r="DI122" s="200"/>
      <c r="DJ122" s="181"/>
    </row>
    <row r="123" spans="1:114" ht="18" customHeight="1" x14ac:dyDescent="0.25">
      <c r="A123" s="213">
        <v>93</v>
      </c>
      <c r="B123" s="240" t="s">
        <v>403</v>
      </c>
      <c r="C123" s="240"/>
      <c r="D123" s="188">
        <v>79107</v>
      </c>
      <c r="E123" s="188">
        <v>0</v>
      </c>
      <c r="F123" s="188">
        <v>79107</v>
      </c>
      <c r="G123" s="188">
        <v>3000</v>
      </c>
      <c r="H123" s="188">
        <v>76107</v>
      </c>
      <c r="I123" s="188">
        <v>1717</v>
      </c>
      <c r="J123" s="188"/>
      <c r="K123" s="188">
        <v>0</v>
      </c>
      <c r="L123" s="188">
        <v>0</v>
      </c>
      <c r="M123" s="188">
        <v>0</v>
      </c>
      <c r="N123" s="188">
        <v>0</v>
      </c>
      <c r="O123" s="188">
        <v>4717</v>
      </c>
      <c r="P123" s="188">
        <v>0</v>
      </c>
      <c r="Q123" s="186">
        <v>0</v>
      </c>
      <c r="R123" s="188">
        <v>0</v>
      </c>
      <c r="S123" s="185">
        <v>0</v>
      </c>
      <c r="T123" s="185">
        <v>0</v>
      </c>
      <c r="U123" s="188">
        <v>0</v>
      </c>
      <c r="V123" s="185">
        <v>0</v>
      </c>
      <c r="W123" s="185">
        <v>0</v>
      </c>
      <c r="X123" s="188">
        <v>0</v>
      </c>
      <c r="Y123" s="185">
        <v>0</v>
      </c>
      <c r="Z123" s="185">
        <v>0</v>
      </c>
      <c r="AA123" s="188">
        <v>336</v>
      </c>
      <c r="AB123" s="185">
        <v>4.247411733474914E-3</v>
      </c>
      <c r="AC123" s="185">
        <v>4.4709597194472778E-3</v>
      </c>
      <c r="AD123" s="188">
        <v>1518</v>
      </c>
      <c r="AE123" s="185">
        <v>1.9189199438734879E-2</v>
      </c>
      <c r="AF123" s="185">
        <v>2.0199157303931452E-2</v>
      </c>
      <c r="AG123" s="188">
        <v>1518</v>
      </c>
      <c r="AH123" s="185">
        <v>1.9189199438734879E-2</v>
      </c>
      <c r="AI123" s="185">
        <v>2.0199157303931452E-2</v>
      </c>
      <c r="AJ123" s="317">
        <v>1518</v>
      </c>
      <c r="AK123" s="185">
        <v>1.9189199438734879E-2</v>
      </c>
      <c r="AL123" s="185">
        <v>2.0199157303931452E-2</v>
      </c>
      <c r="AM123" s="188">
        <v>1518</v>
      </c>
      <c r="AN123" s="185">
        <v>1.9189199438734879E-2</v>
      </c>
      <c r="AO123" s="185">
        <v>2.0199157303931452E-2</v>
      </c>
      <c r="AP123" s="185"/>
      <c r="AQ123" s="188">
        <v>1833</v>
      </c>
      <c r="AR123" s="185">
        <v>2.3171147938867608E-2</v>
      </c>
      <c r="AS123" s="185">
        <v>2.4390682040913277E-2</v>
      </c>
      <c r="AT123" s="188">
        <v>1833</v>
      </c>
      <c r="AU123" s="185">
        <v>2.3171147938867608E-2</v>
      </c>
      <c r="AV123" s="185">
        <v>2.4390682040913277E-2</v>
      </c>
      <c r="AW123" s="185"/>
      <c r="AX123" s="185"/>
      <c r="AY123" s="185"/>
      <c r="AZ123" s="185"/>
      <c r="BA123" s="185"/>
      <c r="BB123" s="185"/>
      <c r="BC123" s="188">
        <v>1833</v>
      </c>
      <c r="BD123" s="185">
        <v>2.3171147938867608E-2</v>
      </c>
      <c r="BE123" s="185">
        <v>2.4390682040913277E-2</v>
      </c>
      <c r="BF123" s="188"/>
      <c r="BG123" s="188">
        <v>4702.4979999999996</v>
      </c>
      <c r="BH123" s="185">
        <v>5.9444777326911648E-2</v>
      </c>
      <c r="BI123" s="185">
        <v>6.2573449817801732E-2</v>
      </c>
      <c r="BJ123" s="188">
        <v>75151.649999999994</v>
      </c>
      <c r="BK123" s="188">
        <v>4902.4979999999996</v>
      </c>
      <c r="BL123" s="185">
        <v>6.1972998596837192E-2</v>
      </c>
      <c r="BM123" s="185">
        <v>6.5234735365091778E-2</v>
      </c>
      <c r="BN123" s="188">
        <v>4902.4979999999996</v>
      </c>
      <c r="BO123" s="185">
        <f t="shared" si="105"/>
        <v>6.1972998596837192E-2</v>
      </c>
      <c r="BP123" s="185">
        <f t="shared" si="106"/>
        <v>6.5234735365091778E-2</v>
      </c>
      <c r="BQ123" s="205">
        <f t="shared" si="107"/>
        <v>3384.4979999999996</v>
      </c>
      <c r="BR123" s="205"/>
      <c r="BS123" s="189" t="e">
        <f>#REF!+#REF!+BS125</f>
        <v>#REF!</v>
      </c>
      <c r="BT123" s="186" t="e">
        <f t="shared" si="108"/>
        <v>#REF!</v>
      </c>
      <c r="BU123" s="189" t="e">
        <f>#REF!+#REF!+BU125</f>
        <v>#REF!</v>
      </c>
      <c r="BV123" s="186" t="e">
        <f t="shared" si="109"/>
        <v>#REF!</v>
      </c>
      <c r="BW123" s="189" t="e">
        <f>#REF!+#REF!+BW125</f>
        <v>#REF!</v>
      </c>
      <c r="BX123" s="186" t="e">
        <f t="shared" si="110"/>
        <v>#REF!</v>
      </c>
      <c r="BY123" s="189" t="e">
        <f>#REF!+#REF!+BY125</f>
        <v>#REF!</v>
      </c>
      <c r="BZ123" s="186" t="e">
        <f t="shared" si="111"/>
        <v>#REF!</v>
      </c>
      <c r="CA123" s="189" t="e">
        <f>#REF!+#REF!+CA125</f>
        <v>#REF!</v>
      </c>
      <c r="CB123" s="186" t="e">
        <f t="shared" si="112"/>
        <v>#REF!</v>
      </c>
      <c r="CC123" s="189" t="e">
        <f>#REF!+#REF!+CC125</f>
        <v>#REF!</v>
      </c>
      <c r="CD123" s="186" t="e">
        <f t="shared" si="113"/>
        <v>#REF!</v>
      </c>
      <c r="CE123" s="189" t="e">
        <f>#REF!+#REF!+CE125</f>
        <v>#REF!</v>
      </c>
      <c r="CF123" s="186" t="e">
        <f t="shared" si="114"/>
        <v>#REF!</v>
      </c>
      <c r="CG123" s="189" t="e">
        <f>#REF!+#REF!+CG125</f>
        <v>#REF!</v>
      </c>
      <c r="CH123" s="186" t="e">
        <f t="shared" si="115"/>
        <v>#REF!</v>
      </c>
      <c r="CI123" s="189" t="e">
        <f>#REF!+#REF!+CI125</f>
        <v>#REF!</v>
      </c>
      <c r="CJ123" s="186" t="e">
        <f t="shared" si="116"/>
        <v>#REF!</v>
      </c>
      <c r="CK123" s="189" t="e">
        <f>#REF!+#REF!+CK125</f>
        <v>#REF!</v>
      </c>
      <c r="CL123" s="186" t="e">
        <f t="shared" si="117"/>
        <v>#REF!</v>
      </c>
      <c r="CM123" s="189" t="e">
        <f>#REF!+#REF!+CM125</f>
        <v>#REF!</v>
      </c>
      <c r="CN123" s="186" t="e">
        <f t="shared" si="118"/>
        <v>#REF!</v>
      </c>
      <c r="CO123" s="189" t="e">
        <f>#REF!+#REF!+CO125</f>
        <v>#REF!</v>
      </c>
      <c r="CP123" s="186" t="e">
        <f t="shared" si="119"/>
        <v>#REF!</v>
      </c>
      <c r="CQ123" s="189" t="e">
        <f>#REF!+#REF!+CQ125</f>
        <v>#REF!</v>
      </c>
      <c r="CR123" s="186" t="e">
        <f t="shared" si="120"/>
        <v>#REF!</v>
      </c>
      <c r="CS123" s="213" t="str">
        <f t="shared" si="121"/>
        <v>Không đạt</v>
      </c>
      <c r="CT123" s="213" t="str">
        <f t="shared" si="122"/>
        <v>Không đạt</v>
      </c>
      <c r="CU123" s="213"/>
      <c r="CV123" s="213"/>
      <c r="CW123" s="231"/>
      <c r="CX123" s="163"/>
      <c r="CZ123" s="195"/>
      <c r="DA123" s="196"/>
      <c r="DB123" s="196"/>
      <c r="DC123" s="197"/>
      <c r="DD123" s="196"/>
      <c r="DE123" s="196"/>
      <c r="DF123" s="196"/>
      <c r="DH123" s="199"/>
      <c r="DI123" s="200"/>
      <c r="DJ123" s="181"/>
    </row>
    <row r="124" spans="1:114" ht="18" customHeight="1" x14ac:dyDescent="0.25">
      <c r="A124" s="213">
        <v>94</v>
      </c>
      <c r="B124" s="240" t="s">
        <v>468</v>
      </c>
      <c r="C124" s="240"/>
      <c r="D124" s="188">
        <v>49950</v>
      </c>
      <c r="E124" s="188">
        <v>0</v>
      </c>
      <c r="F124" s="188">
        <v>49950</v>
      </c>
      <c r="G124" s="188">
        <v>3000</v>
      </c>
      <c r="H124" s="188">
        <v>46950</v>
      </c>
      <c r="I124" s="188">
        <v>0</v>
      </c>
      <c r="J124" s="188"/>
      <c r="K124" s="188">
        <v>0</v>
      </c>
      <c r="L124" s="188">
        <v>0</v>
      </c>
      <c r="M124" s="188">
        <v>0</v>
      </c>
      <c r="N124" s="188">
        <v>0</v>
      </c>
      <c r="O124" s="188">
        <v>3000</v>
      </c>
      <c r="P124" s="188">
        <v>0</v>
      </c>
      <c r="Q124" s="186">
        <v>0</v>
      </c>
      <c r="R124" s="188">
        <v>0</v>
      </c>
      <c r="S124" s="185">
        <v>0</v>
      </c>
      <c r="T124" s="185">
        <v>0</v>
      </c>
      <c r="U124" s="188">
        <v>1131.7998460000001</v>
      </c>
      <c r="V124" s="185">
        <v>2.2658655575575577E-2</v>
      </c>
      <c r="W124" s="185">
        <v>2.3851216395342715E-2</v>
      </c>
      <c r="X124" s="188">
        <v>1131.7998460000001</v>
      </c>
      <c r="Y124" s="185">
        <v>2.2658655575575577E-2</v>
      </c>
      <c r="Z124" s="185">
        <v>2.3851216395342715E-2</v>
      </c>
      <c r="AA124" s="188">
        <v>1131.7998460000001</v>
      </c>
      <c r="AB124" s="185">
        <v>2.2658655575575577E-2</v>
      </c>
      <c r="AC124" s="185">
        <v>2.3851216395342715E-2</v>
      </c>
      <c r="AD124" s="188">
        <v>221</v>
      </c>
      <c r="AE124" s="185">
        <v>4.4244244244244241E-3</v>
      </c>
      <c r="AF124" s="185">
        <v>4.6572888678151833E-3</v>
      </c>
      <c r="AG124" s="188">
        <v>221</v>
      </c>
      <c r="AH124" s="185">
        <v>4.4244244244244241E-3</v>
      </c>
      <c r="AI124" s="185">
        <v>4.6572888678151833E-3</v>
      </c>
      <c r="AJ124" s="317">
        <v>221</v>
      </c>
      <c r="AK124" s="185">
        <v>4.4244244244244241E-3</v>
      </c>
      <c r="AL124" s="185">
        <v>4.6572888678151833E-3</v>
      </c>
      <c r="AM124" s="188">
        <v>221</v>
      </c>
      <c r="AN124" s="185">
        <v>4.4244244244244241E-3</v>
      </c>
      <c r="AO124" s="185">
        <v>4.6572888678151833E-3</v>
      </c>
      <c r="AP124" s="185"/>
      <c r="AQ124" s="188">
        <v>563.69200000000001</v>
      </c>
      <c r="AR124" s="185">
        <v>1.1285125125125126E-2</v>
      </c>
      <c r="AS124" s="185">
        <v>1.1879079079079079E-2</v>
      </c>
      <c r="AT124" s="188">
        <v>563.69200000000001</v>
      </c>
      <c r="AU124" s="185">
        <v>1.1285125125125126E-2</v>
      </c>
      <c r="AV124" s="185">
        <v>1.1879079079079079E-2</v>
      </c>
      <c r="AW124" s="185"/>
      <c r="AX124" s="185"/>
      <c r="AY124" s="185"/>
      <c r="AZ124" s="185"/>
      <c r="BA124" s="185"/>
      <c r="BB124" s="185"/>
      <c r="BC124" s="188">
        <v>563.69200000000001</v>
      </c>
      <c r="BD124" s="185">
        <v>1.1285125125125126E-2</v>
      </c>
      <c r="BE124" s="185">
        <v>1.1879079079079079E-2</v>
      </c>
      <c r="BF124" s="352"/>
      <c r="BG124" s="352">
        <v>3030.692</v>
      </c>
      <c r="BH124" s="185">
        <v>6.0674514514514513E-2</v>
      </c>
      <c r="BI124" s="185">
        <v>6.3867910015278431E-2</v>
      </c>
      <c r="BJ124" s="374">
        <v>47452.5</v>
      </c>
      <c r="BK124" s="374">
        <v>3030.692</v>
      </c>
      <c r="BL124" s="185">
        <v>6.0674514514514513E-2</v>
      </c>
      <c r="BM124" s="185">
        <v>6.3867910015278431E-2</v>
      </c>
      <c r="BN124" s="374">
        <v>3030.692</v>
      </c>
      <c r="BO124" s="185">
        <f t="shared" si="105"/>
        <v>6.0674514514514513E-2</v>
      </c>
      <c r="BP124" s="185">
        <f t="shared" si="106"/>
        <v>6.3867910015278431E-2</v>
      </c>
      <c r="BQ124" s="205">
        <f t="shared" si="107"/>
        <v>2809.692</v>
      </c>
      <c r="BR124" s="205"/>
      <c r="BS124" s="189" t="e">
        <f>#REF!+#REF!+#REF!</f>
        <v>#REF!</v>
      </c>
      <c r="BT124" s="186" t="e">
        <f t="shared" si="108"/>
        <v>#REF!</v>
      </c>
      <c r="BU124" s="189" t="e">
        <f>#REF!+#REF!+#REF!</f>
        <v>#REF!</v>
      </c>
      <c r="BV124" s="186" t="e">
        <f t="shared" si="109"/>
        <v>#REF!</v>
      </c>
      <c r="BW124" s="189" t="e">
        <f>#REF!+#REF!+#REF!</f>
        <v>#REF!</v>
      </c>
      <c r="BX124" s="186" t="e">
        <f t="shared" si="110"/>
        <v>#REF!</v>
      </c>
      <c r="BY124" s="189" t="e">
        <f>#REF!+#REF!+#REF!</f>
        <v>#REF!</v>
      </c>
      <c r="BZ124" s="186" t="e">
        <f t="shared" si="111"/>
        <v>#REF!</v>
      </c>
      <c r="CA124" s="189" t="e">
        <f>#REF!+#REF!+#REF!</f>
        <v>#REF!</v>
      </c>
      <c r="CB124" s="186" t="e">
        <f t="shared" si="112"/>
        <v>#REF!</v>
      </c>
      <c r="CC124" s="189" t="e">
        <f>#REF!+#REF!+#REF!</f>
        <v>#REF!</v>
      </c>
      <c r="CD124" s="186" t="e">
        <f t="shared" si="113"/>
        <v>#REF!</v>
      </c>
      <c r="CE124" s="189" t="e">
        <f>#REF!+#REF!+#REF!</f>
        <v>#REF!</v>
      </c>
      <c r="CF124" s="186" t="e">
        <f t="shared" si="114"/>
        <v>#REF!</v>
      </c>
      <c r="CG124" s="189" t="e">
        <f>#REF!+#REF!+#REF!</f>
        <v>#REF!</v>
      </c>
      <c r="CH124" s="186" t="e">
        <f t="shared" si="115"/>
        <v>#REF!</v>
      </c>
      <c r="CI124" s="189" t="e">
        <f>#REF!+#REF!+#REF!</f>
        <v>#REF!</v>
      </c>
      <c r="CJ124" s="186" t="e">
        <f t="shared" si="116"/>
        <v>#REF!</v>
      </c>
      <c r="CK124" s="189" t="e">
        <f>#REF!+#REF!+#REF!</f>
        <v>#REF!</v>
      </c>
      <c r="CL124" s="186" t="e">
        <f t="shared" si="117"/>
        <v>#REF!</v>
      </c>
      <c r="CM124" s="189" t="e">
        <f>#REF!+#REF!+#REF!</f>
        <v>#REF!</v>
      </c>
      <c r="CN124" s="186" t="e">
        <f t="shared" si="118"/>
        <v>#REF!</v>
      </c>
      <c r="CO124" s="189" t="e">
        <f>#REF!+#REF!+#REF!</f>
        <v>#REF!</v>
      </c>
      <c r="CP124" s="186" t="e">
        <f t="shared" si="119"/>
        <v>#REF!</v>
      </c>
      <c r="CQ124" s="189" t="e">
        <f>#REF!+#REF!+#REF!</f>
        <v>#REF!</v>
      </c>
      <c r="CR124" s="186" t="e">
        <f t="shared" si="120"/>
        <v>#REF!</v>
      </c>
      <c r="CS124" s="213" t="str">
        <f t="shared" si="121"/>
        <v>Không đạt</v>
      </c>
      <c r="CT124" s="213" t="str">
        <f t="shared" si="122"/>
        <v>Không đạt</v>
      </c>
      <c r="CU124" s="213"/>
      <c r="CV124" s="213"/>
      <c r="CW124" s="231"/>
      <c r="CX124" s="163"/>
      <c r="CZ124" s="195"/>
      <c r="DA124" s="196"/>
      <c r="DB124" s="196"/>
      <c r="DC124" s="197"/>
      <c r="DD124" s="196"/>
      <c r="DE124" s="196"/>
      <c r="DF124" s="196"/>
      <c r="DH124" s="199"/>
      <c r="DI124" s="200"/>
      <c r="DJ124" s="181"/>
    </row>
    <row r="125" spans="1:114" ht="18" customHeight="1" x14ac:dyDescent="0.25">
      <c r="A125" s="213">
        <v>95</v>
      </c>
      <c r="B125" s="240" t="s">
        <v>383</v>
      </c>
      <c r="C125" s="240"/>
      <c r="D125" s="188">
        <v>105740</v>
      </c>
      <c r="E125" s="188">
        <v>0</v>
      </c>
      <c r="F125" s="188">
        <v>105740</v>
      </c>
      <c r="G125" s="188">
        <v>3000</v>
      </c>
      <c r="H125" s="188">
        <v>102740</v>
      </c>
      <c r="I125" s="188">
        <v>0</v>
      </c>
      <c r="J125" s="188"/>
      <c r="K125" s="188">
        <v>0</v>
      </c>
      <c r="L125" s="188">
        <v>0</v>
      </c>
      <c r="M125" s="188">
        <v>0</v>
      </c>
      <c r="N125" s="188">
        <v>0</v>
      </c>
      <c r="O125" s="188">
        <v>3000</v>
      </c>
      <c r="P125" s="188">
        <v>0</v>
      </c>
      <c r="Q125" s="186">
        <v>0</v>
      </c>
      <c r="R125" s="188">
        <v>0</v>
      </c>
      <c r="S125" s="185">
        <v>0</v>
      </c>
      <c r="T125" s="185">
        <v>0</v>
      </c>
      <c r="U125" s="188">
        <v>0</v>
      </c>
      <c r="V125" s="185">
        <v>0</v>
      </c>
      <c r="W125" s="185">
        <v>0</v>
      </c>
      <c r="X125" s="188">
        <v>0</v>
      </c>
      <c r="Y125" s="185">
        <v>0</v>
      </c>
      <c r="Z125" s="185">
        <v>0</v>
      </c>
      <c r="AA125" s="188">
        <v>0</v>
      </c>
      <c r="AB125" s="185">
        <v>0</v>
      </c>
      <c r="AC125" s="185">
        <v>0</v>
      </c>
      <c r="AD125" s="188">
        <v>0</v>
      </c>
      <c r="AE125" s="185">
        <v>0</v>
      </c>
      <c r="AF125" s="185">
        <v>0</v>
      </c>
      <c r="AG125" s="188">
        <v>0</v>
      </c>
      <c r="AH125" s="185">
        <v>0</v>
      </c>
      <c r="AI125" s="185">
        <v>0</v>
      </c>
      <c r="AJ125" s="317">
        <v>0</v>
      </c>
      <c r="AK125" s="185">
        <v>0</v>
      </c>
      <c r="AL125" s="185">
        <v>0</v>
      </c>
      <c r="AM125" s="314">
        <v>0</v>
      </c>
      <c r="AN125" s="185">
        <v>0</v>
      </c>
      <c r="AO125" s="185">
        <v>0</v>
      </c>
      <c r="AP125" s="185"/>
      <c r="AQ125" s="188">
        <v>0</v>
      </c>
      <c r="AR125" s="185">
        <v>0</v>
      </c>
      <c r="AS125" s="185">
        <v>0</v>
      </c>
      <c r="AT125" s="188">
        <v>0</v>
      </c>
      <c r="AU125" s="185">
        <v>0</v>
      </c>
      <c r="AV125" s="185">
        <v>0</v>
      </c>
      <c r="AW125" s="185"/>
      <c r="AX125" s="185"/>
      <c r="AY125" s="185"/>
      <c r="AZ125" s="185"/>
      <c r="BA125" s="185"/>
      <c r="BB125" s="185"/>
      <c r="BC125" s="188">
        <v>0</v>
      </c>
      <c r="BD125" s="185">
        <v>0</v>
      </c>
      <c r="BE125" s="185">
        <v>0</v>
      </c>
      <c r="BF125" s="188"/>
      <c r="BG125" s="188">
        <v>1435</v>
      </c>
      <c r="BH125" s="185">
        <v>1.357102326461131E-2</v>
      </c>
      <c r="BI125" s="185">
        <v>1.4285287646959275E-2</v>
      </c>
      <c r="BJ125" s="188">
        <v>100453</v>
      </c>
      <c r="BK125" s="188">
        <v>1435</v>
      </c>
      <c r="BL125" s="185">
        <v>1.357102326461131E-2</v>
      </c>
      <c r="BM125" s="185">
        <v>1.4285287646959275E-2</v>
      </c>
      <c r="BN125" s="188">
        <v>1435</v>
      </c>
      <c r="BO125" s="185">
        <f t="shared" si="105"/>
        <v>1.357102326461131E-2</v>
      </c>
      <c r="BP125" s="185">
        <f t="shared" si="106"/>
        <v>1.4285287646959275E-2</v>
      </c>
      <c r="BQ125" s="205">
        <f t="shared" si="107"/>
        <v>1435</v>
      </c>
      <c r="BR125" s="205"/>
      <c r="BS125" s="189" t="e">
        <f>#REF!+#REF!+#REF!</f>
        <v>#REF!</v>
      </c>
      <c r="BT125" s="186" t="e">
        <f t="shared" si="108"/>
        <v>#REF!</v>
      </c>
      <c r="BU125" s="189" t="e">
        <f>#REF!+#REF!+#REF!</f>
        <v>#REF!</v>
      </c>
      <c r="BV125" s="186" t="e">
        <f t="shared" si="109"/>
        <v>#REF!</v>
      </c>
      <c r="BW125" s="189" t="e">
        <f>#REF!+#REF!+#REF!</f>
        <v>#REF!</v>
      </c>
      <c r="BX125" s="186" t="e">
        <f t="shared" si="110"/>
        <v>#REF!</v>
      </c>
      <c r="BY125" s="189" t="e">
        <f>#REF!+#REF!+#REF!</f>
        <v>#REF!</v>
      </c>
      <c r="BZ125" s="186" t="e">
        <f t="shared" si="111"/>
        <v>#REF!</v>
      </c>
      <c r="CA125" s="189" t="e">
        <f>#REF!+#REF!+#REF!</f>
        <v>#REF!</v>
      </c>
      <c r="CB125" s="186" t="e">
        <f t="shared" si="112"/>
        <v>#REF!</v>
      </c>
      <c r="CC125" s="189" t="e">
        <f>#REF!+#REF!+#REF!</f>
        <v>#REF!</v>
      </c>
      <c r="CD125" s="186" t="e">
        <f t="shared" si="113"/>
        <v>#REF!</v>
      </c>
      <c r="CE125" s="189" t="e">
        <f>#REF!+#REF!+#REF!</f>
        <v>#REF!</v>
      </c>
      <c r="CF125" s="186" t="e">
        <f t="shared" si="114"/>
        <v>#REF!</v>
      </c>
      <c r="CG125" s="189" t="e">
        <f>#REF!+#REF!+#REF!</f>
        <v>#REF!</v>
      </c>
      <c r="CH125" s="186" t="e">
        <f t="shared" si="115"/>
        <v>#REF!</v>
      </c>
      <c r="CI125" s="189" t="e">
        <f>#REF!+#REF!+#REF!</f>
        <v>#REF!</v>
      </c>
      <c r="CJ125" s="186" t="e">
        <f t="shared" si="116"/>
        <v>#REF!</v>
      </c>
      <c r="CK125" s="189" t="e">
        <f>#REF!+#REF!+#REF!</f>
        <v>#REF!</v>
      </c>
      <c r="CL125" s="186" t="e">
        <f t="shared" si="117"/>
        <v>#REF!</v>
      </c>
      <c r="CM125" s="189" t="e">
        <f>#REF!+#REF!+#REF!</f>
        <v>#REF!</v>
      </c>
      <c r="CN125" s="186" t="e">
        <f t="shared" si="118"/>
        <v>#REF!</v>
      </c>
      <c r="CO125" s="189" t="e">
        <f>#REF!+#REF!+#REF!</f>
        <v>#REF!</v>
      </c>
      <c r="CP125" s="186" t="e">
        <f t="shared" si="119"/>
        <v>#REF!</v>
      </c>
      <c r="CQ125" s="189" t="e">
        <f>#REF!+#REF!+#REF!</f>
        <v>#REF!</v>
      </c>
      <c r="CR125" s="186" t="e">
        <f t="shared" si="120"/>
        <v>#REF!</v>
      </c>
      <c r="CS125" s="213" t="str">
        <f t="shared" si="121"/>
        <v>Không đạt</v>
      </c>
      <c r="CT125" s="213" t="str">
        <f t="shared" si="122"/>
        <v>Không đạt</v>
      </c>
      <c r="CU125" s="213"/>
      <c r="CV125" s="213"/>
      <c r="CW125" s="231"/>
      <c r="CX125" s="163"/>
      <c r="CZ125" s="195"/>
      <c r="DA125" s="196"/>
      <c r="DB125" s="196"/>
      <c r="DC125" s="197"/>
      <c r="DD125" s="196"/>
      <c r="DE125" s="196"/>
      <c r="DF125" s="196"/>
      <c r="DH125" s="199"/>
      <c r="DI125" s="200"/>
      <c r="DJ125" s="181"/>
    </row>
    <row r="126" spans="1:114" ht="18" customHeight="1" x14ac:dyDescent="0.25">
      <c r="A126" s="213">
        <v>96</v>
      </c>
      <c r="B126" s="240" t="s">
        <v>460</v>
      </c>
      <c r="C126" s="240"/>
      <c r="D126" s="188">
        <v>174250</v>
      </c>
      <c r="E126" s="188">
        <v>0</v>
      </c>
      <c r="F126" s="188">
        <v>174250</v>
      </c>
      <c r="G126" s="188">
        <v>18000</v>
      </c>
      <c r="H126" s="188">
        <v>156250</v>
      </c>
      <c r="I126" s="188">
        <v>0</v>
      </c>
      <c r="J126" s="188"/>
      <c r="K126" s="188">
        <v>0</v>
      </c>
      <c r="L126" s="188">
        <v>0</v>
      </c>
      <c r="M126" s="188">
        <v>0</v>
      </c>
      <c r="N126" s="188">
        <v>0</v>
      </c>
      <c r="O126" s="188">
        <v>18000</v>
      </c>
      <c r="P126" s="188">
        <v>0</v>
      </c>
      <c r="Q126" s="186">
        <v>0</v>
      </c>
      <c r="R126" s="188">
        <v>0</v>
      </c>
      <c r="S126" s="185">
        <v>0</v>
      </c>
      <c r="T126" s="185">
        <v>0</v>
      </c>
      <c r="U126" s="188">
        <v>0</v>
      </c>
      <c r="V126" s="185">
        <v>0</v>
      </c>
      <c r="W126" s="185">
        <v>0</v>
      </c>
      <c r="X126" s="188">
        <v>0</v>
      </c>
      <c r="Y126" s="185">
        <v>0</v>
      </c>
      <c r="Z126" s="185">
        <v>0</v>
      </c>
      <c r="AA126" s="188">
        <v>0</v>
      </c>
      <c r="AB126" s="185">
        <v>0</v>
      </c>
      <c r="AC126" s="185">
        <v>0</v>
      </c>
      <c r="AD126" s="188">
        <v>320.11500000000001</v>
      </c>
      <c r="AE126" s="185">
        <v>1.8255774165953807E-3</v>
      </c>
      <c r="AF126" s="185">
        <v>1.9216604385214535E-3</v>
      </c>
      <c r="AG126" s="188">
        <v>320.11500000000001</v>
      </c>
      <c r="AH126" s="185">
        <v>1.8255774165953807E-3</v>
      </c>
      <c r="AI126" s="185">
        <v>1.9216604385214535E-3</v>
      </c>
      <c r="AJ126" s="317">
        <v>320.11500000000001</v>
      </c>
      <c r="AK126" s="185">
        <v>1.8255774165953807E-3</v>
      </c>
      <c r="AL126" s="185">
        <v>1.9216604385214535E-3</v>
      </c>
      <c r="AM126" s="188">
        <v>320.11500000000001</v>
      </c>
      <c r="AN126" s="185">
        <v>1.8255774165953807E-3</v>
      </c>
      <c r="AO126" s="185">
        <v>1.9216604385214535E-3</v>
      </c>
      <c r="AP126" s="185"/>
      <c r="AQ126" s="188">
        <v>320.11500000000001</v>
      </c>
      <c r="AR126" s="185">
        <v>1.8255774165953807E-3</v>
      </c>
      <c r="AS126" s="185">
        <v>1.9216604385214535E-3</v>
      </c>
      <c r="AT126" s="188">
        <v>320.11500000000001</v>
      </c>
      <c r="AU126" s="185">
        <v>1.8255774165953807E-3</v>
      </c>
      <c r="AV126" s="185">
        <v>1.9216604385214535E-3</v>
      </c>
      <c r="AW126" s="185"/>
      <c r="AX126" s="185"/>
      <c r="AY126" s="185"/>
      <c r="AZ126" s="185"/>
      <c r="BA126" s="185"/>
      <c r="BB126" s="185"/>
      <c r="BC126" s="188">
        <v>320.11500000000001</v>
      </c>
      <c r="BD126" s="185">
        <v>1.8255774165953807E-3</v>
      </c>
      <c r="BE126" s="185">
        <v>1.9216604385214535E-3</v>
      </c>
      <c r="BF126" s="352"/>
      <c r="BG126" s="352">
        <v>320.11500000000001</v>
      </c>
      <c r="BH126" s="185">
        <v>1.8371018651362984E-3</v>
      </c>
      <c r="BI126" s="185">
        <v>1.9337914369855773E-3</v>
      </c>
      <c r="BJ126" s="374">
        <v>165537.5</v>
      </c>
      <c r="BK126" s="374">
        <v>1785.4110000000001</v>
      </c>
      <c r="BL126" s="185">
        <v>1.0246261119081779E-2</v>
      </c>
      <c r="BM126" s="185">
        <v>1.0785538020086083E-2</v>
      </c>
      <c r="BN126" s="374">
        <v>1785.4110000000001</v>
      </c>
      <c r="BO126" s="185">
        <f t="shared" si="105"/>
        <v>1.0246261119081779E-2</v>
      </c>
      <c r="BP126" s="185">
        <f t="shared" si="106"/>
        <v>1.0785538020086083E-2</v>
      </c>
      <c r="BQ126" s="205">
        <f t="shared" si="107"/>
        <v>1465.296</v>
      </c>
      <c r="BR126" s="205"/>
      <c r="BS126" s="189" t="e">
        <f>#REF!+BS133+BS134</f>
        <v>#REF!</v>
      </c>
      <c r="BT126" s="186" t="e">
        <f t="shared" si="108"/>
        <v>#REF!</v>
      </c>
      <c r="BU126" s="189" t="e">
        <f>#REF!+BU133+BU134</f>
        <v>#REF!</v>
      </c>
      <c r="BV126" s="186" t="e">
        <f t="shared" si="109"/>
        <v>#REF!</v>
      </c>
      <c r="BW126" s="189" t="e">
        <f>#REF!+BW133+BW134</f>
        <v>#REF!</v>
      </c>
      <c r="BX126" s="186" t="e">
        <f t="shared" si="110"/>
        <v>#REF!</v>
      </c>
      <c r="BY126" s="189" t="e">
        <f>#REF!+BY133+BY134</f>
        <v>#REF!</v>
      </c>
      <c r="BZ126" s="186" t="e">
        <f t="shared" si="111"/>
        <v>#REF!</v>
      </c>
      <c r="CA126" s="189" t="e">
        <f>#REF!+CA133+CA134</f>
        <v>#REF!</v>
      </c>
      <c r="CB126" s="186" t="e">
        <f t="shared" si="112"/>
        <v>#REF!</v>
      </c>
      <c r="CC126" s="189" t="e">
        <f>#REF!+CC133+CC134</f>
        <v>#REF!</v>
      </c>
      <c r="CD126" s="186" t="e">
        <f t="shared" si="113"/>
        <v>#REF!</v>
      </c>
      <c r="CE126" s="189" t="e">
        <f>#REF!+CE133+CE134</f>
        <v>#REF!</v>
      </c>
      <c r="CF126" s="186" t="e">
        <f t="shared" si="114"/>
        <v>#REF!</v>
      </c>
      <c r="CG126" s="189" t="e">
        <f>#REF!+CG133+CG134</f>
        <v>#REF!</v>
      </c>
      <c r="CH126" s="186" t="e">
        <f t="shared" si="115"/>
        <v>#REF!</v>
      </c>
      <c r="CI126" s="189" t="e">
        <f>#REF!+CI133+CI134</f>
        <v>#REF!</v>
      </c>
      <c r="CJ126" s="186" t="e">
        <f t="shared" si="116"/>
        <v>#REF!</v>
      </c>
      <c r="CK126" s="189" t="e">
        <f>#REF!+CK133+CK134</f>
        <v>#REF!</v>
      </c>
      <c r="CL126" s="186" t="e">
        <f t="shared" si="117"/>
        <v>#REF!</v>
      </c>
      <c r="CM126" s="189" t="e">
        <f>#REF!+CM133+CM134</f>
        <v>#REF!</v>
      </c>
      <c r="CN126" s="186" t="e">
        <f t="shared" si="118"/>
        <v>#REF!</v>
      </c>
      <c r="CO126" s="189" t="e">
        <f>#REF!+CO133+CO134</f>
        <v>#REF!</v>
      </c>
      <c r="CP126" s="186" t="e">
        <f t="shared" si="119"/>
        <v>#REF!</v>
      </c>
      <c r="CQ126" s="189" t="e">
        <f>#REF!+CQ133+CQ134</f>
        <v>#REF!</v>
      </c>
      <c r="CR126" s="186" t="e">
        <f t="shared" si="120"/>
        <v>#REF!</v>
      </c>
      <c r="CS126" s="213" t="str">
        <f t="shared" si="121"/>
        <v>Không đạt</v>
      </c>
      <c r="CT126" s="213" t="str">
        <f t="shared" si="122"/>
        <v>Không đạt</v>
      </c>
      <c r="CU126" s="213"/>
      <c r="CV126" s="213"/>
      <c r="CW126" s="231"/>
      <c r="CX126" s="163"/>
      <c r="CZ126" s="195"/>
      <c r="DA126" s="196"/>
      <c r="DB126" s="196"/>
      <c r="DC126" s="197"/>
      <c r="DD126" s="196"/>
      <c r="DE126" s="196"/>
      <c r="DF126" s="196"/>
      <c r="DH126" s="199"/>
      <c r="DI126" s="200"/>
      <c r="DJ126" s="181"/>
    </row>
    <row r="127" spans="1:114" ht="11.45" customHeight="1" x14ac:dyDescent="0.25">
      <c r="A127" s="384"/>
      <c r="B127" s="385"/>
      <c r="C127" s="385"/>
      <c r="D127" s="383"/>
      <c r="E127" s="383"/>
      <c r="F127" s="383"/>
      <c r="G127" s="383"/>
      <c r="H127" s="383"/>
      <c r="I127" s="386"/>
      <c r="J127" s="386"/>
      <c r="K127" s="383"/>
      <c r="L127" s="386"/>
      <c r="M127" s="387"/>
      <c r="N127" s="387"/>
      <c r="O127" s="383"/>
      <c r="P127" s="383"/>
      <c r="Q127" s="388"/>
      <c r="R127" s="383"/>
      <c r="S127" s="389"/>
      <c r="T127" s="389"/>
      <c r="U127" s="383"/>
      <c r="V127" s="389"/>
      <c r="W127" s="389"/>
      <c r="X127" s="383"/>
      <c r="Y127" s="389"/>
      <c r="Z127" s="389"/>
      <c r="AA127" s="383"/>
      <c r="AB127" s="389"/>
      <c r="AC127" s="389"/>
      <c r="AD127" s="383"/>
      <c r="AE127" s="389"/>
      <c r="AF127" s="389"/>
      <c r="AG127" s="383"/>
      <c r="AH127" s="389"/>
      <c r="AI127" s="389"/>
      <c r="AJ127" s="179"/>
      <c r="AK127" s="389"/>
      <c r="AL127" s="389"/>
      <c r="AM127" s="383"/>
      <c r="AN127" s="389"/>
      <c r="AO127" s="389"/>
      <c r="AP127" s="389"/>
      <c r="AQ127" s="383"/>
      <c r="AR127" s="389"/>
      <c r="AS127" s="389"/>
      <c r="AT127" s="383"/>
      <c r="AU127" s="389"/>
      <c r="AV127" s="389"/>
      <c r="AW127" s="389"/>
      <c r="AX127" s="389"/>
      <c r="AY127" s="389"/>
      <c r="AZ127" s="389"/>
      <c r="BA127" s="389"/>
      <c r="BB127" s="389"/>
      <c r="BC127" s="383"/>
      <c r="BD127" s="389"/>
      <c r="BE127" s="389"/>
      <c r="BF127" s="383"/>
      <c r="BG127" s="383"/>
      <c r="BH127" s="389"/>
      <c r="BI127" s="389"/>
      <c r="BJ127" s="383">
        <v>0</v>
      </c>
      <c r="BK127" s="383"/>
      <c r="BL127" s="389"/>
      <c r="BM127" s="389"/>
      <c r="BN127" s="383"/>
      <c r="BO127" s="389"/>
      <c r="BP127" s="389"/>
      <c r="BQ127" s="383">
        <f>BN127-R127</f>
        <v>0</v>
      </c>
      <c r="BR127" s="383"/>
      <c r="BS127" s="390"/>
      <c r="BT127" s="388"/>
      <c r="BU127" s="390"/>
      <c r="BV127" s="388"/>
      <c r="BW127" s="390"/>
      <c r="BX127" s="388"/>
      <c r="BY127" s="390"/>
      <c r="BZ127" s="388"/>
      <c r="CA127" s="390"/>
      <c r="CB127" s="388"/>
      <c r="CC127" s="390"/>
      <c r="CD127" s="388"/>
      <c r="CE127" s="390"/>
      <c r="CF127" s="388"/>
      <c r="CG127" s="390"/>
      <c r="CH127" s="388"/>
      <c r="CI127" s="390"/>
      <c r="CJ127" s="388"/>
      <c r="CK127" s="390"/>
      <c r="CL127" s="388"/>
      <c r="CM127" s="390"/>
      <c r="CN127" s="388"/>
      <c r="CO127" s="390"/>
      <c r="CP127" s="388"/>
      <c r="CQ127" s="390"/>
      <c r="CR127" s="388"/>
      <c r="CS127" s="384"/>
      <c r="CT127" s="384"/>
      <c r="CU127" s="384"/>
      <c r="CV127" s="384"/>
      <c r="CW127" s="387"/>
      <c r="CX127" s="163"/>
      <c r="CZ127" s="382"/>
      <c r="DA127" s="197"/>
      <c r="DB127" s="197"/>
      <c r="DC127" s="197"/>
      <c r="DD127" s="197"/>
      <c r="DE127" s="197"/>
      <c r="DF127" s="197"/>
      <c r="DH127" s="199"/>
      <c r="DI127" s="200"/>
      <c r="DJ127" s="181"/>
    </row>
    <row r="128" spans="1:114" x14ac:dyDescent="0.25">
      <c r="A128" s="197"/>
      <c r="B128" s="217"/>
      <c r="C128" s="217"/>
      <c r="D128" s="219"/>
      <c r="E128" s="219"/>
      <c r="F128" s="219"/>
      <c r="G128" s="219"/>
      <c r="H128" s="219"/>
      <c r="I128" s="391"/>
      <c r="J128" s="391"/>
      <c r="K128" s="219"/>
      <c r="L128" s="391"/>
      <c r="M128" s="219"/>
      <c r="N128" s="391"/>
      <c r="O128" s="219"/>
      <c r="P128" s="219"/>
      <c r="Q128" s="219"/>
      <c r="R128" s="219"/>
      <c r="S128" s="219"/>
      <c r="T128" s="219"/>
      <c r="U128" s="219"/>
      <c r="V128" s="219"/>
      <c r="W128" s="219"/>
      <c r="X128" s="219"/>
      <c r="Y128" s="219"/>
      <c r="Z128" s="219"/>
      <c r="AA128" s="219"/>
      <c r="AB128" s="219"/>
      <c r="AC128" s="219"/>
      <c r="AD128" s="219"/>
      <c r="AE128" s="219"/>
      <c r="AF128" s="219"/>
      <c r="AG128" s="219"/>
      <c r="AH128" s="219"/>
      <c r="AI128" s="219"/>
      <c r="AJ128" s="219"/>
      <c r="AK128" s="219"/>
      <c r="AL128" s="219"/>
      <c r="AM128" s="219"/>
      <c r="AN128" s="219"/>
      <c r="AO128" s="219"/>
      <c r="AP128" s="219"/>
      <c r="AQ128" s="219"/>
      <c r="AR128" s="219"/>
      <c r="AS128" s="219"/>
      <c r="AT128" s="219"/>
      <c r="AU128" s="219"/>
      <c r="AV128" s="219"/>
      <c r="AW128" s="219"/>
      <c r="AX128" s="219"/>
      <c r="AY128" s="219"/>
      <c r="AZ128" s="219"/>
      <c r="BA128" s="219"/>
      <c r="BB128" s="219"/>
      <c r="BC128" s="219"/>
      <c r="BD128" s="219"/>
      <c r="BE128" s="219"/>
      <c r="BF128" s="219"/>
      <c r="BG128" s="219"/>
      <c r="BH128" s="219"/>
      <c r="BI128" s="219"/>
      <c r="BJ128" s="219"/>
      <c r="BK128" s="219"/>
      <c r="BL128" s="219"/>
      <c r="BM128" s="219"/>
      <c r="BN128" s="392"/>
      <c r="BO128" s="393"/>
      <c r="BP128" s="393"/>
      <c r="BQ128" s="393"/>
      <c r="BR128" s="393"/>
      <c r="BS128" s="392"/>
      <c r="BT128" s="394"/>
      <c r="BU128" s="395"/>
      <c r="BV128" s="395"/>
      <c r="BW128" s="395"/>
      <c r="BX128" s="395"/>
      <c r="BY128" s="395"/>
      <c r="BZ128" s="395"/>
      <c r="CA128" s="395"/>
      <c r="CB128" s="395"/>
      <c r="CC128" s="395"/>
      <c r="CD128" s="395"/>
      <c r="CE128" s="395"/>
      <c r="CF128" s="395"/>
      <c r="CG128" s="395"/>
      <c r="CH128" s="395"/>
      <c r="CI128" s="395"/>
      <c r="CJ128" s="395"/>
      <c r="CK128" s="395"/>
      <c r="CL128" s="395"/>
      <c r="CM128" s="395"/>
      <c r="CN128" s="395"/>
      <c r="CO128" s="395"/>
      <c r="CP128" s="395"/>
      <c r="CQ128" s="395"/>
      <c r="CR128" s="395"/>
      <c r="CS128" s="197"/>
      <c r="CT128" s="197"/>
      <c r="CU128" s="197"/>
      <c r="CV128" s="197"/>
      <c r="CW128" s="219"/>
      <c r="DJ128" s="181" t="e">
        <f>VLOOKUP(C128,#REF!,10,1)/1000000</f>
        <v>#REF!</v>
      </c>
    </row>
  </sheetData>
  <autoFilter ref="A14:DL14" xr:uid="{00000000-0009-0000-0000-000007000000}"/>
  <sortState ref="A18:CU29">
    <sortCondition descending="1" ref="BP18:BP29"/>
  </sortState>
  <mergeCells count="144">
    <mergeCell ref="A1:CW1"/>
    <mergeCell ref="A2:CW2"/>
    <mergeCell ref="A3:CW3"/>
    <mergeCell ref="A4:CW4"/>
    <mergeCell ref="A5:CW5"/>
    <mergeCell ref="A7:A13"/>
    <mergeCell ref="B7:B13"/>
    <mergeCell ref="C7:C13"/>
    <mergeCell ref="D7:N8"/>
    <mergeCell ref="O7:O13"/>
    <mergeCell ref="BK7:BM10"/>
    <mergeCell ref="BK11:BK13"/>
    <mergeCell ref="BL11:BL13"/>
    <mergeCell ref="BM11:BM13"/>
    <mergeCell ref="D9:D13"/>
    <mergeCell ref="E9:N9"/>
    <mergeCell ref="AI11:AI13"/>
    <mergeCell ref="AJ11:AJ13"/>
    <mergeCell ref="AK11:AK13"/>
    <mergeCell ref="AL11:AL13"/>
    <mergeCell ref="AA11:AA13"/>
    <mergeCell ref="AB11:AB13"/>
    <mergeCell ref="AC11:AC13"/>
    <mergeCell ref="AD11:AD13"/>
    <mergeCell ref="DD7:DF9"/>
    <mergeCell ref="DH7:DH13"/>
    <mergeCell ref="DI7:DI13"/>
    <mergeCell ref="BS8:BT10"/>
    <mergeCell ref="BU8:BV10"/>
    <mergeCell ref="CA8:CB10"/>
    <mergeCell ref="CC8:CD10"/>
    <mergeCell ref="CE8:CF10"/>
    <mergeCell ref="CG8:CH10"/>
    <mergeCell ref="CI8:CJ10"/>
    <mergeCell ref="CV7:CV13"/>
    <mergeCell ref="CW7:CW13"/>
    <mergeCell ref="CY7:CY13"/>
    <mergeCell ref="CZ7:CZ13"/>
    <mergeCell ref="DA7:DA13"/>
    <mergeCell ref="DB7:DB13"/>
    <mergeCell ref="BS7:BV7"/>
    <mergeCell ref="BW7:BX10"/>
    <mergeCell ref="BY7:BZ10"/>
    <mergeCell ref="CS7:CS13"/>
    <mergeCell ref="CT7:CT13"/>
    <mergeCell ref="CK8:CL10"/>
    <mergeCell ref="CM8:CN10"/>
    <mergeCell ref="CO8:CP10"/>
    <mergeCell ref="CX9:CX13"/>
    <mergeCell ref="E10:E13"/>
    <mergeCell ref="F10:F13"/>
    <mergeCell ref="G10:N10"/>
    <mergeCell ref="S11:S13"/>
    <mergeCell ref="T11:T13"/>
    <mergeCell ref="U11:U13"/>
    <mergeCell ref="V11:V13"/>
    <mergeCell ref="BQ7:BQ13"/>
    <mergeCell ref="CQ8:CR10"/>
    <mergeCell ref="AW7:AY10"/>
    <mergeCell ref="AZ7:BB10"/>
    <mergeCell ref="BC7:BE10"/>
    <mergeCell ref="BG7:BI10"/>
    <mergeCell ref="BJ7:BJ13"/>
    <mergeCell ref="BN7:BP10"/>
    <mergeCell ref="AZ11:AZ13"/>
    <mergeCell ref="BA11:BA13"/>
    <mergeCell ref="BB11:BB13"/>
    <mergeCell ref="BC11:BC13"/>
    <mergeCell ref="AD7:AF10"/>
    <mergeCell ref="AG7:AI10"/>
    <mergeCell ref="AG11:AG13"/>
    <mergeCell ref="AH11:AH13"/>
    <mergeCell ref="DD10:DE11"/>
    <mergeCell ref="DF10:DF13"/>
    <mergeCell ref="G11:G13"/>
    <mergeCell ref="H11:H13"/>
    <mergeCell ref="I11:I13"/>
    <mergeCell ref="K11:K13"/>
    <mergeCell ref="L11:L13"/>
    <mergeCell ref="M11:M13"/>
    <mergeCell ref="N11:N13"/>
    <mergeCell ref="R11:R13"/>
    <mergeCell ref="AJ7:AL10"/>
    <mergeCell ref="AM7:AO10"/>
    <mergeCell ref="AQ7:AS10"/>
    <mergeCell ref="AT7:AV10"/>
    <mergeCell ref="P7:P13"/>
    <mergeCell ref="Q7:Q13"/>
    <mergeCell ref="R7:T10"/>
    <mergeCell ref="U7:W10"/>
    <mergeCell ref="X7:Z10"/>
    <mergeCell ref="AA7:AC10"/>
    <mergeCell ref="W11:W13"/>
    <mergeCell ref="X11:X13"/>
    <mergeCell ref="Y11:Y13"/>
    <mergeCell ref="Z11:Z13"/>
    <mergeCell ref="AE11:AE13"/>
    <mergeCell ref="AF11:AF13"/>
    <mergeCell ref="AT11:AT13"/>
    <mergeCell ref="AU11:AU13"/>
    <mergeCell ref="AV11:AV13"/>
    <mergeCell ref="AW11:AW13"/>
    <mergeCell ref="AX11:AX13"/>
    <mergeCell ref="AY11:AY13"/>
    <mergeCell ref="AM11:AM13"/>
    <mergeCell ref="AN11:AN13"/>
    <mergeCell ref="AO11:AO13"/>
    <mergeCell ref="AQ11:AQ13"/>
    <mergeCell ref="AR11:AR13"/>
    <mergeCell ref="AS11:AS13"/>
    <mergeCell ref="BO11:BO13"/>
    <mergeCell ref="BP11:BP13"/>
    <mergeCell ref="BS11:BS13"/>
    <mergeCell ref="BT11:BT13"/>
    <mergeCell ref="BU11:BU13"/>
    <mergeCell ref="BV11:BV13"/>
    <mergeCell ref="BD11:BD13"/>
    <mergeCell ref="BE11:BE13"/>
    <mergeCell ref="BG11:BG13"/>
    <mergeCell ref="BH11:BH13"/>
    <mergeCell ref="BI11:BI13"/>
    <mergeCell ref="BN11:BN13"/>
    <mergeCell ref="CC11:CC13"/>
    <mergeCell ref="CD11:CD13"/>
    <mergeCell ref="CE11:CE13"/>
    <mergeCell ref="CF11:CF13"/>
    <mergeCell ref="CG11:CG13"/>
    <mergeCell ref="CH11:CH13"/>
    <mergeCell ref="BW11:BW13"/>
    <mergeCell ref="BX11:BX13"/>
    <mergeCell ref="BY11:BY13"/>
    <mergeCell ref="BZ11:BZ13"/>
    <mergeCell ref="CA11:CA13"/>
    <mergeCell ref="CB11:CB13"/>
    <mergeCell ref="CO11:CO13"/>
    <mergeCell ref="CP11:CP13"/>
    <mergeCell ref="CQ11:CQ13"/>
    <mergeCell ref="CR11:CR13"/>
    <mergeCell ref="CI11:CI13"/>
    <mergeCell ref="CJ11:CJ13"/>
    <mergeCell ref="CK11:CK13"/>
    <mergeCell ref="CL11:CL13"/>
    <mergeCell ref="CM11:CM13"/>
    <mergeCell ref="CN11:CN13"/>
  </mergeCells>
  <conditionalFormatting sqref="CW17">
    <cfRule type="containsText" dxfId="15" priority="4" operator="containsText" text="FALSE">
      <formula>NOT(ISERROR(SEARCH("FALSE",CW17)))</formula>
    </cfRule>
  </conditionalFormatting>
  <conditionalFormatting sqref="CX17">
    <cfRule type="containsText" dxfId="14" priority="2" operator="containsText" text="0">
      <formula>NOT(ISERROR(SEARCH("0",CX17)))</formula>
    </cfRule>
    <cfRule type="containsText" dxfId="13" priority="3" operator="containsText" text="kiểm tra">
      <formula>NOT(ISERROR(SEARCH("kiểm tra",CX17)))</formula>
    </cfRule>
  </conditionalFormatting>
  <conditionalFormatting sqref="CY17:DC17">
    <cfRule type="containsText" dxfId="12" priority="1" operator="containsText" text="trống">
      <formula>NOT(ISERROR(SEARCH("trống",CY17)))</formula>
    </cfRule>
  </conditionalFormatting>
  <conditionalFormatting sqref="CZ1:CZ16 CZ18:CZ1048576">
    <cfRule type="containsText" dxfId="11" priority="20" operator="containsText" text="FALSE">
      <formula>NOT(ISERROR(SEARCH("FALSE",CZ1)))</formula>
    </cfRule>
  </conditionalFormatting>
  <conditionalFormatting sqref="DA1:DA16 DD10 DA18:DA1048576">
    <cfRule type="containsText" dxfId="10" priority="19" operator="containsText" text="kiểm tra">
      <formula>NOT(ISERROR(SEARCH("kiểm tra",DA1)))</formula>
    </cfRule>
  </conditionalFormatting>
  <conditionalFormatting sqref="DB7:DC13">
    <cfRule type="containsText" dxfId="9" priority="16" operator="containsText" text="0">
      <formula>NOT(ISERROR(SEARCH("0",DB7)))</formula>
    </cfRule>
    <cfRule type="containsText" dxfId="8" priority="17" operator="containsText" text="kiểm tra">
      <formula>NOT(ISERROR(SEARCH("kiểm tra",DB7)))</formula>
    </cfRule>
  </conditionalFormatting>
  <conditionalFormatting sqref="DB1:DF6 DB7:DC13 DD10 DB14:DF16 DB18:DF1048576">
    <cfRule type="containsText" dxfId="7" priority="15" operator="containsText" text="trống">
      <formula>NOT(ISERROR(SEARCH("trống",DB1)))</formula>
    </cfRule>
  </conditionalFormatting>
  <conditionalFormatting sqref="DD10 DA1:DA16 DA18:DA1048576">
    <cfRule type="containsText" dxfId="6" priority="18" operator="containsText" text="0">
      <formula>NOT(ISERROR(SEARCH("0",DA1)))</formula>
    </cfRule>
  </conditionalFormatting>
  <conditionalFormatting sqref="DD13:DE13">
    <cfRule type="containsText" dxfId="5" priority="9" operator="containsText" text="trống">
      <formula>NOT(ISERROR(SEARCH("trống",DD13)))</formula>
    </cfRule>
    <cfRule type="containsText" dxfId="4" priority="10" operator="containsText" text="0">
      <formula>NOT(ISERROR(SEARCH("0",DD13)))</formula>
    </cfRule>
    <cfRule type="containsText" dxfId="3" priority="11" operator="containsText" text="kiểm tra">
      <formula>NOT(ISERROR(SEARCH("kiểm tra",DD13)))</formula>
    </cfRule>
  </conditionalFormatting>
  <conditionalFormatting sqref="DF10">
    <cfRule type="containsText" dxfId="2" priority="12" operator="containsText" text="trống">
      <formula>NOT(ISERROR(SEARCH("trống",DF10)))</formula>
    </cfRule>
    <cfRule type="containsText" dxfId="1" priority="13" operator="containsText" text="0">
      <formula>NOT(ISERROR(SEARCH("0",DF10)))</formula>
    </cfRule>
    <cfRule type="containsText" dxfId="0" priority="14" operator="containsText" text="kiểm tra">
      <formula>NOT(ISERROR(SEARCH("kiểm tra",DF10)))</formula>
    </cfRule>
  </conditionalFormatting>
  <pageMargins left="0.44" right="0.196850393700787" top="0.35" bottom="0.56000000000000005" header="0.31496062992126" footer="0.31496062992126"/>
  <pageSetup paperSize="9" scale="70" orientation="portrait" r:id="rId1"/>
  <headerFooter>
    <oddFooter>&amp;R&amp;P/&amp;N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TH NGUON</vt:lpstr>
      <vt:lpstr>TH NGUON (2)</vt:lpstr>
      <vt:lpstr>Chi tiết 23.7</vt:lpstr>
      <vt:lpstr>SX</vt:lpstr>
      <vt:lpstr>PL1. CĐT</vt:lpstr>
      <vt:lpstr>Phân khai vốn năm 2026</vt:lpstr>
      <vt:lpstr>SXEP</vt:lpstr>
      <vt:lpstr>'Chi tiết 23.7'!Print_Area</vt:lpstr>
      <vt:lpstr>'Phân khai vốn năm 2026'!Print_Area</vt:lpstr>
      <vt:lpstr>'PL1. CĐT'!Print_Area</vt:lpstr>
      <vt:lpstr>SX!Print_Area</vt:lpstr>
      <vt:lpstr>SXEP!Print_Area</vt:lpstr>
      <vt:lpstr>'TH NGUON'!Print_Area</vt:lpstr>
      <vt:lpstr>'TH NGUON (2)'!Print_Area</vt:lpstr>
      <vt:lpstr>'Chi tiết 23.7'!Print_Titles</vt:lpstr>
      <vt:lpstr>'Phân khai vốn năm 2026'!Print_Titles</vt:lpstr>
      <vt:lpstr>'PL1. CĐT'!Print_Titles</vt:lpstr>
      <vt:lpstr>SX!Print_Titles</vt:lpstr>
      <vt:lpstr>SXEP!Print_Titles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SingPC</dc:creator>
  <cp:lastModifiedBy>Phạm Thị Thoa</cp:lastModifiedBy>
  <cp:lastPrinted>2026-10-16T08:18:48Z</cp:lastPrinted>
  <dcterms:created xsi:type="dcterms:W3CDTF">2026-07-24T09:52:16Z</dcterms:created>
  <dcterms:modified xsi:type="dcterms:W3CDTF">2026-10-16T08:25:05Z</dcterms:modified>
</cp:coreProperties>
</file>